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ju.yadav\Downloads\"/>
    </mc:Choice>
  </mc:AlternateContent>
  <xr:revisionPtr revIDLastSave="0" documentId="13_ncr:1_{2B546D6D-3805-4682-B0D8-6AAE863491FE}" xr6:coauthVersionLast="47" xr6:coauthVersionMax="47" xr10:uidLastSave="{00000000-0000-0000-0000-000000000000}"/>
  <bookViews>
    <workbookView xWindow="-120" yWindow="-120" windowWidth="20730" windowHeight="11160" tabRatio="913" firstSheet="1" activeTab="7" xr2:uid="{00000000-000D-0000-FFFF-FFFF00000000}"/>
  </bookViews>
  <sheets>
    <sheet name="Application Status" sheetId="1" r:id="rId1"/>
    <sheet name="IM TPS" sheetId="3" r:id="rId2"/>
    <sheet name="TOP 5 USSD Short Codes" sheetId="5" r:id="rId3"/>
    <sheet name="Feuil3" sheetId="14" r:id="rId4"/>
    <sheet name="KPI Calculation New" sheetId="11" r:id="rId5"/>
    <sheet name="P2P Detail" sheetId="19" r:id="rId6"/>
    <sheet name="P2P" sheetId="20" r:id="rId7"/>
    <sheet name="Dashboard" sheetId="18" r:id="rId8"/>
    <sheet name="SMS and TPS" sheetId="15" state="hidden" r:id="rId9"/>
    <sheet name="TOP SMPP" sheetId="16" state="hidden" r:id="rId10"/>
    <sheet name="USSD" sheetId="17" state="hidden" r:id="rId11"/>
  </sheets>
  <externalReferences>
    <externalReference r:id="rId12"/>
  </externalReferences>
  <definedNames>
    <definedName name="_xlnm._FilterDatabase" localSheetId="8" hidden="1">'SMS and TPS'!#REF!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629" i="17" l="1"/>
  <c r="CB629" i="17"/>
  <c r="CA629" i="17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" i="20"/>
  <c r="VR19" i="19"/>
  <c r="VR18" i="19"/>
  <c r="VR17" i="19"/>
  <c r="VP19" i="19"/>
  <c r="VQ19" i="19"/>
  <c r="VP18" i="19"/>
  <c r="VQ18" i="19"/>
  <c r="VP17" i="19"/>
  <c r="VQ17" i="19"/>
  <c r="VP16" i="19"/>
  <c r="VQ16" i="19"/>
  <c r="VR16" i="19"/>
  <c r="VP11" i="19"/>
  <c r="VQ11" i="19"/>
  <c r="VR11" i="19"/>
  <c r="VP10" i="19"/>
  <c r="VQ10" i="19"/>
  <c r="VR10" i="19"/>
  <c r="CC627" i="17" l="1"/>
  <c r="CC628" i="17"/>
  <c r="T639" i="15"/>
  <c r="T640" i="15"/>
  <c r="T641" i="15"/>
  <c r="M639" i="15"/>
  <c r="M640" i="15"/>
  <c r="M641" i="15"/>
  <c r="F639" i="15"/>
  <c r="F640" i="15"/>
  <c r="F641" i="15"/>
  <c r="AJ639" i="15"/>
  <c r="AJ640" i="15"/>
  <c r="AJ641" i="15"/>
  <c r="AE639" i="15"/>
  <c r="AE640" i="15"/>
  <c r="AE641" i="15"/>
  <c r="Z641" i="15"/>
  <c r="Z639" i="15"/>
  <c r="Z640" i="15"/>
  <c r="AH627" i="17"/>
  <c r="AH628" i="17"/>
  <c r="AH629" i="17"/>
  <c r="AA627" i="17"/>
  <c r="AA628" i="17"/>
  <c r="AA629" i="17"/>
  <c r="T627" i="17"/>
  <c r="T628" i="17"/>
  <c r="T629" i="17"/>
  <c r="M627" i="17"/>
  <c r="M628" i="17"/>
  <c r="M629" i="17"/>
  <c r="F627" i="17"/>
  <c r="F628" i="17"/>
  <c r="F629" i="17"/>
  <c r="RT21" i="14"/>
  <c r="RU21" i="14"/>
  <c r="RV21" i="14"/>
  <c r="CJ627" i="17"/>
  <c r="CJ628" i="17"/>
  <c r="CJ629" i="17"/>
  <c r="VO19" i="19"/>
  <c r="VO18" i="19"/>
  <c r="VO17" i="19"/>
  <c r="VO16" i="19"/>
  <c r="VO11" i="19"/>
  <c r="VO10" i="19"/>
  <c r="CB626" i="17" l="1"/>
  <c r="CA626" i="17"/>
  <c r="CC626" i="17" s="1"/>
  <c r="AH626" i="17"/>
  <c r="AA626" i="17"/>
  <c r="T626" i="17"/>
  <c r="M626" i="17"/>
  <c r="F626" i="17"/>
  <c r="AJ638" i="15"/>
  <c r="AE638" i="15"/>
  <c r="Z638" i="15"/>
  <c r="T638" i="15"/>
  <c r="M638" i="15"/>
  <c r="F638" i="15"/>
  <c r="RS21" i="14"/>
  <c r="CJ626" i="17"/>
  <c r="CB625" i="17"/>
  <c r="CC625" i="17" s="1"/>
  <c r="CA625" i="17"/>
  <c r="O5" i="20"/>
  <c r="O3" i="20"/>
  <c r="VN19" i="19"/>
  <c r="VN18" i="19"/>
  <c r="VN17" i="19"/>
  <c r="VN16" i="19"/>
  <c r="VN11" i="19"/>
  <c r="VN10" i="19"/>
  <c r="AH625" i="17" l="1"/>
  <c r="AA625" i="17"/>
  <c r="T625" i="17"/>
  <c r="M625" i="17"/>
  <c r="F625" i="17"/>
  <c r="RR21" i="14"/>
  <c r="CJ625" i="17"/>
  <c r="AJ637" i="15"/>
  <c r="AE637" i="15"/>
  <c r="Z637" i="15"/>
  <c r="T637" i="15"/>
  <c r="M637" i="15"/>
  <c r="F637" i="15"/>
  <c r="VM19" i="19"/>
  <c r="VM18" i="19"/>
  <c r="VM17" i="19"/>
  <c r="VM16" i="19"/>
  <c r="VM11" i="19"/>
  <c r="VM10" i="19"/>
  <c r="AH624" i="17"/>
  <c r="AA624" i="17"/>
  <c r="T624" i="17"/>
  <c r="M624" i="17"/>
  <c r="F624" i="17"/>
  <c r="CB624" i="17" l="1"/>
  <c r="CA624" i="17"/>
  <c r="CC624" i="17" s="1"/>
  <c r="RQ21" i="14"/>
  <c r="CJ624" i="17"/>
  <c r="AJ636" i="15"/>
  <c r="AE636" i="15"/>
  <c r="Z636" i="15"/>
  <c r="T636" i="15"/>
  <c r="M636" i="15"/>
  <c r="F636" i="15"/>
  <c r="CB623" i="17"/>
  <c r="CA623" i="17"/>
  <c r="CC623" i="17" s="1"/>
  <c r="VL19" i="19"/>
  <c r="VL18" i="19"/>
  <c r="VL17" i="19"/>
  <c r="VL16" i="19"/>
  <c r="VL11" i="19"/>
  <c r="VL10" i="19"/>
  <c r="RP21" i="14" l="1"/>
  <c r="CJ623" i="17"/>
  <c r="AH623" i="17"/>
  <c r="AA623" i="17"/>
  <c r="T623" i="17"/>
  <c r="M623" i="17"/>
  <c r="F623" i="17"/>
  <c r="AJ635" i="15"/>
  <c r="AE635" i="15"/>
  <c r="Z635" i="15"/>
  <c r="T635" i="15"/>
  <c r="M635" i="15"/>
  <c r="F635" i="15"/>
  <c r="RM21" i="14"/>
  <c r="RN21" i="14"/>
  <c r="RO21" i="14"/>
  <c r="VI19" i="19"/>
  <c r="VJ19" i="19"/>
  <c r="VK19" i="19"/>
  <c r="VI18" i="19"/>
  <c r="VJ18" i="19"/>
  <c r="VK18" i="19"/>
  <c r="VI17" i="19"/>
  <c r="VJ17" i="19"/>
  <c r="VK17" i="19"/>
  <c r="VI16" i="19"/>
  <c r="VJ16" i="19"/>
  <c r="VK16" i="19"/>
  <c r="VI11" i="19"/>
  <c r="VJ11" i="19"/>
  <c r="VK11" i="19"/>
  <c r="VI10" i="19"/>
  <c r="VJ10" i="19"/>
  <c r="VK10" i="19"/>
  <c r="AH620" i="17" l="1"/>
  <c r="AH621" i="17"/>
  <c r="AH622" i="17"/>
  <c r="AA620" i="17"/>
  <c r="AA621" i="17"/>
  <c r="AA622" i="17"/>
  <c r="T620" i="17"/>
  <c r="T621" i="17"/>
  <c r="T622" i="17"/>
  <c r="M620" i="17"/>
  <c r="M621" i="17"/>
  <c r="M622" i="17"/>
  <c r="F620" i="17"/>
  <c r="F621" i="17"/>
  <c r="F622" i="17"/>
  <c r="CB622" i="17"/>
  <c r="CA622" i="17"/>
  <c r="CC621" i="17"/>
  <c r="CC620" i="17"/>
  <c r="AJ632" i="15"/>
  <c r="AJ633" i="15"/>
  <c r="AJ634" i="15"/>
  <c r="AE632" i="15"/>
  <c r="AE633" i="15"/>
  <c r="AE634" i="15"/>
  <c r="Z632" i="15"/>
  <c r="Z633" i="15"/>
  <c r="Z634" i="15"/>
  <c r="T632" i="15"/>
  <c r="T633" i="15"/>
  <c r="T634" i="15"/>
  <c r="M632" i="15"/>
  <c r="M633" i="15"/>
  <c r="M634" i="15"/>
  <c r="F632" i="15"/>
  <c r="F633" i="15"/>
  <c r="F634" i="15"/>
  <c r="CJ620" i="17"/>
  <c r="CJ621" i="17"/>
  <c r="CJ622" i="17"/>
  <c r="CC619" i="17"/>
  <c r="AH619" i="17"/>
  <c r="AA619" i="17"/>
  <c r="T619" i="17"/>
  <c r="M619" i="17"/>
  <c r="F619" i="17"/>
  <c r="O4" i="20"/>
  <c r="VH16" i="19"/>
  <c r="VH17" i="19"/>
  <c r="VH18" i="19"/>
  <c r="VH19" i="19"/>
  <c r="VH10" i="19"/>
  <c r="VH11" i="19" s="1"/>
  <c r="CC622" i="17" l="1"/>
  <c r="RL21" i="14"/>
  <c r="CJ619" i="17"/>
  <c r="AJ631" i="15"/>
  <c r="AE631" i="15"/>
  <c r="Z631" i="15"/>
  <c r="T631" i="15"/>
  <c r="M631" i="15"/>
  <c r="F631" i="15"/>
  <c r="VG16" i="19"/>
  <c r="VG17" i="19"/>
  <c r="VG18" i="19"/>
  <c r="VG19" i="19"/>
  <c r="VG11" i="19"/>
  <c r="VG10" i="19"/>
  <c r="CC618" i="17"/>
  <c r="RK21" i="14" l="1"/>
  <c r="CJ618" i="17"/>
  <c r="AH618" i="17"/>
  <c r="AA618" i="17"/>
  <c r="T618" i="17"/>
  <c r="M618" i="17"/>
  <c r="F618" i="17"/>
  <c r="AJ630" i="15"/>
  <c r="AE630" i="15"/>
  <c r="Z630" i="15"/>
  <c r="T630" i="15"/>
  <c r="M630" i="15"/>
  <c r="F630" i="15"/>
  <c r="CC617" i="17"/>
  <c r="VF16" i="19"/>
  <c r="VF17" i="19"/>
  <c r="VF18" i="19"/>
  <c r="VF19" i="19"/>
  <c r="VF10" i="19"/>
  <c r="VF11" i="19" s="1"/>
  <c r="CJ617" i="17" l="1"/>
  <c r="RJ21" i="14"/>
  <c r="AH617" i="17"/>
  <c r="AA617" i="17"/>
  <c r="T617" i="17"/>
  <c r="M617" i="17"/>
  <c r="F617" i="17"/>
  <c r="AJ629" i="15"/>
  <c r="AE629" i="15"/>
  <c r="Z629" i="15"/>
  <c r="T629" i="15"/>
  <c r="F629" i="15"/>
  <c r="M629" i="15"/>
  <c r="VE10" i="19"/>
  <c r="VE11" i="19" s="1"/>
  <c r="VE19" i="19" s="1"/>
  <c r="T616" i="17"/>
  <c r="RI21" i="14"/>
  <c r="CJ616" i="17"/>
  <c r="CC616" i="17"/>
  <c r="VE18" i="19" l="1"/>
  <c r="VE17" i="19"/>
  <c r="VE16" i="19"/>
  <c r="AH616" i="17"/>
  <c r="AA616" i="17"/>
  <c r="M616" i="17"/>
  <c r="F616" i="17"/>
  <c r="Z628" i="15"/>
  <c r="AJ628" i="15"/>
  <c r="AE628" i="15"/>
  <c r="T628" i="15"/>
  <c r="M628" i="15"/>
  <c r="F628" i="15"/>
  <c r="VC19" i="11"/>
  <c r="VC4" i="11"/>
  <c r="VB10" i="19" l="1"/>
  <c r="VC10" i="19"/>
  <c r="VC11" i="19" s="1"/>
  <c r="VD10" i="19"/>
  <c r="VD11" i="19" s="1"/>
  <c r="VB11" i="19"/>
  <c r="VB16" i="19" s="1"/>
  <c r="RF21" i="14"/>
  <c r="RG21" i="14"/>
  <c r="RH21" i="14"/>
  <c r="CC613" i="17"/>
  <c r="CC614" i="17"/>
  <c r="CC615" i="17"/>
  <c r="CJ613" i="17"/>
  <c r="CJ614" i="17"/>
  <c r="CJ615" i="17"/>
  <c r="AA613" i="17"/>
  <c r="AA614" i="17"/>
  <c r="AA615" i="17"/>
  <c r="AH613" i="17"/>
  <c r="AH614" i="17"/>
  <c r="AH615" i="17"/>
  <c r="T613" i="17"/>
  <c r="T614" i="17"/>
  <c r="T615" i="17"/>
  <c r="M613" i="17"/>
  <c r="M614" i="17"/>
  <c r="M615" i="17"/>
  <c r="F613" i="17"/>
  <c r="F614" i="17"/>
  <c r="F615" i="17"/>
  <c r="AJ625" i="15"/>
  <c r="AJ626" i="15"/>
  <c r="AJ627" i="15"/>
  <c r="Z625" i="15"/>
  <c r="Z626" i="15"/>
  <c r="Z627" i="15"/>
  <c r="AE625" i="15"/>
  <c r="AE626" i="15"/>
  <c r="AE627" i="15"/>
  <c r="T625" i="15"/>
  <c r="T626" i="15"/>
  <c r="T627" i="15"/>
  <c r="M625" i="15"/>
  <c r="M626" i="15"/>
  <c r="M627" i="15"/>
  <c r="F625" i="15"/>
  <c r="F626" i="15"/>
  <c r="F627" i="15"/>
  <c r="VA10" i="19"/>
  <c r="VA11" i="19" s="1"/>
  <c r="VA16" i="19" l="1"/>
  <c r="VA17" i="19"/>
  <c r="VA19" i="19"/>
  <c r="VA18" i="19"/>
  <c r="VD18" i="19"/>
  <c r="VD17" i="19"/>
  <c r="VC16" i="19"/>
  <c r="VC18" i="19"/>
  <c r="VC19" i="19"/>
  <c r="VB18" i="19"/>
  <c r="VC17" i="19"/>
  <c r="VD19" i="19"/>
  <c r="VB17" i="19"/>
  <c r="VD16" i="19"/>
  <c r="VB19" i="19"/>
  <c r="RE21" i="14"/>
  <c r="CC612" i="17"/>
  <c r="CJ612" i="17"/>
  <c r="F612" i="17"/>
  <c r="M612" i="17"/>
  <c r="T612" i="17"/>
  <c r="AA612" i="17"/>
  <c r="AH612" i="17"/>
  <c r="F624" i="15"/>
  <c r="M624" i="15"/>
  <c r="T624" i="15"/>
  <c r="Z624" i="15"/>
  <c r="AE624" i="15"/>
  <c r="AJ624" i="15"/>
  <c r="CC611" i="17"/>
  <c r="UZ10" i="19" l="1"/>
  <c r="UZ11" i="19" s="1"/>
  <c r="AH611" i="17"/>
  <c r="AA611" i="17"/>
  <c r="T611" i="17"/>
  <c r="M611" i="17"/>
  <c r="F611" i="17"/>
  <c r="AJ623" i="15"/>
  <c r="AE623" i="15"/>
  <c r="Z623" i="15"/>
  <c r="T623" i="15"/>
  <c r="M623" i="15"/>
  <c r="F623" i="15"/>
  <c r="RD21" i="14"/>
  <c r="CJ611" i="17"/>
  <c r="UY10" i="19"/>
  <c r="UY11" i="19" s="1"/>
  <c r="UY19" i="19" s="1"/>
  <c r="UZ19" i="19" l="1"/>
  <c r="UZ18" i="19"/>
  <c r="UZ17" i="19"/>
  <c r="UZ16" i="19"/>
  <c r="UY16" i="19"/>
  <c r="UY17" i="19"/>
  <c r="UY18" i="19"/>
  <c r="CC610" i="17"/>
  <c r="AH610" i="17"/>
  <c r="AA610" i="17"/>
  <c r="T610" i="17"/>
  <c r="M610" i="17"/>
  <c r="F610" i="17"/>
  <c r="AJ622" i="15"/>
  <c r="AE622" i="15"/>
  <c r="Z622" i="15"/>
  <c r="T622" i="15"/>
  <c r="M622" i="15"/>
  <c r="F622" i="15"/>
  <c r="RC21" i="14"/>
  <c r="CJ610" i="17"/>
  <c r="UX10" i="19"/>
  <c r="UX11" i="19" s="1"/>
  <c r="UX16" i="19" l="1"/>
  <c r="UX19" i="19"/>
  <c r="UX18" i="19"/>
  <c r="UX17" i="19"/>
  <c r="CC609" i="17"/>
  <c r="AH609" i="17"/>
  <c r="AA609" i="17"/>
  <c r="T609" i="17"/>
  <c r="M609" i="17"/>
  <c r="F609" i="17"/>
  <c r="AJ621" i="15"/>
  <c r="AE621" i="15"/>
  <c r="Z621" i="15"/>
  <c r="T621" i="15"/>
  <c r="M621" i="15"/>
  <c r="F621" i="15"/>
  <c r="RB21" i="14"/>
  <c r="CJ609" i="17"/>
  <c r="UU10" i="19"/>
  <c r="UU11" i="19" s="1"/>
  <c r="UU17" i="19" s="1"/>
  <c r="UV10" i="19"/>
  <c r="UV11" i="19" s="1"/>
  <c r="UV16" i="19" s="1"/>
  <c r="UW10" i="19"/>
  <c r="UW11" i="19" s="1"/>
  <c r="UW16" i="19" l="1"/>
  <c r="UW18" i="19"/>
  <c r="UW17" i="19"/>
  <c r="UW19" i="19"/>
  <c r="UV18" i="19"/>
  <c r="UV19" i="19"/>
  <c r="UV17" i="19"/>
  <c r="UU18" i="19"/>
  <c r="UU16" i="19"/>
  <c r="UU19" i="19"/>
  <c r="CC606" i="17"/>
  <c r="CC607" i="17"/>
  <c r="CC608" i="17"/>
  <c r="AH606" i="17"/>
  <c r="AH607" i="17"/>
  <c r="AH608" i="17"/>
  <c r="AA606" i="17"/>
  <c r="AA607" i="17"/>
  <c r="AA608" i="17"/>
  <c r="T606" i="17"/>
  <c r="T607" i="17"/>
  <c r="T608" i="17"/>
  <c r="M606" i="17"/>
  <c r="M607" i="17"/>
  <c r="M608" i="17"/>
  <c r="F606" i="17"/>
  <c r="F607" i="17"/>
  <c r="F608" i="17"/>
  <c r="QY21" i="14"/>
  <c r="QZ21" i="14"/>
  <c r="RA21" i="14"/>
  <c r="CJ606" i="17"/>
  <c r="CJ607" i="17"/>
  <c r="CJ608" i="17"/>
  <c r="AJ618" i="15"/>
  <c r="AJ619" i="15"/>
  <c r="AJ620" i="15"/>
  <c r="AE618" i="15"/>
  <c r="AE619" i="15"/>
  <c r="AE620" i="15"/>
  <c r="Z618" i="15"/>
  <c r="Z619" i="15"/>
  <c r="Z620" i="15"/>
  <c r="T618" i="15"/>
  <c r="T619" i="15"/>
  <c r="T620" i="15"/>
  <c r="M618" i="15"/>
  <c r="M619" i="15"/>
  <c r="M620" i="15"/>
  <c r="F618" i="15"/>
  <c r="F619" i="15"/>
  <c r="F620" i="15"/>
  <c r="CC605" i="17"/>
  <c r="UT10" i="19"/>
  <c r="UT11" i="19" s="1"/>
  <c r="UT19" i="19" s="1"/>
  <c r="UT17" i="19" l="1"/>
  <c r="UT18" i="19"/>
  <c r="UT16" i="19"/>
  <c r="AH605" i="17"/>
  <c r="AA605" i="17"/>
  <c r="T605" i="17"/>
  <c r="M605" i="17"/>
  <c r="F605" i="17"/>
  <c r="QX21" i="14"/>
  <c r="CJ605" i="17"/>
  <c r="AJ617" i="15"/>
  <c r="Z617" i="15"/>
  <c r="AE617" i="15"/>
  <c r="T617" i="15"/>
  <c r="M617" i="15"/>
  <c r="F617" i="15"/>
  <c r="CC604" i="17"/>
  <c r="T616" i="15"/>
  <c r="US10" i="19"/>
  <c r="US11" i="19" s="1"/>
  <c r="AH604" i="17"/>
  <c r="AA604" i="17"/>
  <c r="T604" i="17"/>
  <c r="M604" i="17"/>
  <c r="F604" i="17"/>
  <c r="QW21" i="14"/>
  <c r="CJ604" i="17"/>
  <c r="US16" i="19" l="1"/>
  <c r="US17" i="19"/>
  <c r="US18" i="19"/>
  <c r="US19" i="19"/>
  <c r="AJ616" i="15"/>
  <c r="AE616" i="15"/>
  <c r="Z616" i="15"/>
  <c r="M616" i="15"/>
  <c r="F616" i="15"/>
  <c r="T615" i="15" l="1"/>
  <c r="UR10" i="19"/>
  <c r="UR11" i="19" s="1"/>
  <c r="UR16" i="19" l="1"/>
  <c r="UR17" i="19"/>
  <c r="UR18" i="19"/>
  <c r="UR19" i="19"/>
  <c r="CC603" i="17"/>
  <c r="QV21" i="14"/>
  <c r="CJ603" i="17"/>
  <c r="AH603" i="17"/>
  <c r="AA603" i="17"/>
  <c r="T603" i="17"/>
  <c r="M603" i="17"/>
  <c r="F603" i="17"/>
  <c r="AJ615" i="15"/>
  <c r="AE615" i="15"/>
  <c r="Z615" i="15"/>
  <c r="M615" i="15"/>
  <c r="F615" i="15"/>
  <c r="UQ10" i="19"/>
  <c r="UQ11" i="19" s="1"/>
  <c r="UQ16" i="19" l="1"/>
  <c r="UQ17" i="19"/>
  <c r="UQ19" i="19"/>
  <c r="UQ18" i="19"/>
  <c r="CC602" i="17"/>
  <c r="AH602" i="17"/>
  <c r="AA602" i="17"/>
  <c r="T602" i="17"/>
  <c r="M602" i="17"/>
  <c r="F602" i="17"/>
  <c r="QU21" i="14"/>
  <c r="CJ602" i="17"/>
  <c r="AJ614" i="15"/>
  <c r="AE614" i="15"/>
  <c r="Z614" i="15"/>
  <c r="T614" i="15"/>
  <c r="M614" i="15"/>
  <c r="F614" i="15"/>
  <c r="UN10" i="19"/>
  <c r="UN11" i="19" s="1"/>
  <c r="UN18" i="19" s="1"/>
  <c r="UO10" i="19"/>
  <c r="UO11" i="19" s="1"/>
  <c r="UO18" i="19" s="1"/>
  <c r="UP10" i="19"/>
  <c r="UP11" i="19" s="1"/>
  <c r="QR21" i="14"/>
  <c r="QS21" i="14"/>
  <c r="QT21" i="14"/>
  <c r="AA599" i="17"/>
  <c r="AA600" i="17"/>
  <c r="AA601" i="17"/>
  <c r="AH599" i="17"/>
  <c r="AH600" i="17"/>
  <c r="AH601" i="17"/>
  <c r="T599" i="17"/>
  <c r="T600" i="17"/>
  <c r="T601" i="17"/>
  <c r="M599" i="17"/>
  <c r="M600" i="17"/>
  <c r="M601" i="17"/>
  <c r="F599" i="17"/>
  <c r="F600" i="17"/>
  <c r="F601" i="17"/>
  <c r="CC599" i="17"/>
  <c r="CC600" i="17"/>
  <c r="CC601" i="17"/>
  <c r="UP18" i="19" l="1"/>
  <c r="UP19" i="19"/>
  <c r="UP16" i="19"/>
  <c r="UP17" i="19"/>
  <c r="UN17" i="19"/>
  <c r="UO19" i="19"/>
  <c r="UN19" i="19"/>
  <c r="UO16" i="19"/>
  <c r="UN16" i="19"/>
  <c r="UO17" i="19"/>
  <c r="CJ599" i="17"/>
  <c r="CJ600" i="17"/>
  <c r="CJ601" i="17"/>
  <c r="AJ611" i="15"/>
  <c r="AJ612" i="15"/>
  <c r="AJ613" i="15"/>
  <c r="AE611" i="15"/>
  <c r="AE612" i="15"/>
  <c r="AE613" i="15"/>
  <c r="Z611" i="15"/>
  <c r="Z612" i="15"/>
  <c r="Z613" i="15"/>
  <c r="T611" i="15"/>
  <c r="T612" i="15"/>
  <c r="T613" i="15"/>
  <c r="M611" i="15"/>
  <c r="M612" i="15"/>
  <c r="M613" i="15"/>
  <c r="F611" i="15"/>
  <c r="F612" i="15"/>
  <c r="F613" i="15"/>
  <c r="QQ21" i="14"/>
  <c r="UM10" i="19"/>
  <c r="UM11" i="19"/>
  <c r="UM16" i="19" s="1"/>
  <c r="T610" i="15"/>
  <c r="M610" i="15"/>
  <c r="F610" i="15"/>
  <c r="AJ610" i="15"/>
  <c r="AE610" i="15"/>
  <c r="Z610" i="15"/>
  <c r="CC598" i="17"/>
  <c r="AH598" i="17"/>
  <c r="AA598" i="17"/>
  <c r="T598" i="17"/>
  <c r="M598" i="17"/>
  <c r="F598" i="17"/>
  <c r="CJ598" i="17"/>
  <c r="UL10" i="19"/>
  <c r="UL11" i="19" s="1"/>
  <c r="UL18" i="19" l="1"/>
  <c r="UL19" i="19"/>
  <c r="UL17" i="19"/>
  <c r="UL16" i="19"/>
  <c r="UM18" i="19"/>
  <c r="UM19" i="19"/>
  <c r="UM17" i="19"/>
  <c r="CC597" i="17"/>
  <c r="AH597" i="17"/>
  <c r="AA597" i="17"/>
  <c r="T597" i="17"/>
  <c r="M597" i="17"/>
  <c r="F597" i="17"/>
  <c r="QP21" i="14"/>
  <c r="CJ597" i="17"/>
  <c r="AJ609" i="15"/>
  <c r="AE609" i="15"/>
  <c r="Z609" i="15"/>
  <c r="T609" i="15"/>
  <c r="M609" i="15"/>
  <c r="F609" i="15"/>
  <c r="UK10" i="19"/>
  <c r="UK11" i="19" s="1"/>
  <c r="UK16" i="19" l="1"/>
  <c r="UK18" i="19"/>
  <c r="UK19" i="19"/>
  <c r="UK17" i="19"/>
  <c r="CC596" i="17"/>
  <c r="AH596" i="17"/>
  <c r="AA596" i="17"/>
  <c r="T596" i="17"/>
  <c r="M596" i="17"/>
  <c r="F596" i="17"/>
  <c r="AJ608" i="15"/>
  <c r="AE608" i="15"/>
  <c r="Z608" i="15"/>
  <c r="T608" i="15"/>
  <c r="M608" i="15"/>
  <c r="F608" i="15"/>
  <c r="QO21" i="14"/>
  <c r="CJ596" i="17"/>
  <c r="UJ10" i="19"/>
  <c r="UJ11" i="19" s="1"/>
  <c r="UJ18" i="19" l="1"/>
  <c r="UJ19" i="19"/>
  <c r="UJ16" i="19"/>
  <c r="UJ17" i="19"/>
  <c r="CC595" i="17"/>
  <c r="AH595" i="17"/>
  <c r="AA595" i="17"/>
  <c r="T595" i="17"/>
  <c r="M595" i="17"/>
  <c r="F595" i="17"/>
  <c r="AJ607" i="15"/>
  <c r="AE607" i="15"/>
  <c r="Z607" i="15"/>
  <c r="T607" i="15"/>
  <c r="M607" i="15"/>
  <c r="F607" i="15"/>
  <c r="QN21" i="14"/>
  <c r="CJ595" i="17"/>
  <c r="AH592" i="17"/>
  <c r="AH593" i="17"/>
  <c r="AH594" i="17"/>
  <c r="AA592" i="17"/>
  <c r="AA593" i="17"/>
  <c r="AA594" i="17"/>
  <c r="T592" i="17"/>
  <c r="T593" i="17"/>
  <c r="T594" i="17"/>
  <c r="M592" i="17"/>
  <c r="M593" i="17"/>
  <c r="M594" i="17"/>
  <c r="F592" i="17"/>
  <c r="F593" i="17"/>
  <c r="F594" i="17"/>
  <c r="UG10" i="19"/>
  <c r="UG11" i="19" s="1"/>
  <c r="UH10" i="19"/>
  <c r="UH11" i="19" s="1"/>
  <c r="UI10" i="19"/>
  <c r="UI11" i="19" s="1"/>
  <c r="UH16" i="19" l="1"/>
  <c r="UH18" i="19"/>
  <c r="UH19" i="19"/>
  <c r="UH17" i="19"/>
  <c r="UI16" i="19"/>
  <c r="UI17" i="19"/>
  <c r="UI18" i="19"/>
  <c r="UI19" i="19"/>
  <c r="UG16" i="19"/>
  <c r="UG17" i="19"/>
  <c r="UG18" i="19"/>
  <c r="UG19" i="19"/>
  <c r="QK21" i="14"/>
  <c r="QL21" i="14"/>
  <c r="QM21" i="14"/>
  <c r="CC592" i="17"/>
  <c r="CC593" i="17"/>
  <c r="CC594" i="17"/>
  <c r="CJ592" i="17"/>
  <c r="CJ593" i="17"/>
  <c r="CJ594" i="17"/>
  <c r="AJ604" i="15"/>
  <c r="AJ605" i="15"/>
  <c r="AJ606" i="15"/>
  <c r="AE604" i="15"/>
  <c r="AE605" i="15"/>
  <c r="AE606" i="15"/>
  <c r="Z604" i="15"/>
  <c r="Z605" i="15"/>
  <c r="Z606" i="15"/>
  <c r="M604" i="15"/>
  <c r="M605" i="15"/>
  <c r="M606" i="15"/>
  <c r="F604" i="15"/>
  <c r="F605" i="15"/>
  <c r="F606" i="15"/>
  <c r="T604" i="15"/>
  <c r="T605" i="15"/>
  <c r="T606" i="15"/>
  <c r="UF10" i="19"/>
  <c r="UF11" i="19" s="1"/>
  <c r="QJ21" i="14"/>
  <c r="CJ591" i="17"/>
  <c r="UF17" i="19" l="1"/>
  <c r="UF18" i="19"/>
  <c r="UF19" i="19"/>
  <c r="UF16" i="19"/>
  <c r="CC591" i="17"/>
  <c r="AH591" i="17"/>
  <c r="AA591" i="17"/>
  <c r="T591" i="17"/>
  <c r="M591" i="17"/>
  <c r="F591" i="17"/>
  <c r="AJ603" i="15"/>
  <c r="AE603" i="15"/>
  <c r="Z603" i="15"/>
  <c r="T603" i="15"/>
  <c r="M603" i="15"/>
  <c r="F603" i="15"/>
  <c r="AJ602" i="15"/>
  <c r="AE602" i="15"/>
  <c r="Z602" i="15"/>
  <c r="UE10" i="19"/>
  <c r="UE11" i="19" s="1"/>
  <c r="UE16" i="19" s="1"/>
  <c r="CC590" i="17"/>
  <c r="UE19" i="19" l="1"/>
  <c r="UE17" i="19"/>
  <c r="UE18" i="19"/>
  <c r="AH590" i="17"/>
  <c r="AA590" i="17"/>
  <c r="T590" i="17"/>
  <c r="M590" i="17"/>
  <c r="F590" i="17"/>
  <c r="QI21" i="14"/>
  <c r="CJ590" i="17"/>
  <c r="T602" i="15"/>
  <c r="M602" i="15"/>
  <c r="F602" i="15"/>
  <c r="UD16" i="19"/>
  <c r="UD17" i="19"/>
  <c r="UD18" i="19"/>
  <c r="UD10" i="19"/>
  <c r="UD11" i="19" s="1"/>
  <c r="UD19" i="19" s="1"/>
  <c r="QH21" i="14" l="1"/>
  <c r="AJ601" i="15"/>
  <c r="AE601" i="15"/>
  <c r="Z601" i="15"/>
  <c r="T601" i="15"/>
  <c r="M601" i="15"/>
  <c r="F601" i="15"/>
  <c r="CC589" i="17"/>
  <c r="AH589" i="17"/>
  <c r="AA589" i="17"/>
  <c r="T589" i="17"/>
  <c r="M589" i="17"/>
  <c r="F589" i="17"/>
  <c r="CJ589" i="17"/>
  <c r="CC588" i="17" l="1"/>
  <c r="UC10" i="19"/>
  <c r="UC11" i="19" s="1"/>
  <c r="QG21" i="14"/>
  <c r="AH588" i="17"/>
  <c r="T588" i="17"/>
  <c r="AA588" i="17"/>
  <c r="F588" i="17"/>
  <c r="M588" i="17"/>
  <c r="CJ588" i="17"/>
  <c r="UC17" i="19" l="1"/>
  <c r="UC19" i="19"/>
  <c r="UC18" i="19"/>
  <c r="UC16" i="19"/>
  <c r="AJ600" i="15"/>
  <c r="AE600" i="15"/>
  <c r="Z600" i="15"/>
  <c r="T600" i="15"/>
  <c r="F600" i="15"/>
  <c r="M600" i="15"/>
  <c r="UB10" i="19"/>
  <c r="UB11" i="19" s="1"/>
  <c r="UB16" i="19" l="1"/>
  <c r="UB18" i="19"/>
  <c r="UB19" i="19"/>
  <c r="UB17" i="19"/>
  <c r="CC587" i="17"/>
  <c r="AH587" i="17"/>
  <c r="AA587" i="17"/>
  <c r="T587" i="17"/>
  <c r="M587" i="17"/>
  <c r="F587" i="17"/>
  <c r="QF21" i="14"/>
  <c r="CJ587" i="17"/>
  <c r="AJ599" i="15"/>
  <c r="AE599" i="15"/>
  <c r="Z599" i="15"/>
  <c r="T599" i="15"/>
  <c r="F599" i="15"/>
  <c r="M599" i="15"/>
  <c r="AH585" i="17"/>
  <c r="AH586" i="17"/>
  <c r="AA585" i="17"/>
  <c r="AA586" i="17"/>
  <c r="T585" i="17"/>
  <c r="T586" i="17"/>
  <c r="M585" i="17"/>
  <c r="M586" i="17"/>
  <c r="F585" i="17"/>
  <c r="F586" i="17"/>
  <c r="CC585" i="17"/>
  <c r="CC586" i="17"/>
  <c r="TZ10" i="19"/>
  <c r="TZ11" i="19" s="1"/>
  <c r="TZ17" i="19" s="1"/>
  <c r="UA10" i="19"/>
  <c r="UA11" i="19" s="1"/>
  <c r="UA17" i="19" l="1"/>
  <c r="UA18" i="19"/>
  <c r="UA16" i="19"/>
  <c r="UA19" i="19"/>
  <c r="TZ16" i="19"/>
  <c r="TZ18" i="19"/>
  <c r="TZ19" i="19"/>
  <c r="QD21" i="14"/>
  <c r="QE21" i="14"/>
  <c r="CJ585" i="17"/>
  <c r="CJ586" i="17"/>
  <c r="AJ597" i="15"/>
  <c r="AJ598" i="15"/>
  <c r="AE597" i="15"/>
  <c r="AE598" i="15"/>
  <c r="Z597" i="15"/>
  <c r="Z598" i="15"/>
  <c r="T597" i="15"/>
  <c r="T598" i="15"/>
  <c r="M597" i="15"/>
  <c r="M598" i="15"/>
  <c r="F597" i="15"/>
  <c r="F598" i="15"/>
  <c r="TY10" i="19"/>
  <c r="TY11" i="19" s="1"/>
  <c r="TY18" i="19" l="1"/>
  <c r="TY19" i="19"/>
  <c r="TY16" i="19"/>
  <c r="TY17" i="19"/>
  <c r="CC584" i="17"/>
  <c r="F584" i="17"/>
  <c r="M584" i="17"/>
  <c r="T584" i="17"/>
  <c r="AA584" i="17"/>
  <c r="AH584" i="17"/>
  <c r="AJ596" i="15"/>
  <c r="AE596" i="15"/>
  <c r="Z596" i="15"/>
  <c r="T596" i="15"/>
  <c r="M596" i="15"/>
  <c r="F596" i="15"/>
  <c r="QC21" i="14"/>
  <c r="CJ584" i="17"/>
  <c r="TX10" i="19"/>
  <c r="TX11" i="19" s="1"/>
  <c r="TX18" i="19" l="1"/>
  <c r="TX16" i="19"/>
  <c r="TX19" i="19"/>
  <c r="TX17" i="19"/>
  <c r="CC583" i="17"/>
  <c r="AH583" i="17"/>
  <c r="AA583" i="17"/>
  <c r="T583" i="17"/>
  <c r="M583" i="17"/>
  <c r="F583" i="17"/>
  <c r="AJ595" i="15"/>
  <c r="AE595" i="15"/>
  <c r="Z595" i="15"/>
  <c r="T595" i="15"/>
  <c r="M595" i="15"/>
  <c r="F595" i="15"/>
  <c r="QB21" i="14"/>
  <c r="CJ583" i="17"/>
  <c r="CC582" i="17"/>
  <c r="TW10" i="19" l="1"/>
  <c r="TW11" i="19" s="1"/>
  <c r="AH582" i="17"/>
  <c r="AA582" i="17"/>
  <c r="T582" i="17"/>
  <c r="M582" i="17"/>
  <c r="F582" i="17"/>
  <c r="AJ594" i="15"/>
  <c r="AE594" i="15"/>
  <c r="Z594" i="15"/>
  <c r="T594" i="15"/>
  <c r="M594" i="15"/>
  <c r="F594" i="15"/>
  <c r="QA21" i="14"/>
  <c r="CJ582" i="17"/>
  <c r="TU10" i="19"/>
  <c r="TU11" i="19" s="1"/>
  <c r="TV10" i="19"/>
  <c r="TV11" i="19" s="1"/>
  <c r="CC581" i="17"/>
  <c r="PZ21" i="14"/>
  <c r="PY21" i="14"/>
  <c r="TW16" i="19" l="1"/>
  <c r="TW19" i="19"/>
  <c r="TW18" i="19"/>
  <c r="TW17" i="19"/>
  <c r="TV17" i="19"/>
  <c r="TV19" i="19"/>
  <c r="TV18" i="19"/>
  <c r="TV16" i="19"/>
  <c r="TU19" i="19"/>
  <c r="TU17" i="19"/>
  <c r="TU18" i="19"/>
  <c r="TU16" i="19"/>
  <c r="CJ581" i="17"/>
  <c r="AH581" i="17"/>
  <c r="AA581" i="17"/>
  <c r="T581" i="17"/>
  <c r="M581" i="17"/>
  <c r="F581" i="17"/>
  <c r="AJ593" i="15"/>
  <c r="AE593" i="15"/>
  <c r="Z593" i="15"/>
  <c r="T593" i="15"/>
  <c r="M593" i="15"/>
  <c r="F593" i="15"/>
  <c r="CC580" i="17"/>
  <c r="CJ580" i="17" l="1"/>
  <c r="AH580" i="17"/>
  <c r="AA580" i="17"/>
  <c r="T580" i="17"/>
  <c r="M580" i="17"/>
  <c r="F580" i="17"/>
  <c r="F592" i="15" l="1"/>
  <c r="M592" i="15"/>
  <c r="T592" i="15"/>
  <c r="Z592" i="15"/>
  <c r="AE592" i="15"/>
  <c r="AJ592" i="15"/>
  <c r="CC573" i="17" l="1"/>
  <c r="CC574" i="17"/>
  <c r="CC575" i="17"/>
  <c r="CC576" i="17"/>
  <c r="CC577" i="17"/>
  <c r="CC578" i="17"/>
  <c r="CC579" i="17"/>
  <c r="TS16" i="19"/>
  <c r="TN10" i="19"/>
  <c r="TN11" i="19" s="1"/>
  <c r="TO10" i="19"/>
  <c r="TO11" i="19" s="1"/>
  <c r="TO16" i="19" s="1"/>
  <c r="TP10" i="19"/>
  <c r="TP11" i="19" s="1"/>
  <c r="TP17" i="19" s="1"/>
  <c r="TQ10" i="19"/>
  <c r="TQ11" i="19" s="1"/>
  <c r="TQ18" i="19" s="1"/>
  <c r="TR10" i="19"/>
  <c r="TR11" i="19" s="1"/>
  <c r="TR19" i="19" s="1"/>
  <c r="TS10" i="19"/>
  <c r="TS11" i="19" s="1"/>
  <c r="TS18" i="19" s="1"/>
  <c r="TT10" i="19"/>
  <c r="TT11" i="19" s="1"/>
  <c r="TT19" i="19" s="1"/>
  <c r="PR21" i="14"/>
  <c r="PS21" i="14"/>
  <c r="PT21" i="14"/>
  <c r="PU21" i="14"/>
  <c r="PV21" i="14"/>
  <c r="PW21" i="14"/>
  <c r="PX21" i="14"/>
  <c r="AH573" i="17"/>
  <c r="AH574" i="17"/>
  <c r="AH575" i="17"/>
  <c r="AH576" i="17"/>
  <c r="AH577" i="17"/>
  <c r="AH578" i="17"/>
  <c r="AH579" i="17"/>
  <c r="AA573" i="17"/>
  <c r="AA574" i="17"/>
  <c r="AA575" i="17"/>
  <c r="AA576" i="17"/>
  <c r="AA577" i="17"/>
  <c r="AA578" i="17"/>
  <c r="AA579" i="17"/>
  <c r="T573" i="17"/>
  <c r="T574" i="17"/>
  <c r="T575" i="17"/>
  <c r="T576" i="17"/>
  <c r="T577" i="17"/>
  <c r="T578" i="17"/>
  <c r="T579" i="17"/>
  <c r="M573" i="17"/>
  <c r="M574" i="17"/>
  <c r="M575" i="17"/>
  <c r="M576" i="17"/>
  <c r="M577" i="17"/>
  <c r="M578" i="17"/>
  <c r="M579" i="17"/>
  <c r="F573" i="17"/>
  <c r="F574" i="17"/>
  <c r="F575" i="17"/>
  <c r="F576" i="17"/>
  <c r="F577" i="17"/>
  <c r="F578" i="17"/>
  <c r="F579" i="17"/>
  <c r="CJ573" i="17"/>
  <c r="CJ574" i="17"/>
  <c r="CJ575" i="17"/>
  <c r="CJ576" i="17"/>
  <c r="CJ577" i="17"/>
  <c r="CJ578" i="17"/>
  <c r="CJ579" i="17"/>
  <c r="AJ585" i="15"/>
  <c r="AJ586" i="15"/>
  <c r="AJ587" i="15"/>
  <c r="AJ588" i="15"/>
  <c r="AJ589" i="15"/>
  <c r="AJ590" i="15"/>
  <c r="AJ591" i="15"/>
  <c r="AE585" i="15"/>
  <c r="AE586" i="15"/>
  <c r="AE587" i="15"/>
  <c r="AE588" i="15"/>
  <c r="AE589" i="15"/>
  <c r="AE590" i="15"/>
  <c r="AE591" i="15"/>
  <c r="Z585" i="15"/>
  <c r="Z586" i="15"/>
  <c r="Z587" i="15"/>
  <c r="Z588" i="15"/>
  <c r="Z589" i="15"/>
  <c r="Z590" i="15"/>
  <c r="Z591" i="15"/>
  <c r="F585" i="15"/>
  <c r="F586" i="15"/>
  <c r="F587" i="15"/>
  <c r="F588" i="15"/>
  <c r="F589" i="15"/>
  <c r="F590" i="15"/>
  <c r="F591" i="15"/>
  <c r="M585" i="15"/>
  <c r="M586" i="15"/>
  <c r="M587" i="15"/>
  <c r="M588" i="15"/>
  <c r="M589" i="15"/>
  <c r="M590" i="15"/>
  <c r="M591" i="15"/>
  <c r="T585" i="15"/>
  <c r="T586" i="15"/>
  <c r="T587" i="15"/>
  <c r="T588" i="15"/>
  <c r="T589" i="15"/>
  <c r="T590" i="15"/>
  <c r="T591" i="15"/>
  <c r="AH571" i="17"/>
  <c r="AH572" i="17"/>
  <c r="AA571" i="17"/>
  <c r="AA572" i="17"/>
  <c r="T571" i="17"/>
  <c r="T572" i="17"/>
  <c r="M571" i="17"/>
  <c r="M572" i="17"/>
  <c r="F571" i="17"/>
  <c r="F572" i="17"/>
  <c r="CC572" i="17"/>
  <c r="CC571" i="17"/>
  <c r="CJ571" i="17"/>
  <c r="CJ572" i="17"/>
  <c r="TL10" i="19"/>
  <c r="TL11" i="19" s="1"/>
  <c r="TM10" i="19"/>
  <c r="TM11" i="19" s="1"/>
  <c r="PP21" i="14"/>
  <c r="PQ21" i="14"/>
  <c r="T583" i="15"/>
  <c r="T584" i="15"/>
  <c r="M583" i="15"/>
  <c r="M584" i="15"/>
  <c r="AJ583" i="15"/>
  <c r="AJ584" i="15"/>
  <c r="AE583" i="15"/>
  <c r="AE584" i="15"/>
  <c r="Z584" i="15"/>
  <c r="Z583" i="15"/>
  <c r="F583" i="15"/>
  <c r="F584" i="15"/>
  <c r="TS19" i="19" l="1"/>
  <c r="TO19" i="19"/>
  <c r="TO18" i="19"/>
  <c r="TQ19" i="19"/>
  <c r="TP19" i="19"/>
  <c r="TP18" i="19"/>
  <c r="TS17" i="19"/>
  <c r="TO17" i="19"/>
  <c r="TM16" i="19"/>
  <c r="TM19" i="19"/>
  <c r="TM18" i="19"/>
  <c r="TM17" i="19"/>
  <c r="TL18" i="19"/>
  <c r="TL19" i="19"/>
  <c r="TL16" i="19"/>
  <c r="TL17" i="19"/>
  <c r="TN17" i="19"/>
  <c r="TN16" i="19"/>
  <c r="TN19" i="19"/>
  <c r="TN18" i="19"/>
  <c r="TT16" i="19"/>
  <c r="TT17" i="19"/>
  <c r="TT18" i="19"/>
  <c r="TR16" i="19"/>
  <c r="TR17" i="19"/>
  <c r="TQ16" i="19"/>
  <c r="TR18" i="19"/>
  <c r="TQ17" i="19"/>
  <c r="TP16" i="19"/>
  <c r="PN21" i="14"/>
  <c r="PO21" i="14"/>
  <c r="TI10" i="19"/>
  <c r="TI11" i="19" s="1"/>
  <c r="TJ10" i="19"/>
  <c r="TJ11" i="19" s="1"/>
  <c r="TK10" i="19"/>
  <c r="TK11" i="19" s="1"/>
  <c r="AJ582" i="15"/>
  <c r="AE582" i="15"/>
  <c r="Z582" i="15"/>
  <c r="TI17" i="19" l="1"/>
  <c r="TI18" i="19"/>
  <c r="TI19" i="19"/>
  <c r="TI16" i="19"/>
  <c r="TK18" i="19"/>
  <c r="TK16" i="19"/>
  <c r="TK17" i="19"/>
  <c r="TK19" i="19"/>
  <c r="TJ17" i="19"/>
  <c r="TJ18" i="19"/>
  <c r="TJ16" i="19"/>
  <c r="TJ19" i="19"/>
  <c r="T582" i="15"/>
  <c r="M582" i="15"/>
  <c r="F582" i="15"/>
  <c r="AH570" i="17"/>
  <c r="AA570" i="17"/>
  <c r="T570" i="17"/>
  <c r="M570" i="17"/>
  <c r="F570" i="17"/>
  <c r="CC570" i="17"/>
  <c r="CJ570" i="17"/>
  <c r="CJ569" i="17"/>
  <c r="CC569" i="17"/>
  <c r="AH569" i="17"/>
  <c r="AA569" i="17"/>
  <c r="T569" i="17"/>
  <c r="M569" i="17"/>
  <c r="F569" i="17"/>
  <c r="Z581" i="15"/>
  <c r="AE581" i="15"/>
  <c r="AJ581" i="15"/>
  <c r="F581" i="15"/>
  <c r="M581" i="15"/>
  <c r="T581" i="15"/>
  <c r="K40" i="20" l="1"/>
  <c r="O6" i="20" s="1" a="1"/>
  <c r="O6" i="20" s="1"/>
  <c r="T580" i="15"/>
  <c r="M580" i="15"/>
  <c r="F580" i="15"/>
  <c r="CC568" i="17"/>
  <c r="AH568" i="17"/>
  <c r="AA568" i="17"/>
  <c r="T568" i="17"/>
  <c r="M568" i="17"/>
  <c r="F568" i="17"/>
  <c r="AJ580" i="15" l="1"/>
  <c r="AE580" i="15"/>
  <c r="Z580" i="15"/>
  <c r="PM21" i="14"/>
  <c r="CJ568" i="17"/>
  <c r="PL21" i="14"/>
  <c r="TH10" i="19"/>
  <c r="TH11" i="19" s="1"/>
  <c r="TH16" i="19" s="1"/>
  <c r="T579" i="15"/>
  <c r="CJ567" i="17"/>
  <c r="CC567" i="17"/>
  <c r="AH567" i="17"/>
  <c r="AA567" i="17"/>
  <c r="T567" i="17"/>
  <c r="M567" i="17"/>
  <c r="F567" i="17"/>
  <c r="AJ579" i="15"/>
  <c r="AE579" i="15"/>
  <c r="Z579" i="15"/>
  <c r="M579" i="15"/>
  <c r="F579" i="15"/>
  <c r="TG10" i="19"/>
  <c r="TG11" i="19" s="1"/>
  <c r="TG16" i="19" s="1"/>
  <c r="CC566" i="17"/>
  <c r="PK21" i="14"/>
  <c r="CJ566" i="17"/>
  <c r="AH566" i="17"/>
  <c r="AA566" i="17"/>
  <c r="T566" i="17"/>
  <c r="M566" i="17"/>
  <c r="F566" i="17"/>
  <c r="TG17" i="19" l="1"/>
  <c r="TH19" i="19"/>
  <c r="TH18" i="19"/>
  <c r="TH17" i="19"/>
  <c r="TG19" i="19"/>
  <c r="TG18" i="19"/>
  <c r="T578" i="15" l="1"/>
  <c r="M578" i="15"/>
  <c r="F578" i="15"/>
  <c r="AJ578" i="15"/>
  <c r="AE578" i="15"/>
  <c r="Z578" i="15"/>
  <c r="CC564" i="17"/>
  <c r="CC565" i="17"/>
  <c r="AH564" i="17"/>
  <c r="AH565" i="17"/>
  <c r="AA564" i="17"/>
  <c r="AA565" i="17"/>
  <c r="T564" i="17"/>
  <c r="T565" i="17"/>
  <c r="M564" i="17"/>
  <c r="M565" i="17"/>
  <c r="F565" i="17"/>
  <c r="F564" i="17"/>
  <c r="AJ576" i="15"/>
  <c r="AJ577" i="15"/>
  <c r="AE576" i="15"/>
  <c r="AE577" i="15"/>
  <c r="Z576" i="15"/>
  <c r="Z577" i="15"/>
  <c r="T576" i="15"/>
  <c r="T577" i="15"/>
  <c r="M576" i="15"/>
  <c r="M577" i="15"/>
  <c r="F576" i="15"/>
  <c r="F577" i="15"/>
  <c r="TE10" i="19"/>
  <c r="TE11" i="19" s="1"/>
  <c r="TE19" i="19" s="1"/>
  <c r="TF10" i="19"/>
  <c r="TF11" i="19" s="1"/>
  <c r="TF16" i="19" s="1"/>
  <c r="TF19" i="19" l="1"/>
  <c r="TE18" i="19"/>
  <c r="TF18" i="19"/>
  <c r="TF17" i="19"/>
  <c r="TE17" i="19"/>
  <c r="TE16" i="19"/>
  <c r="PI21" i="14"/>
  <c r="PJ21" i="14"/>
  <c r="CJ564" i="17"/>
  <c r="CJ565" i="17"/>
  <c r="TC10" i="19" l="1"/>
  <c r="TC11" i="19" s="1"/>
  <c r="TC16" i="19" s="1"/>
  <c r="TD10" i="19"/>
  <c r="TD11" i="19" s="1"/>
  <c r="TD16" i="19" s="1"/>
  <c r="PG21" i="14"/>
  <c r="PH21" i="14"/>
  <c r="CC563" i="17"/>
  <c r="CC562" i="17"/>
  <c r="AH562" i="17"/>
  <c r="AH563" i="17"/>
  <c r="AA562" i="17"/>
  <c r="AA563" i="17"/>
  <c r="T562" i="17"/>
  <c r="T563" i="17"/>
  <c r="M562" i="17"/>
  <c r="M563" i="17"/>
  <c r="F562" i="17"/>
  <c r="F563" i="17"/>
  <c r="CJ562" i="17"/>
  <c r="CJ563" i="17"/>
  <c r="M575" i="15"/>
  <c r="F575" i="15"/>
  <c r="AJ574" i="15"/>
  <c r="AJ575" i="15"/>
  <c r="AE574" i="15"/>
  <c r="AE575" i="15"/>
  <c r="Z574" i="15"/>
  <c r="Z575" i="15"/>
  <c r="T575" i="15"/>
  <c r="F574" i="15"/>
  <c r="M574" i="15"/>
  <c r="T574" i="15"/>
  <c r="TB10" i="19"/>
  <c r="TB11" i="19" s="1"/>
  <c r="CC561" i="17"/>
  <c r="PF21" i="14"/>
  <c r="AH561" i="17"/>
  <c r="AA561" i="17"/>
  <c r="T561" i="17"/>
  <c r="M561" i="17"/>
  <c r="F561" i="17"/>
  <c r="CJ561" i="17"/>
  <c r="TD18" i="19" l="1"/>
  <c r="TC18" i="19"/>
  <c r="TD17" i="19"/>
  <c r="TC17" i="19"/>
  <c r="TB19" i="19"/>
  <c r="TB17" i="19"/>
  <c r="TD19" i="19"/>
  <c r="TC19" i="19"/>
  <c r="TB16" i="19"/>
  <c r="TB18" i="19"/>
  <c r="AJ573" i="15"/>
  <c r="AE573" i="15"/>
  <c r="Z573" i="15"/>
  <c r="T573" i="15"/>
  <c r="M573" i="15"/>
  <c r="F573" i="15"/>
  <c r="PE21" i="14"/>
  <c r="TA10" i="19"/>
  <c r="TA11" i="19" s="1"/>
  <c r="TA16" i="19" s="1"/>
  <c r="AJ572" i="15"/>
  <c r="AE572" i="15"/>
  <c r="Z572" i="15"/>
  <c r="CC560" i="17"/>
  <c r="T572" i="15"/>
  <c r="M572" i="15"/>
  <c r="F572" i="15"/>
  <c r="AH560" i="17"/>
  <c r="AA560" i="17"/>
  <c r="T560" i="17"/>
  <c r="M560" i="17"/>
  <c r="F560" i="17"/>
  <c r="CJ560" i="17"/>
  <c r="AJ569" i="15"/>
  <c r="AJ570" i="15"/>
  <c r="AJ571" i="15"/>
  <c r="AE569" i="15"/>
  <c r="AE570" i="15"/>
  <c r="AE571" i="15"/>
  <c r="Z569" i="15"/>
  <c r="Z570" i="15"/>
  <c r="Z571" i="15"/>
  <c r="SX10" i="19"/>
  <c r="SX11" i="19" s="1"/>
  <c r="SX19" i="19" s="1"/>
  <c r="SY10" i="19"/>
  <c r="SY11" i="19" s="1"/>
  <c r="SY19" i="19" s="1"/>
  <c r="SZ10" i="19"/>
  <c r="SZ11" i="19" s="1"/>
  <c r="SZ18" i="19" s="1"/>
  <c r="T569" i="15"/>
  <c r="T570" i="15"/>
  <c r="T571" i="15"/>
  <c r="M569" i="15"/>
  <c r="M570" i="15"/>
  <c r="M571" i="15"/>
  <c r="F569" i="15"/>
  <c r="F570" i="15"/>
  <c r="F571" i="15"/>
  <c r="CC557" i="17"/>
  <c r="CC558" i="17"/>
  <c r="CC559" i="17"/>
  <c r="PB21" i="14"/>
  <c r="PC21" i="14"/>
  <c r="PD21" i="14"/>
  <c r="CJ557" i="17"/>
  <c r="CJ558" i="17"/>
  <c r="CJ559" i="17"/>
  <c r="AA557" i="17"/>
  <c r="AA558" i="17"/>
  <c r="AA559" i="17"/>
  <c r="F557" i="17"/>
  <c r="F558" i="17"/>
  <c r="F559" i="17"/>
  <c r="M557" i="17"/>
  <c r="M558" i="17"/>
  <c r="M559" i="17"/>
  <c r="T557" i="17"/>
  <c r="T558" i="17"/>
  <c r="T559" i="17"/>
  <c r="AH557" i="17"/>
  <c r="AH558" i="17"/>
  <c r="AH559" i="17"/>
  <c r="SZ19" i="19" l="1"/>
  <c r="SZ17" i="19"/>
  <c r="SY18" i="19"/>
  <c r="SY17" i="19"/>
  <c r="SX17" i="19"/>
  <c r="SX16" i="19"/>
  <c r="SZ16" i="19"/>
  <c r="SY16" i="19"/>
  <c r="TA19" i="19"/>
  <c r="TA18" i="19"/>
  <c r="TA17" i="19"/>
  <c r="SV10" i="19"/>
  <c r="SV11" i="19" s="1"/>
  <c r="SW10" i="19"/>
  <c r="SW11" i="19" s="1"/>
  <c r="SW17" i="19" s="1"/>
  <c r="CC555" i="17"/>
  <c r="CC556" i="17"/>
  <c r="SW16" i="19" l="1"/>
  <c r="SV16" i="19"/>
  <c r="SV17" i="19"/>
  <c r="SV18" i="19"/>
  <c r="SV19" i="19"/>
  <c r="SW19" i="19"/>
  <c r="SW18" i="19"/>
  <c r="OZ21" i="14"/>
  <c r="PA21" i="14"/>
  <c r="AH555" i="17"/>
  <c r="AH556" i="17"/>
  <c r="AA555" i="17"/>
  <c r="AA556" i="17"/>
  <c r="T555" i="17"/>
  <c r="T556" i="17"/>
  <c r="M555" i="17"/>
  <c r="M556" i="17"/>
  <c r="F555" i="17"/>
  <c r="F556" i="17"/>
  <c r="CJ555" i="17"/>
  <c r="CJ556" i="17"/>
  <c r="AJ567" i="15"/>
  <c r="AJ568" i="15"/>
  <c r="AE567" i="15"/>
  <c r="AE568" i="15"/>
  <c r="Z567" i="15"/>
  <c r="Z568" i="15"/>
  <c r="T567" i="15"/>
  <c r="T568" i="15"/>
  <c r="F567" i="15"/>
  <c r="F568" i="15"/>
  <c r="M567" i="15"/>
  <c r="M568" i="15"/>
  <c r="CC554" i="17"/>
  <c r="SU10" i="19"/>
  <c r="SU11" i="19" s="1"/>
  <c r="SU19" i="19" l="1"/>
  <c r="SU16" i="19"/>
  <c r="SU17" i="19"/>
  <c r="SU18" i="19"/>
  <c r="OY21" i="14"/>
  <c r="AH554" i="17"/>
  <c r="T554" i="17"/>
  <c r="AA554" i="17"/>
  <c r="M554" i="17"/>
  <c r="F554" i="17"/>
  <c r="CJ554" i="17"/>
  <c r="AJ566" i="15"/>
  <c r="Z566" i="15"/>
  <c r="AE566" i="15"/>
  <c r="T566" i="15"/>
  <c r="M566" i="15"/>
  <c r="F566" i="15"/>
  <c r="OX21" i="14"/>
  <c r="ST10" i="19"/>
  <c r="ST11" i="19" s="1"/>
  <c r="ST16" i="19" s="1"/>
  <c r="ST17" i="19" l="1"/>
  <c r="ST19" i="19"/>
  <c r="ST18" i="19"/>
  <c r="AJ565" i="15"/>
  <c r="AE565" i="15"/>
  <c r="Z565" i="15"/>
  <c r="CC553" i="17"/>
  <c r="T565" i="15"/>
  <c r="M565" i="15"/>
  <c r="F565" i="15"/>
  <c r="AH553" i="17"/>
  <c r="AA553" i="17"/>
  <c r="T553" i="17"/>
  <c r="M553" i="17"/>
  <c r="F553" i="17"/>
  <c r="CJ553" i="17"/>
  <c r="SS10" i="19"/>
  <c r="SS11" i="19" s="1"/>
  <c r="CC552" i="17"/>
  <c r="AH552" i="17"/>
  <c r="OW21" i="14"/>
  <c r="SS16" i="19" l="1"/>
  <c r="SS17" i="19"/>
  <c r="SS19" i="19"/>
  <c r="SS18" i="19"/>
  <c r="CJ552" i="17"/>
  <c r="F552" i="17"/>
  <c r="M552" i="17"/>
  <c r="T552" i="17"/>
  <c r="AA552" i="17"/>
  <c r="T564" i="15"/>
  <c r="F564" i="15"/>
  <c r="M564" i="15"/>
  <c r="AJ564" i="15"/>
  <c r="AE564" i="15"/>
  <c r="Z564" i="15"/>
  <c r="CC550" i="17"/>
  <c r="CC551" i="17"/>
  <c r="AH550" i="17"/>
  <c r="AH551" i="17"/>
  <c r="AA550" i="17"/>
  <c r="AA551" i="17"/>
  <c r="T550" i="17"/>
  <c r="T551" i="17"/>
  <c r="M550" i="17"/>
  <c r="M551" i="17"/>
  <c r="F551" i="17"/>
  <c r="CJ550" i="17"/>
  <c r="CJ551" i="17"/>
  <c r="F550" i="17"/>
  <c r="SQ10" i="19"/>
  <c r="SQ11" i="19" s="1"/>
  <c r="SR10" i="19"/>
  <c r="SR11" i="19" s="1"/>
  <c r="T562" i="15"/>
  <c r="T563" i="15"/>
  <c r="M562" i="15"/>
  <c r="M563" i="15"/>
  <c r="F563" i="15"/>
  <c r="AJ562" i="15"/>
  <c r="AJ563" i="15"/>
  <c r="AE562" i="15"/>
  <c r="AE563" i="15"/>
  <c r="Z562" i="15"/>
  <c r="Z563" i="15"/>
  <c r="F562" i="15"/>
  <c r="SR16" i="19" l="1"/>
  <c r="SR18" i="19"/>
  <c r="SR17" i="19"/>
  <c r="SR19" i="19"/>
  <c r="SQ16" i="19"/>
  <c r="SQ19" i="19"/>
  <c r="SQ17" i="19"/>
  <c r="SQ18" i="19"/>
  <c r="OU21" i="14" l="1"/>
  <c r="OV21" i="14"/>
  <c r="SP10" i="19"/>
  <c r="SP11" i="19" s="1"/>
  <c r="SP19" i="19" l="1"/>
  <c r="SP17" i="19"/>
  <c r="SP18" i="19"/>
  <c r="SP16" i="19"/>
  <c r="OT21" i="14"/>
  <c r="CC549" i="17"/>
  <c r="CJ549" i="17"/>
  <c r="AH549" i="17"/>
  <c r="AA549" i="17"/>
  <c r="T549" i="17"/>
  <c r="M549" i="17"/>
  <c r="F549" i="17"/>
  <c r="AJ561" i="15"/>
  <c r="AE561" i="15"/>
  <c r="Z561" i="15"/>
  <c r="T561" i="15"/>
  <c r="M561" i="15"/>
  <c r="F561" i="15"/>
  <c r="SO10" i="19"/>
  <c r="SO11" i="19" s="1"/>
  <c r="CC548" i="17"/>
  <c r="SO19" i="19" l="1"/>
  <c r="SO16" i="19"/>
  <c r="SO18" i="19"/>
  <c r="SO17" i="19"/>
  <c r="OS21" i="14"/>
  <c r="CJ548" i="17"/>
  <c r="AH548" i="17"/>
  <c r="AA548" i="17"/>
  <c r="T548" i="17"/>
  <c r="M548" i="17"/>
  <c r="F548" i="17"/>
  <c r="T560" i="15"/>
  <c r="M560" i="15"/>
  <c r="F560" i="15"/>
  <c r="Z560" i="15"/>
  <c r="AE560" i="15"/>
  <c r="AJ560" i="15"/>
  <c r="SN10" i="19"/>
  <c r="SN11" i="19" s="1"/>
  <c r="SN18" i="19" s="1"/>
  <c r="CC547" i="17"/>
  <c r="SN16" i="19" l="1"/>
  <c r="SN17" i="19"/>
  <c r="SN19" i="19"/>
  <c r="OR21" i="14"/>
  <c r="CJ547" i="17"/>
  <c r="AH547" i="17"/>
  <c r="AA547" i="17"/>
  <c r="T547" i="17"/>
  <c r="M547" i="17"/>
  <c r="F547" i="17"/>
  <c r="AJ559" i="15"/>
  <c r="AE559" i="15"/>
  <c r="Z559" i="15"/>
  <c r="T559" i="15"/>
  <c r="M559" i="15"/>
  <c r="F559" i="15"/>
  <c r="SM10" i="19"/>
  <c r="SM11" i="19" s="1"/>
  <c r="SM18" i="19" l="1"/>
  <c r="SM17" i="19"/>
  <c r="SM16" i="19"/>
  <c r="SM19" i="19"/>
  <c r="CC546" i="17"/>
  <c r="AH546" i="17"/>
  <c r="AA546" i="17"/>
  <c r="T546" i="17"/>
  <c r="M546" i="17"/>
  <c r="F546" i="17"/>
  <c r="OQ21" i="14"/>
  <c r="CJ546" i="17"/>
  <c r="AJ558" i="15"/>
  <c r="AE558" i="15"/>
  <c r="Z558" i="15"/>
  <c r="T558" i="15"/>
  <c r="M558" i="15"/>
  <c r="F558" i="15"/>
  <c r="SL10" i="19"/>
  <c r="SL11" i="19" s="1"/>
  <c r="SL19" i="19" s="1"/>
  <c r="SK10" i="19"/>
  <c r="SK11" i="19" s="1"/>
  <c r="SK16" i="19" s="1"/>
  <c r="SJ10" i="19"/>
  <c r="SJ11" i="19" s="1"/>
  <c r="SJ18" i="19" s="1"/>
  <c r="OK21" i="14"/>
  <c r="OL21" i="14"/>
  <c r="OM21" i="14"/>
  <c r="ON21" i="14"/>
  <c r="OO21" i="14"/>
  <c r="OP21" i="14"/>
  <c r="CC543" i="17"/>
  <c r="CC544" i="17"/>
  <c r="CC545" i="17"/>
  <c r="AH543" i="17"/>
  <c r="AH544" i="17"/>
  <c r="AH545" i="17"/>
  <c r="AA543" i="17"/>
  <c r="AA544" i="17"/>
  <c r="AA545" i="17"/>
  <c r="T543" i="17"/>
  <c r="T544" i="17"/>
  <c r="T545" i="17"/>
  <c r="M543" i="17"/>
  <c r="M544" i="17"/>
  <c r="M545" i="17"/>
  <c r="F543" i="17"/>
  <c r="F544" i="17"/>
  <c r="F545" i="17"/>
  <c r="CJ543" i="17"/>
  <c r="CJ544" i="17"/>
  <c r="CJ545" i="17"/>
  <c r="T555" i="15"/>
  <c r="T556" i="15"/>
  <c r="T557" i="15"/>
  <c r="M555" i="15"/>
  <c r="M556" i="15"/>
  <c r="M557" i="15"/>
  <c r="F555" i="15"/>
  <c r="F556" i="15"/>
  <c r="F557" i="15"/>
  <c r="AJ555" i="15"/>
  <c r="AJ556" i="15"/>
  <c r="AJ557" i="15"/>
  <c r="AE555" i="15"/>
  <c r="AE556" i="15"/>
  <c r="AE557" i="15"/>
  <c r="Z555" i="15"/>
  <c r="Z556" i="15"/>
  <c r="Z557" i="15"/>
  <c r="SJ19" i="19" l="1"/>
  <c r="SJ17" i="19"/>
  <c r="SJ16" i="19"/>
  <c r="SL17" i="19"/>
  <c r="SL16" i="19"/>
  <c r="SL18" i="19"/>
  <c r="SK19" i="19"/>
  <c r="SK18" i="19"/>
  <c r="SK17" i="19"/>
  <c r="AJ546" i="15"/>
  <c r="AJ547" i="15"/>
  <c r="AJ548" i="15"/>
  <c r="AJ549" i="15"/>
  <c r="AJ550" i="15"/>
  <c r="AJ551" i="15"/>
  <c r="AJ552" i="15"/>
  <c r="AJ553" i="15"/>
  <c r="AJ554" i="15"/>
  <c r="AE546" i="15"/>
  <c r="AE547" i="15"/>
  <c r="AE548" i="15"/>
  <c r="AE549" i="15"/>
  <c r="AE550" i="15"/>
  <c r="AE551" i="15"/>
  <c r="AE552" i="15"/>
  <c r="AE553" i="15"/>
  <c r="AE554" i="15"/>
  <c r="Z546" i="15"/>
  <c r="Z547" i="15"/>
  <c r="Z548" i="15"/>
  <c r="Z549" i="15"/>
  <c r="Z550" i="15"/>
  <c r="Z551" i="15"/>
  <c r="Z552" i="15"/>
  <c r="Z553" i="15"/>
  <c r="Z554" i="15"/>
  <c r="T546" i="15"/>
  <c r="T547" i="15"/>
  <c r="T548" i="15"/>
  <c r="T549" i="15"/>
  <c r="T550" i="15"/>
  <c r="T551" i="15"/>
  <c r="T552" i="15"/>
  <c r="T553" i="15"/>
  <c r="T554" i="15"/>
  <c r="M546" i="15"/>
  <c r="M547" i="15"/>
  <c r="M548" i="15"/>
  <c r="M549" i="15"/>
  <c r="M550" i="15"/>
  <c r="M551" i="15"/>
  <c r="M552" i="15"/>
  <c r="M553" i="15"/>
  <c r="M554" i="15"/>
  <c r="F546" i="15"/>
  <c r="F547" i="15"/>
  <c r="F548" i="15"/>
  <c r="F549" i="15"/>
  <c r="F550" i="15"/>
  <c r="F551" i="15"/>
  <c r="F552" i="15"/>
  <c r="F553" i="15"/>
  <c r="F554" i="15"/>
  <c r="SA10" i="19"/>
  <c r="SA11" i="19" s="1"/>
  <c r="SB10" i="19"/>
  <c r="SB11" i="19" s="1"/>
  <c r="SC10" i="19"/>
  <c r="SC11" i="19" s="1"/>
  <c r="SD10" i="19"/>
  <c r="SD11" i="19" s="1"/>
  <c r="SE10" i="19"/>
  <c r="SE11" i="19" s="1"/>
  <c r="SE16" i="19" s="1"/>
  <c r="SF10" i="19"/>
  <c r="SF11" i="19" s="1"/>
  <c r="SG10" i="19"/>
  <c r="SG11" i="19" s="1"/>
  <c r="SH10" i="19"/>
  <c r="SH11" i="19" s="1"/>
  <c r="SH16" i="19" s="1"/>
  <c r="SI10" i="19"/>
  <c r="SI11" i="19" s="1"/>
  <c r="SD17" i="19" l="1"/>
  <c r="SD18" i="19"/>
  <c r="SD19" i="19"/>
  <c r="SD16" i="19"/>
  <c r="SC18" i="19"/>
  <c r="SC19" i="19"/>
  <c r="SC17" i="19"/>
  <c r="SC16" i="19"/>
  <c r="SA16" i="19"/>
  <c r="SA17" i="19"/>
  <c r="SA18" i="19"/>
  <c r="SA19" i="19"/>
  <c r="SB19" i="19"/>
  <c r="SB17" i="19"/>
  <c r="SB18" i="19"/>
  <c r="SB16" i="19"/>
  <c r="SI16" i="19"/>
  <c r="SI19" i="19"/>
  <c r="SI18" i="19"/>
  <c r="SI17" i="19"/>
  <c r="SG17" i="19"/>
  <c r="SG18" i="19"/>
  <c r="SG16" i="19"/>
  <c r="SG19" i="19"/>
  <c r="SF18" i="19"/>
  <c r="SF16" i="19"/>
  <c r="SF17" i="19"/>
  <c r="SF19" i="19"/>
  <c r="SH19" i="19"/>
  <c r="SH18" i="19"/>
  <c r="SH17" i="19"/>
  <c r="SE19" i="19"/>
  <c r="SE17" i="19"/>
  <c r="SE18" i="19"/>
  <c r="CC534" i="17"/>
  <c r="CC535" i="17"/>
  <c r="CC536" i="17"/>
  <c r="CC537" i="17"/>
  <c r="CC538" i="17"/>
  <c r="CC539" i="17"/>
  <c r="CC540" i="17"/>
  <c r="CC541" i="17"/>
  <c r="CC542" i="17"/>
  <c r="CJ534" i="17"/>
  <c r="CJ535" i="17"/>
  <c r="CJ536" i="17"/>
  <c r="CJ537" i="17"/>
  <c r="CJ538" i="17"/>
  <c r="CJ539" i="17"/>
  <c r="CJ540" i="17"/>
  <c r="CJ541" i="17"/>
  <c r="CJ542" i="17"/>
  <c r="AA534" i="17"/>
  <c r="AA535" i="17"/>
  <c r="AA536" i="17"/>
  <c r="AA537" i="17"/>
  <c r="AA538" i="17"/>
  <c r="AA539" i="17"/>
  <c r="AA540" i="17"/>
  <c r="AA541" i="17"/>
  <c r="AA542" i="17"/>
  <c r="T534" i="17"/>
  <c r="T535" i="17"/>
  <c r="T536" i="17"/>
  <c r="T537" i="17"/>
  <c r="T538" i="17"/>
  <c r="T539" i="17"/>
  <c r="T540" i="17"/>
  <c r="T541" i="17"/>
  <c r="T542" i="17"/>
  <c r="AH534" i="17"/>
  <c r="AH535" i="17"/>
  <c r="AH536" i="17"/>
  <c r="AH537" i="17"/>
  <c r="AH538" i="17"/>
  <c r="AH539" i="17"/>
  <c r="AH540" i="17"/>
  <c r="AH541" i="17"/>
  <c r="AH542" i="17"/>
  <c r="M534" i="17"/>
  <c r="M535" i="17"/>
  <c r="M536" i="17"/>
  <c r="M537" i="17"/>
  <c r="M538" i="17"/>
  <c r="M539" i="17"/>
  <c r="M540" i="17"/>
  <c r="M541" i="17"/>
  <c r="M542" i="17"/>
  <c r="F534" i="17"/>
  <c r="F535" i="17"/>
  <c r="F536" i="17"/>
  <c r="F537" i="17"/>
  <c r="F538" i="17"/>
  <c r="F539" i="17"/>
  <c r="F540" i="17"/>
  <c r="F541" i="17"/>
  <c r="F542" i="17"/>
  <c r="RZ10" i="19" l="1"/>
  <c r="RZ11" i="19" s="1"/>
  <c r="RZ19" i="19" l="1"/>
  <c r="RZ18" i="19"/>
  <c r="RZ17" i="19"/>
  <c r="RZ16" i="19"/>
  <c r="OD21" i="14"/>
  <c r="CC533" i="17"/>
  <c r="CJ533" i="17"/>
  <c r="F533" i="17"/>
  <c r="M533" i="17"/>
  <c r="T533" i="17"/>
  <c r="AA533" i="17"/>
  <c r="AH533" i="17"/>
  <c r="AJ545" i="15"/>
  <c r="AE545" i="15"/>
  <c r="Z545" i="15"/>
  <c r="T545" i="15"/>
  <c r="M545" i="15"/>
  <c r="F545" i="15"/>
  <c r="RY10" i="19"/>
  <c r="RY11" i="19" s="1"/>
  <c r="RY19" i="19" s="1"/>
  <c r="RY16" i="19" l="1"/>
  <c r="RY17" i="19"/>
  <c r="RY18" i="19"/>
  <c r="CC532" i="17"/>
  <c r="AH532" i="17"/>
  <c r="AA532" i="17"/>
  <c r="T532" i="17"/>
  <c r="M532" i="17"/>
  <c r="F532" i="17"/>
  <c r="Z544" i="15"/>
  <c r="AE544" i="15"/>
  <c r="AJ544" i="15"/>
  <c r="T544" i="15"/>
  <c r="M544" i="15"/>
  <c r="F544" i="15"/>
  <c r="OC21" i="14" l="1"/>
  <c r="CJ532" i="17"/>
  <c r="RV10" i="19"/>
  <c r="RV11" i="19" s="1"/>
  <c r="RV17" i="19" s="1"/>
  <c r="RW10" i="19"/>
  <c r="RW11" i="19" s="1"/>
  <c r="RW17" i="19" s="1"/>
  <c r="RX10" i="19"/>
  <c r="RX11" i="19" s="1"/>
  <c r="CC529" i="17"/>
  <c r="CC530" i="17"/>
  <c r="CC531" i="17"/>
  <c r="RX17" i="19" l="1"/>
  <c r="RX19" i="19"/>
  <c r="RX18" i="19"/>
  <c r="RX16" i="19"/>
  <c r="RW19" i="19"/>
  <c r="RW16" i="19"/>
  <c r="RW18" i="19"/>
  <c r="RV18" i="19"/>
  <c r="RV16" i="19"/>
  <c r="RV19" i="19"/>
  <c r="NZ21" i="14"/>
  <c r="OA21" i="14"/>
  <c r="OB21" i="14"/>
  <c r="AH529" i="17"/>
  <c r="AH530" i="17"/>
  <c r="AH531" i="17"/>
  <c r="AA529" i="17"/>
  <c r="AA530" i="17"/>
  <c r="AA531" i="17"/>
  <c r="T529" i="17"/>
  <c r="T530" i="17"/>
  <c r="T531" i="17"/>
  <c r="M529" i="17"/>
  <c r="M530" i="17"/>
  <c r="M531" i="17"/>
  <c r="F529" i="17"/>
  <c r="F530" i="17"/>
  <c r="F531" i="17"/>
  <c r="AJ541" i="15"/>
  <c r="AJ542" i="15"/>
  <c r="AJ543" i="15"/>
  <c r="AE541" i="15"/>
  <c r="AE542" i="15"/>
  <c r="AE543" i="15"/>
  <c r="Z541" i="15"/>
  <c r="Z542" i="15"/>
  <c r="Z543" i="15"/>
  <c r="T541" i="15"/>
  <c r="T542" i="15"/>
  <c r="T543" i="15"/>
  <c r="M541" i="15"/>
  <c r="M542" i="15"/>
  <c r="M543" i="15"/>
  <c r="F543" i="15"/>
  <c r="F541" i="15"/>
  <c r="F542" i="15"/>
  <c r="CJ529" i="17"/>
  <c r="CJ530" i="17"/>
  <c r="CJ531" i="17"/>
  <c r="CI523" i="17"/>
  <c r="AA524" i="17"/>
  <c r="AA525" i="17"/>
  <c r="T524" i="17"/>
  <c r="T525" i="17"/>
  <c r="M524" i="17"/>
  <c r="M525" i="17"/>
  <c r="M526" i="17"/>
  <c r="M527" i="17"/>
  <c r="F524" i="17"/>
  <c r="RU10" i="19"/>
  <c r="RU11" i="19" s="1"/>
  <c r="RU18" i="19" s="1"/>
  <c r="RU16" i="19" l="1"/>
  <c r="RU17" i="19"/>
  <c r="RU19" i="19"/>
  <c r="CC528" i="17"/>
  <c r="AH528" i="17"/>
  <c r="AA528" i="17"/>
  <c r="T528" i="17"/>
  <c r="M528" i="17"/>
  <c r="F528" i="17"/>
  <c r="AJ540" i="15"/>
  <c r="AE540" i="15"/>
  <c r="Z540" i="15"/>
  <c r="F540" i="15"/>
  <c r="T540" i="15"/>
  <c r="M540" i="15"/>
  <c r="NY21" i="14"/>
  <c r="CJ528" i="17"/>
  <c r="AH527" i="17" l="1"/>
  <c r="AA527" i="17"/>
  <c r="T527" i="17"/>
  <c r="F527" i="17"/>
  <c r="NX21" i="14"/>
  <c r="RT10" i="19"/>
  <c r="RT11" i="19" s="1"/>
  <c r="CC527" i="17"/>
  <c r="CJ527" i="17"/>
  <c r="F539" i="15"/>
  <c r="M539" i="15"/>
  <c r="T539" i="15"/>
  <c r="AJ539" i="15"/>
  <c r="AE539" i="15"/>
  <c r="Z539" i="15"/>
  <c r="RT16" i="19" l="1"/>
  <c r="RT19" i="19"/>
  <c r="RT18" i="19"/>
  <c r="RT17" i="19"/>
  <c r="AH521" i="17"/>
  <c r="AH522" i="17"/>
  <c r="AH523" i="17"/>
  <c r="AH524" i="17"/>
  <c r="AH525" i="17"/>
  <c r="AH526" i="17"/>
  <c r="F523" i="17"/>
  <c r="F525" i="17"/>
  <c r="F526" i="17"/>
  <c r="E525" i="16"/>
  <c r="CC526" i="17" l="1"/>
  <c r="AA521" i="17"/>
  <c r="AA522" i="17"/>
  <c r="AA523" i="17"/>
  <c r="AA526" i="17"/>
  <c r="T521" i="17"/>
  <c r="T522" i="17"/>
  <c r="T523" i="17"/>
  <c r="T526" i="17"/>
  <c r="M523" i="17"/>
  <c r="CJ526" i="17"/>
  <c r="RN10" i="19"/>
  <c r="RN11" i="19" s="1"/>
  <c r="RN16" i="19" s="1"/>
  <c r="RO10" i="19"/>
  <c r="RO11" i="19" s="1"/>
  <c r="RP10" i="19"/>
  <c r="RP11" i="19" s="1"/>
  <c r="RQ10" i="19"/>
  <c r="RQ11" i="19" s="1"/>
  <c r="RQ19" i="19" s="1"/>
  <c r="RR10" i="19"/>
  <c r="RR11" i="19" s="1"/>
  <c r="RR19" i="19" s="1"/>
  <c r="RS10" i="19"/>
  <c r="RS11" i="19" s="1"/>
  <c r="NW21" i="14"/>
  <c r="AJ538" i="15"/>
  <c r="AE538" i="15"/>
  <c r="Z538" i="15"/>
  <c r="T538" i="15"/>
  <c r="M538" i="15"/>
  <c r="F538" i="15"/>
  <c r="CJ523" i="17"/>
  <c r="CJ524" i="17"/>
  <c r="CJ525" i="17"/>
  <c r="NR21" i="14"/>
  <c r="NS21" i="14"/>
  <c r="NT21" i="14"/>
  <c r="NT20" i="14"/>
  <c r="NU19" i="14"/>
  <c r="NU21" i="14" s="1"/>
  <c r="NU17" i="14"/>
  <c r="NU20" i="14" s="1"/>
  <c r="NV21" i="14"/>
  <c r="CJ521" i="17"/>
  <c r="CJ522" i="17"/>
  <c r="CC525" i="17"/>
  <c r="M521" i="17"/>
  <c r="M522" i="17"/>
  <c r="F521" i="17"/>
  <c r="F522" i="17"/>
  <c r="T537" i="15"/>
  <c r="M537" i="15"/>
  <c r="F537" i="15"/>
  <c r="AJ537" i="15"/>
  <c r="AE537" i="15"/>
  <c r="Z537" i="15"/>
  <c r="CC524" i="17"/>
  <c r="CC521" i="17"/>
  <c r="CC522" i="17"/>
  <c r="CC523" i="17"/>
  <c r="RP18" i="19" l="1"/>
  <c r="RP19" i="19"/>
  <c r="RO18" i="19"/>
  <c r="RO19" i="19"/>
  <c r="RN19" i="19"/>
  <c r="RN18" i="19"/>
  <c r="RS16" i="19"/>
  <c r="RS19" i="19"/>
  <c r="RS18" i="19"/>
  <c r="RS17" i="19"/>
  <c r="RR16" i="19"/>
  <c r="RP16" i="19"/>
  <c r="RO17" i="19"/>
  <c r="RO16" i="19"/>
  <c r="RR18" i="19"/>
  <c r="RP17" i="19"/>
  <c r="RN17" i="19"/>
  <c r="RQ16" i="19"/>
  <c r="RR17" i="19"/>
  <c r="RQ17" i="19"/>
  <c r="RQ18" i="19"/>
  <c r="AJ533" i="15"/>
  <c r="AJ534" i="15"/>
  <c r="AJ535" i="15"/>
  <c r="AJ536" i="15"/>
  <c r="AE533" i="15"/>
  <c r="AE534" i="15"/>
  <c r="AE535" i="15"/>
  <c r="AE536" i="15"/>
  <c r="Z533" i="15"/>
  <c r="Z534" i="15"/>
  <c r="Z535" i="15"/>
  <c r="Z536" i="15"/>
  <c r="T533" i="15"/>
  <c r="T534" i="15"/>
  <c r="T535" i="15"/>
  <c r="T536" i="15"/>
  <c r="M533" i="15"/>
  <c r="M534" i="15"/>
  <c r="M535" i="15"/>
  <c r="M536" i="15"/>
  <c r="F533" i="15"/>
  <c r="F534" i="15"/>
  <c r="F535" i="15"/>
  <c r="F536" i="15"/>
  <c r="M532" i="15"/>
  <c r="CC520" i="17"/>
  <c r="RM10" i="19"/>
  <c r="RM11" i="19" s="1"/>
  <c r="RM16" i="19" l="1"/>
  <c r="RM17" i="19"/>
  <c r="RM18" i="19"/>
  <c r="RM19" i="19"/>
  <c r="NQ21" i="14"/>
  <c r="AH520" i="17"/>
  <c r="AA520" i="17"/>
  <c r="T520" i="17"/>
  <c r="M520" i="17"/>
  <c r="F520" i="17"/>
  <c r="CJ520" i="17"/>
  <c r="AJ532" i="15"/>
  <c r="AE532" i="15"/>
  <c r="Z532" i="15"/>
  <c r="T532" i="15"/>
  <c r="F532" i="15"/>
  <c r="RL10" i="19"/>
  <c r="RL11" i="19" s="1"/>
  <c r="AJ531" i="15"/>
  <c r="AE531" i="15"/>
  <c r="Z531" i="15"/>
  <c r="T531" i="15"/>
  <c r="F531" i="15"/>
  <c r="M531" i="15"/>
  <c r="NP21" i="14"/>
  <c r="CJ519" i="17"/>
  <c r="CC519" i="17"/>
  <c r="AH519" i="17"/>
  <c r="AA519" i="17"/>
  <c r="T519" i="17"/>
  <c r="M519" i="17"/>
  <c r="F519" i="17"/>
  <c r="RK10" i="19"/>
  <c r="RK11" i="19" s="1"/>
  <c r="RK16" i="19" l="1"/>
  <c r="RK17" i="19"/>
  <c r="RK19" i="19"/>
  <c r="RK18" i="19"/>
  <c r="RL16" i="19"/>
  <c r="RL17" i="19"/>
  <c r="RL18" i="19"/>
  <c r="RL19" i="19"/>
  <c r="CC518" i="17"/>
  <c r="AH518" i="17"/>
  <c r="AA518" i="17"/>
  <c r="T518" i="17"/>
  <c r="M518" i="17"/>
  <c r="F518" i="17"/>
  <c r="NO21" i="14"/>
  <c r="CJ518" i="17"/>
  <c r="Z530" i="15"/>
  <c r="AE530" i="15"/>
  <c r="AJ530" i="15"/>
  <c r="T530" i="15"/>
  <c r="M530" i="15"/>
  <c r="F530" i="15"/>
  <c r="CC515" i="17"/>
  <c r="CC516" i="17"/>
  <c r="CC517" i="17"/>
  <c r="RH10" i="19"/>
  <c r="RH11" i="19" s="1"/>
  <c r="RI10" i="19"/>
  <c r="RI11" i="19" s="1"/>
  <c r="RJ10" i="19"/>
  <c r="RJ11" i="19" s="1"/>
  <c r="RI19" i="19" l="1"/>
  <c r="RI16" i="19"/>
  <c r="RI17" i="19"/>
  <c r="RI18" i="19"/>
  <c r="RH19" i="19"/>
  <c r="RH16" i="19"/>
  <c r="RH17" i="19"/>
  <c r="RH18" i="19"/>
  <c r="RJ17" i="19"/>
  <c r="RJ18" i="19"/>
  <c r="RJ16" i="19"/>
  <c r="RJ19" i="19"/>
  <c r="AH515" i="17"/>
  <c r="AH516" i="17"/>
  <c r="AH517" i="17"/>
  <c r="AA515" i="17"/>
  <c r="AA516" i="17"/>
  <c r="AA517" i="17"/>
  <c r="T515" i="17"/>
  <c r="T516" i="17"/>
  <c r="T517" i="17"/>
  <c r="F515" i="17"/>
  <c r="F516" i="17"/>
  <c r="F517" i="17"/>
  <c r="M515" i="17"/>
  <c r="M516" i="17"/>
  <c r="M517" i="17"/>
  <c r="NK21" i="14"/>
  <c r="NL21" i="14"/>
  <c r="NM21" i="14"/>
  <c r="NN21" i="14"/>
  <c r="CJ515" i="17"/>
  <c r="CJ516" i="17"/>
  <c r="CJ517" i="17"/>
  <c r="AJ527" i="15"/>
  <c r="AJ528" i="15"/>
  <c r="AJ529" i="15"/>
  <c r="AE527" i="15"/>
  <c r="AE528" i="15"/>
  <c r="AE529" i="15"/>
  <c r="Z527" i="15"/>
  <c r="Z528" i="15"/>
  <c r="Z529" i="15"/>
  <c r="T527" i="15"/>
  <c r="T528" i="15"/>
  <c r="T529" i="15"/>
  <c r="M527" i="15"/>
  <c r="M528" i="15"/>
  <c r="M529" i="15"/>
  <c r="F527" i="15"/>
  <c r="F528" i="15"/>
  <c r="F529" i="15"/>
  <c r="RG10" i="19"/>
  <c r="RG11" i="19" s="1"/>
  <c r="RG18" i="19" l="1"/>
  <c r="RG16" i="19"/>
  <c r="RG19" i="19"/>
  <c r="RG17" i="19"/>
  <c r="CC514" i="17"/>
  <c r="CJ514" i="17"/>
  <c r="F514" i="17"/>
  <c r="M514" i="17"/>
  <c r="T514" i="17"/>
  <c r="AA514" i="17"/>
  <c r="AH514" i="17"/>
  <c r="AJ526" i="15"/>
  <c r="AE526" i="15"/>
  <c r="Z526" i="15"/>
  <c r="T526" i="15"/>
  <c r="M526" i="15"/>
  <c r="F526" i="15"/>
  <c r="NJ21" i="14"/>
  <c r="RF10" i="19"/>
  <c r="RF11" i="19" s="1"/>
  <c r="RF19" i="19" l="1"/>
  <c r="RF18" i="19"/>
  <c r="RF17" i="19"/>
  <c r="RF16" i="19"/>
  <c r="CC513" i="17"/>
  <c r="AH513" i="17"/>
  <c r="AA513" i="17"/>
  <c r="T513" i="17"/>
  <c r="M513" i="17"/>
  <c r="F513" i="17"/>
  <c r="Z525" i="15"/>
  <c r="AE525" i="15"/>
  <c r="AJ525" i="15"/>
  <c r="T525" i="15"/>
  <c r="M525" i="15"/>
  <c r="F525" i="15"/>
  <c r="CJ513" i="17"/>
  <c r="RD10" i="19"/>
  <c r="RD11" i="19" s="1"/>
  <c r="RE10" i="19"/>
  <c r="RE11" i="19" s="1"/>
  <c r="NI21" i="14"/>
  <c r="CC512" i="17"/>
  <c r="RE16" i="19" l="1"/>
  <c r="RE18" i="19"/>
  <c r="RE17" i="19"/>
  <c r="RE19" i="19"/>
  <c r="RD18" i="19"/>
  <c r="RD19" i="19"/>
  <c r="RD17" i="19"/>
  <c r="RD16" i="19"/>
  <c r="CJ512" i="17"/>
  <c r="AH512" i="17"/>
  <c r="AA512" i="17"/>
  <c r="T512" i="17"/>
  <c r="M512" i="17"/>
  <c r="F512" i="17"/>
  <c r="T524" i="15"/>
  <c r="M524" i="15"/>
  <c r="F524" i="15"/>
  <c r="AJ524" i="15"/>
  <c r="AE524" i="15"/>
  <c r="Z524" i="15"/>
  <c r="NH21" i="14" l="1"/>
  <c r="CC511" i="17" l="1"/>
  <c r="AH511" i="17" l="1"/>
  <c r="AA511" i="17"/>
  <c r="T511" i="17"/>
  <c r="M511" i="17"/>
  <c r="F511" i="17"/>
  <c r="F523" i="15"/>
  <c r="M523" i="15"/>
  <c r="T523" i="15"/>
  <c r="AJ523" i="15"/>
  <c r="AE523" i="15"/>
  <c r="Z523" i="15"/>
  <c r="CJ511" i="17"/>
  <c r="RA10" i="19"/>
  <c r="RA11" i="19" s="1"/>
  <c r="RB10" i="19"/>
  <c r="RB11" i="19" s="1"/>
  <c r="RB16" i="19" s="1"/>
  <c r="RC10" i="19"/>
  <c r="RC11" i="19" s="1"/>
  <c r="CC510" i="17"/>
  <c r="CC508" i="17"/>
  <c r="CC509" i="17"/>
  <c r="NE21" i="14"/>
  <c r="NF21" i="14"/>
  <c r="NG21" i="14"/>
  <c r="RB18" i="19" l="1"/>
  <c r="RA17" i="19"/>
  <c r="RA19" i="19"/>
  <c r="RA18" i="19"/>
  <c r="RA16" i="19"/>
  <c r="RC16" i="19"/>
  <c r="RC17" i="19"/>
  <c r="RC18" i="19"/>
  <c r="RC19" i="19"/>
  <c r="RB19" i="19"/>
  <c r="RB17" i="19"/>
  <c r="AJ520" i="15"/>
  <c r="AJ521" i="15"/>
  <c r="AJ522" i="15"/>
  <c r="AE520" i="15"/>
  <c r="AE521" i="15"/>
  <c r="AE522" i="15"/>
  <c r="Z520" i="15"/>
  <c r="Z521" i="15"/>
  <c r="Z522" i="15"/>
  <c r="CJ508" i="17"/>
  <c r="CJ509" i="17"/>
  <c r="CJ510" i="17"/>
  <c r="AH508" i="17"/>
  <c r="AH509" i="17"/>
  <c r="AH510" i="17"/>
  <c r="AA508" i="17"/>
  <c r="AA509" i="17"/>
  <c r="AA510" i="17"/>
  <c r="T508" i="17"/>
  <c r="T509" i="17"/>
  <c r="T510" i="17"/>
  <c r="M508" i="17"/>
  <c r="M509" i="17"/>
  <c r="M510" i="17"/>
  <c r="F508" i="17"/>
  <c r="F509" i="17"/>
  <c r="F510" i="17"/>
  <c r="T520" i="15"/>
  <c r="T521" i="15"/>
  <c r="T522" i="15"/>
  <c r="M520" i="15"/>
  <c r="M521" i="15"/>
  <c r="M522" i="15"/>
  <c r="F520" i="15"/>
  <c r="F521" i="15"/>
  <c r="F522" i="15"/>
  <c r="F532" i="20"/>
  <c r="F531" i="20"/>
  <c r="F530" i="20"/>
  <c r="H4" i="20"/>
  <c r="DN19" i="19"/>
  <c r="DM19" i="19"/>
  <c r="DL19" i="19"/>
  <c r="DK19" i="19"/>
  <c r="DJ19" i="19"/>
  <c r="DI19" i="19"/>
  <c r="DN18" i="19"/>
  <c r="DM18" i="19"/>
  <c r="DL18" i="19"/>
  <c r="DK18" i="19"/>
  <c r="DJ18" i="19"/>
  <c r="DI18" i="19"/>
  <c r="DN17" i="19"/>
  <c r="DM17" i="19"/>
  <c r="DL17" i="19"/>
  <c r="DK17" i="19"/>
  <c r="DJ17" i="19"/>
  <c r="DI17" i="19"/>
  <c r="DN16" i="19"/>
  <c r="DM16" i="19"/>
  <c r="DL16" i="19"/>
  <c r="DK16" i="19"/>
  <c r="DJ16" i="19"/>
  <c r="DI16" i="19"/>
  <c r="QZ10" i="19"/>
  <c r="QZ11" i="19" s="1"/>
  <c r="QY10" i="19"/>
  <c r="QY11" i="19" s="1"/>
  <c r="QX10" i="19"/>
  <c r="QX11" i="19" s="1"/>
  <c r="QW10" i="19"/>
  <c r="QW11" i="19" s="1"/>
  <c r="QW16" i="19" s="1"/>
  <c r="QV10" i="19"/>
  <c r="QV11" i="19" s="1"/>
  <c r="QU10" i="19"/>
  <c r="QU11" i="19" s="1"/>
  <c r="QT10" i="19"/>
  <c r="QT11" i="19" s="1"/>
  <c r="QS10" i="19"/>
  <c r="QS11" i="19" s="1"/>
  <c r="QS16" i="19" s="1"/>
  <c r="QR10" i="19"/>
  <c r="QR11" i="19" s="1"/>
  <c r="QQ10" i="19"/>
  <c r="QQ11" i="19" s="1"/>
  <c r="QP10" i="19"/>
  <c r="QP11" i="19" s="1"/>
  <c r="QO10" i="19"/>
  <c r="QO11" i="19" s="1"/>
  <c r="QN10" i="19"/>
  <c r="QN11" i="19" s="1"/>
  <c r="QM10" i="19"/>
  <c r="QM11" i="19" s="1"/>
  <c r="QL10" i="19"/>
  <c r="QL11" i="19" s="1"/>
  <c r="QK10" i="19"/>
  <c r="QK11" i="19" s="1"/>
  <c r="QJ10" i="19"/>
  <c r="QJ11" i="19" s="1"/>
  <c r="QI10" i="19"/>
  <c r="QI11" i="19" s="1"/>
  <c r="QH10" i="19"/>
  <c r="QH11" i="19" s="1"/>
  <c r="QG10" i="19"/>
  <c r="QG11" i="19" s="1"/>
  <c r="QF10" i="19"/>
  <c r="QF11" i="19" s="1"/>
  <c r="QE10" i="19"/>
  <c r="QE11" i="19" s="1"/>
  <c r="QD10" i="19"/>
  <c r="QD11" i="19" s="1"/>
  <c r="QC10" i="19"/>
  <c r="QC11" i="19" s="1"/>
  <c r="QB10" i="19"/>
  <c r="QB11" i="19" s="1"/>
  <c r="QA10" i="19"/>
  <c r="QA11" i="19" s="1"/>
  <c r="PZ10" i="19"/>
  <c r="PZ11" i="19" s="1"/>
  <c r="PY10" i="19"/>
  <c r="PY11" i="19" s="1"/>
  <c r="PX10" i="19"/>
  <c r="PX11" i="19" s="1"/>
  <c r="PW10" i="19"/>
  <c r="PW11" i="19" s="1"/>
  <c r="PV10" i="19"/>
  <c r="PV11" i="19" s="1"/>
  <c r="PU10" i="19"/>
  <c r="PU11" i="19" s="1"/>
  <c r="PT10" i="19"/>
  <c r="PT11" i="19" s="1"/>
  <c r="PS10" i="19"/>
  <c r="PS11" i="19" s="1"/>
  <c r="PR10" i="19"/>
  <c r="PR11" i="19" s="1"/>
  <c r="PQ10" i="19"/>
  <c r="PQ11" i="19" s="1"/>
  <c r="PP10" i="19"/>
  <c r="PP11" i="19" s="1"/>
  <c r="PO10" i="19"/>
  <c r="PO11" i="19" s="1"/>
  <c r="PN10" i="19"/>
  <c r="PN11" i="19" s="1"/>
  <c r="PM10" i="19"/>
  <c r="PM11" i="19" s="1"/>
  <c r="PL10" i="19"/>
  <c r="PL11" i="19" s="1"/>
  <c r="PK10" i="19"/>
  <c r="PK11" i="19" s="1"/>
  <c r="PJ10" i="19"/>
  <c r="PJ11" i="19" s="1"/>
  <c r="PI10" i="19"/>
  <c r="PI11" i="19" s="1"/>
  <c r="PH10" i="19"/>
  <c r="PH11" i="19" s="1"/>
  <c r="PG10" i="19"/>
  <c r="PG11" i="19" s="1"/>
  <c r="PF10" i="19"/>
  <c r="PF11" i="19" s="1"/>
  <c r="PF17" i="19" s="1"/>
  <c r="PE10" i="19"/>
  <c r="PE11" i="19" s="1"/>
  <c r="PD10" i="19"/>
  <c r="PD11" i="19" s="1"/>
  <c r="PC10" i="19"/>
  <c r="PC11" i="19" s="1"/>
  <c r="PB10" i="19"/>
  <c r="PB11" i="19" s="1"/>
  <c r="PA10" i="19"/>
  <c r="PA11" i="19" s="1"/>
  <c r="PA16" i="19" s="1"/>
  <c r="OZ10" i="19"/>
  <c r="OZ11" i="19" s="1"/>
  <c r="OY10" i="19"/>
  <c r="OY11" i="19" s="1"/>
  <c r="OX10" i="19"/>
  <c r="OX11" i="19" s="1"/>
  <c r="OW10" i="19"/>
  <c r="OW11" i="19" s="1"/>
  <c r="OV10" i="19"/>
  <c r="OV11" i="19" s="1"/>
  <c r="OU10" i="19"/>
  <c r="OU11" i="19" s="1"/>
  <c r="OT10" i="19"/>
  <c r="OT11" i="19" s="1"/>
  <c r="OS10" i="19"/>
  <c r="OS11" i="19" s="1"/>
  <c r="OR10" i="19"/>
  <c r="OR11" i="19" s="1"/>
  <c r="OQ10" i="19"/>
  <c r="OQ11" i="19" s="1"/>
  <c r="OP10" i="19"/>
  <c r="OP11" i="19" s="1"/>
  <c r="OO10" i="19"/>
  <c r="OO11" i="19" s="1"/>
  <c r="ON10" i="19"/>
  <c r="ON11" i="19" s="1"/>
  <c r="OM10" i="19"/>
  <c r="OM11" i="19" s="1"/>
  <c r="OL10" i="19"/>
  <c r="OL11" i="19" s="1"/>
  <c r="OK10" i="19"/>
  <c r="OK11" i="19" s="1"/>
  <c r="OJ10" i="19"/>
  <c r="OJ11" i="19" s="1"/>
  <c r="OI10" i="19"/>
  <c r="OI11" i="19" s="1"/>
  <c r="OH10" i="19"/>
  <c r="OH11" i="19" s="1"/>
  <c r="OG10" i="19"/>
  <c r="OG11" i="19" s="1"/>
  <c r="OF10" i="19"/>
  <c r="OF11" i="19" s="1"/>
  <c r="OE10" i="19"/>
  <c r="OE11" i="19" s="1"/>
  <c r="OD10" i="19"/>
  <c r="OD11" i="19" s="1"/>
  <c r="OC10" i="19"/>
  <c r="OC11" i="19" s="1"/>
  <c r="OB10" i="19"/>
  <c r="OB11" i="19" s="1"/>
  <c r="OA10" i="19"/>
  <c r="OA11" i="19" s="1"/>
  <c r="NZ10" i="19"/>
  <c r="NZ11" i="19" s="1"/>
  <c r="NY10" i="19"/>
  <c r="NY11" i="19" s="1"/>
  <c r="NX10" i="19"/>
  <c r="NX11" i="19" s="1"/>
  <c r="NW10" i="19"/>
  <c r="NW11" i="19" s="1"/>
  <c r="NV10" i="19"/>
  <c r="NV11" i="19" s="1"/>
  <c r="NU10" i="19"/>
  <c r="NU11" i="19" s="1"/>
  <c r="NT10" i="19"/>
  <c r="NT11" i="19" s="1"/>
  <c r="NS10" i="19"/>
  <c r="NS11" i="19" s="1"/>
  <c r="NR10" i="19"/>
  <c r="NR11" i="19" s="1"/>
  <c r="NQ10" i="19"/>
  <c r="NQ11" i="19" s="1"/>
  <c r="NP10" i="19"/>
  <c r="NP11" i="19" s="1"/>
  <c r="NO10" i="19"/>
  <c r="NO11" i="19" s="1"/>
  <c r="NN10" i="19"/>
  <c r="NN11" i="19" s="1"/>
  <c r="NM10" i="19"/>
  <c r="NM11" i="19" s="1"/>
  <c r="NM16" i="19" s="1"/>
  <c r="NL10" i="19"/>
  <c r="NL11" i="19" s="1"/>
  <c r="NK10" i="19"/>
  <c r="NK11" i="19" s="1"/>
  <c r="NJ10" i="19"/>
  <c r="NJ11" i="19" s="1"/>
  <c r="NI10" i="19"/>
  <c r="NI11" i="19" s="1"/>
  <c r="NI16" i="19" s="1"/>
  <c r="NH10" i="19"/>
  <c r="NH11" i="19" s="1"/>
  <c r="NG10" i="19"/>
  <c r="NG11" i="19" s="1"/>
  <c r="NF10" i="19"/>
  <c r="NF11" i="19" s="1"/>
  <c r="NE10" i="19"/>
  <c r="NE11" i="19" s="1"/>
  <c r="ND10" i="19"/>
  <c r="ND11" i="19" s="1"/>
  <c r="NC10" i="19"/>
  <c r="NC11" i="19" s="1"/>
  <c r="NB10" i="19"/>
  <c r="NB11" i="19" s="1"/>
  <c r="NA10" i="19"/>
  <c r="NA11" i="19" s="1"/>
  <c r="MZ10" i="19"/>
  <c r="MZ11" i="19" s="1"/>
  <c r="MY10" i="19"/>
  <c r="MY11" i="19" s="1"/>
  <c r="MX10" i="19"/>
  <c r="MX11" i="19" s="1"/>
  <c r="MW10" i="19"/>
  <c r="MW11" i="19" s="1"/>
  <c r="MV10" i="19"/>
  <c r="MV11" i="19" s="1"/>
  <c r="MU10" i="19"/>
  <c r="MU11" i="19" s="1"/>
  <c r="MT10" i="19"/>
  <c r="MT11" i="19" s="1"/>
  <c r="MS10" i="19"/>
  <c r="MS11" i="19" s="1"/>
  <c r="MR10" i="19"/>
  <c r="MR11" i="19" s="1"/>
  <c r="MQ10" i="19"/>
  <c r="MQ11" i="19" s="1"/>
  <c r="MP10" i="19"/>
  <c r="MP11" i="19" s="1"/>
  <c r="MO10" i="19"/>
  <c r="MO11" i="19" s="1"/>
  <c r="MO16" i="19" s="1"/>
  <c r="MN10" i="19"/>
  <c r="MN11" i="19" s="1"/>
  <c r="MM10" i="19"/>
  <c r="MM11" i="19" s="1"/>
  <c r="ML10" i="19"/>
  <c r="ML11" i="19" s="1"/>
  <c r="MK10" i="19"/>
  <c r="MK11" i="19" s="1"/>
  <c r="MJ10" i="19"/>
  <c r="MJ11" i="19" s="1"/>
  <c r="MI10" i="19"/>
  <c r="MI11" i="19" s="1"/>
  <c r="MH10" i="19"/>
  <c r="MH11" i="19" s="1"/>
  <c r="MG10" i="19"/>
  <c r="MG11" i="19" s="1"/>
  <c r="MG17" i="19" s="1"/>
  <c r="MF10" i="19"/>
  <c r="MF11" i="19" s="1"/>
  <c r="ME10" i="19"/>
  <c r="ME11" i="19" s="1"/>
  <c r="MD10" i="19"/>
  <c r="MD11" i="19" s="1"/>
  <c r="MC10" i="19"/>
  <c r="MC11" i="19" s="1"/>
  <c r="MB10" i="19"/>
  <c r="MB11" i="19" s="1"/>
  <c r="MA10" i="19"/>
  <c r="MA11" i="19" s="1"/>
  <c r="LZ10" i="19"/>
  <c r="LZ11" i="19" s="1"/>
  <c r="LY10" i="19"/>
  <c r="LY11" i="19" s="1"/>
  <c r="LX10" i="19"/>
  <c r="LX11" i="19" s="1"/>
  <c r="LW10" i="19"/>
  <c r="LW11" i="19" s="1"/>
  <c r="LV10" i="19"/>
  <c r="LV11" i="19" s="1"/>
  <c r="LU10" i="19"/>
  <c r="LU11" i="19" s="1"/>
  <c r="LT10" i="19"/>
  <c r="LT11" i="19" s="1"/>
  <c r="LS10" i="19"/>
  <c r="LS11" i="19" s="1"/>
  <c r="LR10" i="19"/>
  <c r="LR11" i="19" s="1"/>
  <c r="LQ10" i="19"/>
  <c r="LQ11" i="19" s="1"/>
  <c r="LP10" i="19"/>
  <c r="LP11" i="19" s="1"/>
  <c r="LO10" i="19"/>
  <c r="LO11" i="19" s="1"/>
  <c r="LN10" i="19"/>
  <c r="LN11" i="19" s="1"/>
  <c r="LM10" i="19"/>
  <c r="LM11" i="19" s="1"/>
  <c r="LL10" i="19"/>
  <c r="LL11" i="19" s="1"/>
  <c r="LK10" i="19"/>
  <c r="LK11" i="19" s="1"/>
  <c r="LJ10" i="19"/>
  <c r="LJ11" i="19" s="1"/>
  <c r="LI10" i="19"/>
  <c r="LI11" i="19" s="1"/>
  <c r="LH10" i="19"/>
  <c r="LH11" i="19" s="1"/>
  <c r="LG10" i="19"/>
  <c r="LG11" i="19" s="1"/>
  <c r="LF10" i="19"/>
  <c r="LF11" i="19" s="1"/>
  <c r="LE10" i="19"/>
  <c r="LE11" i="19" s="1"/>
  <c r="LD10" i="19"/>
  <c r="LD11" i="19" s="1"/>
  <c r="LC10" i="19"/>
  <c r="LC11" i="19" s="1"/>
  <c r="LB10" i="19"/>
  <c r="LB11" i="19" s="1"/>
  <c r="LA10" i="19"/>
  <c r="LA11" i="19" s="1"/>
  <c r="LA16" i="19" s="1"/>
  <c r="KZ10" i="19"/>
  <c r="KZ11" i="19" s="1"/>
  <c r="KY10" i="19"/>
  <c r="KY11" i="19" s="1"/>
  <c r="KX10" i="19"/>
  <c r="KX11" i="19" s="1"/>
  <c r="KW10" i="19"/>
  <c r="KW11" i="19" s="1"/>
  <c r="KW16" i="19" s="1"/>
  <c r="KV10" i="19"/>
  <c r="KV11" i="19" s="1"/>
  <c r="KU10" i="19"/>
  <c r="KU11" i="19" s="1"/>
  <c r="KT10" i="19"/>
  <c r="KT11" i="19" s="1"/>
  <c r="KS10" i="19"/>
  <c r="KS11" i="19" s="1"/>
  <c r="KR10" i="19"/>
  <c r="KR11" i="19" s="1"/>
  <c r="KQ10" i="19"/>
  <c r="KQ11" i="19" s="1"/>
  <c r="KP10" i="19"/>
  <c r="KP11" i="19" s="1"/>
  <c r="KO10" i="19"/>
  <c r="KO11" i="19" s="1"/>
  <c r="KN10" i="19"/>
  <c r="KN11" i="19" s="1"/>
  <c r="KM10" i="19"/>
  <c r="KM11" i="19" s="1"/>
  <c r="KL10" i="19"/>
  <c r="KL11" i="19" s="1"/>
  <c r="KK10" i="19"/>
  <c r="KK11" i="19" s="1"/>
  <c r="KK17" i="19" s="1"/>
  <c r="KJ10" i="19"/>
  <c r="KJ11" i="19" s="1"/>
  <c r="KI10" i="19"/>
  <c r="KI11" i="19" s="1"/>
  <c r="KH10" i="19"/>
  <c r="KH11" i="19" s="1"/>
  <c r="KG10" i="19"/>
  <c r="KG11" i="19" s="1"/>
  <c r="KF10" i="19"/>
  <c r="KF11" i="19" s="1"/>
  <c r="KE10" i="19"/>
  <c r="KE11" i="19" s="1"/>
  <c r="KD10" i="19"/>
  <c r="KD11" i="19" s="1"/>
  <c r="KC10" i="19"/>
  <c r="KC11" i="19" s="1"/>
  <c r="KC17" i="19" s="1"/>
  <c r="KB10" i="19"/>
  <c r="KB11" i="19" s="1"/>
  <c r="KA10" i="19"/>
  <c r="KA11" i="19" s="1"/>
  <c r="JZ10" i="19"/>
  <c r="JZ11" i="19" s="1"/>
  <c r="JY10" i="19"/>
  <c r="JY11" i="19" s="1"/>
  <c r="JX10" i="19"/>
  <c r="JX11" i="19" s="1"/>
  <c r="JW10" i="19"/>
  <c r="JW11" i="19" s="1"/>
  <c r="JV10" i="19"/>
  <c r="JV11" i="19" s="1"/>
  <c r="JU10" i="19"/>
  <c r="JU11" i="19" s="1"/>
  <c r="JT10" i="19"/>
  <c r="JT11" i="19" s="1"/>
  <c r="JS10" i="19"/>
  <c r="JS11" i="19" s="1"/>
  <c r="JR10" i="19"/>
  <c r="JR11" i="19" s="1"/>
  <c r="JQ10" i="19"/>
  <c r="JQ11" i="19" s="1"/>
  <c r="JP10" i="19"/>
  <c r="JP11" i="19" s="1"/>
  <c r="JO10" i="19"/>
  <c r="JO11" i="19" s="1"/>
  <c r="JN10" i="19"/>
  <c r="JN11" i="19" s="1"/>
  <c r="JM10" i="19"/>
  <c r="JM11" i="19" s="1"/>
  <c r="JL10" i="19"/>
  <c r="JL11" i="19" s="1"/>
  <c r="JK10" i="19"/>
  <c r="JK11" i="19" s="1"/>
  <c r="JJ10" i="19"/>
  <c r="JJ11" i="19" s="1"/>
  <c r="JI10" i="19"/>
  <c r="JI11" i="19" s="1"/>
  <c r="JH10" i="19"/>
  <c r="JH11" i="19" s="1"/>
  <c r="JG10" i="19"/>
  <c r="JG11" i="19" s="1"/>
  <c r="JF10" i="19"/>
  <c r="JF11" i="19" s="1"/>
  <c r="JE10" i="19"/>
  <c r="JE11" i="19" s="1"/>
  <c r="JE16" i="19" s="1"/>
  <c r="JD10" i="19"/>
  <c r="JD11" i="19" s="1"/>
  <c r="JD18" i="19" s="1"/>
  <c r="JC10" i="19"/>
  <c r="JC11" i="19" s="1"/>
  <c r="JB10" i="19"/>
  <c r="JB11" i="19" s="1"/>
  <c r="JA10" i="19"/>
  <c r="JA11" i="19" s="1"/>
  <c r="IZ10" i="19"/>
  <c r="IZ11" i="19" s="1"/>
  <c r="IY10" i="19"/>
  <c r="IY11" i="19" s="1"/>
  <c r="IX10" i="19"/>
  <c r="IX11" i="19" s="1"/>
  <c r="IW10" i="19"/>
  <c r="IW11" i="19" s="1"/>
  <c r="IV10" i="19"/>
  <c r="IV11" i="19" s="1"/>
  <c r="IU10" i="19"/>
  <c r="IU11" i="19" s="1"/>
  <c r="IT10" i="19"/>
  <c r="IT11" i="19" s="1"/>
  <c r="IS10" i="19"/>
  <c r="IS11" i="19" s="1"/>
  <c r="IR10" i="19"/>
  <c r="IR11" i="19" s="1"/>
  <c r="IQ10" i="19"/>
  <c r="IQ11" i="19" s="1"/>
  <c r="IP10" i="19"/>
  <c r="IP11" i="19" s="1"/>
  <c r="IO10" i="19"/>
  <c r="IO11" i="19" s="1"/>
  <c r="IO17" i="19" s="1"/>
  <c r="IN10" i="19"/>
  <c r="IN11" i="19" s="1"/>
  <c r="IN16" i="19" s="1"/>
  <c r="IM10" i="19"/>
  <c r="IM11" i="19" s="1"/>
  <c r="IL10" i="19"/>
  <c r="IL11" i="19" s="1"/>
  <c r="IK10" i="19"/>
  <c r="IK11" i="19" s="1"/>
  <c r="IJ10" i="19"/>
  <c r="IJ11" i="19" s="1"/>
  <c r="II10" i="19"/>
  <c r="II11" i="19" s="1"/>
  <c r="IH10" i="19"/>
  <c r="IH11" i="19" s="1"/>
  <c r="IG10" i="19"/>
  <c r="IG11" i="19" s="1"/>
  <c r="IF10" i="19"/>
  <c r="IF11" i="19" s="1"/>
  <c r="IE10" i="19"/>
  <c r="IE11" i="19" s="1"/>
  <c r="ID10" i="19"/>
  <c r="ID11" i="19" s="1"/>
  <c r="IC10" i="19"/>
  <c r="IC11" i="19" s="1"/>
  <c r="IB10" i="19"/>
  <c r="IB11" i="19" s="1"/>
  <c r="IA10" i="19"/>
  <c r="IA11" i="19" s="1"/>
  <c r="HZ10" i="19"/>
  <c r="HZ11" i="19" s="1"/>
  <c r="HY10" i="19"/>
  <c r="HY11" i="19" s="1"/>
  <c r="HX10" i="19"/>
  <c r="HX11" i="19" s="1"/>
  <c r="HW10" i="19"/>
  <c r="HW11" i="19" s="1"/>
  <c r="HV10" i="19"/>
  <c r="HV11" i="19" s="1"/>
  <c r="HU10" i="19"/>
  <c r="HU11" i="19" s="1"/>
  <c r="HT10" i="19"/>
  <c r="HT11" i="19" s="1"/>
  <c r="HS10" i="19"/>
  <c r="HS11" i="19" s="1"/>
  <c r="HR10" i="19"/>
  <c r="HR11" i="19" s="1"/>
  <c r="HQ10" i="19"/>
  <c r="HQ11" i="19" s="1"/>
  <c r="HQ16" i="19" s="1"/>
  <c r="HP10" i="19"/>
  <c r="HP11" i="19" s="1"/>
  <c r="HP16" i="19" s="1"/>
  <c r="HO10" i="19"/>
  <c r="HO11" i="19" s="1"/>
  <c r="HN10" i="19"/>
  <c r="HN11" i="19" s="1"/>
  <c r="HM10" i="19"/>
  <c r="HM11" i="19" s="1"/>
  <c r="HL10" i="19"/>
  <c r="HL11" i="19" s="1"/>
  <c r="HK10" i="19"/>
  <c r="HK11" i="19" s="1"/>
  <c r="HJ10" i="19"/>
  <c r="HJ11" i="19" s="1"/>
  <c r="HI10" i="19"/>
  <c r="HI11" i="19" s="1"/>
  <c r="HH10" i="19"/>
  <c r="HH11" i="19" s="1"/>
  <c r="HG10" i="19"/>
  <c r="HG11" i="19" s="1"/>
  <c r="HF10" i="19"/>
  <c r="HF11" i="19" s="1"/>
  <c r="HE10" i="19"/>
  <c r="HE11" i="19" s="1"/>
  <c r="HD10" i="19"/>
  <c r="HD11" i="19" s="1"/>
  <c r="HC10" i="19"/>
  <c r="HC11" i="19" s="1"/>
  <c r="HB10" i="19"/>
  <c r="HB11" i="19" s="1"/>
  <c r="HA10" i="19"/>
  <c r="HA11" i="19" s="1"/>
  <c r="GZ10" i="19"/>
  <c r="GZ11" i="19" s="1"/>
  <c r="GZ17" i="19" s="1"/>
  <c r="GY10" i="19"/>
  <c r="GY11" i="19" s="1"/>
  <c r="GX10" i="19"/>
  <c r="GX11" i="19" s="1"/>
  <c r="GW10" i="19"/>
  <c r="GW11" i="19" s="1"/>
  <c r="GV10" i="19"/>
  <c r="GV11" i="19" s="1"/>
  <c r="GV16" i="19" s="1"/>
  <c r="GU10" i="19"/>
  <c r="GU11" i="19" s="1"/>
  <c r="GT10" i="19"/>
  <c r="GT11" i="19" s="1"/>
  <c r="GS10" i="19"/>
  <c r="GS11" i="19" s="1"/>
  <c r="GS16" i="19" s="1"/>
  <c r="GR10" i="19"/>
  <c r="GR11" i="19" s="1"/>
  <c r="GQ10" i="19"/>
  <c r="GQ11" i="19" s="1"/>
  <c r="GP10" i="19"/>
  <c r="GP11" i="19" s="1"/>
  <c r="GO10" i="19"/>
  <c r="GO11" i="19" s="1"/>
  <c r="GN10" i="19"/>
  <c r="GN11" i="19" s="1"/>
  <c r="GM10" i="19"/>
  <c r="GM11" i="19" s="1"/>
  <c r="GL10" i="19"/>
  <c r="GL11" i="19" s="1"/>
  <c r="GK10" i="19"/>
  <c r="GK11" i="19" s="1"/>
  <c r="GJ10" i="19"/>
  <c r="GJ11" i="19" s="1"/>
  <c r="GI10" i="19"/>
  <c r="GI11" i="19" s="1"/>
  <c r="GH10" i="19"/>
  <c r="GH11" i="19" s="1"/>
  <c r="GG10" i="19"/>
  <c r="GG11" i="19" s="1"/>
  <c r="GF10" i="19"/>
  <c r="GF11" i="19" s="1"/>
  <c r="GE10" i="19"/>
  <c r="GE11" i="19" s="1"/>
  <c r="GD10" i="19"/>
  <c r="GD11" i="19" s="1"/>
  <c r="GC10" i="19"/>
  <c r="GC11" i="19" s="1"/>
  <c r="GB10" i="19"/>
  <c r="GB11" i="19" s="1"/>
  <c r="GA10" i="19"/>
  <c r="GA11" i="19" s="1"/>
  <c r="FZ10" i="19"/>
  <c r="FZ11" i="19" s="1"/>
  <c r="FY10" i="19"/>
  <c r="FY11" i="19" s="1"/>
  <c r="FX10" i="19"/>
  <c r="FX11" i="19" s="1"/>
  <c r="FX18" i="19" s="1"/>
  <c r="FW10" i="19"/>
  <c r="FW11" i="19" s="1"/>
  <c r="FV10" i="19"/>
  <c r="FV11" i="19" s="1"/>
  <c r="FU10" i="19"/>
  <c r="FU11" i="19" s="1"/>
  <c r="FT10" i="19"/>
  <c r="FT11" i="19" s="1"/>
  <c r="FS10" i="19"/>
  <c r="FS11" i="19" s="1"/>
  <c r="FR10" i="19"/>
  <c r="FR11" i="19" s="1"/>
  <c r="FQ10" i="19"/>
  <c r="FQ11" i="19" s="1"/>
  <c r="FP10" i="19"/>
  <c r="FP11" i="19" s="1"/>
  <c r="FO10" i="19"/>
  <c r="FO11" i="19" s="1"/>
  <c r="FN10" i="19"/>
  <c r="FN11" i="19" s="1"/>
  <c r="FM10" i="19"/>
  <c r="FM11" i="19" s="1"/>
  <c r="FL10" i="19"/>
  <c r="FL11" i="19" s="1"/>
  <c r="FK10" i="19"/>
  <c r="FK11" i="19" s="1"/>
  <c r="FJ10" i="19"/>
  <c r="FJ11" i="19" s="1"/>
  <c r="FI10" i="19"/>
  <c r="FI11" i="19" s="1"/>
  <c r="FH10" i="19"/>
  <c r="FH11" i="19" s="1"/>
  <c r="FG10" i="19"/>
  <c r="FG11" i="19" s="1"/>
  <c r="FF10" i="19"/>
  <c r="FF11" i="19" s="1"/>
  <c r="FE10" i="19"/>
  <c r="FE11" i="19" s="1"/>
  <c r="FE16" i="19" s="1"/>
  <c r="FD10" i="19"/>
  <c r="FD11" i="19" s="1"/>
  <c r="FD17" i="19" s="1"/>
  <c r="FC10" i="19"/>
  <c r="FC11" i="19" s="1"/>
  <c r="FB10" i="19"/>
  <c r="FB11" i="19" s="1"/>
  <c r="FA10" i="19"/>
  <c r="FA11" i="19" s="1"/>
  <c r="EZ10" i="19"/>
  <c r="EZ11" i="19" s="1"/>
  <c r="EY10" i="19"/>
  <c r="EY11" i="19" s="1"/>
  <c r="EX10" i="19"/>
  <c r="EX11" i="19" s="1"/>
  <c r="EW10" i="19"/>
  <c r="EW11" i="19" s="1"/>
  <c r="EV10" i="19"/>
  <c r="EV11" i="19" s="1"/>
  <c r="EU10" i="19"/>
  <c r="EU11" i="19" s="1"/>
  <c r="ET10" i="19"/>
  <c r="ET11" i="19" s="1"/>
  <c r="ES10" i="19"/>
  <c r="ES11" i="19" s="1"/>
  <c r="ER10" i="19"/>
  <c r="ER11" i="19" s="1"/>
  <c r="EQ10" i="19"/>
  <c r="EQ11" i="19" s="1"/>
  <c r="EP10" i="19"/>
  <c r="EP11" i="19" s="1"/>
  <c r="EO10" i="19"/>
  <c r="EO11" i="19" s="1"/>
  <c r="EN10" i="19"/>
  <c r="EN11" i="19" s="1"/>
  <c r="EM10" i="19"/>
  <c r="EM11" i="19" s="1"/>
  <c r="EL10" i="19"/>
  <c r="EL11" i="19" s="1"/>
  <c r="EK10" i="19"/>
  <c r="EK11" i="19" s="1"/>
  <c r="EJ10" i="19"/>
  <c r="EJ11" i="19" s="1"/>
  <c r="EI10" i="19"/>
  <c r="EI11" i="19" s="1"/>
  <c r="EH10" i="19"/>
  <c r="EH11" i="19" s="1"/>
  <c r="EG10" i="19"/>
  <c r="EG11" i="19" s="1"/>
  <c r="EF10" i="19"/>
  <c r="EF11" i="19" s="1"/>
  <c r="EF16" i="19" s="1"/>
  <c r="EE10" i="19"/>
  <c r="EE11" i="19" s="1"/>
  <c r="ED10" i="19"/>
  <c r="ED11" i="19" s="1"/>
  <c r="EC10" i="19"/>
  <c r="EC11" i="19" s="1"/>
  <c r="EB10" i="19"/>
  <c r="EB11" i="19" s="1"/>
  <c r="EA10" i="19"/>
  <c r="EA11" i="19" s="1"/>
  <c r="DZ10" i="19"/>
  <c r="DZ11" i="19" s="1"/>
  <c r="DY10" i="19"/>
  <c r="DY11" i="19" s="1"/>
  <c r="DX10" i="19"/>
  <c r="DX11" i="19" s="1"/>
  <c r="DW10" i="19"/>
  <c r="DW11" i="19" s="1"/>
  <c r="DW17" i="19" s="1"/>
  <c r="DV10" i="19"/>
  <c r="DV11" i="19" s="1"/>
  <c r="DU10" i="19"/>
  <c r="DU11" i="19" s="1"/>
  <c r="DT10" i="19"/>
  <c r="DT11" i="19" s="1"/>
  <c r="DS10" i="19"/>
  <c r="DS11" i="19" s="1"/>
  <c r="DR10" i="19"/>
  <c r="DR11" i="19" s="1"/>
  <c r="DQ10" i="19"/>
  <c r="DQ11" i="19" s="1"/>
  <c r="DP10" i="19"/>
  <c r="DP11" i="19" s="1"/>
  <c r="DO10" i="19"/>
  <c r="DO11" i="19" s="1"/>
  <c r="DH10" i="19"/>
  <c r="DH11" i="19" s="1"/>
  <c r="DG10" i="19"/>
  <c r="DG11" i="19" s="1"/>
  <c r="DF10" i="19"/>
  <c r="DF11" i="19" s="1"/>
  <c r="DE10" i="19"/>
  <c r="DE11" i="19" s="1"/>
  <c r="DD10" i="19"/>
  <c r="DD11" i="19" s="1"/>
  <c r="DC10" i="19"/>
  <c r="DC11" i="19" s="1"/>
  <c r="DB10" i="19"/>
  <c r="DB11" i="19" s="1"/>
  <c r="DA10" i="19"/>
  <c r="DA11" i="19" s="1"/>
  <c r="CZ10" i="19"/>
  <c r="CZ11" i="19" s="1"/>
  <c r="CY10" i="19"/>
  <c r="CY11" i="19" s="1"/>
  <c r="CX10" i="19"/>
  <c r="CX11" i="19" s="1"/>
  <c r="CW10" i="19"/>
  <c r="CW11" i="19" s="1"/>
  <c r="CV10" i="19"/>
  <c r="CV11" i="19" s="1"/>
  <c r="CU10" i="19"/>
  <c r="CU11" i="19" s="1"/>
  <c r="CT10" i="19"/>
  <c r="CT11" i="19" s="1"/>
  <c r="CS10" i="19"/>
  <c r="CS11" i="19" s="1"/>
  <c r="CR10" i="19"/>
  <c r="CR11" i="19" s="1"/>
  <c r="CQ10" i="19"/>
  <c r="CQ11" i="19" s="1"/>
  <c r="CP10" i="19"/>
  <c r="CP11" i="19" s="1"/>
  <c r="CO10" i="19"/>
  <c r="CO11" i="19" s="1"/>
  <c r="CN10" i="19"/>
  <c r="CN11" i="19" s="1"/>
  <c r="CM10" i="19"/>
  <c r="CM11" i="19" s="1"/>
  <c r="CL10" i="19"/>
  <c r="CL11" i="19" s="1"/>
  <c r="CK10" i="19"/>
  <c r="CK11" i="19" s="1"/>
  <c r="CJ10" i="19"/>
  <c r="CJ11" i="19" s="1"/>
  <c r="CI10" i="19"/>
  <c r="CI11" i="19" s="1"/>
  <c r="CH10" i="19"/>
  <c r="CH11" i="19" s="1"/>
  <c r="CG10" i="19"/>
  <c r="CG11" i="19" s="1"/>
  <c r="CF10" i="19"/>
  <c r="CF11" i="19" s="1"/>
  <c r="CE10" i="19"/>
  <c r="CE11" i="19" s="1"/>
  <c r="CD10" i="19"/>
  <c r="CD11" i="19" s="1"/>
  <c r="CC10" i="19"/>
  <c r="CC11" i="19" s="1"/>
  <c r="CB10" i="19"/>
  <c r="CB11" i="19" s="1"/>
  <c r="CA10" i="19"/>
  <c r="CA11" i="19" s="1"/>
  <c r="BZ10" i="19"/>
  <c r="BZ11" i="19" s="1"/>
  <c r="BY10" i="19"/>
  <c r="BY11" i="19" s="1"/>
  <c r="BX10" i="19"/>
  <c r="BX11" i="19" s="1"/>
  <c r="BW10" i="19"/>
  <c r="BW11" i="19" s="1"/>
  <c r="BV10" i="19"/>
  <c r="BV11" i="19" s="1"/>
  <c r="BU10" i="19"/>
  <c r="BU11" i="19" s="1"/>
  <c r="BT10" i="19"/>
  <c r="BT11" i="19" s="1"/>
  <c r="BS10" i="19"/>
  <c r="BS11" i="19" s="1"/>
  <c r="BR10" i="19"/>
  <c r="BR11" i="19" s="1"/>
  <c r="BQ10" i="19"/>
  <c r="BQ11" i="19" s="1"/>
  <c r="BP10" i="19"/>
  <c r="BP11" i="19" s="1"/>
  <c r="BO10" i="19"/>
  <c r="BO11" i="19" s="1"/>
  <c r="BN10" i="19"/>
  <c r="BN11" i="19" s="1"/>
  <c r="BM10" i="19"/>
  <c r="BM11" i="19" s="1"/>
  <c r="BL10" i="19"/>
  <c r="BL11" i="19" s="1"/>
  <c r="BK10" i="19"/>
  <c r="BK11" i="19" s="1"/>
  <c r="BJ10" i="19"/>
  <c r="BJ11" i="19" s="1"/>
  <c r="BI10" i="19"/>
  <c r="BI11" i="19" s="1"/>
  <c r="BH10" i="19"/>
  <c r="BH11" i="19" s="1"/>
  <c r="BG10" i="19"/>
  <c r="BG11" i="19" s="1"/>
  <c r="BF10" i="19"/>
  <c r="BF11" i="19" s="1"/>
  <c r="BE10" i="19"/>
  <c r="BE11" i="19" s="1"/>
  <c r="BD10" i="19"/>
  <c r="BD11" i="19" s="1"/>
  <c r="BC10" i="19"/>
  <c r="BC11" i="19" s="1"/>
  <c r="BB10" i="19"/>
  <c r="BB11" i="19" s="1"/>
  <c r="BA10" i="19"/>
  <c r="BA11" i="19" s="1"/>
  <c r="AZ10" i="19"/>
  <c r="AZ11" i="19" s="1"/>
  <c r="AY10" i="19"/>
  <c r="AY11" i="19" s="1"/>
  <c r="AX10" i="19"/>
  <c r="AX11" i="19" s="1"/>
  <c r="AW10" i="19"/>
  <c r="AW11" i="19" s="1"/>
  <c r="AV10" i="19"/>
  <c r="AV11" i="19" s="1"/>
  <c r="AU10" i="19"/>
  <c r="AU11" i="19" s="1"/>
  <c r="AT10" i="19"/>
  <c r="AT11" i="19" s="1"/>
  <c r="AS10" i="19"/>
  <c r="AS11" i="19" s="1"/>
  <c r="AR10" i="19"/>
  <c r="AR11" i="19" s="1"/>
  <c r="AQ10" i="19"/>
  <c r="AQ11" i="19" s="1"/>
  <c r="AP10" i="19"/>
  <c r="AP11" i="19" s="1"/>
  <c r="AO10" i="19"/>
  <c r="AO11" i="19" s="1"/>
  <c r="AN10" i="19"/>
  <c r="AN11" i="19" s="1"/>
  <c r="AM10" i="19"/>
  <c r="AM11" i="19" s="1"/>
  <c r="AL10" i="19"/>
  <c r="AL11" i="19" s="1"/>
  <c r="AK10" i="19"/>
  <c r="AK11" i="19" s="1"/>
  <c r="AJ10" i="19"/>
  <c r="AJ11" i="19" s="1"/>
  <c r="AI10" i="19"/>
  <c r="AI11" i="19" s="1"/>
  <c r="AH10" i="19"/>
  <c r="AH11" i="19" s="1"/>
  <c r="AG10" i="19"/>
  <c r="AG11" i="19" s="1"/>
  <c r="AF10" i="19"/>
  <c r="AF11" i="19" s="1"/>
  <c r="AE10" i="19"/>
  <c r="AE11" i="19" s="1"/>
  <c r="AD10" i="19"/>
  <c r="AD11" i="19" s="1"/>
  <c r="AC10" i="19"/>
  <c r="AC11" i="19" s="1"/>
  <c r="AB10" i="19"/>
  <c r="AB11" i="19" s="1"/>
  <c r="AA10" i="19"/>
  <c r="AA11" i="19" s="1"/>
  <c r="Z10" i="19"/>
  <c r="Z11" i="19" s="1"/>
  <c r="Y10" i="19"/>
  <c r="Y11" i="19" s="1"/>
  <c r="X10" i="19"/>
  <c r="X11" i="19" s="1"/>
  <c r="W10" i="19"/>
  <c r="W11" i="19" s="1"/>
  <c r="V10" i="19"/>
  <c r="V11" i="19" s="1"/>
  <c r="U10" i="19"/>
  <c r="U11" i="19" s="1"/>
  <c r="T10" i="19"/>
  <c r="T11" i="19" s="1"/>
  <c r="S10" i="19"/>
  <c r="S11" i="19" s="1"/>
  <c r="R10" i="19"/>
  <c r="R11" i="19" s="1"/>
  <c r="Q10" i="19"/>
  <c r="Q11" i="19" s="1"/>
  <c r="P10" i="19"/>
  <c r="P11" i="19" s="1"/>
  <c r="O10" i="19"/>
  <c r="O11" i="19" s="1"/>
  <c r="N10" i="19"/>
  <c r="N11" i="19" s="1"/>
  <c r="M10" i="19"/>
  <c r="M11" i="19" s="1"/>
  <c r="L10" i="19"/>
  <c r="L11" i="19" s="1"/>
  <c r="K10" i="19"/>
  <c r="K11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D11" i="19" s="1"/>
  <c r="C10" i="19"/>
  <c r="C11" i="19" s="1"/>
  <c r="B10" i="19"/>
  <c r="B11" i="19" s="1"/>
  <c r="IN17" i="19" l="1"/>
  <c r="B19" i="19"/>
  <c r="B18" i="19"/>
  <c r="B17" i="19"/>
  <c r="B16" i="19"/>
  <c r="CT19" i="19"/>
  <c r="CT18" i="19"/>
  <c r="CT17" i="19"/>
  <c r="CT16" i="19"/>
  <c r="S17" i="19"/>
  <c r="S19" i="19"/>
  <c r="S18" i="19"/>
  <c r="S16" i="19"/>
  <c r="CU19" i="19"/>
  <c r="CU18" i="19"/>
  <c r="CU17" i="19"/>
  <c r="CU16" i="19"/>
  <c r="D19" i="19"/>
  <c r="D18" i="19"/>
  <c r="D16" i="19"/>
  <c r="D17" i="19"/>
  <c r="L19" i="19"/>
  <c r="L18" i="19"/>
  <c r="L17" i="19"/>
  <c r="L16" i="19"/>
  <c r="T19" i="19"/>
  <c r="T18" i="19"/>
  <c r="T16" i="19"/>
  <c r="T17" i="19"/>
  <c r="CF19" i="19"/>
  <c r="CF18" i="19"/>
  <c r="CF16" i="19"/>
  <c r="CF17" i="19"/>
  <c r="CN17" i="19"/>
  <c r="CN18" i="19"/>
  <c r="CN16" i="19"/>
  <c r="CN19" i="19"/>
  <c r="CV19" i="19"/>
  <c r="CV18" i="19"/>
  <c r="CV17" i="19"/>
  <c r="CV16" i="19"/>
  <c r="DD19" i="19"/>
  <c r="DD18" i="19"/>
  <c r="DD17" i="19"/>
  <c r="DD16" i="19"/>
  <c r="DR19" i="19"/>
  <c r="DR18" i="19"/>
  <c r="DR16" i="19"/>
  <c r="DR17" i="19"/>
  <c r="DZ19" i="19"/>
  <c r="DZ18" i="19"/>
  <c r="DZ16" i="19"/>
  <c r="DZ17" i="19"/>
  <c r="EH19" i="19"/>
  <c r="EH18" i="19"/>
  <c r="EH16" i="19"/>
  <c r="EH17" i="19"/>
  <c r="EP19" i="19"/>
  <c r="EP18" i="19"/>
  <c r="EP17" i="19"/>
  <c r="EP16" i="19"/>
  <c r="EX19" i="19"/>
  <c r="EX18" i="19"/>
  <c r="EX17" i="19"/>
  <c r="EX16" i="19"/>
  <c r="FF19" i="19"/>
  <c r="FF18" i="19"/>
  <c r="FF17" i="19"/>
  <c r="FF16" i="19"/>
  <c r="FN19" i="19"/>
  <c r="FN18" i="19"/>
  <c r="FN17" i="19"/>
  <c r="FN16" i="19"/>
  <c r="FV19" i="19"/>
  <c r="FV18" i="19"/>
  <c r="FV17" i="19"/>
  <c r="FV16" i="19"/>
  <c r="GD19" i="19"/>
  <c r="GD18" i="19"/>
  <c r="GD17" i="19"/>
  <c r="GD16" i="19"/>
  <c r="GL19" i="19"/>
  <c r="GL18" i="19"/>
  <c r="GL17" i="19"/>
  <c r="GL16" i="19"/>
  <c r="GT19" i="19"/>
  <c r="GT18" i="19"/>
  <c r="GT17" i="19"/>
  <c r="GT16" i="19"/>
  <c r="HB19" i="19"/>
  <c r="HB18" i="19"/>
  <c r="HB17" i="19"/>
  <c r="HB16" i="19"/>
  <c r="HJ19" i="19"/>
  <c r="HJ18" i="19"/>
  <c r="HJ17" i="19"/>
  <c r="HJ16" i="19"/>
  <c r="HR19" i="19"/>
  <c r="HR18" i="19"/>
  <c r="HR17" i="19"/>
  <c r="HR16" i="19"/>
  <c r="HZ19" i="19"/>
  <c r="HZ17" i="19"/>
  <c r="HZ16" i="19"/>
  <c r="HZ18" i="19"/>
  <c r="IH19" i="19"/>
  <c r="IH18" i="19"/>
  <c r="IH17" i="19"/>
  <c r="IH16" i="19"/>
  <c r="IP19" i="19"/>
  <c r="IP18" i="19"/>
  <c r="IP17" i="19"/>
  <c r="IP16" i="19"/>
  <c r="IX19" i="19"/>
  <c r="IX18" i="19"/>
  <c r="IX17" i="19"/>
  <c r="IX16" i="19"/>
  <c r="JF19" i="19"/>
  <c r="JF18" i="19"/>
  <c r="JF17" i="19"/>
  <c r="JF16" i="19"/>
  <c r="JN19" i="19"/>
  <c r="JN18" i="19"/>
  <c r="JN17" i="19"/>
  <c r="JN16" i="19"/>
  <c r="JV19" i="19"/>
  <c r="JV18" i="19"/>
  <c r="JV16" i="19"/>
  <c r="JV17" i="19"/>
  <c r="KD19" i="19"/>
  <c r="KD18" i="19"/>
  <c r="KD17" i="19"/>
  <c r="KD16" i="19"/>
  <c r="KL19" i="19"/>
  <c r="KL18" i="19"/>
  <c r="KL16" i="19"/>
  <c r="KL17" i="19"/>
  <c r="KT19" i="19"/>
  <c r="KT18" i="19"/>
  <c r="KT17" i="19"/>
  <c r="KT16" i="19"/>
  <c r="LB19" i="19"/>
  <c r="LB18" i="19"/>
  <c r="LB17" i="19"/>
  <c r="LB16" i="19"/>
  <c r="LJ19" i="19"/>
  <c r="LJ17" i="19"/>
  <c r="LJ18" i="19"/>
  <c r="LJ16" i="19"/>
  <c r="LR19" i="19"/>
  <c r="LR17" i="19"/>
  <c r="LR18" i="19"/>
  <c r="LR16" i="19"/>
  <c r="LZ19" i="19"/>
  <c r="LZ17" i="19"/>
  <c r="LZ18" i="19"/>
  <c r="LZ16" i="19"/>
  <c r="MH19" i="19"/>
  <c r="MH17" i="19"/>
  <c r="MH18" i="19"/>
  <c r="MH16" i="19"/>
  <c r="MP19" i="19"/>
  <c r="MP17" i="19"/>
  <c r="MP18" i="19"/>
  <c r="MP16" i="19"/>
  <c r="MX19" i="19"/>
  <c r="MX17" i="19"/>
  <c r="MX18" i="19"/>
  <c r="MX16" i="19"/>
  <c r="NF19" i="19"/>
  <c r="NF18" i="19"/>
  <c r="NF17" i="19"/>
  <c r="NF16" i="19"/>
  <c r="NN19" i="19"/>
  <c r="NN18" i="19"/>
  <c r="NN17" i="19"/>
  <c r="NN16" i="19"/>
  <c r="NV19" i="19"/>
  <c r="NV17" i="19"/>
  <c r="NV18" i="19"/>
  <c r="NV16" i="19"/>
  <c r="OD19" i="19"/>
  <c r="OD17" i="19"/>
  <c r="OD18" i="19"/>
  <c r="OD16" i="19"/>
  <c r="OL19" i="19"/>
  <c r="OL17" i="19"/>
  <c r="OL18" i="19"/>
  <c r="OL16" i="19"/>
  <c r="OT19" i="19"/>
  <c r="OT17" i="19"/>
  <c r="OT18" i="19"/>
  <c r="OT16" i="19"/>
  <c r="PB19" i="19"/>
  <c r="PB17" i="19"/>
  <c r="PB18" i="19"/>
  <c r="PB16" i="19"/>
  <c r="PJ19" i="19"/>
  <c r="PJ17" i="19"/>
  <c r="PJ18" i="19"/>
  <c r="PJ16" i="19"/>
  <c r="PR19" i="19"/>
  <c r="PR18" i="19"/>
  <c r="PR17" i="19"/>
  <c r="PR16" i="19"/>
  <c r="PZ19" i="19"/>
  <c r="PZ18" i="19"/>
  <c r="PZ17" i="19"/>
  <c r="PZ16" i="19"/>
  <c r="QH19" i="19"/>
  <c r="QH17" i="19"/>
  <c r="QH18" i="19"/>
  <c r="QH16" i="19"/>
  <c r="QP19" i="19"/>
  <c r="QP17" i="19"/>
  <c r="QP18" i="19"/>
  <c r="QP16" i="19"/>
  <c r="QX19" i="19"/>
  <c r="QX17" i="19"/>
  <c r="QX18" i="19"/>
  <c r="QX16" i="19"/>
  <c r="R19" i="19"/>
  <c r="R17" i="19"/>
  <c r="R16" i="19"/>
  <c r="R18" i="19"/>
  <c r="CL19" i="19"/>
  <c r="CL18" i="19"/>
  <c r="CL17" i="19"/>
  <c r="CL16" i="19"/>
  <c r="K19" i="19"/>
  <c r="K17" i="19"/>
  <c r="K18" i="19"/>
  <c r="K16" i="19"/>
  <c r="CE18" i="19"/>
  <c r="CE19" i="19"/>
  <c r="CE17" i="19"/>
  <c r="CE16" i="19"/>
  <c r="DC18" i="19"/>
  <c r="DC19" i="19"/>
  <c r="DC17" i="19"/>
  <c r="DC16" i="19"/>
  <c r="E18" i="19"/>
  <c r="E16" i="19"/>
  <c r="E17" i="19"/>
  <c r="E19" i="19"/>
  <c r="CW17" i="19"/>
  <c r="CW18" i="19"/>
  <c r="CW16" i="19"/>
  <c r="CW19" i="19"/>
  <c r="EA19" i="19"/>
  <c r="EA18" i="19"/>
  <c r="EA17" i="19"/>
  <c r="EA16" i="19"/>
  <c r="EY19" i="19"/>
  <c r="EY18" i="19"/>
  <c r="EY17" i="19"/>
  <c r="EY16" i="19"/>
  <c r="FW19" i="19"/>
  <c r="FW18" i="19"/>
  <c r="FW17" i="19"/>
  <c r="FW16" i="19"/>
  <c r="GU19" i="19"/>
  <c r="GU18" i="19"/>
  <c r="GU17" i="19"/>
  <c r="GU16" i="19"/>
  <c r="HS19" i="19"/>
  <c r="HS18" i="19"/>
  <c r="HS17" i="19"/>
  <c r="HS16" i="19"/>
  <c r="IQ19" i="19"/>
  <c r="IQ17" i="19"/>
  <c r="IQ16" i="19"/>
  <c r="IQ18" i="19"/>
  <c r="JG19" i="19"/>
  <c r="JG18" i="19"/>
  <c r="JG17" i="19"/>
  <c r="JG16" i="19"/>
  <c r="KE19" i="19"/>
  <c r="KE18" i="19"/>
  <c r="KE17" i="19"/>
  <c r="KE16" i="19"/>
  <c r="LC19" i="19"/>
  <c r="LC18" i="19"/>
  <c r="LC17" i="19"/>
  <c r="LC16" i="19"/>
  <c r="LS19" i="19"/>
  <c r="LS17" i="19"/>
  <c r="LS18" i="19"/>
  <c r="LS16" i="19"/>
  <c r="MQ19" i="19"/>
  <c r="MQ17" i="19"/>
  <c r="MQ18" i="19"/>
  <c r="MQ16" i="19"/>
  <c r="NO19" i="19"/>
  <c r="NO18" i="19"/>
  <c r="NO17" i="19"/>
  <c r="NO16" i="19"/>
  <c r="OM19" i="19"/>
  <c r="OM17" i="19"/>
  <c r="OM18" i="19"/>
  <c r="OM16" i="19"/>
  <c r="PK19" i="19"/>
  <c r="PK17" i="19"/>
  <c r="PK18" i="19"/>
  <c r="PK16" i="19"/>
  <c r="QA19" i="19"/>
  <c r="QA18" i="19"/>
  <c r="QA17" i="19"/>
  <c r="QA16" i="19"/>
  <c r="QY19" i="19"/>
  <c r="QY17" i="19"/>
  <c r="QY18" i="19"/>
  <c r="QY16" i="19"/>
  <c r="F19" i="19"/>
  <c r="F17" i="19"/>
  <c r="F18" i="19"/>
  <c r="F16" i="19"/>
  <c r="CP17" i="19"/>
  <c r="CP19" i="19"/>
  <c r="CP18" i="19"/>
  <c r="CP16" i="19"/>
  <c r="DT19" i="19"/>
  <c r="DT17" i="19"/>
  <c r="DT18" i="19"/>
  <c r="DT16" i="19"/>
  <c r="G18" i="19"/>
  <c r="G19" i="19"/>
  <c r="G17" i="19"/>
  <c r="G16" i="19"/>
  <c r="CI19" i="19"/>
  <c r="CI17" i="19"/>
  <c r="CI18" i="19"/>
  <c r="CI16" i="19"/>
  <c r="CQ19" i="19"/>
  <c r="CQ18" i="19"/>
  <c r="CQ16" i="19"/>
  <c r="CQ17" i="19"/>
  <c r="CY19" i="19"/>
  <c r="CY17" i="19"/>
  <c r="CY18" i="19"/>
  <c r="CY16" i="19"/>
  <c r="DG19" i="19"/>
  <c r="DG18" i="19"/>
  <c r="DG16" i="19"/>
  <c r="DG17" i="19"/>
  <c r="DU19" i="19"/>
  <c r="DU18" i="19"/>
  <c r="DU16" i="19"/>
  <c r="DU17" i="19"/>
  <c r="EC19" i="19"/>
  <c r="EC18" i="19"/>
  <c r="EC17" i="19"/>
  <c r="EC16" i="19"/>
  <c r="CD18" i="19"/>
  <c r="CD19" i="19"/>
  <c r="CD17" i="19"/>
  <c r="CD16" i="19"/>
  <c r="CM18" i="19"/>
  <c r="CM17" i="19"/>
  <c r="CM19" i="19"/>
  <c r="CM16" i="19"/>
  <c r="EG19" i="19"/>
  <c r="EG18" i="19"/>
  <c r="EG17" i="19"/>
  <c r="EG16" i="19"/>
  <c r="CG18" i="19"/>
  <c r="CG19" i="19"/>
  <c r="CG16" i="19"/>
  <c r="CG17" i="19"/>
  <c r="DE18" i="19"/>
  <c r="DE19" i="19"/>
  <c r="DE17" i="19"/>
  <c r="DE16" i="19"/>
  <c r="EI19" i="19"/>
  <c r="EI18" i="19"/>
  <c r="EI17" i="19"/>
  <c r="EI16" i="19"/>
  <c r="FG19" i="19"/>
  <c r="FG18" i="19"/>
  <c r="FG17" i="19"/>
  <c r="FG16" i="19"/>
  <c r="GE19" i="19"/>
  <c r="GE18" i="19"/>
  <c r="GE17" i="19"/>
  <c r="GE16" i="19"/>
  <c r="HC19" i="19"/>
  <c r="HC18" i="19"/>
  <c r="HC17" i="19"/>
  <c r="HC16" i="19"/>
  <c r="IA19" i="19"/>
  <c r="IA17" i="19"/>
  <c r="IA16" i="19"/>
  <c r="IA18" i="19"/>
  <c r="IY19" i="19"/>
  <c r="IY18" i="19"/>
  <c r="IY17" i="19"/>
  <c r="IY16" i="19"/>
  <c r="JW19" i="19"/>
  <c r="JW18" i="19"/>
  <c r="JW17" i="19"/>
  <c r="JW16" i="19"/>
  <c r="KU19" i="19"/>
  <c r="KU17" i="19"/>
  <c r="KU18" i="19"/>
  <c r="KU16" i="19"/>
  <c r="MA19" i="19"/>
  <c r="MA17" i="19"/>
  <c r="MA18" i="19"/>
  <c r="MA16" i="19"/>
  <c r="MY19" i="19"/>
  <c r="MY17" i="19"/>
  <c r="MY16" i="19"/>
  <c r="MY18" i="19"/>
  <c r="OE19" i="19"/>
  <c r="OE17" i="19"/>
  <c r="OE18" i="19"/>
  <c r="OE16" i="19"/>
  <c r="PC19" i="19"/>
  <c r="PC17" i="19"/>
  <c r="PC18" i="19"/>
  <c r="PC16" i="19"/>
  <c r="PS19" i="19"/>
  <c r="PS17" i="19"/>
  <c r="PS18" i="19"/>
  <c r="PS16" i="19"/>
  <c r="QQ19" i="19"/>
  <c r="QQ17" i="19"/>
  <c r="QQ18" i="19"/>
  <c r="QQ16" i="19"/>
  <c r="N18" i="19"/>
  <c r="N17" i="19"/>
  <c r="N16" i="19"/>
  <c r="N19" i="19"/>
  <c r="CH19" i="19"/>
  <c r="CH18" i="19"/>
  <c r="CH17" i="19"/>
  <c r="CH16" i="19"/>
  <c r="DF17" i="19"/>
  <c r="DF18" i="19"/>
  <c r="DF19" i="19"/>
  <c r="DF16" i="19"/>
  <c r="EB18" i="19"/>
  <c r="EB17" i="19"/>
  <c r="EB19" i="19"/>
  <c r="EB16" i="19"/>
  <c r="CZ18" i="19"/>
  <c r="CZ19" i="19"/>
  <c r="CZ17" i="19"/>
  <c r="CZ16" i="19"/>
  <c r="DH18" i="19"/>
  <c r="DH19" i="19"/>
  <c r="DH17" i="19"/>
  <c r="DH16" i="19"/>
  <c r="DV19" i="19"/>
  <c r="DV17" i="19"/>
  <c r="DV18" i="19"/>
  <c r="DV16" i="19"/>
  <c r="ED19" i="19"/>
  <c r="ED18" i="19"/>
  <c r="ED17" i="19"/>
  <c r="ED16" i="19"/>
  <c r="J19" i="19"/>
  <c r="J18" i="19"/>
  <c r="J17" i="19"/>
  <c r="J16" i="19"/>
  <c r="DP18" i="19"/>
  <c r="DP19" i="19"/>
  <c r="DP17" i="19"/>
  <c r="DP16" i="19"/>
  <c r="C19" i="19"/>
  <c r="C17" i="19"/>
  <c r="C18" i="19"/>
  <c r="C16" i="19"/>
  <c r="DY19" i="19"/>
  <c r="DY18" i="19"/>
  <c r="DY17" i="19"/>
  <c r="DY16" i="19"/>
  <c r="M19" i="19"/>
  <c r="M18" i="19"/>
  <c r="M17" i="19"/>
  <c r="M16" i="19"/>
  <c r="CO19" i="19"/>
  <c r="CO18" i="19"/>
  <c r="CO17" i="19"/>
  <c r="CO16" i="19"/>
  <c r="DS19" i="19"/>
  <c r="DS18" i="19"/>
  <c r="DS17" i="19"/>
  <c r="DS16" i="19"/>
  <c r="EQ19" i="19"/>
  <c r="EQ18" i="19"/>
  <c r="EQ17" i="19"/>
  <c r="EQ16" i="19"/>
  <c r="FO19" i="19"/>
  <c r="FO18" i="19"/>
  <c r="FO17" i="19"/>
  <c r="FO16" i="19"/>
  <c r="GM19" i="19"/>
  <c r="GM18" i="19"/>
  <c r="GM17" i="19"/>
  <c r="GM16" i="19"/>
  <c r="HK19" i="19"/>
  <c r="HK18" i="19"/>
  <c r="HK17" i="19"/>
  <c r="HK16" i="19"/>
  <c r="II19" i="19"/>
  <c r="II18" i="19"/>
  <c r="II17" i="19"/>
  <c r="II16" i="19"/>
  <c r="JO19" i="19"/>
  <c r="JO17" i="19"/>
  <c r="JO16" i="19"/>
  <c r="JO18" i="19"/>
  <c r="KM19" i="19"/>
  <c r="KM18" i="19"/>
  <c r="KM17" i="19"/>
  <c r="KM16" i="19"/>
  <c r="LK19" i="19"/>
  <c r="LK17" i="19"/>
  <c r="LK18" i="19"/>
  <c r="LK16" i="19"/>
  <c r="MI19" i="19"/>
  <c r="MI17" i="19"/>
  <c r="MI18" i="19"/>
  <c r="MI16" i="19"/>
  <c r="NG19" i="19"/>
  <c r="NG17" i="19"/>
  <c r="NG18" i="19"/>
  <c r="NG16" i="19"/>
  <c r="NW19" i="19"/>
  <c r="NW17" i="19"/>
  <c r="NW18" i="19"/>
  <c r="NW16" i="19"/>
  <c r="OU19" i="19"/>
  <c r="OU17" i="19"/>
  <c r="OU16" i="19"/>
  <c r="OU18" i="19"/>
  <c r="QI19" i="19"/>
  <c r="QI17" i="19"/>
  <c r="QI18" i="19"/>
  <c r="QI16" i="19"/>
  <c r="CX17" i="19"/>
  <c r="CX19" i="19"/>
  <c r="CX16" i="19"/>
  <c r="CX18" i="19"/>
  <c r="EJ17" i="19"/>
  <c r="EJ19" i="19"/>
  <c r="EJ18" i="19"/>
  <c r="EJ16" i="19"/>
  <c r="O18" i="19"/>
  <c r="O19" i="19"/>
  <c r="O17" i="19"/>
  <c r="O16" i="19"/>
  <c r="I19" i="19"/>
  <c r="I18" i="19"/>
  <c r="I17" i="19"/>
  <c r="I16" i="19"/>
  <c r="Q19" i="19"/>
  <c r="Q18" i="19"/>
  <c r="Q17" i="19"/>
  <c r="Q16" i="19"/>
  <c r="CC19" i="19"/>
  <c r="CC18" i="19"/>
  <c r="CC17" i="19"/>
  <c r="CC16" i="19"/>
  <c r="CK19" i="19"/>
  <c r="CK17" i="19"/>
  <c r="CK16" i="19"/>
  <c r="CK18" i="19"/>
  <c r="CR19" i="19"/>
  <c r="CR18" i="19"/>
  <c r="CR16" i="19"/>
  <c r="CR17" i="19"/>
  <c r="EF19" i="19"/>
  <c r="EF18" i="19"/>
  <c r="EF17" i="19"/>
  <c r="KC16" i="19"/>
  <c r="CB19" i="19"/>
  <c r="CB18" i="19"/>
  <c r="CB17" i="19"/>
  <c r="CB16" i="19"/>
  <c r="ER18" i="19"/>
  <c r="ER17" i="19"/>
  <c r="ER19" i="19"/>
  <c r="EZ19" i="19"/>
  <c r="EZ17" i="19"/>
  <c r="EZ18" i="19"/>
  <c r="EZ16" i="19"/>
  <c r="FH19" i="19"/>
  <c r="FH17" i="19"/>
  <c r="FH18" i="19"/>
  <c r="FH16" i="19"/>
  <c r="FP19" i="19"/>
  <c r="FP18" i="19"/>
  <c r="FP17" i="19"/>
  <c r="FP16" i="19"/>
  <c r="FX19" i="19"/>
  <c r="FX17" i="19"/>
  <c r="GF19" i="19"/>
  <c r="GF17" i="19"/>
  <c r="GF16" i="19"/>
  <c r="GN19" i="19"/>
  <c r="GN18" i="19"/>
  <c r="GN17" i="19"/>
  <c r="GN16" i="19"/>
  <c r="GV18" i="19"/>
  <c r="GV17" i="19"/>
  <c r="GV19" i="19"/>
  <c r="HD18" i="19"/>
  <c r="HD17" i="19"/>
  <c r="HD19" i="19"/>
  <c r="HD16" i="19"/>
  <c r="HL19" i="19"/>
  <c r="HL17" i="19"/>
  <c r="HL18" i="19"/>
  <c r="HL16" i="19"/>
  <c r="HT19" i="19"/>
  <c r="HT18" i="19"/>
  <c r="HT17" i="19"/>
  <c r="HT16" i="19"/>
  <c r="IB19" i="19"/>
  <c r="IB17" i="19"/>
  <c r="IB18" i="19"/>
  <c r="IB16" i="19"/>
  <c r="IJ19" i="19"/>
  <c r="IJ17" i="19"/>
  <c r="IJ18" i="19"/>
  <c r="IR19" i="19"/>
  <c r="IR17" i="19"/>
  <c r="IR18" i="19"/>
  <c r="IR16" i="19"/>
  <c r="IZ19" i="19"/>
  <c r="IZ17" i="19"/>
  <c r="IZ18" i="19"/>
  <c r="IZ16" i="19"/>
  <c r="JH18" i="19"/>
  <c r="JH17" i="19"/>
  <c r="JH19" i="19"/>
  <c r="JP18" i="19"/>
  <c r="JP17" i="19"/>
  <c r="JP19" i="19"/>
  <c r="JP16" i="19"/>
  <c r="JX19" i="19"/>
  <c r="JX18" i="19"/>
  <c r="JX17" i="19"/>
  <c r="JX16" i="19"/>
  <c r="KF19" i="19"/>
  <c r="KF17" i="19"/>
  <c r="KF16" i="19"/>
  <c r="KF18" i="19"/>
  <c r="KN19" i="19"/>
  <c r="KN18" i="19"/>
  <c r="KN17" i="19"/>
  <c r="KN16" i="19"/>
  <c r="KV19" i="19"/>
  <c r="KV17" i="19"/>
  <c r="KV18" i="19"/>
  <c r="KV16" i="19"/>
  <c r="LD19" i="19"/>
  <c r="LD17" i="19"/>
  <c r="LD18" i="19"/>
  <c r="LD16" i="19"/>
  <c r="LL19" i="19"/>
  <c r="LL18" i="19"/>
  <c r="LL17" i="19"/>
  <c r="LL16" i="19"/>
  <c r="LT19" i="19"/>
  <c r="LT18" i="19"/>
  <c r="LT16" i="19"/>
  <c r="LT17" i="19"/>
  <c r="MB19" i="19"/>
  <c r="MB17" i="19"/>
  <c r="MB18" i="19"/>
  <c r="MB16" i="19"/>
  <c r="MJ19" i="19"/>
  <c r="MJ18" i="19"/>
  <c r="MJ16" i="19"/>
  <c r="MJ17" i="19"/>
  <c r="MR19" i="19"/>
  <c r="MR18" i="19"/>
  <c r="MR17" i="19"/>
  <c r="MR16" i="19"/>
  <c r="MZ19" i="19"/>
  <c r="MZ17" i="19"/>
  <c r="MZ16" i="19"/>
  <c r="MZ18" i="19"/>
  <c r="NH19" i="19"/>
  <c r="NH18" i="19"/>
  <c r="NH16" i="19"/>
  <c r="NH17" i="19"/>
  <c r="NP19" i="19"/>
  <c r="NP17" i="19"/>
  <c r="NP18" i="19"/>
  <c r="NP16" i="19"/>
  <c r="NX19" i="19"/>
  <c r="NX18" i="19"/>
  <c r="NX17" i="19"/>
  <c r="NX16" i="19"/>
  <c r="OF19" i="19"/>
  <c r="OF18" i="19"/>
  <c r="OF16" i="19"/>
  <c r="OF17" i="19"/>
  <c r="ON19" i="19"/>
  <c r="ON18" i="19"/>
  <c r="ON17" i="19"/>
  <c r="ON16" i="19"/>
  <c r="OV19" i="19"/>
  <c r="OV18" i="19"/>
  <c r="OV17" i="19"/>
  <c r="OV16" i="19"/>
  <c r="PD19" i="19"/>
  <c r="PD16" i="19"/>
  <c r="PD17" i="19"/>
  <c r="PD18" i="19"/>
  <c r="PL19" i="19"/>
  <c r="PL17" i="19"/>
  <c r="PL18" i="19"/>
  <c r="PL16" i="19"/>
  <c r="PT19" i="19"/>
  <c r="PT18" i="19"/>
  <c r="PT17" i="19"/>
  <c r="PT16" i="19"/>
  <c r="QB19" i="19"/>
  <c r="QB17" i="19"/>
  <c r="QB18" i="19"/>
  <c r="QB16" i="19"/>
  <c r="QJ19" i="19"/>
  <c r="QJ18" i="19"/>
  <c r="QJ17" i="19"/>
  <c r="QJ16" i="19"/>
  <c r="QR19" i="19"/>
  <c r="QR18" i="19"/>
  <c r="QR17" i="19"/>
  <c r="QR16" i="19"/>
  <c r="QZ19" i="19"/>
  <c r="QZ17" i="19"/>
  <c r="QZ16" i="19"/>
  <c r="QZ18" i="19"/>
  <c r="ER16" i="19"/>
  <c r="GF18" i="19"/>
  <c r="ES19" i="19"/>
  <c r="ES17" i="19"/>
  <c r="ES18" i="19"/>
  <c r="FA19" i="19"/>
  <c r="FA17" i="19"/>
  <c r="FA18" i="19"/>
  <c r="FA16" i="19"/>
  <c r="FI19" i="19"/>
  <c r="FI17" i="19"/>
  <c r="FI16" i="19"/>
  <c r="FI18" i="19"/>
  <c r="FQ19" i="19"/>
  <c r="FQ18" i="19"/>
  <c r="FQ17" i="19"/>
  <c r="FQ16" i="19"/>
  <c r="FY19" i="19"/>
  <c r="FY17" i="19"/>
  <c r="FY18" i="19"/>
  <c r="FY16" i="19"/>
  <c r="GG19" i="19"/>
  <c r="GG17" i="19"/>
  <c r="GG16" i="19"/>
  <c r="GG18" i="19"/>
  <c r="GO19" i="19"/>
  <c r="GO18" i="19"/>
  <c r="GO17" i="19"/>
  <c r="GO16" i="19"/>
  <c r="GW19" i="19"/>
  <c r="GW17" i="19"/>
  <c r="GW16" i="19"/>
  <c r="GW18" i="19"/>
  <c r="HE19" i="19"/>
  <c r="HE18" i="19"/>
  <c r="HE17" i="19"/>
  <c r="HE16" i="19"/>
  <c r="HM19" i="19"/>
  <c r="HM18" i="19"/>
  <c r="HM17" i="19"/>
  <c r="HM16" i="19"/>
  <c r="HU19" i="19"/>
  <c r="HU17" i="19"/>
  <c r="HU18" i="19"/>
  <c r="HU16" i="19"/>
  <c r="IC19" i="19"/>
  <c r="IC18" i="19"/>
  <c r="IC17" i="19"/>
  <c r="IC16" i="19"/>
  <c r="IK19" i="19"/>
  <c r="IK17" i="19"/>
  <c r="IK16" i="19"/>
  <c r="IK18" i="19"/>
  <c r="IS19" i="19"/>
  <c r="IS17" i="19"/>
  <c r="IS18" i="19"/>
  <c r="IS16" i="19"/>
  <c r="JA19" i="19"/>
  <c r="JA17" i="19"/>
  <c r="JA18" i="19"/>
  <c r="JA16" i="19"/>
  <c r="JI19" i="19"/>
  <c r="JI17" i="19"/>
  <c r="JI18" i="19"/>
  <c r="JI16" i="19"/>
  <c r="JQ19" i="19"/>
  <c r="JQ18" i="19"/>
  <c r="JQ17" i="19"/>
  <c r="JQ16" i="19"/>
  <c r="JY19" i="19"/>
  <c r="JY18" i="19"/>
  <c r="JY17" i="19"/>
  <c r="JY16" i="19"/>
  <c r="KG19" i="19"/>
  <c r="KG18" i="19"/>
  <c r="KG17" i="19"/>
  <c r="KG16" i="19"/>
  <c r="KO19" i="19"/>
  <c r="KO18" i="19"/>
  <c r="KO17" i="19"/>
  <c r="KO16" i="19"/>
  <c r="KW17" i="19"/>
  <c r="KW19" i="19"/>
  <c r="KW18" i="19"/>
  <c r="LE19" i="19"/>
  <c r="LE18" i="19"/>
  <c r="LE17" i="19"/>
  <c r="LE16" i="19"/>
  <c r="LM19" i="19"/>
  <c r="LM17" i="19"/>
  <c r="LM16" i="19"/>
  <c r="LM18" i="19"/>
  <c r="LU18" i="19"/>
  <c r="LU19" i="19"/>
  <c r="LU17" i="19"/>
  <c r="MC18" i="19"/>
  <c r="MC17" i="19"/>
  <c r="MC19" i="19"/>
  <c r="MC16" i="19"/>
  <c r="MK19" i="19"/>
  <c r="MK17" i="19"/>
  <c r="MK18" i="19"/>
  <c r="MK16" i="19"/>
  <c r="MS19" i="19"/>
  <c r="MS18" i="19"/>
  <c r="MS16" i="19"/>
  <c r="NA17" i="19"/>
  <c r="NA18" i="19"/>
  <c r="NA19" i="19"/>
  <c r="NA16" i="19"/>
  <c r="NI18" i="19"/>
  <c r="NI19" i="19"/>
  <c r="NI17" i="19"/>
  <c r="NQ19" i="19"/>
  <c r="NQ17" i="19"/>
  <c r="NQ18" i="19"/>
  <c r="NQ16" i="19"/>
  <c r="NY19" i="19"/>
  <c r="NY18" i="19"/>
  <c r="NY17" i="19"/>
  <c r="NY16" i="19"/>
  <c r="OG18" i="19"/>
  <c r="OG19" i="19"/>
  <c r="OG17" i="19"/>
  <c r="OO18" i="19"/>
  <c r="OO17" i="19"/>
  <c r="OO19" i="19"/>
  <c r="OO16" i="19"/>
  <c r="OW19" i="19"/>
  <c r="OW18" i="19"/>
  <c r="OW17" i="19"/>
  <c r="OW16" i="19"/>
  <c r="PE19" i="19"/>
  <c r="PE18" i="19"/>
  <c r="PE16" i="19"/>
  <c r="PM17" i="19"/>
  <c r="PM18" i="19"/>
  <c r="PM19" i="19"/>
  <c r="PM16" i="19"/>
  <c r="PU19" i="19"/>
  <c r="PU18" i="19"/>
  <c r="PU17" i="19"/>
  <c r="QC19" i="19"/>
  <c r="QC18" i="19"/>
  <c r="QC17" i="19"/>
  <c r="QC16" i="19"/>
  <c r="QK19" i="19"/>
  <c r="QK17" i="19"/>
  <c r="QK16" i="19"/>
  <c r="QK18" i="19"/>
  <c r="QS19" i="19"/>
  <c r="QS18" i="19"/>
  <c r="QS17" i="19"/>
  <c r="ES16" i="19"/>
  <c r="OG16" i="19"/>
  <c r="DQ19" i="19"/>
  <c r="DQ18" i="19"/>
  <c r="DQ17" i="19"/>
  <c r="DQ16" i="19"/>
  <c r="EL17" i="19"/>
  <c r="EL18" i="19"/>
  <c r="EL19" i="19"/>
  <c r="EL16" i="19"/>
  <c r="ET19" i="19"/>
  <c r="ET17" i="19"/>
  <c r="ET18" i="19"/>
  <c r="ET16" i="19"/>
  <c r="FB19" i="19"/>
  <c r="FB17" i="19"/>
  <c r="FB18" i="19"/>
  <c r="FB16" i="19"/>
  <c r="FJ17" i="19"/>
  <c r="FJ16" i="19"/>
  <c r="FJ19" i="19"/>
  <c r="FJ18" i="19"/>
  <c r="FR17" i="19"/>
  <c r="FR16" i="19"/>
  <c r="FR18" i="19"/>
  <c r="FR19" i="19"/>
  <c r="FZ17" i="19"/>
  <c r="FZ18" i="19"/>
  <c r="FZ16" i="19"/>
  <c r="FZ19" i="19"/>
  <c r="GH17" i="19"/>
  <c r="GH19" i="19"/>
  <c r="GH16" i="19"/>
  <c r="GH18" i="19"/>
  <c r="GP18" i="19"/>
  <c r="GP19" i="19"/>
  <c r="GP17" i="19"/>
  <c r="GP16" i="19"/>
  <c r="GX18" i="19"/>
  <c r="GX19" i="19"/>
  <c r="GX17" i="19"/>
  <c r="GX16" i="19"/>
  <c r="HF18" i="19"/>
  <c r="HF19" i="19"/>
  <c r="HF17" i="19"/>
  <c r="HF16" i="19"/>
  <c r="HN18" i="19"/>
  <c r="HN19" i="19"/>
  <c r="HN17" i="19"/>
  <c r="HN16" i="19"/>
  <c r="HV18" i="19"/>
  <c r="HV19" i="19"/>
  <c r="HV17" i="19"/>
  <c r="HV16" i="19"/>
  <c r="ID18" i="19"/>
  <c r="ID19" i="19"/>
  <c r="ID17" i="19"/>
  <c r="ID16" i="19"/>
  <c r="IL18" i="19"/>
  <c r="IL19" i="19"/>
  <c r="IL17" i="19"/>
  <c r="IL16" i="19"/>
  <c r="IT18" i="19"/>
  <c r="IT19" i="19"/>
  <c r="IT17" i="19"/>
  <c r="IT16" i="19"/>
  <c r="JB18" i="19"/>
  <c r="JB19" i="19"/>
  <c r="JB17" i="19"/>
  <c r="JB16" i="19"/>
  <c r="JJ18" i="19"/>
  <c r="JJ19" i="19"/>
  <c r="JJ17" i="19"/>
  <c r="JJ16" i="19"/>
  <c r="JR18" i="19"/>
  <c r="JR19" i="19"/>
  <c r="JR17" i="19"/>
  <c r="JR16" i="19"/>
  <c r="JZ19" i="19"/>
  <c r="JZ18" i="19"/>
  <c r="JZ17" i="19"/>
  <c r="JZ16" i="19"/>
  <c r="KH19" i="19"/>
  <c r="KH17" i="19"/>
  <c r="KH16" i="19"/>
  <c r="KH18" i="19"/>
  <c r="KP19" i="19"/>
  <c r="KP18" i="19"/>
  <c r="KP17" i="19"/>
  <c r="KP16" i="19"/>
  <c r="KX19" i="19"/>
  <c r="KX18" i="19"/>
  <c r="KX17" i="19"/>
  <c r="KX16" i="19"/>
  <c r="LF19" i="19"/>
  <c r="LF18" i="19"/>
  <c r="LF16" i="19"/>
  <c r="LF17" i="19"/>
  <c r="LN19" i="19"/>
  <c r="LN17" i="19"/>
  <c r="LN18" i="19"/>
  <c r="LN16" i="19"/>
  <c r="LV19" i="19"/>
  <c r="LV17" i="19"/>
  <c r="LV16" i="19"/>
  <c r="LV18" i="19"/>
  <c r="MD19" i="19"/>
  <c r="MD18" i="19"/>
  <c r="MD16" i="19"/>
  <c r="MD17" i="19"/>
  <c r="ML19" i="19"/>
  <c r="ML18" i="19"/>
  <c r="ML17" i="19"/>
  <c r="ML16" i="19"/>
  <c r="MT19" i="19"/>
  <c r="MT18" i="19"/>
  <c r="MT17" i="19"/>
  <c r="MT16" i="19"/>
  <c r="NB19" i="19"/>
  <c r="NB18" i="19"/>
  <c r="NB17" i="19"/>
  <c r="NB16" i="19"/>
  <c r="NJ19" i="19"/>
  <c r="NJ18" i="19"/>
  <c r="NJ17" i="19"/>
  <c r="NJ16" i="19"/>
  <c r="NR19" i="19"/>
  <c r="NR16" i="19"/>
  <c r="NR17" i="19"/>
  <c r="NZ19" i="19"/>
  <c r="NZ18" i="19"/>
  <c r="NZ17" i="19"/>
  <c r="NZ16" i="19"/>
  <c r="OH19" i="19"/>
  <c r="OH16" i="19"/>
  <c r="OH18" i="19"/>
  <c r="OH17" i="19"/>
  <c r="OP19" i="19"/>
  <c r="OP18" i="19"/>
  <c r="OP16" i="19"/>
  <c r="OP17" i="19"/>
  <c r="OX19" i="19"/>
  <c r="OX18" i="19"/>
  <c r="OX17" i="19"/>
  <c r="OX16" i="19"/>
  <c r="PF19" i="19"/>
  <c r="PF16" i="19"/>
  <c r="PF18" i="19"/>
  <c r="PN19" i="19"/>
  <c r="PN18" i="19"/>
  <c r="PN17" i="19"/>
  <c r="PN16" i="19"/>
  <c r="PV19" i="19"/>
  <c r="PV17" i="19"/>
  <c r="PV16" i="19"/>
  <c r="PV18" i="19"/>
  <c r="QD19" i="19"/>
  <c r="QD18" i="19"/>
  <c r="QD16" i="19"/>
  <c r="QD17" i="19"/>
  <c r="QL19" i="19"/>
  <c r="QL16" i="19"/>
  <c r="QL17" i="19"/>
  <c r="QL18" i="19"/>
  <c r="QT19" i="19"/>
  <c r="QT16" i="19"/>
  <c r="QT18" i="19"/>
  <c r="QT17" i="19"/>
  <c r="FD16" i="19"/>
  <c r="IJ16" i="19"/>
  <c r="H18" i="19"/>
  <c r="H19" i="19"/>
  <c r="H17" i="19"/>
  <c r="CJ18" i="19"/>
  <c r="CJ19" i="19"/>
  <c r="CJ17" i="19"/>
  <c r="CJ16" i="19"/>
  <c r="CS19" i="19"/>
  <c r="CS18" i="19"/>
  <c r="CS17" i="19"/>
  <c r="CS16" i="19"/>
  <c r="DA19" i="19"/>
  <c r="DA18" i="19"/>
  <c r="DA17" i="19"/>
  <c r="DA16" i="19"/>
  <c r="DO19" i="19"/>
  <c r="DO18" i="19"/>
  <c r="DO16" i="19"/>
  <c r="DO17" i="19"/>
  <c r="DW19" i="19"/>
  <c r="DW16" i="19"/>
  <c r="DW18" i="19"/>
  <c r="EE19" i="19"/>
  <c r="EE17" i="19"/>
  <c r="EE16" i="19"/>
  <c r="EE18" i="19"/>
  <c r="EM19" i="19"/>
  <c r="EM18" i="19"/>
  <c r="EM17" i="19"/>
  <c r="EM16" i="19"/>
  <c r="EU19" i="19"/>
  <c r="EU18" i="19"/>
  <c r="EU17" i="19"/>
  <c r="EU16" i="19"/>
  <c r="FC19" i="19"/>
  <c r="FC18" i="19"/>
  <c r="FC17" i="19"/>
  <c r="FC16" i="19"/>
  <c r="FK19" i="19"/>
  <c r="FK18" i="19"/>
  <c r="FK17" i="19"/>
  <c r="FK16" i="19"/>
  <c r="FS19" i="19"/>
  <c r="FS18" i="19"/>
  <c r="FS17" i="19"/>
  <c r="FS16" i="19"/>
  <c r="GA19" i="19"/>
  <c r="GA18" i="19"/>
  <c r="GA17" i="19"/>
  <c r="GA16" i="19"/>
  <c r="GI19" i="19"/>
  <c r="GI17" i="19"/>
  <c r="GI16" i="19"/>
  <c r="GI18" i="19"/>
  <c r="GQ19" i="19"/>
  <c r="GQ18" i="19"/>
  <c r="GQ17" i="19"/>
  <c r="GQ16" i="19"/>
  <c r="GY19" i="19"/>
  <c r="GY17" i="19"/>
  <c r="GY16" i="19"/>
  <c r="GY18" i="19"/>
  <c r="HG19" i="19"/>
  <c r="HG18" i="19"/>
  <c r="HG17" i="19"/>
  <c r="HG16" i="19"/>
  <c r="HO19" i="19"/>
  <c r="HO18" i="19"/>
  <c r="HO17" i="19"/>
  <c r="HO16" i="19"/>
  <c r="HW19" i="19"/>
  <c r="HW18" i="19"/>
  <c r="HW17" i="19"/>
  <c r="HW16" i="19"/>
  <c r="IE19" i="19"/>
  <c r="IE18" i="19"/>
  <c r="IE17" i="19"/>
  <c r="IE16" i="19"/>
  <c r="IM19" i="19"/>
  <c r="IM18" i="19"/>
  <c r="IM17" i="19"/>
  <c r="IM16" i="19"/>
  <c r="IU19" i="19"/>
  <c r="IU18" i="19"/>
  <c r="IU17" i="19"/>
  <c r="IU16" i="19"/>
  <c r="JC19" i="19"/>
  <c r="JC18" i="19"/>
  <c r="JC17" i="19"/>
  <c r="JC16" i="19"/>
  <c r="JK19" i="19"/>
  <c r="JK18" i="19"/>
  <c r="JK17" i="19"/>
  <c r="JK16" i="19"/>
  <c r="JS19" i="19"/>
  <c r="JS18" i="19"/>
  <c r="JS17" i="19"/>
  <c r="JS16" i="19"/>
  <c r="KA18" i="19"/>
  <c r="KA19" i="19"/>
  <c r="KA17" i="19"/>
  <c r="KA16" i="19"/>
  <c r="KI18" i="19"/>
  <c r="KI19" i="19"/>
  <c r="KI17" i="19"/>
  <c r="KI16" i="19"/>
  <c r="KQ18" i="19"/>
  <c r="KQ19" i="19"/>
  <c r="KQ17" i="19"/>
  <c r="KQ16" i="19"/>
  <c r="KY18" i="19"/>
  <c r="KY19" i="19"/>
  <c r="KY17" i="19"/>
  <c r="KY16" i="19"/>
  <c r="LG18" i="19"/>
  <c r="LG19" i="19"/>
  <c r="LG16" i="19"/>
  <c r="LG17" i="19"/>
  <c r="LO18" i="19"/>
  <c r="LO19" i="19"/>
  <c r="LO17" i="19"/>
  <c r="LO16" i="19"/>
  <c r="LW18" i="19"/>
  <c r="LW19" i="19"/>
  <c r="LW17" i="19"/>
  <c r="LW16" i="19"/>
  <c r="ME18" i="19"/>
  <c r="ME19" i="19"/>
  <c r="ME16" i="19"/>
  <c r="ME17" i="19"/>
  <c r="MM18" i="19"/>
  <c r="MM19" i="19"/>
  <c r="MM17" i="19"/>
  <c r="MM16" i="19"/>
  <c r="MU18" i="19"/>
  <c r="MU19" i="19"/>
  <c r="MU17" i="19"/>
  <c r="MU16" i="19"/>
  <c r="NC18" i="19"/>
  <c r="NC19" i="19"/>
  <c r="NC16" i="19"/>
  <c r="NC17" i="19"/>
  <c r="NK18" i="19"/>
  <c r="NK19" i="19"/>
  <c r="NK17" i="19"/>
  <c r="NK16" i="19"/>
  <c r="NS18" i="19"/>
  <c r="NS19" i="19"/>
  <c r="NS16" i="19"/>
  <c r="NS17" i="19"/>
  <c r="OA18" i="19"/>
  <c r="OA19" i="19"/>
  <c r="OA17" i="19"/>
  <c r="OA16" i="19"/>
  <c r="OI18" i="19"/>
  <c r="OI19" i="19"/>
  <c r="OI17" i="19"/>
  <c r="OI16" i="19"/>
  <c r="OQ18" i="19"/>
  <c r="OQ19" i="19"/>
  <c r="OQ16" i="19"/>
  <c r="OQ17" i="19"/>
  <c r="OY18" i="19"/>
  <c r="OY19" i="19"/>
  <c r="OY17" i="19"/>
  <c r="OY16" i="19"/>
  <c r="PG18" i="19"/>
  <c r="PG19" i="19"/>
  <c r="PG16" i="19"/>
  <c r="PG17" i="19"/>
  <c r="PO18" i="19"/>
  <c r="PO19" i="19"/>
  <c r="PO16" i="19"/>
  <c r="PO17" i="19"/>
  <c r="PW18" i="19"/>
  <c r="PW19" i="19"/>
  <c r="PW17" i="19"/>
  <c r="PW16" i="19"/>
  <c r="QE18" i="19"/>
  <c r="QE19" i="19"/>
  <c r="QE16" i="19"/>
  <c r="QE17" i="19"/>
  <c r="QM18" i="19"/>
  <c r="QM19" i="19"/>
  <c r="QM17" i="19"/>
  <c r="QM16" i="19"/>
  <c r="QU18" i="19"/>
  <c r="QU19" i="19"/>
  <c r="QU17" i="19"/>
  <c r="QU16" i="19"/>
  <c r="H16" i="19"/>
  <c r="LU16" i="19"/>
  <c r="DB18" i="19"/>
  <c r="DB19" i="19"/>
  <c r="DB17" i="19"/>
  <c r="DX19" i="19"/>
  <c r="DX18" i="19"/>
  <c r="DX17" i="19"/>
  <c r="DX16" i="19"/>
  <c r="EN18" i="19"/>
  <c r="EN19" i="19"/>
  <c r="EN16" i="19"/>
  <c r="EN17" i="19"/>
  <c r="EV18" i="19"/>
  <c r="EV19" i="19"/>
  <c r="EV17" i="19"/>
  <c r="EV16" i="19"/>
  <c r="FD18" i="19"/>
  <c r="FD19" i="19"/>
  <c r="FL18" i="19"/>
  <c r="FL16" i="19"/>
  <c r="FT19" i="19"/>
  <c r="FT18" i="19"/>
  <c r="FT16" i="19"/>
  <c r="FT17" i="19"/>
  <c r="GB18" i="19"/>
  <c r="GB19" i="19"/>
  <c r="GB17" i="19"/>
  <c r="GJ19" i="19"/>
  <c r="GJ18" i="19"/>
  <c r="GJ17" i="19"/>
  <c r="GJ16" i="19"/>
  <c r="GR19" i="19"/>
  <c r="GR18" i="19"/>
  <c r="GR17" i="19"/>
  <c r="GR16" i="19"/>
  <c r="GZ18" i="19"/>
  <c r="GZ19" i="19"/>
  <c r="GZ16" i="19"/>
  <c r="HH19" i="19"/>
  <c r="HH16" i="19"/>
  <c r="HH18" i="19"/>
  <c r="HH17" i="19"/>
  <c r="HP19" i="19"/>
  <c r="HP18" i="19"/>
  <c r="HP17" i="19"/>
  <c r="HX19" i="19"/>
  <c r="HX18" i="19"/>
  <c r="HX17" i="19"/>
  <c r="HX16" i="19"/>
  <c r="IF18" i="19"/>
  <c r="IF19" i="19"/>
  <c r="IF16" i="19"/>
  <c r="IF17" i="19"/>
  <c r="IN18" i="19"/>
  <c r="IN19" i="19"/>
  <c r="IV18" i="19"/>
  <c r="IV16" i="19"/>
  <c r="IV19" i="19"/>
  <c r="IV17" i="19"/>
  <c r="JD19" i="19"/>
  <c r="JD17" i="19"/>
  <c r="JD16" i="19"/>
  <c r="JL18" i="19"/>
  <c r="JL19" i="19"/>
  <c r="JL17" i="19"/>
  <c r="JL16" i="19"/>
  <c r="JT19" i="19"/>
  <c r="JT18" i="19"/>
  <c r="JT17" i="19"/>
  <c r="JT16" i="19"/>
  <c r="KB19" i="19"/>
  <c r="KB18" i="19"/>
  <c r="KB17" i="19"/>
  <c r="KB16" i="19"/>
  <c r="KJ19" i="19"/>
  <c r="KJ18" i="19"/>
  <c r="KJ17" i="19"/>
  <c r="KJ16" i="19"/>
  <c r="KR19" i="19"/>
  <c r="KR17" i="19"/>
  <c r="KR16" i="19"/>
  <c r="KR18" i="19"/>
  <c r="KZ19" i="19"/>
  <c r="KZ18" i="19"/>
  <c r="KZ17" i="19"/>
  <c r="KZ16" i="19"/>
  <c r="LH19" i="19"/>
  <c r="LH17" i="19"/>
  <c r="LH18" i="19"/>
  <c r="LH16" i="19"/>
  <c r="LP19" i="19"/>
  <c r="LP17" i="19"/>
  <c r="LP18" i="19"/>
  <c r="LP16" i="19"/>
  <c r="LX19" i="19"/>
  <c r="LX17" i="19"/>
  <c r="LX18" i="19"/>
  <c r="LX16" i="19"/>
  <c r="MF19" i="19"/>
  <c r="MF17" i="19"/>
  <c r="MF18" i="19"/>
  <c r="MF16" i="19"/>
  <c r="MN19" i="19"/>
  <c r="MN18" i="19"/>
  <c r="MN17" i="19"/>
  <c r="MN16" i="19"/>
  <c r="MV19" i="19"/>
  <c r="MV18" i="19"/>
  <c r="MV17" i="19"/>
  <c r="MV16" i="19"/>
  <c r="ND19" i="19"/>
  <c r="ND17" i="19"/>
  <c r="ND18" i="19"/>
  <c r="ND16" i="19"/>
  <c r="NL19" i="19"/>
  <c r="NL18" i="19"/>
  <c r="NL17" i="19"/>
  <c r="NL16" i="19"/>
  <c r="NT19" i="19"/>
  <c r="NT17" i="19"/>
  <c r="NT18" i="19"/>
  <c r="NT16" i="19"/>
  <c r="OB19" i="19"/>
  <c r="OB17" i="19"/>
  <c r="OB16" i="19"/>
  <c r="OB18" i="19"/>
  <c r="OJ19" i="19"/>
  <c r="OJ17" i="19"/>
  <c r="OJ18" i="19"/>
  <c r="OJ16" i="19"/>
  <c r="OR19" i="19"/>
  <c r="OR17" i="19"/>
  <c r="OR18" i="19"/>
  <c r="OR16" i="19"/>
  <c r="OZ19" i="19"/>
  <c r="OZ18" i="19"/>
  <c r="OZ17" i="19"/>
  <c r="OZ16" i="19"/>
  <c r="PH19" i="19"/>
  <c r="PH18" i="19"/>
  <c r="PH17" i="19"/>
  <c r="PH16" i="19"/>
  <c r="PP19" i="19"/>
  <c r="PP17" i="19"/>
  <c r="PP18" i="19"/>
  <c r="PP16" i="19"/>
  <c r="PX19" i="19"/>
  <c r="PX18" i="19"/>
  <c r="PX17" i="19"/>
  <c r="PX16" i="19"/>
  <c r="QF19" i="19"/>
  <c r="QF17" i="19"/>
  <c r="QF18" i="19"/>
  <c r="QF16" i="19"/>
  <c r="QN19" i="19"/>
  <c r="QN17" i="19"/>
  <c r="QN16" i="19"/>
  <c r="QN18" i="19"/>
  <c r="QV19" i="19"/>
  <c r="QV17" i="19"/>
  <c r="QV18" i="19"/>
  <c r="QV16" i="19"/>
  <c r="DB16" i="19"/>
  <c r="FX16" i="19"/>
  <c r="PU16" i="19"/>
  <c r="FL17" i="19"/>
  <c r="MS17" i="19"/>
  <c r="NR18" i="19"/>
  <c r="P18" i="19"/>
  <c r="P17" i="19"/>
  <c r="P19" i="19"/>
  <c r="EK19" i="19"/>
  <c r="EK17" i="19"/>
  <c r="EK18" i="19"/>
  <c r="EK16" i="19"/>
  <c r="EO19" i="19"/>
  <c r="EO18" i="19"/>
  <c r="EO17" i="19"/>
  <c r="EO16" i="19"/>
  <c r="EW19" i="19"/>
  <c r="EW18" i="19"/>
  <c r="EW16" i="19"/>
  <c r="EW17" i="19"/>
  <c r="FE19" i="19"/>
  <c r="FE17" i="19"/>
  <c r="FE18" i="19"/>
  <c r="FM19" i="19"/>
  <c r="FM18" i="19"/>
  <c r="FM16" i="19"/>
  <c r="FM17" i="19"/>
  <c r="FU19" i="19"/>
  <c r="FU17" i="19"/>
  <c r="FU18" i="19"/>
  <c r="FU16" i="19"/>
  <c r="GC19" i="19"/>
  <c r="GC18" i="19"/>
  <c r="GC17" i="19"/>
  <c r="GC16" i="19"/>
  <c r="GK19" i="19"/>
  <c r="GK18" i="19"/>
  <c r="GK17" i="19"/>
  <c r="GK16" i="19"/>
  <c r="GS19" i="19"/>
  <c r="GS18" i="19"/>
  <c r="HA19" i="19"/>
  <c r="HA18" i="19"/>
  <c r="HA17" i="19"/>
  <c r="HA16" i="19"/>
  <c r="HI19" i="19"/>
  <c r="HI18" i="19"/>
  <c r="HI16" i="19"/>
  <c r="HI17" i="19"/>
  <c r="HQ19" i="19"/>
  <c r="HQ18" i="19"/>
  <c r="HQ17" i="19"/>
  <c r="HY19" i="19"/>
  <c r="HY18" i="19"/>
  <c r="HY17" i="19"/>
  <c r="HY16" i="19"/>
  <c r="IG19" i="19"/>
  <c r="IG18" i="19"/>
  <c r="IG17" i="19"/>
  <c r="IG16" i="19"/>
  <c r="IO19" i="19"/>
  <c r="IO18" i="19"/>
  <c r="IO16" i="19"/>
  <c r="IW19" i="19"/>
  <c r="IW18" i="19"/>
  <c r="IW17" i="19"/>
  <c r="IW16" i="19"/>
  <c r="JE19" i="19"/>
  <c r="JE18" i="19"/>
  <c r="JE17" i="19"/>
  <c r="JM19" i="19"/>
  <c r="JM17" i="19"/>
  <c r="JM16" i="19"/>
  <c r="JM18" i="19"/>
  <c r="KC18" i="19"/>
  <c r="KC19" i="19"/>
  <c r="KK19" i="19"/>
  <c r="KK18" i="19"/>
  <c r="KK16" i="19"/>
  <c r="KS18" i="19"/>
  <c r="KS19" i="19"/>
  <c r="KS17" i="19"/>
  <c r="KS16" i="19"/>
  <c r="LA17" i="19"/>
  <c r="LA18" i="19"/>
  <c r="LA19" i="19"/>
  <c r="LI18" i="19"/>
  <c r="LI19" i="19"/>
  <c r="LI17" i="19"/>
  <c r="LI16" i="19"/>
  <c r="LQ19" i="19"/>
  <c r="LQ18" i="19"/>
  <c r="LQ17" i="19"/>
  <c r="LQ16" i="19"/>
  <c r="LY19" i="19"/>
  <c r="LY17" i="19"/>
  <c r="LY18" i="19"/>
  <c r="LY16" i="19"/>
  <c r="MG19" i="19"/>
  <c r="MG18" i="19"/>
  <c r="MG16" i="19"/>
  <c r="MO17" i="19"/>
  <c r="MO19" i="19"/>
  <c r="MO18" i="19"/>
  <c r="MW19" i="19"/>
  <c r="MW18" i="19"/>
  <c r="MW17" i="19"/>
  <c r="MW16" i="19"/>
  <c r="NE18" i="19"/>
  <c r="NE19" i="19"/>
  <c r="NE16" i="19"/>
  <c r="NE17" i="19"/>
  <c r="NM17" i="19"/>
  <c r="NM19" i="19"/>
  <c r="NM18" i="19"/>
  <c r="NU18" i="19"/>
  <c r="NU19" i="19"/>
  <c r="NU17" i="19"/>
  <c r="NU16" i="19"/>
  <c r="OC19" i="19"/>
  <c r="OC18" i="19"/>
  <c r="OC17" i="19"/>
  <c r="OC16" i="19"/>
  <c r="OK19" i="19"/>
  <c r="OK18" i="19"/>
  <c r="OK17" i="19"/>
  <c r="OK16" i="19"/>
  <c r="OS18" i="19"/>
  <c r="OS17" i="19"/>
  <c r="OS19" i="19"/>
  <c r="OS16" i="19"/>
  <c r="PA17" i="19"/>
  <c r="PA18" i="19"/>
  <c r="PA19" i="19"/>
  <c r="PI19" i="19"/>
  <c r="PI18" i="19"/>
  <c r="PI17" i="19"/>
  <c r="PI16" i="19"/>
  <c r="PQ18" i="19"/>
  <c r="PQ19" i="19"/>
  <c r="PQ16" i="19"/>
  <c r="PQ17" i="19"/>
  <c r="PY19" i="19"/>
  <c r="PY17" i="19"/>
  <c r="PY18" i="19"/>
  <c r="QG18" i="19"/>
  <c r="QG19" i="19"/>
  <c r="QG17" i="19"/>
  <c r="QG16" i="19"/>
  <c r="QO19" i="19"/>
  <c r="QO18" i="19"/>
  <c r="QO16" i="19"/>
  <c r="QO17" i="19"/>
  <c r="QW19" i="19"/>
  <c r="QW17" i="19"/>
  <c r="QW18" i="19"/>
  <c r="P16" i="19"/>
  <c r="GB16" i="19"/>
  <c r="JH16" i="19"/>
  <c r="PY16" i="19"/>
  <c r="GS17" i="19"/>
  <c r="PE17" i="19"/>
  <c r="FL19" i="19"/>
  <c r="NB21" i="14" l="1"/>
  <c r="NC21" i="14"/>
  <c r="ND21" i="14"/>
  <c r="AA505" i="17" l="1"/>
  <c r="AA506" i="17"/>
  <c r="AA507" i="17"/>
  <c r="AH505" i="17"/>
  <c r="AH506" i="17"/>
  <c r="AH507" i="17"/>
  <c r="T505" i="17"/>
  <c r="T506" i="17"/>
  <c r="T507" i="17"/>
  <c r="M505" i="17"/>
  <c r="M506" i="17"/>
  <c r="M507" i="17"/>
  <c r="F505" i="17"/>
  <c r="F506" i="17"/>
  <c r="F507" i="17"/>
  <c r="CC505" i="17"/>
  <c r="CC506" i="17"/>
  <c r="CC507" i="17"/>
  <c r="CJ505" i="17"/>
  <c r="CJ506" i="17"/>
  <c r="CJ507" i="17"/>
  <c r="AJ517" i="15"/>
  <c r="AJ518" i="15"/>
  <c r="AJ519" i="15"/>
  <c r="AE517" i="15"/>
  <c r="AE518" i="15"/>
  <c r="AE519" i="15"/>
  <c r="Z517" i="15"/>
  <c r="Z518" i="15"/>
  <c r="Z519" i="15"/>
  <c r="T517" i="15"/>
  <c r="T518" i="15"/>
  <c r="T519" i="15"/>
  <c r="F517" i="15"/>
  <c r="F518" i="15"/>
  <c r="F519" i="15"/>
  <c r="M517" i="15"/>
  <c r="M518" i="15"/>
  <c r="M519" i="15"/>
  <c r="CC504" i="17"/>
  <c r="NA21" i="14" l="1"/>
  <c r="CJ504" i="17"/>
  <c r="AH504" i="17"/>
  <c r="AA504" i="17"/>
  <c r="T504" i="17"/>
  <c r="M504" i="17"/>
  <c r="F504" i="17"/>
  <c r="AJ516" i="15"/>
  <c r="AE516" i="15"/>
  <c r="Z516" i="15"/>
  <c r="T516" i="15"/>
  <c r="F516" i="15"/>
  <c r="M516" i="15"/>
  <c r="AH501" i="17"/>
  <c r="AH502" i="17"/>
  <c r="AH503" i="17"/>
  <c r="AA501" i="17"/>
  <c r="AA502" i="17"/>
  <c r="AA503" i="17"/>
  <c r="T501" i="17"/>
  <c r="T502" i="17"/>
  <c r="T503" i="17"/>
  <c r="M501" i="17"/>
  <c r="M502" i="17"/>
  <c r="M503" i="17"/>
  <c r="F501" i="17"/>
  <c r="F502" i="17"/>
  <c r="F503" i="17"/>
  <c r="MY21" i="14"/>
  <c r="MZ21" i="14"/>
  <c r="MX21" i="14"/>
  <c r="CJ501" i="17"/>
  <c r="CJ502" i="17"/>
  <c r="CJ503" i="17"/>
  <c r="CC501" i="17"/>
  <c r="CC502" i="17"/>
  <c r="CC503" i="17"/>
  <c r="AJ513" i="15"/>
  <c r="AJ514" i="15"/>
  <c r="AJ515" i="15"/>
  <c r="AE513" i="15"/>
  <c r="AE514" i="15"/>
  <c r="AE515" i="15"/>
  <c r="Z513" i="15"/>
  <c r="Z514" i="15"/>
  <c r="Z515" i="15"/>
  <c r="T513" i="15"/>
  <c r="T514" i="15"/>
  <c r="T515" i="15"/>
  <c r="M513" i="15"/>
  <c r="M514" i="15"/>
  <c r="M515" i="15"/>
  <c r="F513" i="15"/>
  <c r="F514" i="15"/>
  <c r="F515" i="15"/>
  <c r="CC500" i="17"/>
  <c r="MW21" i="14" l="1"/>
  <c r="CJ500" i="17"/>
  <c r="AH500" i="17"/>
  <c r="AA500" i="17"/>
  <c r="T500" i="17"/>
  <c r="M500" i="17"/>
  <c r="F500" i="17"/>
  <c r="AJ512" i="15"/>
  <c r="AE512" i="15"/>
  <c r="Z512" i="15"/>
  <c r="T512" i="15"/>
  <c r="M512" i="15"/>
  <c r="F512" i="15"/>
  <c r="MV21" i="14"/>
  <c r="CC499" i="17"/>
  <c r="CJ499" i="17" l="1"/>
  <c r="F499" i="17"/>
  <c r="M499" i="17"/>
  <c r="T499" i="17"/>
  <c r="AA499" i="17"/>
  <c r="AH499" i="17"/>
  <c r="AJ511" i="15"/>
  <c r="AE511" i="15"/>
  <c r="Z511" i="15"/>
  <c r="T511" i="15"/>
  <c r="M511" i="15"/>
  <c r="F511" i="15"/>
  <c r="CC498" i="17"/>
  <c r="MU21" i="14"/>
  <c r="AH498" i="17" l="1"/>
  <c r="AA498" i="17"/>
  <c r="T498" i="17"/>
  <c r="M498" i="17"/>
  <c r="F498" i="17"/>
  <c r="AJ510" i="15"/>
  <c r="AE510" i="15"/>
  <c r="Z510" i="15"/>
  <c r="T510" i="15" l="1"/>
  <c r="M510" i="15"/>
  <c r="F510" i="15"/>
  <c r="CJ498" i="17"/>
  <c r="CC497" i="17"/>
  <c r="CC494" i="17" l="1"/>
  <c r="CC495" i="17"/>
  <c r="CC496" i="17"/>
  <c r="MQ21" i="14"/>
  <c r="MR21" i="14"/>
  <c r="MS21" i="14"/>
  <c r="MT21" i="14"/>
  <c r="CJ494" i="17" l="1"/>
  <c r="CJ495" i="17"/>
  <c r="CJ496" i="17"/>
  <c r="CJ497" i="17"/>
  <c r="AH494" i="17"/>
  <c r="AH495" i="17"/>
  <c r="AH496" i="17"/>
  <c r="AH497" i="17"/>
  <c r="AA494" i="17"/>
  <c r="AA495" i="17"/>
  <c r="AA496" i="17"/>
  <c r="AA497" i="17"/>
  <c r="T494" i="17"/>
  <c r="T495" i="17"/>
  <c r="T496" i="17"/>
  <c r="T497" i="17"/>
  <c r="M494" i="17"/>
  <c r="M495" i="17"/>
  <c r="M496" i="17"/>
  <c r="M497" i="17"/>
  <c r="F494" i="17"/>
  <c r="F495" i="17"/>
  <c r="F496" i="17"/>
  <c r="F497" i="17"/>
  <c r="AJ506" i="15"/>
  <c r="AJ507" i="15"/>
  <c r="AJ508" i="15"/>
  <c r="AJ509" i="15"/>
  <c r="AE506" i="15"/>
  <c r="AE507" i="15"/>
  <c r="AE508" i="15"/>
  <c r="AE509" i="15"/>
  <c r="Z506" i="15"/>
  <c r="Z507" i="15"/>
  <c r="Z508" i="15"/>
  <c r="Z509" i="15"/>
  <c r="T506" i="15"/>
  <c r="T507" i="15"/>
  <c r="T508" i="15"/>
  <c r="T509" i="15"/>
  <c r="M506" i="15"/>
  <c r="M507" i="15"/>
  <c r="M508" i="15"/>
  <c r="M509" i="15"/>
  <c r="F506" i="15"/>
  <c r="F507" i="15"/>
  <c r="F508" i="15"/>
  <c r="F509" i="15"/>
  <c r="MP21" i="14"/>
  <c r="CC493" i="17"/>
  <c r="AH493" i="17"/>
  <c r="AA493" i="17"/>
  <c r="T493" i="17"/>
  <c r="M493" i="17"/>
  <c r="F493" i="17"/>
  <c r="CJ493" i="17"/>
  <c r="AJ505" i="15"/>
  <c r="AE505" i="15"/>
  <c r="Z505" i="15"/>
  <c r="T505" i="15"/>
  <c r="M505" i="15"/>
  <c r="F505" i="15"/>
  <c r="Y54" i="18"/>
  <c r="CJ492" i="17"/>
  <c r="CC492" i="17"/>
  <c r="AH492" i="17"/>
  <c r="AA492" i="17"/>
  <c r="T492" i="17"/>
  <c r="M492" i="17"/>
  <c r="F492" i="17"/>
  <c r="CJ491" i="17"/>
  <c r="CC491" i="17"/>
  <c r="AH491" i="17"/>
  <c r="AA491" i="17"/>
  <c r="T491" i="17"/>
  <c r="M491" i="17"/>
  <c r="F491" i="17"/>
  <c r="CJ490" i="17"/>
  <c r="CC490" i="17"/>
  <c r="AH490" i="17"/>
  <c r="AA490" i="17"/>
  <c r="T490" i="17"/>
  <c r="M490" i="17"/>
  <c r="F490" i="17"/>
  <c r="CJ489" i="17"/>
  <c r="CC489" i="17"/>
  <c r="AH489" i="17"/>
  <c r="AA489" i="17"/>
  <c r="T489" i="17"/>
  <c r="M489" i="17"/>
  <c r="F489" i="17"/>
  <c r="CJ488" i="17"/>
  <c r="CI488" i="17"/>
  <c r="CC488" i="17"/>
  <c r="AH488" i="17"/>
  <c r="AA488" i="17"/>
  <c r="T488" i="17"/>
  <c r="M488" i="17"/>
  <c r="F488" i="17"/>
  <c r="CJ487" i="17"/>
  <c r="CI487" i="17"/>
  <c r="CC487" i="17"/>
  <c r="AH487" i="17"/>
  <c r="AA487" i="17"/>
  <c r="T487" i="17"/>
  <c r="M487" i="17"/>
  <c r="F487" i="17"/>
  <c r="CJ486" i="17"/>
  <c r="CI486" i="17"/>
  <c r="CC486" i="17"/>
  <c r="AH486" i="17"/>
  <c r="AA486" i="17"/>
  <c r="T486" i="17"/>
  <c r="M486" i="17"/>
  <c r="F486" i="17"/>
  <c r="CJ485" i="17"/>
  <c r="CI485" i="17"/>
  <c r="CC485" i="17"/>
  <c r="AH485" i="17"/>
  <c r="AA485" i="17"/>
  <c r="T485" i="17"/>
  <c r="M485" i="17"/>
  <c r="F485" i="17"/>
  <c r="CJ484" i="17"/>
  <c r="CI484" i="17"/>
  <c r="CC484" i="17"/>
  <c r="AH484" i="17"/>
  <c r="AA484" i="17"/>
  <c r="T484" i="17"/>
  <c r="M484" i="17"/>
  <c r="F484" i="17"/>
  <c r="CJ483" i="17"/>
  <c r="CI483" i="17"/>
  <c r="CC483" i="17"/>
  <c r="AH483" i="17"/>
  <c r="AA483" i="17"/>
  <c r="T483" i="17"/>
  <c r="M483" i="17"/>
  <c r="F483" i="17"/>
  <c r="CJ482" i="17"/>
  <c r="CI482" i="17"/>
  <c r="CC482" i="17"/>
  <c r="AH482" i="17"/>
  <c r="AA482" i="17"/>
  <c r="T482" i="17"/>
  <c r="M482" i="17"/>
  <c r="F482" i="17"/>
  <c r="CJ481" i="17"/>
  <c r="CI481" i="17"/>
  <c r="CC481" i="17"/>
  <c r="AH481" i="17"/>
  <c r="AA481" i="17"/>
  <c r="T481" i="17"/>
  <c r="M481" i="17"/>
  <c r="F481" i="17"/>
  <c r="CJ480" i="17"/>
  <c r="CI480" i="17"/>
  <c r="CC480" i="17"/>
  <c r="AH480" i="17"/>
  <c r="AA480" i="17"/>
  <c r="T480" i="17"/>
  <c r="M480" i="17"/>
  <c r="F480" i="17"/>
  <c r="CJ479" i="17"/>
  <c r="CI479" i="17"/>
  <c r="CC479" i="17"/>
  <c r="AH479" i="17"/>
  <c r="AA479" i="17"/>
  <c r="T479" i="17"/>
  <c r="M479" i="17"/>
  <c r="F479" i="17"/>
  <c r="CJ478" i="17"/>
  <c r="CI478" i="17"/>
  <c r="CC478" i="17"/>
  <c r="AH478" i="17"/>
  <c r="AA478" i="17"/>
  <c r="T478" i="17"/>
  <c r="M478" i="17"/>
  <c r="F478" i="17"/>
  <c r="CJ477" i="17"/>
  <c r="CI477" i="17"/>
  <c r="CC477" i="17"/>
  <c r="AH477" i="17"/>
  <c r="AA477" i="17"/>
  <c r="T477" i="17"/>
  <c r="M477" i="17"/>
  <c r="F477" i="17"/>
  <c r="CJ476" i="17"/>
  <c r="CI476" i="17"/>
  <c r="CC476" i="17"/>
  <c r="AH476" i="17"/>
  <c r="AA476" i="17"/>
  <c r="T476" i="17"/>
  <c r="M476" i="17"/>
  <c r="F476" i="17"/>
  <c r="CJ475" i="17"/>
  <c r="CI475" i="17"/>
  <c r="CC475" i="17"/>
  <c r="AH475" i="17"/>
  <c r="AA475" i="17"/>
  <c r="T475" i="17"/>
  <c r="M475" i="17"/>
  <c r="F475" i="17"/>
  <c r="CJ474" i="17"/>
  <c r="CC474" i="17"/>
  <c r="AH474" i="17"/>
  <c r="AA474" i="17"/>
  <c r="T474" i="17"/>
  <c r="M474" i="17"/>
  <c r="F474" i="17"/>
  <c r="CJ473" i="17"/>
  <c r="CC473" i="17"/>
  <c r="AH473" i="17"/>
  <c r="AA473" i="17"/>
  <c r="T473" i="17"/>
  <c r="M473" i="17"/>
  <c r="F473" i="17"/>
  <c r="CJ472" i="17"/>
  <c r="CC472" i="17"/>
  <c r="AH472" i="17"/>
  <c r="AA472" i="17"/>
  <c r="T472" i="17"/>
  <c r="M472" i="17"/>
  <c r="F472" i="17"/>
  <c r="CJ471" i="17"/>
  <c r="CC471" i="17"/>
  <c r="AH471" i="17"/>
  <c r="AA471" i="17"/>
  <c r="T471" i="17"/>
  <c r="M471" i="17"/>
  <c r="F471" i="17"/>
  <c r="CJ470" i="17"/>
  <c r="CC470" i="17"/>
  <c r="AH470" i="17"/>
  <c r="AA470" i="17"/>
  <c r="T470" i="17"/>
  <c r="M470" i="17"/>
  <c r="F470" i="17"/>
  <c r="CJ469" i="17"/>
  <c r="CC469" i="17"/>
  <c r="AH469" i="17"/>
  <c r="AA469" i="17"/>
  <c r="T469" i="17"/>
  <c r="M469" i="17"/>
  <c r="F469" i="17"/>
  <c r="CJ468" i="17"/>
  <c r="CC468" i="17"/>
  <c r="AH468" i="17"/>
  <c r="AA468" i="17"/>
  <c r="T468" i="17"/>
  <c r="M468" i="17"/>
  <c r="F468" i="17"/>
  <c r="CJ467" i="17"/>
  <c r="CC467" i="17"/>
  <c r="AH467" i="17"/>
  <c r="AA467" i="17"/>
  <c r="T467" i="17"/>
  <c r="M467" i="17"/>
  <c r="F467" i="17"/>
  <c r="CJ466" i="17"/>
  <c r="CC466" i="17"/>
  <c r="AH466" i="17"/>
  <c r="AA466" i="17"/>
  <c r="T466" i="17"/>
  <c r="M466" i="17"/>
  <c r="F466" i="17"/>
  <c r="CJ465" i="17"/>
  <c r="CC465" i="17"/>
  <c r="AH465" i="17"/>
  <c r="AA465" i="17"/>
  <c r="T465" i="17"/>
  <c r="M465" i="17"/>
  <c r="F465" i="17"/>
  <c r="CJ464" i="17"/>
  <c r="CC464" i="17"/>
  <c r="AH464" i="17"/>
  <c r="AA464" i="17"/>
  <c r="T464" i="17"/>
  <c r="M464" i="17"/>
  <c r="F464" i="17"/>
  <c r="CJ463" i="17"/>
  <c r="CC463" i="17"/>
  <c r="AH463" i="17"/>
  <c r="AA463" i="17"/>
  <c r="T463" i="17"/>
  <c r="M463" i="17"/>
  <c r="F463" i="17"/>
  <c r="CJ462" i="17"/>
  <c r="CC462" i="17"/>
  <c r="AH462" i="17"/>
  <c r="AA462" i="17"/>
  <c r="T462" i="17"/>
  <c r="M462" i="17"/>
  <c r="F462" i="17"/>
  <c r="CJ461" i="17"/>
  <c r="CC461" i="17"/>
  <c r="AH461" i="17"/>
  <c r="AA461" i="17"/>
  <c r="T461" i="17"/>
  <c r="M461" i="17"/>
  <c r="F461" i="17"/>
  <c r="CJ460" i="17"/>
  <c r="CC460" i="17"/>
  <c r="AH460" i="17"/>
  <c r="AA460" i="17"/>
  <c r="T460" i="17"/>
  <c r="M460" i="17"/>
  <c r="F460" i="17"/>
  <c r="CJ459" i="17"/>
  <c r="CC459" i="17"/>
  <c r="AH459" i="17"/>
  <c r="AA459" i="17"/>
  <c r="T459" i="17"/>
  <c r="M459" i="17"/>
  <c r="F459" i="17"/>
  <c r="CJ458" i="17"/>
  <c r="CC458" i="17"/>
  <c r="AH458" i="17"/>
  <c r="AA458" i="17"/>
  <c r="T458" i="17"/>
  <c r="M458" i="17"/>
  <c r="F458" i="17"/>
  <c r="CJ457" i="17"/>
  <c r="CC457" i="17"/>
  <c r="AH457" i="17"/>
  <c r="AA457" i="17"/>
  <c r="T457" i="17"/>
  <c r="M457" i="17"/>
  <c r="F457" i="17"/>
  <c r="CJ456" i="17"/>
  <c r="CC456" i="17"/>
  <c r="AH456" i="17"/>
  <c r="AA456" i="17"/>
  <c r="T456" i="17"/>
  <c r="M456" i="17"/>
  <c r="F456" i="17"/>
  <c r="CJ455" i="17"/>
  <c r="CC455" i="17"/>
  <c r="AH455" i="17"/>
  <c r="AA455" i="17"/>
  <c r="T455" i="17"/>
  <c r="M455" i="17"/>
  <c r="F455" i="17"/>
  <c r="CJ454" i="17"/>
  <c r="CC454" i="17"/>
  <c r="AH454" i="17"/>
  <c r="AA454" i="17"/>
  <c r="T454" i="17"/>
  <c r="M454" i="17"/>
  <c r="F454" i="17"/>
  <c r="CJ453" i="17"/>
  <c r="CC453" i="17"/>
  <c r="AH453" i="17"/>
  <c r="AA453" i="17"/>
  <c r="T453" i="17"/>
  <c r="M453" i="17"/>
  <c r="F453" i="17"/>
  <c r="CJ452" i="17"/>
  <c r="CC452" i="17"/>
  <c r="AH452" i="17"/>
  <c r="AA452" i="17"/>
  <c r="T452" i="17"/>
  <c r="M452" i="17"/>
  <c r="F452" i="17"/>
  <c r="CJ451" i="17"/>
  <c r="CC451" i="17"/>
  <c r="AH451" i="17"/>
  <c r="AA451" i="17"/>
  <c r="T451" i="17"/>
  <c r="M451" i="17"/>
  <c r="F451" i="17"/>
  <c r="CJ450" i="17"/>
  <c r="CI450" i="17"/>
  <c r="CC450" i="17"/>
  <c r="AH450" i="17"/>
  <c r="AA450" i="17"/>
  <c r="T450" i="17"/>
  <c r="M450" i="17"/>
  <c r="F450" i="17"/>
  <c r="CJ449" i="17"/>
  <c r="CC449" i="17"/>
  <c r="AH449" i="17"/>
  <c r="AA449" i="17"/>
  <c r="T449" i="17"/>
  <c r="M449" i="17"/>
  <c r="F449" i="17"/>
  <c r="CJ448" i="17"/>
  <c r="CC448" i="17"/>
  <c r="AH448" i="17"/>
  <c r="AA448" i="17"/>
  <c r="T448" i="17"/>
  <c r="M448" i="17"/>
  <c r="F448" i="17"/>
  <c r="CJ447" i="17"/>
  <c r="CC447" i="17"/>
  <c r="AH447" i="17"/>
  <c r="AA447" i="17"/>
  <c r="T447" i="17"/>
  <c r="M447" i="17"/>
  <c r="F447" i="17"/>
  <c r="CJ446" i="17"/>
  <c r="CC446" i="17"/>
  <c r="AH446" i="17"/>
  <c r="AA446" i="17"/>
  <c r="T446" i="17"/>
  <c r="M446" i="17"/>
  <c r="F446" i="17"/>
  <c r="CJ445" i="17"/>
  <c r="CC445" i="17"/>
  <c r="AH445" i="17"/>
  <c r="AA445" i="17"/>
  <c r="T445" i="17"/>
  <c r="M445" i="17"/>
  <c r="F445" i="17"/>
  <c r="CJ444" i="17"/>
  <c r="CC444" i="17"/>
  <c r="AH444" i="17"/>
  <c r="AA444" i="17"/>
  <c r="T444" i="17"/>
  <c r="M444" i="17"/>
  <c r="F444" i="17"/>
  <c r="CJ443" i="17"/>
  <c r="CC443" i="17"/>
  <c r="AH443" i="17"/>
  <c r="AA443" i="17"/>
  <c r="T443" i="17"/>
  <c r="M443" i="17"/>
  <c r="F443" i="17"/>
  <c r="CJ442" i="17"/>
  <c r="CC442" i="17"/>
  <c r="AH442" i="17"/>
  <c r="AA442" i="17"/>
  <c r="T442" i="17"/>
  <c r="M442" i="17"/>
  <c r="F442" i="17"/>
  <c r="CJ441" i="17"/>
  <c r="CC441" i="17"/>
  <c r="AH441" i="17"/>
  <c r="AA441" i="17"/>
  <c r="T441" i="17"/>
  <c r="M441" i="17"/>
  <c r="F441" i="17"/>
  <c r="CJ440" i="17"/>
  <c r="CC440" i="17"/>
  <c r="AH440" i="17"/>
  <c r="AA440" i="17"/>
  <c r="T440" i="17"/>
  <c r="M440" i="17"/>
  <c r="F440" i="17"/>
  <c r="CJ439" i="17"/>
  <c r="CC439" i="17"/>
  <c r="AH439" i="17"/>
  <c r="AA439" i="17"/>
  <c r="T439" i="17"/>
  <c r="M439" i="17"/>
  <c r="F439" i="17"/>
  <c r="CJ438" i="17"/>
  <c r="CC438" i="17"/>
  <c r="AH438" i="17"/>
  <c r="AA438" i="17"/>
  <c r="T438" i="17"/>
  <c r="M438" i="17"/>
  <c r="F438" i="17"/>
  <c r="CJ437" i="17"/>
  <c r="CC437" i="17"/>
  <c r="AH437" i="17"/>
  <c r="AA437" i="17"/>
  <c r="T437" i="17"/>
  <c r="M437" i="17"/>
  <c r="F437" i="17"/>
  <c r="CJ436" i="17"/>
  <c r="CC436" i="17"/>
  <c r="AH436" i="17"/>
  <c r="AA436" i="17"/>
  <c r="T436" i="17"/>
  <c r="M436" i="17"/>
  <c r="F436" i="17"/>
  <c r="CJ435" i="17"/>
  <c r="CC435" i="17"/>
  <c r="AH435" i="17"/>
  <c r="AA435" i="17"/>
  <c r="T435" i="17"/>
  <c r="M435" i="17"/>
  <c r="F435" i="17"/>
  <c r="CJ434" i="17"/>
  <c r="CC434" i="17"/>
  <c r="AH434" i="17"/>
  <c r="AA434" i="17"/>
  <c r="T434" i="17"/>
  <c r="M434" i="17"/>
  <c r="F434" i="17"/>
  <c r="CJ433" i="17"/>
  <c r="CC433" i="17"/>
  <c r="AH433" i="17"/>
  <c r="AA433" i="17"/>
  <c r="T433" i="17"/>
  <c r="M433" i="17"/>
  <c r="F433" i="17"/>
  <c r="CJ432" i="17"/>
  <c r="CC432" i="17"/>
  <c r="AH432" i="17"/>
  <c r="AA432" i="17"/>
  <c r="T432" i="17"/>
  <c r="M432" i="17"/>
  <c r="F432" i="17"/>
  <c r="CJ431" i="17"/>
  <c r="CC431" i="17"/>
  <c r="AH431" i="17"/>
  <c r="AA431" i="17"/>
  <c r="T431" i="17"/>
  <c r="M431" i="17"/>
  <c r="F431" i="17"/>
  <c r="CJ430" i="17"/>
  <c r="CC430" i="17"/>
  <c r="AH430" i="17"/>
  <c r="AA430" i="17"/>
  <c r="T430" i="17"/>
  <c r="M430" i="17"/>
  <c r="F430" i="17"/>
  <c r="CJ429" i="17"/>
  <c r="CC429" i="17"/>
  <c r="AH429" i="17"/>
  <c r="AA429" i="17"/>
  <c r="T429" i="17"/>
  <c r="M429" i="17"/>
  <c r="F429" i="17"/>
  <c r="CJ428" i="17"/>
  <c r="CC428" i="17"/>
  <c r="AH428" i="17"/>
  <c r="AA428" i="17"/>
  <c r="T428" i="17"/>
  <c r="M428" i="17"/>
  <c r="F428" i="17"/>
  <c r="CJ427" i="17"/>
  <c r="CC427" i="17"/>
  <c r="AH427" i="17"/>
  <c r="AA427" i="17"/>
  <c r="T427" i="17"/>
  <c r="M427" i="17"/>
  <c r="F427" i="17"/>
  <c r="CJ426" i="17"/>
  <c r="CC426" i="17"/>
  <c r="AH426" i="17"/>
  <c r="AA426" i="17"/>
  <c r="T426" i="17"/>
  <c r="M426" i="17"/>
  <c r="F426" i="17"/>
  <c r="CJ425" i="17"/>
  <c r="CC425" i="17"/>
  <c r="AH425" i="17"/>
  <c r="AA425" i="17"/>
  <c r="T425" i="17"/>
  <c r="M425" i="17"/>
  <c r="F425" i="17"/>
  <c r="CJ424" i="17"/>
  <c r="CC424" i="17"/>
  <c r="AH424" i="17"/>
  <c r="AA424" i="17"/>
  <c r="T424" i="17"/>
  <c r="M424" i="17"/>
  <c r="F424" i="17"/>
  <c r="CJ423" i="17"/>
  <c r="CC423" i="17"/>
  <c r="AH423" i="17"/>
  <c r="AA423" i="17"/>
  <c r="T423" i="17"/>
  <c r="M423" i="17"/>
  <c r="F423" i="17"/>
  <c r="CJ422" i="17"/>
  <c r="CC422" i="17"/>
  <c r="AH422" i="17"/>
  <c r="AA422" i="17"/>
  <c r="T422" i="17"/>
  <c r="M422" i="17"/>
  <c r="F422" i="17"/>
  <c r="CJ421" i="17"/>
  <c r="CC421" i="17"/>
  <c r="AH421" i="17"/>
  <c r="AA421" i="17"/>
  <c r="T421" i="17"/>
  <c r="M421" i="17"/>
  <c r="F421" i="17"/>
  <c r="CJ420" i="17"/>
  <c r="CC420" i="17"/>
  <c r="AH420" i="17"/>
  <c r="AA420" i="17"/>
  <c r="T420" i="17"/>
  <c r="M420" i="17"/>
  <c r="F420" i="17"/>
  <c r="CJ419" i="17"/>
  <c r="CC419" i="17"/>
  <c r="AH419" i="17"/>
  <c r="AA419" i="17"/>
  <c r="T419" i="17"/>
  <c r="M419" i="17"/>
  <c r="F419" i="17"/>
  <c r="CJ418" i="17"/>
  <c r="CC418" i="17"/>
  <c r="AH418" i="17"/>
  <c r="AA418" i="17"/>
  <c r="T418" i="17"/>
  <c r="M418" i="17"/>
  <c r="F418" i="17"/>
  <c r="CJ417" i="17"/>
  <c r="CC417" i="17"/>
  <c r="AH417" i="17"/>
  <c r="AA417" i="17"/>
  <c r="T417" i="17"/>
  <c r="M417" i="17"/>
  <c r="F417" i="17"/>
  <c r="CJ416" i="17"/>
  <c r="CI416" i="17"/>
  <c r="CC416" i="17"/>
  <c r="AH416" i="17"/>
  <c r="AA416" i="17"/>
  <c r="T416" i="17"/>
  <c r="M416" i="17"/>
  <c r="F416" i="17"/>
  <c r="CJ415" i="17"/>
  <c r="CI415" i="17"/>
  <c r="CC415" i="17"/>
  <c r="AH415" i="17"/>
  <c r="AA415" i="17"/>
  <c r="T415" i="17"/>
  <c r="M415" i="17"/>
  <c r="F415" i="17"/>
  <c r="CJ414" i="17"/>
  <c r="CI414" i="17"/>
  <c r="CC414" i="17"/>
  <c r="AH414" i="17"/>
  <c r="AA414" i="17"/>
  <c r="T414" i="17"/>
  <c r="M414" i="17"/>
  <c r="F414" i="17"/>
  <c r="CJ413" i="17"/>
  <c r="CC413" i="17"/>
  <c r="AH413" i="17"/>
  <c r="AA413" i="17"/>
  <c r="T413" i="17"/>
  <c r="M413" i="17"/>
  <c r="F413" i="17"/>
  <c r="CJ412" i="17"/>
  <c r="CC412" i="17"/>
  <c r="AH412" i="17"/>
  <c r="AA412" i="17"/>
  <c r="T412" i="17"/>
  <c r="M412" i="17"/>
  <c r="F412" i="17"/>
  <c r="CJ411" i="17"/>
  <c r="CC411" i="17"/>
  <c r="AH411" i="17"/>
  <c r="AA411" i="17"/>
  <c r="T411" i="17"/>
  <c r="M411" i="17"/>
  <c r="F411" i="17"/>
  <c r="CJ410" i="17"/>
  <c r="CC410" i="17"/>
  <c r="AH410" i="17"/>
  <c r="AA410" i="17"/>
  <c r="T410" i="17"/>
  <c r="M410" i="17"/>
  <c r="F410" i="17"/>
  <c r="CJ409" i="17"/>
  <c r="CC409" i="17"/>
  <c r="AH409" i="17"/>
  <c r="AA409" i="17"/>
  <c r="T409" i="17"/>
  <c r="M409" i="17"/>
  <c r="F409" i="17"/>
  <c r="CJ408" i="17"/>
  <c r="CC408" i="17"/>
  <c r="AH408" i="17"/>
  <c r="AA408" i="17"/>
  <c r="T408" i="17"/>
  <c r="M408" i="17"/>
  <c r="F408" i="17"/>
  <c r="CJ407" i="17"/>
  <c r="CC407" i="17"/>
  <c r="AH407" i="17"/>
  <c r="AA407" i="17"/>
  <c r="T407" i="17"/>
  <c r="M407" i="17"/>
  <c r="F407" i="17"/>
  <c r="CJ406" i="17"/>
  <c r="CC406" i="17"/>
  <c r="AH406" i="17"/>
  <c r="AA406" i="17"/>
  <c r="T406" i="17"/>
  <c r="M406" i="17"/>
  <c r="F406" i="17"/>
  <c r="CJ405" i="17"/>
  <c r="CC405" i="17"/>
  <c r="AH405" i="17"/>
  <c r="AA405" i="17"/>
  <c r="T405" i="17"/>
  <c r="M405" i="17"/>
  <c r="F405" i="17"/>
  <c r="CJ404" i="17"/>
  <c r="CC404" i="17"/>
  <c r="AH404" i="17"/>
  <c r="AA404" i="17"/>
  <c r="T404" i="17"/>
  <c r="M404" i="17"/>
  <c r="F404" i="17"/>
  <c r="CJ403" i="17"/>
  <c r="CC403" i="17"/>
  <c r="AH403" i="17"/>
  <c r="AA403" i="17"/>
  <c r="T403" i="17"/>
  <c r="M403" i="17"/>
  <c r="F403" i="17"/>
  <c r="CJ402" i="17"/>
  <c r="CC402" i="17"/>
  <c r="AH402" i="17"/>
  <c r="AA402" i="17"/>
  <c r="T402" i="17"/>
  <c r="M402" i="17"/>
  <c r="F402" i="17"/>
  <c r="CJ401" i="17"/>
  <c r="CI401" i="17"/>
  <c r="CC401" i="17"/>
  <c r="AH401" i="17"/>
  <c r="AA401" i="17"/>
  <c r="T401" i="17"/>
  <c r="M401" i="17"/>
  <c r="F401" i="17"/>
  <c r="CJ400" i="17"/>
  <c r="CI400" i="17"/>
  <c r="CC400" i="17"/>
  <c r="AH400" i="17"/>
  <c r="AA400" i="17"/>
  <c r="T400" i="17"/>
  <c r="M400" i="17"/>
  <c r="F400" i="17"/>
  <c r="CJ399" i="17"/>
  <c r="CI399" i="17"/>
  <c r="CC399" i="17"/>
  <c r="AH399" i="17"/>
  <c r="AA399" i="17"/>
  <c r="T399" i="17"/>
  <c r="M399" i="17"/>
  <c r="F399" i="17"/>
  <c r="CJ398" i="17"/>
  <c r="CI398" i="17"/>
  <c r="CC398" i="17"/>
  <c r="AH398" i="17"/>
  <c r="AA398" i="17"/>
  <c r="T398" i="17"/>
  <c r="M398" i="17"/>
  <c r="F398" i="17"/>
  <c r="CJ397" i="17"/>
  <c r="CI397" i="17"/>
  <c r="CC397" i="17"/>
  <c r="AH397" i="17"/>
  <c r="AA397" i="17"/>
  <c r="T397" i="17"/>
  <c r="M397" i="17"/>
  <c r="F397" i="17"/>
  <c r="CJ396" i="17"/>
  <c r="CI396" i="17"/>
  <c r="CC396" i="17"/>
  <c r="AH396" i="17"/>
  <c r="AA396" i="17"/>
  <c r="T396" i="17"/>
  <c r="M396" i="17"/>
  <c r="F396" i="17"/>
  <c r="CJ395" i="17"/>
  <c r="CI395" i="17"/>
  <c r="CC395" i="17"/>
  <c r="AH395" i="17"/>
  <c r="AA395" i="17"/>
  <c r="T395" i="17"/>
  <c r="M395" i="17"/>
  <c r="F395" i="17"/>
  <c r="CJ394" i="17"/>
  <c r="CI394" i="17"/>
  <c r="CC394" i="17"/>
  <c r="AH394" i="17"/>
  <c r="AA394" i="17"/>
  <c r="T394" i="17"/>
  <c r="M394" i="17"/>
  <c r="F394" i="17"/>
  <c r="CJ393" i="17"/>
  <c r="CI393" i="17"/>
  <c r="CC393" i="17"/>
  <c r="AH393" i="17"/>
  <c r="AA393" i="17"/>
  <c r="T393" i="17"/>
  <c r="M393" i="17"/>
  <c r="F393" i="17"/>
  <c r="CJ392" i="17"/>
  <c r="CI392" i="17"/>
  <c r="CC392" i="17"/>
  <c r="AH392" i="17"/>
  <c r="AA392" i="17"/>
  <c r="T392" i="17"/>
  <c r="M392" i="17"/>
  <c r="F392" i="17"/>
  <c r="CJ391" i="17"/>
  <c r="CI391" i="17"/>
  <c r="CC391" i="17"/>
  <c r="AH391" i="17"/>
  <c r="AA391" i="17"/>
  <c r="T391" i="17"/>
  <c r="M391" i="17"/>
  <c r="F391" i="17"/>
  <c r="CJ390" i="17"/>
  <c r="CI390" i="17"/>
  <c r="CC390" i="17"/>
  <c r="AH390" i="17"/>
  <c r="AA390" i="17"/>
  <c r="T390" i="17"/>
  <c r="M390" i="17"/>
  <c r="F390" i="17"/>
  <c r="CJ389" i="17"/>
  <c r="CI389" i="17"/>
  <c r="CC389" i="17"/>
  <c r="AH389" i="17"/>
  <c r="AA389" i="17"/>
  <c r="T389" i="17"/>
  <c r="M389" i="17"/>
  <c r="F389" i="17"/>
  <c r="CJ388" i="17"/>
  <c r="CI388" i="17"/>
  <c r="CC388" i="17"/>
  <c r="AH388" i="17"/>
  <c r="AA388" i="17"/>
  <c r="T388" i="17"/>
  <c r="M388" i="17"/>
  <c r="F388" i="17"/>
  <c r="CJ387" i="17"/>
  <c r="CI387" i="17"/>
  <c r="CC387" i="17"/>
  <c r="AH387" i="17"/>
  <c r="AA387" i="17"/>
  <c r="T387" i="17"/>
  <c r="M387" i="17"/>
  <c r="F387" i="17"/>
  <c r="CJ386" i="17"/>
  <c r="CI386" i="17"/>
  <c r="CC386" i="17"/>
  <c r="AH386" i="17"/>
  <c r="AA386" i="17"/>
  <c r="T386" i="17"/>
  <c r="M386" i="17"/>
  <c r="F386" i="17"/>
  <c r="CJ385" i="17"/>
  <c r="CI385" i="17"/>
  <c r="CC385" i="17"/>
  <c r="AH385" i="17"/>
  <c r="AA385" i="17"/>
  <c r="T385" i="17"/>
  <c r="M385" i="17"/>
  <c r="F385" i="17"/>
  <c r="CH384" i="17"/>
  <c r="CG384" i="17"/>
  <c r="CF384" i="17"/>
  <c r="CB384" i="17"/>
  <c r="CA384" i="17"/>
  <c r="AH384" i="17"/>
  <c r="AA384" i="17"/>
  <c r="T384" i="17"/>
  <c r="M384" i="17"/>
  <c r="F384" i="17"/>
  <c r="CJ383" i="17"/>
  <c r="CI383" i="17"/>
  <c r="CC383" i="17"/>
  <c r="AH383" i="17"/>
  <c r="AA383" i="17"/>
  <c r="T383" i="17"/>
  <c r="M383" i="17"/>
  <c r="F383" i="17"/>
  <c r="CJ382" i="17"/>
  <c r="CI382" i="17"/>
  <c r="CC382" i="17"/>
  <c r="AH382" i="17"/>
  <c r="AA382" i="17"/>
  <c r="T382" i="17"/>
  <c r="M382" i="17"/>
  <c r="F382" i="17"/>
  <c r="CJ381" i="17"/>
  <c r="CI381" i="17"/>
  <c r="CC381" i="17"/>
  <c r="AH381" i="17"/>
  <c r="AA381" i="17"/>
  <c r="T381" i="17"/>
  <c r="M381" i="17"/>
  <c r="F381" i="17"/>
  <c r="CJ380" i="17"/>
  <c r="CI380" i="17"/>
  <c r="CC380" i="17"/>
  <c r="AH380" i="17"/>
  <c r="AA380" i="17"/>
  <c r="T380" i="17"/>
  <c r="M380" i="17"/>
  <c r="F380" i="17"/>
  <c r="CJ379" i="17"/>
  <c r="CI379" i="17"/>
  <c r="CC379" i="17"/>
  <c r="AH379" i="17"/>
  <c r="AA379" i="17"/>
  <c r="T379" i="17"/>
  <c r="M379" i="17"/>
  <c r="F379" i="17"/>
  <c r="CJ378" i="17"/>
  <c r="CI378" i="17"/>
  <c r="CC378" i="17"/>
  <c r="AH378" i="17"/>
  <c r="AA378" i="17"/>
  <c r="T378" i="17"/>
  <c r="M378" i="17"/>
  <c r="F378" i="17"/>
  <c r="CJ377" i="17"/>
  <c r="CI377" i="17"/>
  <c r="CC377" i="17"/>
  <c r="AH377" i="17"/>
  <c r="AA377" i="17"/>
  <c r="T377" i="17"/>
  <c r="M377" i="17"/>
  <c r="F377" i="17"/>
  <c r="CJ376" i="17"/>
  <c r="CI376" i="17"/>
  <c r="CC376" i="17"/>
  <c r="AH376" i="17"/>
  <c r="AA376" i="17"/>
  <c r="T376" i="17"/>
  <c r="M376" i="17"/>
  <c r="F376" i="17"/>
  <c r="CJ375" i="17"/>
  <c r="CI375" i="17"/>
  <c r="CC375" i="17"/>
  <c r="AH375" i="17"/>
  <c r="AA375" i="17"/>
  <c r="T375" i="17"/>
  <c r="M375" i="17"/>
  <c r="F375" i="17"/>
  <c r="CJ374" i="17"/>
  <c r="CI374" i="17"/>
  <c r="CC374" i="17"/>
  <c r="AH374" i="17"/>
  <c r="AA374" i="17"/>
  <c r="T374" i="17"/>
  <c r="M374" i="17"/>
  <c r="F374" i="17"/>
  <c r="CJ373" i="17"/>
  <c r="CI373" i="17"/>
  <c r="CC373" i="17"/>
  <c r="AH373" i="17"/>
  <c r="AA373" i="17"/>
  <c r="T373" i="17"/>
  <c r="M373" i="17"/>
  <c r="F373" i="17"/>
  <c r="CJ372" i="17"/>
  <c r="CI372" i="17"/>
  <c r="CC372" i="17"/>
  <c r="AH372" i="17"/>
  <c r="AA372" i="17"/>
  <c r="T372" i="17"/>
  <c r="M372" i="17"/>
  <c r="F372" i="17"/>
  <c r="CJ371" i="17"/>
  <c r="CI371" i="17"/>
  <c r="CC371" i="17"/>
  <c r="AH371" i="17"/>
  <c r="AA371" i="17"/>
  <c r="T371" i="17"/>
  <c r="M371" i="17"/>
  <c r="F371" i="17"/>
  <c r="CJ370" i="17"/>
  <c r="CI370" i="17"/>
  <c r="CC370" i="17"/>
  <c r="AH370" i="17"/>
  <c r="AA370" i="17"/>
  <c r="T370" i="17"/>
  <c r="M370" i="17"/>
  <c r="F370" i="17"/>
  <c r="CJ369" i="17"/>
  <c r="CI369" i="17"/>
  <c r="CC369" i="17"/>
  <c r="AH369" i="17"/>
  <c r="AA369" i="17"/>
  <c r="T369" i="17"/>
  <c r="M369" i="17"/>
  <c r="F369" i="17"/>
  <c r="CJ368" i="17"/>
  <c r="CI368" i="17"/>
  <c r="CC368" i="17"/>
  <c r="AH368" i="17"/>
  <c r="AA368" i="17"/>
  <c r="T368" i="17"/>
  <c r="M368" i="17"/>
  <c r="F368" i="17"/>
  <c r="CJ367" i="17"/>
  <c r="CI367" i="17"/>
  <c r="CC367" i="17"/>
  <c r="AH367" i="17"/>
  <c r="AA367" i="17"/>
  <c r="T367" i="17"/>
  <c r="M367" i="17"/>
  <c r="F367" i="17"/>
  <c r="CJ366" i="17"/>
  <c r="CI366" i="17"/>
  <c r="CC366" i="17"/>
  <c r="AH366" i="17"/>
  <c r="AA366" i="17"/>
  <c r="T366" i="17"/>
  <c r="M366" i="17"/>
  <c r="F366" i="17"/>
  <c r="CJ365" i="17"/>
  <c r="CI365" i="17"/>
  <c r="CC365" i="17"/>
  <c r="AH365" i="17"/>
  <c r="AA365" i="17"/>
  <c r="T365" i="17"/>
  <c r="M365" i="17"/>
  <c r="F365" i="17"/>
  <c r="CJ364" i="17"/>
  <c r="CI364" i="17"/>
  <c r="CC364" i="17"/>
  <c r="AH364" i="17"/>
  <c r="AA364" i="17"/>
  <c r="T364" i="17"/>
  <c r="M364" i="17"/>
  <c r="F364" i="17"/>
  <c r="CJ363" i="17"/>
  <c r="CI363" i="17"/>
  <c r="CC363" i="17"/>
  <c r="AH363" i="17"/>
  <c r="AA363" i="17"/>
  <c r="T363" i="17"/>
  <c r="M363" i="17"/>
  <c r="F363" i="17"/>
  <c r="CJ362" i="17"/>
  <c r="CI362" i="17"/>
  <c r="CC362" i="17"/>
  <c r="AH362" i="17"/>
  <c r="AA362" i="17"/>
  <c r="T362" i="17"/>
  <c r="M362" i="17"/>
  <c r="F362" i="17"/>
  <c r="CJ361" i="17"/>
  <c r="CI361" i="17"/>
  <c r="CC361" i="17"/>
  <c r="AH361" i="17"/>
  <c r="AA361" i="17"/>
  <c r="T361" i="17"/>
  <c r="M361" i="17"/>
  <c r="F361" i="17"/>
  <c r="CJ360" i="17"/>
  <c r="CI360" i="17"/>
  <c r="CC360" i="17"/>
  <c r="AH360" i="17"/>
  <c r="AA360" i="17"/>
  <c r="T360" i="17"/>
  <c r="M360" i="17"/>
  <c r="F360" i="17"/>
  <c r="CJ359" i="17"/>
  <c r="CI359" i="17"/>
  <c r="CC359" i="17"/>
  <c r="AH359" i="17"/>
  <c r="AA359" i="17"/>
  <c r="T359" i="17"/>
  <c r="M359" i="17"/>
  <c r="F359" i="17"/>
  <c r="CJ358" i="17"/>
  <c r="CI358" i="17"/>
  <c r="CC358" i="17"/>
  <c r="AH358" i="17"/>
  <c r="AA358" i="17"/>
  <c r="T358" i="17"/>
  <c r="M358" i="17"/>
  <c r="F358" i="17"/>
  <c r="CJ357" i="17"/>
  <c r="CI357" i="17"/>
  <c r="CC357" i="17"/>
  <c r="AH357" i="17"/>
  <c r="AA357" i="17"/>
  <c r="T357" i="17"/>
  <c r="M357" i="17"/>
  <c r="F357" i="17"/>
  <c r="CJ356" i="17"/>
  <c r="CI356" i="17"/>
  <c r="CC356" i="17"/>
  <c r="AH356" i="17"/>
  <c r="AA356" i="17"/>
  <c r="T356" i="17"/>
  <c r="M356" i="17"/>
  <c r="F356" i="17"/>
  <c r="CJ355" i="17"/>
  <c r="CI355" i="17"/>
  <c r="CC355" i="17"/>
  <c r="AH355" i="17"/>
  <c r="AA355" i="17"/>
  <c r="T355" i="17"/>
  <c r="M355" i="17"/>
  <c r="F355" i="17"/>
  <c r="CJ354" i="17"/>
  <c r="CI354" i="17"/>
  <c r="CC354" i="17"/>
  <c r="AH354" i="17"/>
  <c r="AA354" i="17"/>
  <c r="T354" i="17"/>
  <c r="M354" i="17"/>
  <c r="F354" i="17"/>
  <c r="CJ353" i="17"/>
  <c r="CI353" i="17"/>
  <c r="CC353" i="17"/>
  <c r="AH353" i="17"/>
  <c r="AA353" i="17"/>
  <c r="T353" i="17"/>
  <c r="M353" i="17"/>
  <c r="F353" i="17"/>
  <c r="CJ352" i="17"/>
  <c r="CI352" i="17"/>
  <c r="CC352" i="17"/>
  <c r="AH352" i="17"/>
  <c r="AA352" i="17"/>
  <c r="T352" i="17"/>
  <c r="M352" i="17"/>
  <c r="F352" i="17"/>
  <c r="CJ351" i="17"/>
  <c r="CI351" i="17"/>
  <c r="CC351" i="17"/>
  <c r="AH351" i="17"/>
  <c r="AA351" i="17"/>
  <c r="T351" i="17"/>
  <c r="M351" i="17"/>
  <c r="F351" i="17"/>
  <c r="CJ350" i="17"/>
  <c r="CI350" i="17"/>
  <c r="CC350" i="17"/>
  <c r="BX350" i="17"/>
  <c r="AH350" i="17"/>
  <c r="AA350" i="17"/>
  <c r="T350" i="17"/>
  <c r="M350" i="17"/>
  <c r="F350" i="17"/>
  <c r="CJ349" i="17"/>
  <c r="CI349" i="17"/>
  <c r="CC349" i="17"/>
  <c r="BX349" i="17"/>
  <c r="AH349" i="17"/>
  <c r="AA349" i="17"/>
  <c r="T349" i="17"/>
  <c r="M349" i="17"/>
  <c r="F349" i="17"/>
  <c r="CJ348" i="17"/>
  <c r="CI348" i="17"/>
  <c r="CC348" i="17"/>
  <c r="BX348" i="17"/>
  <c r="AH348" i="17"/>
  <c r="AA348" i="17"/>
  <c r="T348" i="17"/>
  <c r="M348" i="17"/>
  <c r="F348" i="17"/>
  <c r="CJ347" i="17"/>
  <c r="CI347" i="17"/>
  <c r="CC347" i="17"/>
  <c r="BX347" i="17"/>
  <c r="AH347" i="17"/>
  <c r="AA347" i="17"/>
  <c r="T347" i="17"/>
  <c r="M347" i="17"/>
  <c r="F347" i="17"/>
  <c r="CJ346" i="17"/>
  <c r="CI346" i="17"/>
  <c r="CC346" i="17"/>
  <c r="BX346" i="17"/>
  <c r="AH346" i="17"/>
  <c r="AA346" i="17"/>
  <c r="T346" i="17"/>
  <c r="M346" i="17"/>
  <c r="F346" i="17"/>
  <c r="CJ345" i="17"/>
  <c r="CI345" i="17"/>
  <c r="CC345" i="17"/>
  <c r="BX345" i="17"/>
  <c r="AH345" i="17"/>
  <c r="AA345" i="17"/>
  <c r="T345" i="17"/>
  <c r="M345" i="17"/>
  <c r="F345" i="17"/>
  <c r="CJ344" i="17"/>
  <c r="CI344" i="17"/>
  <c r="CC344" i="17"/>
  <c r="BX344" i="17"/>
  <c r="AH344" i="17"/>
  <c r="AA344" i="17"/>
  <c r="T344" i="17"/>
  <c r="M344" i="17"/>
  <c r="F344" i="17"/>
  <c r="CJ343" i="17"/>
  <c r="CI343" i="17"/>
  <c r="CC343" i="17"/>
  <c r="BX343" i="17"/>
  <c r="AH343" i="17"/>
  <c r="AA343" i="17"/>
  <c r="T343" i="17"/>
  <c r="M343" i="17"/>
  <c r="F343" i="17"/>
  <c r="CJ342" i="17"/>
  <c r="CI342" i="17"/>
  <c r="CC342" i="17"/>
  <c r="BX342" i="17"/>
  <c r="AH342" i="17"/>
  <c r="AA342" i="17"/>
  <c r="T342" i="17"/>
  <c r="M342" i="17"/>
  <c r="F342" i="17"/>
  <c r="CJ341" i="17"/>
  <c r="CI341" i="17"/>
  <c r="CC341" i="17"/>
  <c r="BX341" i="17"/>
  <c r="AH341" i="17"/>
  <c r="AA341" i="17"/>
  <c r="T341" i="17"/>
  <c r="M341" i="17"/>
  <c r="F341" i="17"/>
  <c r="CJ340" i="17"/>
  <c r="CI340" i="17"/>
  <c r="CC340" i="17"/>
  <c r="BX340" i="17"/>
  <c r="AH340" i="17"/>
  <c r="AA340" i="17"/>
  <c r="T340" i="17"/>
  <c r="M340" i="17"/>
  <c r="F340" i="17"/>
  <c r="CJ339" i="17"/>
  <c r="CI339" i="17"/>
  <c r="CC339" i="17"/>
  <c r="AH339" i="17"/>
  <c r="AA339" i="17"/>
  <c r="T339" i="17"/>
  <c r="M339" i="17"/>
  <c r="F339" i="17"/>
  <c r="CJ338" i="17"/>
  <c r="CI338" i="17"/>
  <c r="CC338" i="17"/>
  <c r="AH338" i="17"/>
  <c r="AA338" i="17"/>
  <c r="T338" i="17"/>
  <c r="M338" i="17"/>
  <c r="F338" i="17"/>
  <c r="CJ337" i="17"/>
  <c r="CI337" i="17"/>
  <c r="CC337" i="17"/>
  <c r="AH337" i="17"/>
  <c r="AA337" i="17"/>
  <c r="T337" i="17"/>
  <c r="M337" i="17"/>
  <c r="F337" i="17"/>
  <c r="CJ336" i="17"/>
  <c r="CI336" i="17"/>
  <c r="CC336" i="17"/>
  <c r="AH336" i="17"/>
  <c r="AA336" i="17"/>
  <c r="T336" i="17"/>
  <c r="M336" i="17"/>
  <c r="F336" i="17"/>
  <c r="CJ335" i="17"/>
  <c r="CI335" i="17"/>
  <c r="CC335" i="17"/>
  <c r="AH335" i="17"/>
  <c r="AA335" i="17"/>
  <c r="T335" i="17"/>
  <c r="M335" i="17"/>
  <c r="F335" i="17"/>
  <c r="CJ334" i="17"/>
  <c r="CI334" i="17"/>
  <c r="CC334" i="17"/>
  <c r="AH334" i="17"/>
  <c r="AA334" i="17"/>
  <c r="T334" i="17"/>
  <c r="M334" i="17"/>
  <c r="F334" i="17"/>
  <c r="CJ333" i="17"/>
  <c r="CI333" i="17"/>
  <c r="CC333" i="17"/>
  <c r="AH333" i="17"/>
  <c r="AA333" i="17"/>
  <c r="T333" i="17"/>
  <c r="M333" i="17"/>
  <c r="F333" i="17"/>
  <c r="CJ332" i="17"/>
  <c r="CI332" i="17"/>
  <c r="CC332" i="17"/>
  <c r="AH332" i="17"/>
  <c r="AA332" i="17"/>
  <c r="T332" i="17"/>
  <c r="M332" i="17"/>
  <c r="F332" i="17"/>
  <c r="CJ331" i="17"/>
  <c r="CI331" i="17"/>
  <c r="CC331" i="17"/>
  <c r="AH331" i="17"/>
  <c r="AA331" i="17"/>
  <c r="T331" i="17"/>
  <c r="M331" i="17"/>
  <c r="F331" i="17"/>
  <c r="CJ330" i="17"/>
  <c r="CI330" i="17"/>
  <c r="CC330" i="17"/>
  <c r="AH330" i="17"/>
  <c r="AA330" i="17"/>
  <c r="T330" i="17"/>
  <c r="M330" i="17"/>
  <c r="F330" i="17"/>
  <c r="CJ329" i="17"/>
  <c r="CI329" i="17"/>
  <c r="CC329" i="17"/>
  <c r="AH329" i="17"/>
  <c r="AA329" i="17"/>
  <c r="T329" i="17"/>
  <c r="M329" i="17"/>
  <c r="F329" i="17"/>
  <c r="CJ328" i="17"/>
  <c r="CI328" i="17"/>
  <c r="CC328" i="17"/>
  <c r="AH328" i="17"/>
  <c r="AA328" i="17"/>
  <c r="T328" i="17"/>
  <c r="M328" i="17"/>
  <c r="F328" i="17"/>
  <c r="CJ327" i="17"/>
  <c r="CI327" i="17"/>
  <c r="CC327" i="17"/>
  <c r="AH327" i="17"/>
  <c r="AA327" i="17"/>
  <c r="T327" i="17"/>
  <c r="M327" i="17"/>
  <c r="F327" i="17"/>
  <c r="CJ326" i="17"/>
  <c r="CI326" i="17"/>
  <c r="CC326" i="17"/>
  <c r="AH326" i="17"/>
  <c r="AA326" i="17"/>
  <c r="T326" i="17"/>
  <c r="M326" i="17"/>
  <c r="F326" i="17"/>
  <c r="CJ325" i="17"/>
  <c r="CI325" i="17"/>
  <c r="CC325" i="17"/>
  <c r="AH325" i="17"/>
  <c r="AA325" i="17"/>
  <c r="T325" i="17"/>
  <c r="M325" i="17"/>
  <c r="F325" i="17"/>
  <c r="CJ324" i="17"/>
  <c r="CI324" i="17"/>
  <c r="CC324" i="17"/>
  <c r="AH324" i="17"/>
  <c r="AA324" i="17"/>
  <c r="T324" i="17"/>
  <c r="M324" i="17"/>
  <c r="F324" i="17"/>
  <c r="CJ323" i="17"/>
  <c r="CI323" i="17"/>
  <c r="CC323" i="17"/>
  <c r="AH323" i="17"/>
  <c r="AA323" i="17"/>
  <c r="T323" i="17"/>
  <c r="M323" i="17"/>
  <c r="F323" i="17"/>
  <c r="CJ322" i="17"/>
  <c r="CI322" i="17"/>
  <c r="CC322" i="17"/>
  <c r="AH322" i="17"/>
  <c r="AA322" i="17"/>
  <c r="T322" i="17"/>
  <c r="M322" i="17"/>
  <c r="F322" i="17"/>
  <c r="CJ321" i="17"/>
  <c r="CI321" i="17"/>
  <c r="CC321" i="17"/>
  <c r="AH321" i="17"/>
  <c r="AA321" i="17"/>
  <c r="T321" i="17"/>
  <c r="M321" i="17"/>
  <c r="F321" i="17"/>
  <c r="CJ320" i="17"/>
  <c r="CI320" i="17"/>
  <c r="AH320" i="17"/>
  <c r="AA320" i="17"/>
  <c r="T320" i="17"/>
  <c r="M320" i="17"/>
  <c r="F320" i="17"/>
  <c r="CJ319" i="17"/>
  <c r="CI319" i="17"/>
  <c r="AH319" i="17"/>
  <c r="AA319" i="17"/>
  <c r="T319" i="17"/>
  <c r="M319" i="17"/>
  <c r="F319" i="17"/>
  <c r="CJ318" i="17"/>
  <c r="CI318" i="17"/>
  <c r="AH318" i="17"/>
  <c r="AA318" i="17"/>
  <c r="T318" i="17"/>
  <c r="M318" i="17"/>
  <c r="F318" i="17"/>
  <c r="CJ317" i="17"/>
  <c r="CI317" i="17"/>
  <c r="AH317" i="17"/>
  <c r="AA317" i="17"/>
  <c r="T317" i="17"/>
  <c r="M317" i="17"/>
  <c r="F317" i="17"/>
  <c r="CJ316" i="17"/>
  <c r="CI316" i="17"/>
  <c r="AH316" i="17"/>
  <c r="AA316" i="17"/>
  <c r="T316" i="17"/>
  <c r="M316" i="17"/>
  <c r="F316" i="17"/>
  <c r="CJ315" i="17"/>
  <c r="CI315" i="17"/>
  <c r="AH315" i="17"/>
  <c r="AA315" i="17"/>
  <c r="T315" i="17"/>
  <c r="M315" i="17"/>
  <c r="F315" i="17"/>
  <c r="CJ314" i="17"/>
  <c r="CI314" i="17"/>
  <c r="AH314" i="17"/>
  <c r="AA314" i="17"/>
  <c r="T314" i="17"/>
  <c r="M314" i="17"/>
  <c r="F314" i="17"/>
  <c r="CJ313" i="17"/>
  <c r="CI313" i="17"/>
  <c r="AH313" i="17"/>
  <c r="AA313" i="17"/>
  <c r="T313" i="17"/>
  <c r="M313" i="17"/>
  <c r="F313" i="17"/>
  <c r="CJ312" i="17"/>
  <c r="CI312" i="17"/>
  <c r="AH312" i="17"/>
  <c r="AA312" i="17"/>
  <c r="T312" i="17"/>
  <c r="M312" i="17"/>
  <c r="F312" i="17"/>
  <c r="CJ311" i="17"/>
  <c r="CI311" i="17"/>
  <c r="AH311" i="17"/>
  <c r="AA311" i="17"/>
  <c r="T311" i="17"/>
  <c r="M311" i="17"/>
  <c r="F311" i="17"/>
  <c r="CJ310" i="17"/>
  <c r="CI310" i="17"/>
  <c r="AH310" i="17"/>
  <c r="AA310" i="17"/>
  <c r="T310" i="17"/>
  <c r="M310" i="17"/>
  <c r="F310" i="17"/>
  <c r="CJ309" i="17"/>
  <c r="CI309" i="17"/>
  <c r="AH309" i="17"/>
  <c r="AA309" i="17"/>
  <c r="T309" i="17"/>
  <c r="M309" i="17"/>
  <c r="F309" i="17"/>
  <c r="CJ308" i="17"/>
  <c r="CI308" i="17"/>
  <c r="AH308" i="17"/>
  <c r="AA308" i="17"/>
  <c r="T308" i="17"/>
  <c r="M308" i="17"/>
  <c r="F308" i="17"/>
  <c r="CJ307" i="17"/>
  <c r="CI307" i="17"/>
  <c r="AH307" i="17"/>
  <c r="AA307" i="17"/>
  <c r="T307" i="17"/>
  <c r="M307" i="17"/>
  <c r="F307" i="17"/>
  <c r="CJ306" i="17"/>
  <c r="CI306" i="17"/>
  <c r="AH306" i="17"/>
  <c r="AA306" i="17"/>
  <c r="T306" i="17"/>
  <c r="M306" i="17"/>
  <c r="F306" i="17"/>
  <c r="CJ305" i="17"/>
  <c r="CI305" i="17"/>
  <c r="AH305" i="17"/>
  <c r="AA305" i="17"/>
  <c r="T305" i="17"/>
  <c r="M305" i="17"/>
  <c r="F305" i="17"/>
  <c r="CJ304" i="17"/>
  <c r="CI304" i="17"/>
  <c r="AH304" i="17"/>
  <c r="AA304" i="17"/>
  <c r="T304" i="17"/>
  <c r="M304" i="17"/>
  <c r="F304" i="17"/>
  <c r="CJ303" i="17"/>
  <c r="CI303" i="17"/>
  <c r="AH303" i="17"/>
  <c r="AA303" i="17"/>
  <c r="T303" i="17"/>
  <c r="M303" i="17"/>
  <c r="F303" i="17"/>
  <c r="CJ302" i="17"/>
  <c r="CI302" i="17"/>
  <c r="AH302" i="17"/>
  <c r="AA302" i="17"/>
  <c r="T302" i="17"/>
  <c r="M302" i="17"/>
  <c r="F302" i="17"/>
  <c r="CJ301" i="17"/>
  <c r="CI301" i="17"/>
  <c r="AH301" i="17"/>
  <c r="AA301" i="17"/>
  <c r="T301" i="17"/>
  <c r="M301" i="17"/>
  <c r="F301" i="17"/>
  <c r="CJ300" i="17"/>
  <c r="CI300" i="17"/>
  <c r="AH300" i="17"/>
  <c r="AA300" i="17"/>
  <c r="T300" i="17"/>
  <c r="M300" i="17"/>
  <c r="F300" i="17"/>
  <c r="CJ299" i="17"/>
  <c r="CI299" i="17"/>
  <c r="AH299" i="17"/>
  <c r="AA299" i="17"/>
  <c r="T299" i="17"/>
  <c r="M299" i="17"/>
  <c r="F299" i="17"/>
  <c r="CJ298" i="17"/>
  <c r="CI298" i="17"/>
  <c r="AH298" i="17"/>
  <c r="AA298" i="17"/>
  <c r="T298" i="17"/>
  <c r="M298" i="17"/>
  <c r="F298" i="17"/>
  <c r="CJ297" i="17"/>
  <c r="CI297" i="17"/>
  <c r="AH297" i="17"/>
  <c r="AA297" i="17"/>
  <c r="T297" i="17"/>
  <c r="M297" i="17"/>
  <c r="F297" i="17"/>
  <c r="CJ296" i="17"/>
  <c r="CI296" i="17"/>
  <c r="AH296" i="17"/>
  <c r="AA296" i="17"/>
  <c r="T296" i="17"/>
  <c r="M296" i="17"/>
  <c r="F296" i="17"/>
  <c r="CJ295" i="17"/>
  <c r="CI295" i="17"/>
  <c r="AH295" i="17"/>
  <c r="AA295" i="17"/>
  <c r="T295" i="17"/>
  <c r="M295" i="17"/>
  <c r="F295" i="17"/>
  <c r="CJ294" i="17"/>
  <c r="CI294" i="17"/>
  <c r="AH294" i="17"/>
  <c r="AA294" i="17"/>
  <c r="T294" i="17"/>
  <c r="M294" i="17"/>
  <c r="F294" i="17"/>
  <c r="CJ293" i="17"/>
  <c r="CI293" i="17"/>
  <c r="AH293" i="17"/>
  <c r="AA293" i="17"/>
  <c r="T293" i="17"/>
  <c r="M293" i="17"/>
  <c r="F293" i="17"/>
  <c r="CJ292" i="17"/>
  <c r="CI292" i="17"/>
  <c r="AH292" i="17"/>
  <c r="AA292" i="17"/>
  <c r="T292" i="17"/>
  <c r="M292" i="17"/>
  <c r="F292" i="17"/>
  <c r="CJ291" i="17"/>
  <c r="CI291" i="17"/>
  <c r="AH291" i="17"/>
  <c r="AA291" i="17"/>
  <c r="T291" i="17"/>
  <c r="M291" i="17"/>
  <c r="F291" i="17"/>
  <c r="CJ290" i="17"/>
  <c r="CI290" i="17"/>
  <c r="AH290" i="17"/>
  <c r="AA290" i="17"/>
  <c r="T290" i="17"/>
  <c r="M290" i="17"/>
  <c r="F290" i="17"/>
  <c r="CJ289" i="17"/>
  <c r="CI289" i="17"/>
  <c r="AH289" i="17"/>
  <c r="AA289" i="17"/>
  <c r="T289" i="17"/>
  <c r="M289" i="17"/>
  <c r="F289" i="17"/>
  <c r="CJ288" i="17"/>
  <c r="CI288" i="17"/>
  <c r="AH288" i="17"/>
  <c r="AA288" i="17"/>
  <c r="T288" i="17"/>
  <c r="M288" i="17"/>
  <c r="F288" i="17"/>
  <c r="CJ287" i="17"/>
  <c r="CI287" i="17"/>
  <c r="AH287" i="17"/>
  <c r="AA287" i="17"/>
  <c r="T287" i="17"/>
  <c r="M287" i="17"/>
  <c r="F287" i="17"/>
  <c r="CJ286" i="17"/>
  <c r="CI286" i="17"/>
  <c r="AH286" i="17"/>
  <c r="AA286" i="17"/>
  <c r="T286" i="17"/>
  <c r="M286" i="17"/>
  <c r="F286" i="17"/>
  <c r="CJ285" i="17"/>
  <c r="CI285" i="17"/>
  <c r="AH285" i="17"/>
  <c r="AA285" i="17"/>
  <c r="T285" i="17"/>
  <c r="M285" i="17"/>
  <c r="F285" i="17"/>
  <c r="CJ284" i="17"/>
  <c r="CI284" i="17"/>
  <c r="AH284" i="17"/>
  <c r="AA284" i="17"/>
  <c r="T284" i="17"/>
  <c r="M284" i="17"/>
  <c r="F284" i="17"/>
  <c r="CJ283" i="17"/>
  <c r="CI283" i="17"/>
  <c r="AH283" i="17"/>
  <c r="AA283" i="17"/>
  <c r="T283" i="17"/>
  <c r="M283" i="17"/>
  <c r="F283" i="17"/>
  <c r="CJ282" i="17"/>
  <c r="CI282" i="17"/>
  <c r="AH282" i="17"/>
  <c r="AA282" i="17"/>
  <c r="T282" i="17"/>
  <c r="M282" i="17"/>
  <c r="F282" i="17"/>
  <c r="CJ281" i="17"/>
  <c r="CI281" i="17"/>
  <c r="AH281" i="17"/>
  <c r="AA281" i="17"/>
  <c r="T281" i="17"/>
  <c r="M281" i="17"/>
  <c r="F281" i="17"/>
  <c r="CJ280" i="17"/>
  <c r="CI280" i="17"/>
  <c r="AH280" i="17"/>
  <c r="AA280" i="17"/>
  <c r="T280" i="17"/>
  <c r="M280" i="17"/>
  <c r="F280" i="17"/>
  <c r="CJ279" i="17"/>
  <c r="CI279" i="17"/>
  <c r="AH279" i="17"/>
  <c r="AA279" i="17"/>
  <c r="T279" i="17"/>
  <c r="M279" i="17"/>
  <c r="F279" i="17"/>
  <c r="CJ278" i="17"/>
  <c r="CI278" i="17"/>
  <c r="AH278" i="17"/>
  <c r="AA278" i="17"/>
  <c r="T278" i="17"/>
  <c r="M278" i="17"/>
  <c r="F278" i="17"/>
  <c r="CJ277" i="17"/>
  <c r="CI277" i="17"/>
  <c r="AH277" i="17"/>
  <c r="AA277" i="17"/>
  <c r="T277" i="17"/>
  <c r="M277" i="17"/>
  <c r="F277" i="17"/>
  <c r="CJ276" i="17"/>
  <c r="CI276" i="17"/>
  <c r="AH276" i="17"/>
  <c r="AA276" i="17"/>
  <c r="T276" i="17"/>
  <c r="M276" i="17"/>
  <c r="F276" i="17"/>
  <c r="CJ275" i="17"/>
  <c r="CI275" i="17"/>
  <c r="AH275" i="17"/>
  <c r="AA275" i="17"/>
  <c r="T275" i="17"/>
  <c r="M275" i="17"/>
  <c r="F275" i="17"/>
  <c r="CJ274" i="17"/>
  <c r="CI274" i="17"/>
  <c r="AH274" i="17"/>
  <c r="AA274" i="17"/>
  <c r="T274" i="17"/>
  <c r="M274" i="17"/>
  <c r="F274" i="17"/>
  <c r="CJ273" i="17"/>
  <c r="CI273" i="17"/>
  <c r="AH273" i="17"/>
  <c r="AA273" i="17"/>
  <c r="T273" i="17"/>
  <c r="M273" i="17"/>
  <c r="F273" i="17"/>
  <c r="CJ272" i="17"/>
  <c r="CI272" i="17"/>
  <c r="AH272" i="17"/>
  <c r="AA272" i="17"/>
  <c r="T272" i="17"/>
  <c r="M272" i="17"/>
  <c r="F272" i="17"/>
  <c r="CJ271" i="17"/>
  <c r="CI271" i="17"/>
  <c r="AH271" i="17"/>
  <c r="AA271" i="17"/>
  <c r="T271" i="17"/>
  <c r="M271" i="17"/>
  <c r="F271" i="17"/>
  <c r="CJ270" i="17"/>
  <c r="CI270" i="17"/>
  <c r="AH270" i="17"/>
  <c r="AA270" i="17"/>
  <c r="T270" i="17"/>
  <c r="M270" i="17"/>
  <c r="F270" i="17"/>
  <c r="CJ269" i="17"/>
  <c r="CI269" i="17"/>
  <c r="AH269" i="17"/>
  <c r="AA269" i="17"/>
  <c r="T269" i="17"/>
  <c r="M269" i="17"/>
  <c r="F269" i="17"/>
  <c r="CJ268" i="17"/>
  <c r="CI268" i="17"/>
  <c r="AH268" i="17"/>
  <c r="AA268" i="17"/>
  <c r="T268" i="17"/>
  <c r="M268" i="17"/>
  <c r="F268" i="17"/>
  <c r="CJ267" i="17"/>
  <c r="CI267" i="17"/>
  <c r="AH267" i="17"/>
  <c r="AA267" i="17"/>
  <c r="T267" i="17"/>
  <c r="M267" i="17"/>
  <c r="F267" i="17"/>
  <c r="CJ266" i="17"/>
  <c r="CI266" i="17"/>
  <c r="AH266" i="17"/>
  <c r="AA266" i="17"/>
  <c r="T266" i="17"/>
  <c r="M266" i="17"/>
  <c r="F266" i="17"/>
  <c r="CJ265" i="17"/>
  <c r="CI265" i="17"/>
  <c r="BJ265" i="17"/>
  <c r="AH265" i="17"/>
  <c r="AA265" i="17"/>
  <c r="T265" i="17"/>
  <c r="M265" i="17"/>
  <c r="F265" i="17"/>
  <c r="CJ264" i="17"/>
  <c r="CI264" i="17"/>
  <c r="BJ264" i="17"/>
  <c r="AH264" i="17"/>
  <c r="AA264" i="17"/>
  <c r="T264" i="17"/>
  <c r="M264" i="17"/>
  <c r="F264" i="17"/>
  <c r="CJ263" i="17"/>
  <c r="CI263" i="17"/>
  <c r="BJ263" i="17"/>
  <c r="AH263" i="17"/>
  <c r="AA263" i="17"/>
  <c r="T263" i="17"/>
  <c r="M263" i="17"/>
  <c r="F263" i="17"/>
  <c r="CJ262" i="17"/>
  <c r="CI262" i="17"/>
  <c r="BJ262" i="17"/>
  <c r="AH262" i="17"/>
  <c r="AA262" i="17"/>
  <c r="T262" i="17"/>
  <c r="M262" i="17"/>
  <c r="F262" i="17"/>
  <c r="CJ261" i="17"/>
  <c r="CI261" i="17"/>
  <c r="BJ261" i="17"/>
  <c r="AH261" i="17"/>
  <c r="AA261" i="17"/>
  <c r="T261" i="17"/>
  <c r="M261" i="17"/>
  <c r="F261" i="17"/>
  <c r="CJ260" i="17"/>
  <c r="CI260" i="17"/>
  <c r="BJ260" i="17"/>
  <c r="AH260" i="17"/>
  <c r="AA260" i="17"/>
  <c r="T260" i="17"/>
  <c r="M260" i="17"/>
  <c r="F260" i="17"/>
  <c r="CJ259" i="17"/>
  <c r="CI259" i="17"/>
  <c r="BJ259" i="17"/>
  <c r="AH259" i="17"/>
  <c r="AA259" i="17"/>
  <c r="T259" i="17"/>
  <c r="M259" i="17"/>
  <c r="F259" i="17"/>
  <c r="CJ258" i="17"/>
  <c r="CI258" i="17"/>
  <c r="BJ258" i="17"/>
  <c r="AH258" i="17"/>
  <c r="AA258" i="17"/>
  <c r="T258" i="17"/>
  <c r="M258" i="17"/>
  <c r="F258" i="17"/>
  <c r="CJ257" i="17"/>
  <c r="CI257" i="17"/>
  <c r="BJ257" i="17"/>
  <c r="AH257" i="17"/>
  <c r="AA257" i="17"/>
  <c r="T257" i="17"/>
  <c r="M257" i="17"/>
  <c r="F257" i="17"/>
  <c r="CJ256" i="17"/>
  <c r="CI256" i="17"/>
  <c r="BJ256" i="17"/>
  <c r="AH256" i="17"/>
  <c r="AA256" i="17"/>
  <c r="T256" i="17"/>
  <c r="M256" i="17"/>
  <c r="F256" i="17"/>
  <c r="CJ255" i="17"/>
  <c r="CI255" i="17"/>
  <c r="BJ255" i="17"/>
  <c r="AH255" i="17"/>
  <c r="AA255" i="17"/>
  <c r="T255" i="17"/>
  <c r="M255" i="17"/>
  <c r="F255" i="17"/>
  <c r="CJ254" i="17"/>
  <c r="CI254" i="17"/>
  <c r="BJ254" i="17"/>
  <c r="AH254" i="17"/>
  <c r="AA254" i="17"/>
  <c r="T254" i="17"/>
  <c r="M254" i="17"/>
  <c r="F254" i="17"/>
  <c r="CJ253" i="17"/>
  <c r="CI253" i="17"/>
  <c r="BJ253" i="17"/>
  <c r="AH253" i="17"/>
  <c r="AA253" i="17"/>
  <c r="T253" i="17"/>
  <c r="M253" i="17"/>
  <c r="F253" i="17"/>
  <c r="CJ252" i="17"/>
  <c r="CI252" i="17"/>
  <c r="BJ252" i="17"/>
  <c r="AH252" i="17"/>
  <c r="AA252" i="17"/>
  <c r="T252" i="17"/>
  <c r="M252" i="17"/>
  <c r="F252" i="17"/>
  <c r="CJ251" i="17"/>
  <c r="CI251" i="17"/>
  <c r="BJ251" i="17"/>
  <c r="AH251" i="17"/>
  <c r="AA251" i="17"/>
  <c r="T251" i="17"/>
  <c r="M251" i="17"/>
  <c r="F251" i="17"/>
  <c r="CJ250" i="17"/>
  <c r="CI250" i="17"/>
  <c r="BJ250" i="17"/>
  <c r="AH250" i="17"/>
  <c r="AA250" i="17"/>
  <c r="T250" i="17"/>
  <c r="M250" i="17"/>
  <c r="F250" i="17"/>
  <c r="CJ249" i="17"/>
  <c r="CI249" i="17"/>
  <c r="BJ249" i="17"/>
  <c r="AH249" i="17"/>
  <c r="AA249" i="17"/>
  <c r="T249" i="17"/>
  <c r="M249" i="17"/>
  <c r="F249" i="17"/>
  <c r="CJ248" i="17"/>
  <c r="CI248" i="17"/>
  <c r="BJ248" i="17"/>
  <c r="AH248" i="17"/>
  <c r="AA248" i="17"/>
  <c r="T248" i="17"/>
  <c r="M248" i="17"/>
  <c r="F248" i="17"/>
  <c r="CJ247" i="17"/>
  <c r="CI247" i="17"/>
  <c r="BJ247" i="17"/>
  <c r="AH247" i="17"/>
  <c r="AA247" i="17"/>
  <c r="T247" i="17"/>
  <c r="M247" i="17"/>
  <c r="F247" i="17"/>
  <c r="CJ246" i="17"/>
  <c r="CI246" i="17"/>
  <c r="BJ246" i="17"/>
  <c r="AH246" i="17"/>
  <c r="AA246" i="17"/>
  <c r="T246" i="17"/>
  <c r="M246" i="17"/>
  <c r="F246" i="17"/>
  <c r="CJ245" i="17"/>
  <c r="CI245" i="17"/>
  <c r="BJ245" i="17"/>
  <c r="AH245" i="17"/>
  <c r="AA245" i="17"/>
  <c r="T245" i="17"/>
  <c r="M245" i="17"/>
  <c r="F245" i="17"/>
  <c r="CJ244" i="17"/>
  <c r="CI244" i="17"/>
  <c r="BQ244" i="17"/>
  <c r="BJ244" i="17"/>
  <c r="AH244" i="17"/>
  <c r="AA244" i="17"/>
  <c r="T244" i="17"/>
  <c r="M244" i="17"/>
  <c r="F244" i="17"/>
  <c r="CJ243" i="17"/>
  <c r="CI243" i="17"/>
  <c r="BQ243" i="17"/>
  <c r="BJ243" i="17"/>
  <c r="AH243" i="17"/>
  <c r="AA243" i="17"/>
  <c r="T243" i="17"/>
  <c r="M243" i="17"/>
  <c r="F243" i="17"/>
  <c r="CJ242" i="17"/>
  <c r="CI242" i="17"/>
  <c r="BQ242" i="17"/>
  <c r="BJ242" i="17"/>
  <c r="AH242" i="17"/>
  <c r="AA242" i="17"/>
  <c r="T242" i="17"/>
  <c r="M242" i="17"/>
  <c r="F242" i="17"/>
  <c r="CJ241" i="17"/>
  <c r="CI241" i="17"/>
  <c r="BQ241" i="17"/>
  <c r="BJ241" i="17"/>
  <c r="BC241" i="17"/>
  <c r="AV241" i="17"/>
  <c r="AO241" i="17"/>
  <c r="AH241" i="17"/>
  <c r="AA241" i="17"/>
  <c r="T241" i="17"/>
  <c r="M241" i="17"/>
  <c r="F241" i="17"/>
  <c r="CJ240" i="17"/>
  <c r="CI240" i="17"/>
  <c r="BQ240" i="17"/>
  <c r="BJ240" i="17"/>
  <c r="BC240" i="17"/>
  <c r="AV240" i="17"/>
  <c r="AO240" i="17"/>
  <c r="AH240" i="17"/>
  <c r="AA240" i="17"/>
  <c r="T240" i="17"/>
  <c r="M240" i="17"/>
  <c r="F240" i="17"/>
  <c r="CJ239" i="17"/>
  <c r="CI239" i="17"/>
  <c r="BQ239" i="17"/>
  <c r="BJ239" i="17"/>
  <c r="BC239" i="17"/>
  <c r="AV239" i="17"/>
  <c r="AO239" i="17"/>
  <c r="AH239" i="17"/>
  <c r="AA239" i="17"/>
  <c r="T239" i="17"/>
  <c r="M239" i="17"/>
  <c r="F239" i="17"/>
  <c r="CJ238" i="17"/>
  <c r="CI238" i="17"/>
  <c r="BQ238" i="17"/>
  <c r="BJ238" i="17"/>
  <c r="BC238" i="17"/>
  <c r="AV238" i="17"/>
  <c r="AO238" i="17"/>
  <c r="AH238" i="17"/>
  <c r="AA238" i="17"/>
  <c r="T238" i="17"/>
  <c r="M238" i="17"/>
  <c r="F238" i="17"/>
  <c r="CJ237" i="17"/>
  <c r="CI237" i="17"/>
  <c r="BQ237" i="17"/>
  <c r="BJ237" i="17"/>
  <c r="BC237" i="17"/>
  <c r="AV237" i="17"/>
  <c r="AO237" i="17"/>
  <c r="AH237" i="17"/>
  <c r="AA237" i="17"/>
  <c r="T237" i="17"/>
  <c r="M237" i="17"/>
  <c r="F237" i="17"/>
  <c r="CJ236" i="17"/>
  <c r="CI236" i="17"/>
  <c r="BQ236" i="17"/>
  <c r="BJ236" i="17"/>
  <c r="BC236" i="17"/>
  <c r="AV236" i="17"/>
  <c r="AO236" i="17"/>
  <c r="AH236" i="17"/>
  <c r="AA236" i="17"/>
  <c r="T236" i="17"/>
  <c r="M236" i="17"/>
  <c r="F236" i="17"/>
  <c r="CJ235" i="17"/>
  <c r="CI235" i="17"/>
  <c r="BQ235" i="17"/>
  <c r="BJ235" i="17"/>
  <c r="BC235" i="17"/>
  <c r="AV235" i="17"/>
  <c r="AO235" i="17"/>
  <c r="AH235" i="17"/>
  <c r="AA235" i="17"/>
  <c r="T235" i="17"/>
  <c r="M235" i="17"/>
  <c r="F235" i="17"/>
  <c r="CJ234" i="17"/>
  <c r="CI234" i="17"/>
  <c r="BQ234" i="17"/>
  <c r="BJ234" i="17"/>
  <c r="BC234" i="17"/>
  <c r="AV234" i="17"/>
  <c r="AO234" i="17"/>
  <c r="AH234" i="17"/>
  <c r="AA234" i="17"/>
  <c r="T234" i="17"/>
  <c r="M234" i="17"/>
  <c r="F234" i="17"/>
  <c r="CJ233" i="17"/>
  <c r="CI233" i="17"/>
  <c r="BQ233" i="17"/>
  <c r="BJ233" i="17"/>
  <c r="BC233" i="17"/>
  <c r="AV233" i="17"/>
  <c r="AO233" i="17"/>
  <c r="AH233" i="17"/>
  <c r="AA233" i="17"/>
  <c r="T233" i="17"/>
  <c r="M233" i="17"/>
  <c r="F233" i="17"/>
  <c r="CJ231" i="17"/>
  <c r="BQ231" i="17"/>
  <c r="BJ231" i="17"/>
  <c r="BC231" i="17"/>
  <c r="AV231" i="17"/>
  <c r="AO231" i="17"/>
  <c r="AH231" i="17"/>
  <c r="AA231" i="17"/>
  <c r="T231" i="17"/>
  <c r="M231" i="17"/>
  <c r="F231" i="17"/>
  <c r="CH230" i="17"/>
  <c r="CJ230" i="17" s="1"/>
  <c r="CF230" i="17"/>
  <c r="BQ230" i="17"/>
  <c r="BJ230" i="17"/>
  <c r="BI230" i="17"/>
  <c r="BC230" i="17"/>
  <c r="BB230" i="17"/>
  <c r="AV230" i="17"/>
  <c r="AU230" i="17"/>
  <c r="AO230" i="17"/>
  <c r="AH230" i="17"/>
  <c r="AG230" i="17"/>
  <c r="AA230" i="17"/>
  <c r="Z230" i="17"/>
  <c r="T230" i="17"/>
  <c r="S230" i="17"/>
  <c r="M230" i="17"/>
  <c r="L230" i="17"/>
  <c r="D230" i="17"/>
  <c r="F230" i="17" s="1"/>
  <c r="C230" i="17"/>
  <c r="B230" i="17"/>
  <c r="CJ229" i="17"/>
  <c r="CI229" i="17"/>
  <c r="BQ229" i="17"/>
  <c r="BJ229" i="17"/>
  <c r="BI229" i="17"/>
  <c r="BC229" i="17"/>
  <c r="BB229" i="17"/>
  <c r="AV229" i="17"/>
  <c r="AU229" i="17"/>
  <c r="AO229" i="17"/>
  <c r="AH229" i="17"/>
  <c r="AG229" i="17"/>
  <c r="AA229" i="17"/>
  <c r="Z229" i="17"/>
  <c r="T229" i="17"/>
  <c r="S229" i="17"/>
  <c r="M229" i="17"/>
  <c r="L229" i="17"/>
  <c r="F229" i="17"/>
  <c r="E229" i="17"/>
  <c r="CJ228" i="17"/>
  <c r="CI228" i="17"/>
  <c r="BQ228" i="17"/>
  <c r="BJ228" i="17"/>
  <c r="BI228" i="17"/>
  <c r="BC228" i="17"/>
  <c r="BB228" i="17"/>
  <c r="AV228" i="17"/>
  <c r="AU228" i="17"/>
  <c r="AO228" i="17"/>
  <c r="AH228" i="17"/>
  <c r="AG228" i="17"/>
  <c r="AA228" i="17"/>
  <c r="Z228" i="17"/>
  <c r="T228" i="17"/>
  <c r="S228" i="17"/>
  <c r="M228" i="17"/>
  <c r="L228" i="17"/>
  <c r="F228" i="17"/>
  <c r="E228" i="17"/>
  <c r="CJ227" i="17"/>
  <c r="CI227" i="17"/>
  <c r="BQ227" i="17"/>
  <c r="BJ227" i="17"/>
  <c r="BC227" i="17"/>
  <c r="AV227" i="17"/>
  <c r="AO227" i="17"/>
  <c r="AH227" i="17"/>
  <c r="AA227" i="17"/>
  <c r="T227" i="17"/>
  <c r="M227" i="17"/>
  <c r="F227" i="17"/>
  <c r="CJ226" i="17"/>
  <c r="CI226" i="17"/>
  <c r="BQ226" i="17"/>
  <c r="BJ226" i="17"/>
  <c r="BC226" i="17"/>
  <c r="AV226" i="17"/>
  <c r="AO226" i="17"/>
  <c r="AH226" i="17"/>
  <c r="AA226" i="17"/>
  <c r="T226" i="17"/>
  <c r="M226" i="17"/>
  <c r="F226" i="17"/>
  <c r="CJ225" i="17"/>
  <c r="CI225" i="17"/>
  <c r="BQ225" i="17"/>
  <c r="BJ225" i="17"/>
  <c r="BC225" i="17"/>
  <c r="AV225" i="17"/>
  <c r="AO225" i="17"/>
  <c r="AH225" i="17"/>
  <c r="AA225" i="17"/>
  <c r="T225" i="17"/>
  <c r="M225" i="17"/>
  <c r="F225" i="17"/>
  <c r="CJ224" i="17"/>
  <c r="CI224" i="17"/>
  <c r="BQ224" i="17"/>
  <c r="BJ224" i="17"/>
  <c r="BC224" i="17"/>
  <c r="AV224" i="17"/>
  <c r="AO224" i="17"/>
  <c r="AH224" i="17"/>
  <c r="AA224" i="17"/>
  <c r="T224" i="17"/>
  <c r="M224" i="17"/>
  <c r="F224" i="17"/>
  <c r="CJ223" i="17"/>
  <c r="CI223" i="17"/>
  <c r="BQ223" i="17"/>
  <c r="BJ223" i="17"/>
  <c r="BC223" i="17"/>
  <c r="AV223" i="17"/>
  <c r="AO223" i="17"/>
  <c r="AH223" i="17"/>
  <c r="AA223" i="17"/>
  <c r="T223" i="17"/>
  <c r="M223" i="17"/>
  <c r="F223" i="17"/>
  <c r="CJ222" i="17"/>
  <c r="CI222" i="17"/>
  <c r="BQ222" i="17"/>
  <c r="BJ222" i="17"/>
  <c r="BC222" i="17"/>
  <c r="AV222" i="17"/>
  <c r="AO222" i="17"/>
  <c r="AH222" i="17"/>
  <c r="AA222" i="17"/>
  <c r="T222" i="17"/>
  <c r="M222" i="17"/>
  <c r="F222" i="17"/>
  <c r="CJ221" i="17"/>
  <c r="CI221" i="17"/>
  <c r="BQ221" i="17"/>
  <c r="BJ221" i="17"/>
  <c r="BC221" i="17"/>
  <c r="AV221" i="17"/>
  <c r="AO221" i="17"/>
  <c r="AH221" i="17"/>
  <c r="AA221" i="17"/>
  <c r="T221" i="17"/>
  <c r="M221" i="17"/>
  <c r="F221" i="17"/>
  <c r="CJ220" i="17"/>
  <c r="CI220" i="17"/>
  <c r="BQ220" i="17"/>
  <c r="BJ220" i="17"/>
  <c r="BC220" i="17"/>
  <c r="AV220" i="17"/>
  <c r="AO220" i="17"/>
  <c r="AH220" i="17"/>
  <c r="AA220" i="17"/>
  <c r="T220" i="17"/>
  <c r="M220" i="17"/>
  <c r="F220" i="17"/>
  <c r="CJ219" i="17"/>
  <c r="CI219" i="17"/>
  <c r="BQ219" i="17"/>
  <c r="BJ219" i="17"/>
  <c r="BC219" i="17"/>
  <c r="AV219" i="17"/>
  <c r="AO219" i="17"/>
  <c r="AH219" i="17"/>
  <c r="AA219" i="17"/>
  <c r="T219" i="17"/>
  <c r="M219" i="17"/>
  <c r="F219" i="17"/>
  <c r="CJ218" i="17"/>
  <c r="CI218" i="17"/>
  <c r="BQ218" i="17"/>
  <c r="BJ218" i="17"/>
  <c r="BC218" i="17"/>
  <c r="AV218" i="17"/>
  <c r="AO218" i="17"/>
  <c r="AH218" i="17"/>
  <c r="AA218" i="17"/>
  <c r="T218" i="17"/>
  <c r="M218" i="17"/>
  <c r="F218" i="17"/>
  <c r="CJ217" i="17"/>
  <c r="CI217" i="17"/>
  <c r="BQ217" i="17"/>
  <c r="BJ217" i="17"/>
  <c r="BC217" i="17"/>
  <c r="AV217" i="17"/>
  <c r="AO217" i="17"/>
  <c r="AH217" i="17"/>
  <c r="AA217" i="17"/>
  <c r="T217" i="17"/>
  <c r="M217" i="17"/>
  <c r="F217" i="17"/>
  <c r="CJ216" i="17"/>
  <c r="CI216" i="17"/>
  <c r="BQ216" i="17"/>
  <c r="BJ216" i="17"/>
  <c r="BC216" i="17"/>
  <c r="AV216" i="17"/>
  <c r="AO216" i="17"/>
  <c r="AH216" i="17"/>
  <c r="AA216" i="17"/>
  <c r="T216" i="17"/>
  <c r="M216" i="17"/>
  <c r="F216" i="17"/>
  <c r="CJ215" i="17"/>
  <c r="CI215" i="17"/>
  <c r="BQ215" i="17"/>
  <c r="BJ215" i="17"/>
  <c r="BC215" i="17"/>
  <c r="AV215" i="17"/>
  <c r="AO215" i="17"/>
  <c r="AH215" i="17"/>
  <c r="AA215" i="17"/>
  <c r="T215" i="17"/>
  <c r="M215" i="17"/>
  <c r="F215" i="17"/>
  <c r="CJ214" i="17"/>
  <c r="CI214" i="17"/>
  <c r="BQ214" i="17"/>
  <c r="BJ214" i="17"/>
  <c r="BC214" i="17"/>
  <c r="AV214" i="17"/>
  <c r="AO214" i="17"/>
  <c r="AH214" i="17"/>
  <c r="AA214" i="17"/>
  <c r="T214" i="17"/>
  <c r="M214" i="17"/>
  <c r="F214" i="17"/>
  <c r="CJ213" i="17"/>
  <c r="CI213" i="17"/>
  <c r="BQ213" i="17"/>
  <c r="BJ213" i="17"/>
  <c r="BC213" i="17"/>
  <c r="AV213" i="17"/>
  <c r="AO213" i="17"/>
  <c r="AH213" i="17"/>
  <c r="AA213" i="17"/>
  <c r="T213" i="17"/>
  <c r="M213" i="17"/>
  <c r="F213" i="17"/>
  <c r="CJ212" i="17"/>
  <c r="CI212" i="17"/>
  <c r="BQ212" i="17"/>
  <c r="BJ212" i="17"/>
  <c r="BC212" i="17"/>
  <c r="AV212" i="17"/>
  <c r="AO212" i="17"/>
  <c r="AH212" i="17"/>
  <c r="AA212" i="17"/>
  <c r="T212" i="17"/>
  <c r="M212" i="17"/>
  <c r="F212" i="17"/>
  <c r="CJ211" i="17"/>
  <c r="CI211" i="17"/>
  <c r="BQ211" i="17"/>
  <c r="BJ211" i="17"/>
  <c r="BC211" i="17"/>
  <c r="AV211" i="17"/>
  <c r="AO211" i="17"/>
  <c r="AH211" i="17"/>
  <c r="AA211" i="17"/>
  <c r="T211" i="17"/>
  <c r="M211" i="17"/>
  <c r="F211" i="17"/>
  <c r="CJ210" i="17"/>
  <c r="CI210" i="17"/>
  <c r="BQ210" i="17"/>
  <c r="BJ210" i="17"/>
  <c r="BC210" i="17"/>
  <c r="AV210" i="17"/>
  <c r="AO210" i="17"/>
  <c r="AH210" i="17"/>
  <c r="AA210" i="17"/>
  <c r="T210" i="17"/>
  <c r="M210" i="17"/>
  <c r="F210" i="17"/>
  <c r="CJ209" i="17"/>
  <c r="CI209" i="17"/>
  <c r="BQ209" i="17"/>
  <c r="BJ209" i="17"/>
  <c r="BC209" i="17"/>
  <c r="AV209" i="17"/>
  <c r="AO209" i="17"/>
  <c r="AH209" i="17"/>
  <c r="AA209" i="17"/>
  <c r="T209" i="17"/>
  <c r="M209" i="17"/>
  <c r="F209" i="17"/>
  <c r="CJ208" i="17"/>
  <c r="CI208" i="17"/>
  <c r="BQ208" i="17"/>
  <c r="BJ208" i="17"/>
  <c r="BC208" i="17"/>
  <c r="AV208" i="17"/>
  <c r="AO208" i="17"/>
  <c r="AH208" i="17"/>
  <c r="AA208" i="17"/>
  <c r="T208" i="17"/>
  <c r="M208" i="17"/>
  <c r="F208" i="17"/>
  <c r="CJ207" i="17"/>
  <c r="CI207" i="17"/>
  <c r="BQ207" i="17"/>
  <c r="BJ207" i="17"/>
  <c r="BC207" i="17"/>
  <c r="AV207" i="17"/>
  <c r="AO207" i="17"/>
  <c r="AH207" i="17"/>
  <c r="AA207" i="17"/>
  <c r="T207" i="17"/>
  <c r="M207" i="17"/>
  <c r="F207" i="17"/>
  <c r="CJ206" i="17"/>
  <c r="CI206" i="17"/>
  <c r="BQ206" i="17"/>
  <c r="BJ206" i="17"/>
  <c r="BC206" i="17"/>
  <c r="AV206" i="17"/>
  <c r="AO206" i="17"/>
  <c r="AH206" i="17"/>
  <c r="AA206" i="17"/>
  <c r="T206" i="17"/>
  <c r="M206" i="17"/>
  <c r="F206" i="17"/>
  <c r="CJ205" i="17"/>
  <c r="CI205" i="17"/>
  <c r="BQ205" i="17"/>
  <c r="BJ205" i="17"/>
  <c r="BC205" i="17"/>
  <c r="AV205" i="17"/>
  <c r="AO205" i="17"/>
  <c r="AH205" i="17"/>
  <c r="AA205" i="17"/>
  <c r="T205" i="17"/>
  <c r="M205" i="17"/>
  <c r="F205" i="17"/>
  <c r="CJ204" i="17"/>
  <c r="CI204" i="17"/>
  <c r="BQ204" i="17"/>
  <c r="BJ204" i="17"/>
  <c r="BC204" i="17"/>
  <c r="AV204" i="17"/>
  <c r="AO204" i="17"/>
  <c r="AH204" i="17"/>
  <c r="AA204" i="17"/>
  <c r="T204" i="17"/>
  <c r="M204" i="17"/>
  <c r="F204" i="17"/>
  <c r="CJ203" i="17"/>
  <c r="CI203" i="17"/>
  <c r="BQ203" i="17"/>
  <c r="BJ203" i="17"/>
  <c r="BC203" i="17"/>
  <c r="AV203" i="17"/>
  <c r="AO203" i="17"/>
  <c r="AH203" i="17"/>
  <c r="AA203" i="17"/>
  <c r="T203" i="17"/>
  <c r="M203" i="17"/>
  <c r="F203" i="17"/>
  <c r="CJ202" i="17"/>
  <c r="CI202" i="17"/>
  <c r="BQ202" i="17"/>
  <c r="BJ202" i="17"/>
  <c r="BC202" i="17"/>
  <c r="AV202" i="17"/>
  <c r="AO202" i="17"/>
  <c r="AH202" i="17"/>
  <c r="AA202" i="17"/>
  <c r="T202" i="17"/>
  <c r="M202" i="17"/>
  <c r="F202" i="17"/>
  <c r="CJ201" i="17"/>
  <c r="CI201" i="17"/>
  <c r="BQ201" i="17"/>
  <c r="BJ201" i="17"/>
  <c r="BC201" i="17"/>
  <c r="AV201" i="17"/>
  <c r="AO201" i="17"/>
  <c r="AH201" i="17"/>
  <c r="AA201" i="17"/>
  <c r="T201" i="17"/>
  <c r="M201" i="17"/>
  <c r="F201" i="17"/>
  <c r="CJ200" i="17"/>
  <c r="CI200" i="17"/>
  <c r="BQ200" i="17"/>
  <c r="BJ200" i="17"/>
  <c r="BC200" i="17"/>
  <c r="AV200" i="17"/>
  <c r="AO200" i="17"/>
  <c r="AH200" i="17"/>
  <c r="AA200" i="17"/>
  <c r="T200" i="17"/>
  <c r="M200" i="17"/>
  <c r="F200" i="17"/>
  <c r="CJ199" i="17"/>
  <c r="CI199" i="17"/>
  <c r="BQ199" i="17"/>
  <c r="BJ199" i="17"/>
  <c r="BC199" i="17"/>
  <c r="AV199" i="17"/>
  <c r="AO199" i="17"/>
  <c r="AH199" i="17"/>
  <c r="AA199" i="17"/>
  <c r="T199" i="17"/>
  <c r="M199" i="17"/>
  <c r="F199" i="17"/>
  <c r="CJ198" i="17"/>
  <c r="CI198" i="17"/>
  <c r="BQ198" i="17"/>
  <c r="BJ198" i="17"/>
  <c r="BC198" i="17"/>
  <c r="AV198" i="17"/>
  <c r="AO198" i="17"/>
  <c r="AH198" i="17"/>
  <c r="AA198" i="17"/>
  <c r="T198" i="17"/>
  <c r="M198" i="17"/>
  <c r="F198" i="17"/>
  <c r="CJ197" i="17"/>
  <c r="CI197" i="17"/>
  <c r="BQ197" i="17"/>
  <c r="BJ197" i="17"/>
  <c r="BC197" i="17"/>
  <c r="AV197" i="17"/>
  <c r="AO197" i="17"/>
  <c r="AH197" i="17"/>
  <c r="AA197" i="17"/>
  <c r="T197" i="17"/>
  <c r="M197" i="17"/>
  <c r="F197" i="17"/>
  <c r="CJ196" i="17"/>
  <c r="CI196" i="17"/>
  <c r="BQ196" i="17"/>
  <c r="BJ196" i="17"/>
  <c r="BC196" i="17"/>
  <c r="AV196" i="17"/>
  <c r="AO196" i="17"/>
  <c r="AH196" i="17"/>
  <c r="AA196" i="17"/>
  <c r="T196" i="17"/>
  <c r="M196" i="17"/>
  <c r="F196" i="17"/>
  <c r="CJ195" i="17"/>
  <c r="CI195" i="17"/>
  <c r="BQ195" i="17"/>
  <c r="BJ195" i="17"/>
  <c r="BC195" i="17"/>
  <c r="AV195" i="17"/>
  <c r="AO195" i="17"/>
  <c r="AH195" i="17"/>
  <c r="AA195" i="17"/>
  <c r="T195" i="17"/>
  <c r="M195" i="17"/>
  <c r="F195" i="17"/>
  <c r="CJ194" i="17"/>
  <c r="CI194" i="17"/>
  <c r="BQ194" i="17"/>
  <c r="BJ194" i="17"/>
  <c r="BC194" i="17"/>
  <c r="AV194" i="17"/>
  <c r="AO194" i="17"/>
  <c r="AH194" i="17"/>
  <c r="AA194" i="17"/>
  <c r="T194" i="17"/>
  <c r="M194" i="17"/>
  <c r="F194" i="17"/>
  <c r="CJ193" i="17"/>
  <c r="CI193" i="17"/>
  <c r="BQ193" i="17"/>
  <c r="BJ193" i="17"/>
  <c r="BC193" i="17"/>
  <c r="AV193" i="17"/>
  <c r="AO193" i="17"/>
  <c r="AH193" i="17"/>
  <c r="AA193" i="17"/>
  <c r="T193" i="17"/>
  <c r="M193" i="17"/>
  <c r="F193" i="17"/>
  <c r="CJ192" i="17"/>
  <c r="CI192" i="17"/>
  <c r="BQ192" i="17"/>
  <c r="BJ192" i="17"/>
  <c r="BC192" i="17"/>
  <c r="AV192" i="17"/>
  <c r="AO192" i="17"/>
  <c r="AH192" i="17"/>
  <c r="AA192" i="17"/>
  <c r="T192" i="17"/>
  <c r="M192" i="17"/>
  <c r="F192" i="17"/>
  <c r="CJ191" i="17"/>
  <c r="CI191" i="17"/>
  <c r="BQ191" i="17"/>
  <c r="BJ191" i="17"/>
  <c r="BC191" i="17"/>
  <c r="AV191" i="17"/>
  <c r="AO191" i="17"/>
  <c r="AH191" i="17"/>
  <c r="AA191" i="17"/>
  <c r="T191" i="17"/>
  <c r="M191" i="17"/>
  <c r="F191" i="17"/>
  <c r="CJ190" i="17"/>
  <c r="CI190" i="17"/>
  <c r="BQ190" i="17"/>
  <c r="BJ190" i="17"/>
  <c r="BC190" i="17"/>
  <c r="AV190" i="17"/>
  <c r="AO190" i="17"/>
  <c r="AH190" i="17"/>
  <c r="AA190" i="17"/>
  <c r="T190" i="17"/>
  <c r="M190" i="17"/>
  <c r="F190" i="17"/>
  <c r="CJ189" i="17"/>
  <c r="CI189" i="17"/>
  <c r="BQ189" i="17"/>
  <c r="BJ189" i="17"/>
  <c r="BC189" i="17"/>
  <c r="AV189" i="17"/>
  <c r="AO189" i="17"/>
  <c r="AH189" i="17"/>
  <c r="AA189" i="17"/>
  <c r="T189" i="17"/>
  <c r="M189" i="17"/>
  <c r="F189" i="17"/>
  <c r="CJ188" i="17"/>
  <c r="CI188" i="17"/>
  <c r="BQ188" i="17"/>
  <c r="BJ188" i="17"/>
  <c r="BC188" i="17"/>
  <c r="AV188" i="17"/>
  <c r="AO188" i="17"/>
  <c r="AH188" i="17"/>
  <c r="AA188" i="17"/>
  <c r="T188" i="17"/>
  <c r="M188" i="17"/>
  <c r="F188" i="17"/>
  <c r="CJ187" i="17"/>
  <c r="CI187" i="17"/>
  <c r="BQ187" i="17"/>
  <c r="BJ187" i="17"/>
  <c r="BC187" i="17"/>
  <c r="AV187" i="17"/>
  <c r="AO187" i="17"/>
  <c r="AH187" i="17"/>
  <c r="AA187" i="17"/>
  <c r="T187" i="17"/>
  <c r="M187" i="17"/>
  <c r="F187" i="17"/>
  <c r="CJ186" i="17"/>
  <c r="CI186" i="17"/>
  <c r="BQ186" i="17"/>
  <c r="BJ186" i="17"/>
  <c r="BC186" i="17"/>
  <c r="AV186" i="17"/>
  <c r="AO186" i="17"/>
  <c r="AH186" i="17"/>
  <c r="AA186" i="17"/>
  <c r="T186" i="17"/>
  <c r="M186" i="17"/>
  <c r="F186" i="17"/>
  <c r="CJ185" i="17"/>
  <c r="CI185" i="17"/>
  <c r="BQ185" i="17"/>
  <c r="BJ185" i="17"/>
  <c r="BC185" i="17"/>
  <c r="AV185" i="17"/>
  <c r="AO185" i="17"/>
  <c r="AH185" i="17"/>
  <c r="AA185" i="17"/>
  <c r="T185" i="17"/>
  <c r="M185" i="17"/>
  <c r="F185" i="17"/>
  <c r="CJ184" i="17"/>
  <c r="CI184" i="17"/>
  <c r="BQ184" i="17"/>
  <c r="BJ184" i="17"/>
  <c r="BC184" i="17"/>
  <c r="AV184" i="17"/>
  <c r="AO184" i="17"/>
  <c r="AH184" i="17"/>
  <c r="AA184" i="17"/>
  <c r="T184" i="17"/>
  <c r="M184" i="17"/>
  <c r="F184" i="17"/>
  <c r="CJ183" i="17"/>
  <c r="CI183" i="17"/>
  <c r="BQ183" i="17"/>
  <c r="BJ183" i="17"/>
  <c r="BC183" i="17"/>
  <c r="AV183" i="17"/>
  <c r="AO183" i="17"/>
  <c r="AH183" i="17"/>
  <c r="AA183" i="17"/>
  <c r="T183" i="17"/>
  <c r="M183" i="17"/>
  <c r="F183" i="17"/>
  <c r="CJ182" i="17"/>
  <c r="CI182" i="17"/>
  <c r="BQ182" i="17"/>
  <c r="BJ182" i="17"/>
  <c r="BC182" i="17"/>
  <c r="AV182" i="17"/>
  <c r="AO182" i="17"/>
  <c r="AH182" i="17"/>
  <c r="AA182" i="17"/>
  <c r="T182" i="17"/>
  <c r="M182" i="17"/>
  <c r="F182" i="17"/>
  <c r="CJ181" i="17"/>
  <c r="CI181" i="17"/>
  <c r="BQ181" i="17"/>
  <c r="BJ181" i="17"/>
  <c r="BC181" i="17"/>
  <c r="AV181" i="17"/>
  <c r="AO181" i="17"/>
  <c r="AH181" i="17"/>
  <c r="AA181" i="17"/>
  <c r="T181" i="17"/>
  <c r="M181" i="17"/>
  <c r="F181" i="17"/>
  <c r="CJ180" i="17"/>
  <c r="CI180" i="17"/>
  <c r="BQ180" i="17"/>
  <c r="BJ180" i="17"/>
  <c r="BC180" i="17"/>
  <c r="AV180" i="17"/>
  <c r="AO180" i="17"/>
  <c r="AH180" i="17"/>
  <c r="AA180" i="17"/>
  <c r="T180" i="17"/>
  <c r="M180" i="17"/>
  <c r="F180" i="17"/>
  <c r="CJ179" i="17"/>
  <c r="CI179" i="17"/>
  <c r="BQ179" i="17"/>
  <c r="BJ179" i="17"/>
  <c r="BC179" i="17"/>
  <c r="AV179" i="17"/>
  <c r="AO179" i="17"/>
  <c r="AH179" i="17"/>
  <c r="AA179" i="17"/>
  <c r="T179" i="17"/>
  <c r="M179" i="17"/>
  <c r="F179" i="17"/>
  <c r="CJ178" i="17"/>
  <c r="CI178" i="17"/>
  <c r="BQ178" i="17"/>
  <c r="BJ178" i="17"/>
  <c r="BC178" i="17"/>
  <c r="AV178" i="17"/>
  <c r="AO178" i="17"/>
  <c r="AH178" i="17"/>
  <c r="AA178" i="17"/>
  <c r="T178" i="17"/>
  <c r="M178" i="17"/>
  <c r="F178" i="17"/>
  <c r="CJ177" i="17"/>
  <c r="CI177" i="17"/>
  <c r="BQ177" i="17"/>
  <c r="BJ177" i="17"/>
  <c r="BC177" i="17"/>
  <c r="AV177" i="17"/>
  <c r="AO177" i="17"/>
  <c r="AH177" i="17"/>
  <c r="AA177" i="17"/>
  <c r="T177" i="17"/>
  <c r="M177" i="17"/>
  <c r="F177" i="17"/>
  <c r="CJ176" i="17"/>
  <c r="CI176" i="17"/>
  <c r="BQ176" i="17"/>
  <c r="BJ176" i="17"/>
  <c r="BC176" i="17"/>
  <c r="AV176" i="17"/>
  <c r="AO176" i="17"/>
  <c r="AH176" i="17"/>
  <c r="AA176" i="17"/>
  <c r="T176" i="17"/>
  <c r="M176" i="17"/>
  <c r="F176" i="17"/>
  <c r="CJ175" i="17"/>
  <c r="CI175" i="17"/>
  <c r="BQ175" i="17"/>
  <c r="BJ175" i="17"/>
  <c r="BC175" i="17"/>
  <c r="AV175" i="17"/>
  <c r="AO175" i="17"/>
  <c r="AH175" i="17"/>
  <c r="AA175" i="17"/>
  <c r="T175" i="17"/>
  <c r="M175" i="17"/>
  <c r="F175" i="17"/>
  <c r="CJ174" i="17"/>
  <c r="CI174" i="17"/>
  <c r="BQ174" i="17"/>
  <c r="BJ174" i="17"/>
  <c r="BC174" i="17"/>
  <c r="AV174" i="17"/>
  <c r="AO174" i="17"/>
  <c r="AH174" i="17"/>
  <c r="AA174" i="17"/>
  <c r="T174" i="17"/>
  <c r="M174" i="17"/>
  <c r="F174" i="17"/>
  <c r="CJ173" i="17"/>
  <c r="CI173" i="17"/>
  <c r="BQ173" i="17"/>
  <c r="BJ173" i="17"/>
  <c r="BC173" i="17"/>
  <c r="AV173" i="17"/>
  <c r="AO173" i="17"/>
  <c r="AH173" i="17"/>
  <c r="AA173" i="17"/>
  <c r="T173" i="17"/>
  <c r="M173" i="17"/>
  <c r="F173" i="17"/>
  <c r="CJ172" i="17"/>
  <c r="CI172" i="17"/>
  <c r="BQ172" i="17"/>
  <c r="BJ172" i="17"/>
  <c r="BC172" i="17"/>
  <c r="AV172" i="17"/>
  <c r="AO172" i="17"/>
  <c r="AH172" i="17"/>
  <c r="AA172" i="17"/>
  <c r="T172" i="17"/>
  <c r="M172" i="17"/>
  <c r="F172" i="17"/>
  <c r="CJ171" i="17"/>
  <c r="CI171" i="17"/>
  <c r="BQ171" i="17"/>
  <c r="BJ171" i="17"/>
  <c r="BC171" i="17"/>
  <c r="AV171" i="17"/>
  <c r="AO171" i="17"/>
  <c r="AH171" i="17"/>
  <c r="AA171" i="17"/>
  <c r="T171" i="17"/>
  <c r="M171" i="17"/>
  <c r="F171" i="17"/>
  <c r="CJ170" i="17"/>
  <c r="CI170" i="17"/>
  <c r="BQ170" i="17"/>
  <c r="BJ170" i="17"/>
  <c r="BC170" i="17"/>
  <c r="AV170" i="17"/>
  <c r="AO170" i="17"/>
  <c r="AH170" i="17"/>
  <c r="AA170" i="17"/>
  <c r="T170" i="17"/>
  <c r="M170" i="17"/>
  <c r="F170" i="17"/>
  <c r="CJ169" i="17"/>
  <c r="CI169" i="17"/>
  <c r="BQ169" i="17"/>
  <c r="BJ169" i="17"/>
  <c r="BC169" i="17"/>
  <c r="AV169" i="17"/>
  <c r="AO169" i="17"/>
  <c r="AH169" i="17"/>
  <c r="AA169" i="17"/>
  <c r="T169" i="17"/>
  <c r="M169" i="17"/>
  <c r="F169" i="17"/>
  <c r="CJ168" i="17"/>
  <c r="CI168" i="17"/>
  <c r="BQ168" i="17"/>
  <c r="BJ168" i="17"/>
  <c r="BC168" i="17"/>
  <c r="AV168" i="17"/>
  <c r="AO168" i="17"/>
  <c r="AH168" i="17"/>
  <c r="AA168" i="17"/>
  <c r="T168" i="17"/>
  <c r="M168" i="17"/>
  <c r="F168" i="17"/>
  <c r="CJ167" i="17"/>
  <c r="CI167" i="17"/>
  <c r="BQ167" i="17"/>
  <c r="BJ167" i="17"/>
  <c r="BC167" i="17"/>
  <c r="AV167" i="17"/>
  <c r="AO167" i="17"/>
  <c r="AH167" i="17"/>
  <c r="AA167" i="17"/>
  <c r="T167" i="17"/>
  <c r="M167" i="17"/>
  <c r="F167" i="17"/>
  <c r="CJ166" i="17"/>
  <c r="CI166" i="17"/>
  <c r="BQ166" i="17"/>
  <c r="BJ166" i="17"/>
  <c r="BC166" i="17"/>
  <c r="AV166" i="17"/>
  <c r="AO166" i="17"/>
  <c r="AH166" i="17"/>
  <c r="AA166" i="17"/>
  <c r="T166" i="17"/>
  <c r="M166" i="17"/>
  <c r="F166" i="17"/>
  <c r="CJ165" i="17"/>
  <c r="CI165" i="17"/>
  <c r="BQ165" i="17"/>
  <c r="BJ165" i="17"/>
  <c r="BC165" i="17"/>
  <c r="AV165" i="17"/>
  <c r="AO165" i="17"/>
  <c r="AH165" i="17"/>
  <c r="AA165" i="17"/>
  <c r="T165" i="17"/>
  <c r="M165" i="17"/>
  <c r="F165" i="17"/>
  <c r="CJ164" i="17"/>
  <c r="CI164" i="17"/>
  <c r="BJ164" i="17"/>
  <c r="BC164" i="17"/>
  <c r="AV164" i="17"/>
  <c r="AO164" i="17"/>
  <c r="AH164" i="17"/>
  <c r="AA164" i="17"/>
  <c r="T164" i="17"/>
  <c r="M164" i="17"/>
  <c r="F164" i="17"/>
  <c r="CJ163" i="17"/>
  <c r="CI163" i="17"/>
  <c r="BJ163" i="17"/>
  <c r="BC163" i="17"/>
  <c r="AV163" i="17"/>
  <c r="AO163" i="17"/>
  <c r="AH163" i="17"/>
  <c r="AA163" i="17"/>
  <c r="T163" i="17"/>
  <c r="M163" i="17"/>
  <c r="F163" i="17"/>
  <c r="CJ162" i="17"/>
  <c r="CI162" i="17"/>
  <c r="BJ162" i="17"/>
  <c r="BC162" i="17"/>
  <c r="AV162" i="17"/>
  <c r="AO162" i="17"/>
  <c r="AH162" i="17"/>
  <c r="AA162" i="17"/>
  <c r="T162" i="17"/>
  <c r="M162" i="17"/>
  <c r="F162" i="17"/>
  <c r="CJ161" i="17"/>
  <c r="CI161" i="17"/>
  <c r="BJ161" i="17"/>
  <c r="BC161" i="17"/>
  <c r="AV161" i="17"/>
  <c r="AO161" i="17"/>
  <c r="AH161" i="17"/>
  <c r="AA161" i="17"/>
  <c r="T161" i="17"/>
  <c r="M161" i="17"/>
  <c r="F161" i="17"/>
  <c r="CJ160" i="17"/>
  <c r="CI160" i="17"/>
  <c r="BJ160" i="17"/>
  <c r="BC160" i="17"/>
  <c r="AV160" i="17"/>
  <c r="AO160" i="17"/>
  <c r="AH160" i="17"/>
  <c r="AA160" i="17"/>
  <c r="T160" i="17"/>
  <c r="M160" i="17"/>
  <c r="F160" i="17"/>
  <c r="CJ159" i="17"/>
  <c r="CI159" i="17"/>
  <c r="BJ159" i="17"/>
  <c r="BC159" i="17"/>
  <c r="AV159" i="17"/>
  <c r="AO159" i="17"/>
  <c r="AH159" i="17"/>
  <c r="AA159" i="17"/>
  <c r="T159" i="17"/>
  <c r="M159" i="17"/>
  <c r="F159" i="17"/>
  <c r="CJ158" i="17"/>
  <c r="CI158" i="17"/>
  <c r="BJ158" i="17"/>
  <c r="BC158" i="17"/>
  <c r="AV158" i="17"/>
  <c r="AO158" i="17"/>
  <c r="AH158" i="17"/>
  <c r="AA158" i="17"/>
  <c r="T158" i="17"/>
  <c r="M158" i="17"/>
  <c r="F158" i="17"/>
  <c r="CJ157" i="17"/>
  <c r="CI157" i="17"/>
  <c r="BJ157" i="17"/>
  <c r="BC157" i="17"/>
  <c r="AV157" i="17"/>
  <c r="AO157" i="17"/>
  <c r="AH157" i="17"/>
  <c r="AA157" i="17"/>
  <c r="T157" i="17"/>
  <c r="M157" i="17"/>
  <c r="F157" i="17"/>
  <c r="CJ156" i="17"/>
  <c r="CI156" i="17"/>
  <c r="BJ156" i="17"/>
  <c r="BC156" i="17"/>
  <c r="AV156" i="17"/>
  <c r="AO156" i="17"/>
  <c r="AH156" i="17"/>
  <c r="AA156" i="17"/>
  <c r="T156" i="17"/>
  <c r="M156" i="17"/>
  <c r="F156" i="17"/>
  <c r="CH155" i="17"/>
  <c r="CJ155" i="17" s="1"/>
  <c r="CG155" i="17"/>
  <c r="CF155" i="17"/>
  <c r="BJ155" i="17"/>
  <c r="BC155" i="17"/>
  <c r="AV155" i="17"/>
  <c r="AO155" i="17"/>
  <c r="AH155" i="17"/>
  <c r="AA155" i="17"/>
  <c r="T155" i="17"/>
  <c r="M155" i="17"/>
  <c r="F155" i="17"/>
  <c r="CJ154" i="17"/>
  <c r="CI154" i="17"/>
  <c r="BJ154" i="17"/>
  <c r="BC154" i="17"/>
  <c r="AV154" i="17"/>
  <c r="AO154" i="17"/>
  <c r="AH154" i="17"/>
  <c r="AA154" i="17"/>
  <c r="T154" i="17"/>
  <c r="M154" i="17"/>
  <c r="F154" i="17"/>
  <c r="CJ153" i="17"/>
  <c r="CI153" i="17"/>
  <c r="BJ153" i="17"/>
  <c r="BC153" i="17"/>
  <c r="AV153" i="17"/>
  <c r="AO153" i="17"/>
  <c r="AH153" i="17"/>
  <c r="AA153" i="17"/>
  <c r="T153" i="17"/>
  <c r="M153" i="17"/>
  <c r="F153" i="17"/>
  <c r="CJ152" i="17"/>
  <c r="CI152" i="17"/>
  <c r="BJ152" i="17"/>
  <c r="BC152" i="17"/>
  <c r="AV152" i="17"/>
  <c r="AO152" i="17"/>
  <c r="AH152" i="17"/>
  <c r="AA152" i="17"/>
  <c r="T152" i="17"/>
  <c r="M152" i="17"/>
  <c r="F152" i="17"/>
  <c r="CJ151" i="17"/>
  <c r="CI151" i="17"/>
  <c r="BJ151" i="17"/>
  <c r="BC151" i="17"/>
  <c r="AV151" i="17"/>
  <c r="AO151" i="17"/>
  <c r="AH151" i="17"/>
  <c r="AA151" i="17"/>
  <c r="T151" i="17"/>
  <c r="M151" i="17"/>
  <c r="F151" i="17"/>
  <c r="CJ150" i="17"/>
  <c r="CI150" i="17"/>
  <c r="BJ150" i="17"/>
  <c r="BC150" i="17"/>
  <c r="AV150" i="17"/>
  <c r="AU150" i="17"/>
  <c r="AO150" i="17"/>
  <c r="AN150" i="17"/>
  <c r="AH150" i="17"/>
  <c r="AA150" i="17"/>
  <c r="T150" i="17"/>
  <c r="M150" i="17"/>
  <c r="F150" i="17"/>
  <c r="CJ149" i="17"/>
  <c r="CI149" i="17"/>
  <c r="BJ149" i="17"/>
  <c r="BC149" i="17"/>
  <c r="BB149" i="17"/>
  <c r="AV149" i="17"/>
  <c r="AU149" i="17"/>
  <c r="AO149" i="17"/>
  <c r="AH149" i="17"/>
  <c r="AA149" i="17"/>
  <c r="T149" i="17"/>
  <c r="M149" i="17"/>
  <c r="F149" i="17"/>
  <c r="CJ148" i="17"/>
  <c r="CI148" i="17"/>
  <c r="BJ148" i="17"/>
  <c r="BC148" i="17"/>
  <c r="AV148" i="17"/>
  <c r="AO148" i="17"/>
  <c r="AH148" i="17"/>
  <c r="AA148" i="17"/>
  <c r="T148" i="17"/>
  <c r="M148" i="17"/>
  <c r="F148" i="17"/>
  <c r="CJ147" i="17"/>
  <c r="CI147" i="17"/>
  <c r="BJ147" i="17"/>
  <c r="BC147" i="17"/>
  <c r="AV147" i="17"/>
  <c r="AO147" i="17"/>
  <c r="AH147" i="17"/>
  <c r="AA147" i="17"/>
  <c r="T147" i="17"/>
  <c r="M147" i="17"/>
  <c r="F147" i="17"/>
  <c r="CJ146" i="17"/>
  <c r="CI146" i="17"/>
  <c r="BJ146" i="17"/>
  <c r="BC146" i="17"/>
  <c r="AV146" i="17"/>
  <c r="AO146" i="17"/>
  <c r="AH146" i="17"/>
  <c r="AA146" i="17"/>
  <c r="T146" i="17"/>
  <c r="M146" i="17"/>
  <c r="F146" i="17"/>
  <c r="CJ145" i="17"/>
  <c r="CI145" i="17"/>
  <c r="BJ145" i="17"/>
  <c r="BC145" i="17"/>
  <c r="AV145" i="17"/>
  <c r="AO145" i="17"/>
  <c r="AH145" i="17"/>
  <c r="AA145" i="17"/>
  <c r="T145" i="17"/>
  <c r="M145" i="17"/>
  <c r="F145" i="17"/>
  <c r="CJ144" i="17"/>
  <c r="CI144" i="17"/>
  <c r="BJ144" i="17"/>
  <c r="BC144" i="17"/>
  <c r="AV144" i="17"/>
  <c r="AO144" i="17"/>
  <c r="AH144" i="17"/>
  <c r="AA144" i="17"/>
  <c r="T144" i="17"/>
  <c r="M144" i="17"/>
  <c r="F144" i="17"/>
  <c r="CJ143" i="17"/>
  <c r="CI143" i="17"/>
  <c r="BJ143" i="17"/>
  <c r="BC143" i="17"/>
  <c r="AV143" i="17"/>
  <c r="AO143" i="17"/>
  <c r="AH143" i="17"/>
  <c r="AA143" i="17"/>
  <c r="T143" i="17"/>
  <c r="M143" i="17"/>
  <c r="F143" i="17"/>
  <c r="CJ142" i="17"/>
  <c r="CI142" i="17"/>
  <c r="BJ142" i="17"/>
  <c r="BC142" i="17"/>
  <c r="AV142" i="17"/>
  <c r="AO142" i="17"/>
  <c r="AH142" i="17"/>
  <c r="AA142" i="17"/>
  <c r="T142" i="17"/>
  <c r="M142" i="17"/>
  <c r="F142" i="17"/>
  <c r="CJ141" i="17"/>
  <c r="CI141" i="17"/>
  <c r="BJ141" i="17"/>
  <c r="BC141" i="17"/>
  <c r="AV141" i="17"/>
  <c r="AO141" i="17"/>
  <c r="AH141" i="17"/>
  <c r="AA141" i="17"/>
  <c r="T141" i="17"/>
  <c r="M141" i="17"/>
  <c r="F141" i="17"/>
  <c r="CJ140" i="17"/>
  <c r="CI140" i="17"/>
  <c r="BJ140" i="17"/>
  <c r="BC140" i="17"/>
  <c r="AV140" i="17"/>
  <c r="AO140" i="17"/>
  <c r="AH140" i="17"/>
  <c r="AA140" i="17"/>
  <c r="T140" i="17"/>
  <c r="M140" i="17"/>
  <c r="F140" i="17"/>
  <c r="CJ139" i="17"/>
  <c r="CI139" i="17"/>
  <c r="BJ139" i="17"/>
  <c r="BC139" i="17"/>
  <c r="AV139" i="17"/>
  <c r="AO139" i="17"/>
  <c r="AH139" i="17"/>
  <c r="AA139" i="17"/>
  <c r="T139" i="17"/>
  <c r="M139" i="17"/>
  <c r="F139" i="17"/>
  <c r="CJ138" i="17"/>
  <c r="CI138" i="17"/>
  <c r="BJ138" i="17"/>
  <c r="BC138" i="17"/>
  <c r="AV138" i="17"/>
  <c r="AO138" i="17"/>
  <c r="AH138" i="17"/>
  <c r="AA138" i="17"/>
  <c r="T138" i="17"/>
  <c r="M138" i="17"/>
  <c r="F138" i="17"/>
  <c r="CJ137" i="17"/>
  <c r="CI137" i="17"/>
  <c r="BJ137" i="17"/>
  <c r="BC137" i="17"/>
  <c r="AV137" i="17"/>
  <c r="AO137" i="17"/>
  <c r="AH137" i="17"/>
  <c r="AA137" i="17"/>
  <c r="T137" i="17"/>
  <c r="M137" i="17"/>
  <c r="F137" i="17"/>
  <c r="CJ136" i="17"/>
  <c r="CI136" i="17"/>
  <c r="BJ136" i="17"/>
  <c r="BC136" i="17"/>
  <c r="AV136" i="17"/>
  <c r="AO136" i="17"/>
  <c r="AH136" i="17"/>
  <c r="AA136" i="17"/>
  <c r="T136" i="17"/>
  <c r="M136" i="17"/>
  <c r="F136" i="17"/>
  <c r="CJ135" i="17"/>
  <c r="CI135" i="17"/>
  <c r="BJ135" i="17"/>
  <c r="BC135" i="17"/>
  <c r="AV135" i="17"/>
  <c r="AO135" i="17"/>
  <c r="AH135" i="17"/>
  <c r="AA135" i="17"/>
  <c r="T135" i="17"/>
  <c r="M135" i="17"/>
  <c r="F135" i="17"/>
  <c r="CJ134" i="17"/>
  <c r="CI134" i="17"/>
  <c r="BJ134" i="17"/>
  <c r="BC134" i="17"/>
  <c r="AV134" i="17"/>
  <c r="AO134" i="17"/>
  <c r="AH134" i="17"/>
  <c r="AA134" i="17"/>
  <c r="T134" i="17"/>
  <c r="M134" i="17"/>
  <c r="F134" i="17"/>
  <c r="CJ133" i="17"/>
  <c r="CI133" i="17"/>
  <c r="BJ133" i="17"/>
  <c r="BC133" i="17"/>
  <c r="AV133" i="17"/>
  <c r="AO133" i="17"/>
  <c r="AH133" i="17"/>
  <c r="AA133" i="17"/>
  <c r="T133" i="17"/>
  <c r="M133" i="17"/>
  <c r="F133" i="17"/>
  <c r="CJ132" i="17"/>
  <c r="CI132" i="17"/>
  <c r="BJ132" i="17"/>
  <c r="BC132" i="17"/>
  <c r="AV132" i="17"/>
  <c r="AO132" i="17"/>
  <c r="AH132" i="17"/>
  <c r="AA132" i="17"/>
  <c r="T132" i="17"/>
  <c r="M132" i="17"/>
  <c r="F132" i="17"/>
  <c r="CJ131" i="17"/>
  <c r="CI131" i="17"/>
  <c r="BJ131" i="17"/>
  <c r="BC131" i="17"/>
  <c r="AV131" i="17"/>
  <c r="AO131" i="17"/>
  <c r="AH131" i="17"/>
  <c r="AA131" i="17"/>
  <c r="T131" i="17"/>
  <c r="M131" i="17"/>
  <c r="F131" i="17"/>
  <c r="CJ130" i="17"/>
  <c r="CI130" i="17"/>
  <c r="BJ130" i="17"/>
  <c r="BC130" i="17"/>
  <c r="AV130" i="17"/>
  <c r="AO130" i="17"/>
  <c r="AH130" i="17"/>
  <c r="AA130" i="17"/>
  <c r="T130" i="17"/>
  <c r="M130" i="17"/>
  <c r="F130" i="17"/>
  <c r="CJ129" i="17"/>
  <c r="CI129" i="17"/>
  <c r="BJ129" i="17"/>
  <c r="BC129" i="17"/>
  <c r="AV129" i="17"/>
  <c r="AO129" i="17"/>
  <c r="AH129" i="17"/>
  <c r="AA129" i="17"/>
  <c r="T129" i="17"/>
  <c r="M129" i="17"/>
  <c r="F129" i="17"/>
  <c r="CJ128" i="17"/>
  <c r="CI128" i="17"/>
  <c r="BJ128" i="17"/>
  <c r="BC128" i="17"/>
  <c r="AV128" i="17"/>
  <c r="AO128" i="17"/>
  <c r="AH128" i="17"/>
  <c r="AA128" i="17"/>
  <c r="T128" i="17"/>
  <c r="M128" i="17"/>
  <c r="F128" i="17"/>
  <c r="CJ127" i="17"/>
  <c r="CI127" i="17"/>
  <c r="BJ127" i="17"/>
  <c r="BC127" i="17"/>
  <c r="AV127" i="17"/>
  <c r="AO127" i="17"/>
  <c r="AH127" i="17"/>
  <c r="AA127" i="17"/>
  <c r="T127" i="17"/>
  <c r="M127" i="17"/>
  <c r="F127" i="17"/>
  <c r="CJ126" i="17"/>
  <c r="CI126" i="17"/>
  <c r="BJ126" i="17"/>
  <c r="BC126" i="17"/>
  <c r="AV126" i="17"/>
  <c r="AO126" i="17"/>
  <c r="AH126" i="17"/>
  <c r="AA126" i="17"/>
  <c r="T126" i="17"/>
  <c r="M126" i="17"/>
  <c r="F126" i="17"/>
  <c r="CJ125" i="17"/>
  <c r="CI125" i="17"/>
  <c r="BJ125" i="17"/>
  <c r="BC125" i="17"/>
  <c r="AV125" i="17"/>
  <c r="AO125" i="17"/>
  <c r="AH125" i="17"/>
  <c r="AA125" i="17"/>
  <c r="T125" i="17"/>
  <c r="M125" i="17"/>
  <c r="F125" i="17"/>
  <c r="CJ124" i="17"/>
  <c r="CI124" i="17"/>
  <c r="BJ124" i="17"/>
  <c r="BC124" i="17"/>
  <c r="AV124" i="17"/>
  <c r="AO124" i="17"/>
  <c r="AH124" i="17"/>
  <c r="AA124" i="17"/>
  <c r="T124" i="17"/>
  <c r="M124" i="17"/>
  <c r="F124" i="17"/>
  <c r="CJ123" i="17"/>
  <c r="CI123" i="17"/>
  <c r="BJ123" i="17"/>
  <c r="BC123" i="17"/>
  <c r="AV123" i="17"/>
  <c r="AO123" i="17"/>
  <c r="AH123" i="17"/>
  <c r="AA123" i="17"/>
  <c r="T123" i="17"/>
  <c r="M123" i="17"/>
  <c r="F123" i="17"/>
  <c r="CJ122" i="17"/>
  <c r="CI122" i="17"/>
  <c r="BJ122" i="17"/>
  <c r="BC122" i="17"/>
  <c r="AV122" i="17"/>
  <c r="AO122" i="17"/>
  <c r="AH122" i="17"/>
  <c r="AA122" i="17"/>
  <c r="T122" i="17"/>
  <c r="M122" i="17"/>
  <c r="F122" i="17"/>
  <c r="CJ121" i="17"/>
  <c r="CI121" i="17"/>
  <c r="BJ121" i="17"/>
  <c r="BC121" i="17"/>
  <c r="AV121" i="17"/>
  <c r="AO121" i="17"/>
  <c r="AH121" i="17"/>
  <c r="AA121" i="17"/>
  <c r="T121" i="17"/>
  <c r="M121" i="17"/>
  <c r="F121" i="17"/>
  <c r="CJ120" i="17"/>
  <c r="CI120" i="17"/>
  <c r="BJ120" i="17"/>
  <c r="BC120" i="17"/>
  <c r="AV120" i="17"/>
  <c r="AO120" i="17"/>
  <c r="AH120" i="17"/>
  <c r="AA120" i="17"/>
  <c r="T120" i="17"/>
  <c r="M120" i="17"/>
  <c r="F120" i="17"/>
  <c r="CJ119" i="17"/>
  <c r="CI119" i="17"/>
  <c r="BJ119" i="17"/>
  <c r="BC119" i="17"/>
  <c r="AV119" i="17"/>
  <c r="AO119" i="17"/>
  <c r="AH119" i="17"/>
  <c r="AA119" i="17"/>
  <c r="T119" i="17"/>
  <c r="M119" i="17"/>
  <c r="F119" i="17"/>
  <c r="CJ118" i="17"/>
  <c r="CI118" i="17"/>
  <c r="BJ118" i="17"/>
  <c r="BC118" i="17"/>
  <c r="AV118" i="17"/>
  <c r="AO118" i="17"/>
  <c r="AH118" i="17"/>
  <c r="AA118" i="17"/>
  <c r="T118" i="17"/>
  <c r="M118" i="17"/>
  <c r="F118" i="17"/>
  <c r="CJ117" i="17"/>
  <c r="CI117" i="17"/>
  <c r="BJ117" i="17"/>
  <c r="BC117" i="17"/>
  <c r="AV117" i="17"/>
  <c r="AO117" i="17"/>
  <c r="AH117" i="17"/>
  <c r="AA117" i="17"/>
  <c r="T117" i="17"/>
  <c r="M117" i="17"/>
  <c r="F117" i="17"/>
  <c r="CJ116" i="17"/>
  <c r="CI116" i="17"/>
  <c r="BJ116" i="17"/>
  <c r="BC116" i="17"/>
  <c r="AV116" i="17"/>
  <c r="AO116" i="17"/>
  <c r="AH116" i="17"/>
  <c r="AA116" i="17"/>
  <c r="T116" i="17"/>
  <c r="M116" i="17"/>
  <c r="F116" i="17"/>
  <c r="CJ115" i="17"/>
  <c r="CI115" i="17"/>
  <c r="BJ115" i="17"/>
  <c r="BC115" i="17"/>
  <c r="AV115" i="17"/>
  <c r="AO115" i="17"/>
  <c r="AH115" i="17"/>
  <c r="AA115" i="17"/>
  <c r="T115" i="17"/>
  <c r="M115" i="17"/>
  <c r="F115" i="17"/>
  <c r="CJ114" i="17"/>
  <c r="CI114" i="17"/>
  <c r="BJ114" i="17"/>
  <c r="BC114" i="17"/>
  <c r="AV114" i="17"/>
  <c r="AO114" i="17"/>
  <c r="AH114" i="17"/>
  <c r="AA114" i="17"/>
  <c r="T114" i="17"/>
  <c r="M114" i="17"/>
  <c r="F114" i="17"/>
  <c r="CJ113" i="17"/>
  <c r="CI113" i="17"/>
  <c r="BJ113" i="17"/>
  <c r="BC113" i="17"/>
  <c r="AV113" i="17"/>
  <c r="AO113" i="17"/>
  <c r="AH113" i="17"/>
  <c r="AA113" i="17"/>
  <c r="T113" i="17"/>
  <c r="M113" i="17"/>
  <c r="F113" i="17"/>
  <c r="CJ112" i="17"/>
  <c r="CI112" i="17"/>
  <c r="BJ112" i="17"/>
  <c r="BC112" i="17"/>
  <c r="AV112" i="17"/>
  <c r="AO112" i="17"/>
  <c r="AH112" i="17"/>
  <c r="AA112" i="17"/>
  <c r="T112" i="17"/>
  <c r="M112" i="17"/>
  <c r="F112" i="17"/>
  <c r="CJ111" i="17"/>
  <c r="CI111" i="17"/>
  <c r="BJ111" i="17"/>
  <c r="BC111" i="17"/>
  <c r="AV111" i="17"/>
  <c r="AO111" i="17"/>
  <c r="AH111" i="17"/>
  <c r="AA111" i="17"/>
  <c r="T111" i="17"/>
  <c r="M111" i="17"/>
  <c r="F111" i="17"/>
  <c r="CJ110" i="17"/>
  <c r="CI110" i="17"/>
  <c r="BJ110" i="17"/>
  <c r="BC110" i="17"/>
  <c r="AV110" i="17"/>
  <c r="AO110" i="17"/>
  <c r="AH110" i="17"/>
  <c r="AA110" i="17"/>
  <c r="T110" i="17"/>
  <c r="M110" i="17"/>
  <c r="F110" i="17"/>
  <c r="CJ109" i="17"/>
  <c r="CI109" i="17"/>
  <c r="BJ109" i="17"/>
  <c r="BC109" i="17"/>
  <c r="AV109" i="17"/>
  <c r="AO109" i="17"/>
  <c r="AH109" i="17"/>
  <c r="AA109" i="17"/>
  <c r="T109" i="17"/>
  <c r="M109" i="17"/>
  <c r="F109" i="17"/>
  <c r="CJ108" i="17"/>
  <c r="CI108" i="17"/>
  <c r="BJ108" i="17"/>
  <c r="BC108" i="17"/>
  <c r="AV108" i="17"/>
  <c r="AO108" i="17"/>
  <c r="AH108" i="17"/>
  <c r="AA108" i="17"/>
  <c r="T108" i="17"/>
  <c r="M108" i="17"/>
  <c r="F108" i="17"/>
  <c r="CJ107" i="17"/>
  <c r="CI107" i="17"/>
  <c r="BJ107" i="17"/>
  <c r="BC107" i="17"/>
  <c r="AV107" i="17"/>
  <c r="AO107" i="17"/>
  <c r="AH107" i="17"/>
  <c r="AA107" i="17"/>
  <c r="T107" i="17"/>
  <c r="M107" i="17"/>
  <c r="F107" i="17"/>
  <c r="CJ106" i="17"/>
  <c r="CI106" i="17"/>
  <c r="BJ106" i="17"/>
  <c r="BC106" i="17"/>
  <c r="AV106" i="17"/>
  <c r="AO106" i="17"/>
  <c r="AH106" i="17"/>
  <c r="AA106" i="17"/>
  <c r="T106" i="17"/>
  <c r="M106" i="17"/>
  <c r="F106" i="17"/>
  <c r="CJ105" i="17"/>
  <c r="CI105" i="17"/>
  <c r="BJ105" i="17"/>
  <c r="BC105" i="17"/>
  <c r="AV105" i="17"/>
  <c r="AO105" i="17"/>
  <c r="AH105" i="17"/>
  <c r="AA105" i="17"/>
  <c r="T105" i="17"/>
  <c r="M105" i="17"/>
  <c r="F105" i="17"/>
  <c r="CJ104" i="17"/>
  <c r="CI104" i="17"/>
  <c r="BJ104" i="17"/>
  <c r="BC104" i="17"/>
  <c r="AV104" i="17"/>
  <c r="AO104" i="17"/>
  <c r="AH104" i="17"/>
  <c r="AA104" i="17"/>
  <c r="T104" i="17"/>
  <c r="M104" i="17"/>
  <c r="F104" i="17"/>
  <c r="CJ103" i="17"/>
  <c r="CI103" i="17"/>
  <c r="BJ103" i="17"/>
  <c r="BC103" i="17"/>
  <c r="AV103" i="17"/>
  <c r="AO103" i="17"/>
  <c r="AH103" i="17"/>
  <c r="AA103" i="17"/>
  <c r="T103" i="17"/>
  <c r="M103" i="17"/>
  <c r="F103" i="17"/>
  <c r="CJ102" i="17"/>
  <c r="CI102" i="17"/>
  <c r="BJ102" i="17"/>
  <c r="BC102" i="17"/>
  <c r="AV102" i="17"/>
  <c r="AO102" i="17"/>
  <c r="AH102" i="17"/>
  <c r="AA102" i="17"/>
  <c r="T102" i="17"/>
  <c r="M102" i="17"/>
  <c r="F102" i="17"/>
  <c r="CJ101" i="17"/>
  <c r="CI101" i="17"/>
  <c r="BJ101" i="17"/>
  <c r="BC101" i="17"/>
  <c r="AV101" i="17"/>
  <c r="AO101" i="17"/>
  <c r="AH101" i="17"/>
  <c r="AA101" i="17"/>
  <c r="T101" i="17"/>
  <c r="M101" i="17"/>
  <c r="F101" i="17"/>
  <c r="CJ100" i="17"/>
  <c r="CI100" i="17"/>
  <c r="BJ100" i="17"/>
  <c r="BC100" i="17"/>
  <c r="AV100" i="17"/>
  <c r="AO100" i="17"/>
  <c r="AH100" i="17"/>
  <c r="AA100" i="17"/>
  <c r="T100" i="17"/>
  <c r="M100" i="17"/>
  <c r="F100" i="17"/>
  <c r="CJ99" i="17"/>
  <c r="CI99" i="17"/>
  <c r="BJ99" i="17"/>
  <c r="BI99" i="17"/>
  <c r="BC99" i="17"/>
  <c r="BB99" i="17"/>
  <c r="AV99" i="17"/>
  <c r="AU99" i="17"/>
  <c r="AO99" i="17"/>
  <c r="AN99" i="17"/>
  <c r="AH99" i="17"/>
  <c r="AG99" i="17"/>
  <c r="AA99" i="17"/>
  <c r="Z99" i="17"/>
  <c r="T99" i="17"/>
  <c r="S99" i="17"/>
  <c r="M99" i="17"/>
  <c r="L99" i="17"/>
  <c r="F99" i="17"/>
  <c r="E99" i="17"/>
  <c r="CJ98" i="17"/>
  <c r="CI98" i="17"/>
  <c r="BJ98" i="17"/>
  <c r="BI98" i="17"/>
  <c r="BC98" i="17"/>
  <c r="BB98" i="17"/>
  <c r="AV98" i="17"/>
  <c r="AU98" i="17"/>
  <c r="AO98" i="17"/>
  <c r="AN98" i="17"/>
  <c r="AH98" i="17"/>
  <c r="AG98" i="17"/>
  <c r="AA98" i="17"/>
  <c r="Z98" i="17"/>
  <c r="T98" i="17"/>
  <c r="S98" i="17"/>
  <c r="M98" i="17"/>
  <c r="L98" i="17"/>
  <c r="F98" i="17"/>
  <c r="E98" i="17"/>
  <c r="CJ97" i="17"/>
  <c r="CI97" i="17"/>
  <c r="BJ97" i="17"/>
  <c r="BI97" i="17"/>
  <c r="BC97" i="17"/>
  <c r="BB97" i="17"/>
  <c r="AV97" i="17"/>
  <c r="AU97" i="17"/>
  <c r="AO97" i="17"/>
  <c r="AN97" i="17"/>
  <c r="AH97" i="17"/>
  <c r="AG97" i="17"/>
  <c r="AA97" i="17"/>
  <c r="Z97" i="17"/>
  <c r="T97" i="17"/>
  <c r="S97" i="17"/>
  <c r="M97" i="17"/>
  <c r="L97" i="17"/>
  <c r="F97" i="17"/>
  <c r="E97" i="17"/>
  <c r="CJ96" i="17"/>
  <c r="CI96" i="17"/>
  <c r="BJ96" i="17"/>
  <c r="BI96" i="17"/>
  <c r="BC96" i="17"/>
  <c r="BB96" i="17"/>
  <c r="AV96" i="17"/>
  <c r="AU96" i="17"/>
  <c r="AO96" i="17"/>
  <c r="AN96" i="17"/>
  <c r="AH96" i="17"/>
  <c r="AG96" i="17"/>
  <c r="AA96" i="17"/>
  <c r="Z96" i="17"/>
  <c r="T96" i="17"/>
  <c r="S96" i="17"/>
  <c r="M96" i="17"/>
  <c r="L96" i="17"/>
  <c r="F96" i="17"/>
  <c r="E96" i="17"/>
  <c r="CJ95" i="17"/>
  <c r="CI95" i="17"/>
  <c r="BJ95" i="17"/>
  <c r="BI95" i="17"/>
  <c r="BC95" i="17"/>
  <c r="BB95" i="17"/>
  <c r="AV95" i="17"/>
  <c r="AU95" i="17"/>
  <c r="AO95" i="17"/>
  <c r="AN95" i="17"/>
  <c r="AH95" i="17"/>
  <c r="AG95" i="17"/>
  <c r="AA95" i="17"/>
  <c r="Z95" i="17"/>
  <c r="T95" i="17"/>
  <c r="S95" i="17"/>
  <c r="M95" i="17"/>
  <c r="L95" i="17"/>
  <c r="F95" i="17"/>
  <c r="E95" i="17"/>
  <c r="CJ94" i="17"/>
  <c r="CI94" i="17"/>
  <c r="BJ94" i="17"/>
  <c r="BI94" i="17"/>
  <c r="BC94" i="17"/>
  <c r="BB94" i="17"/>
  <c r="AV94" i="17"/>
  <c r="AU94" i="17"/>
  <c r="AO94" i="17"/>
  <c r="AN94" i="17"/>
  <c r="AH94" i="17"/>
  <c r="AG94" i="17"/>
  <c r="AA94" i="17"/>
  <c r="Z94" i="17"/>
  <c r="T94" i="17"/>
  <c r="S94" i="17"/>
  <c r="M94" i="17"/>
  <c r="L94" i="17"/>
  <c r="F94" i="17"/>
  <c r="E94" i="17"/>
  <c r="CJ93" i="17"/>
  <c r="CI93" i="17"/>
  <c r="BJ93" i="17"/>
  <c r="BI93" i="17"/>
  <c r="BC93" i="17"/>
  <c r="BB93" i="17"/>
  <c r="AV93" i="17"/>
  <c r="AU93" i="17"/>
  <c r="AO93" i="17"/>
  <c r="AN93" i="17"/>
  <c r="AH93" i="17"/>
  <c r="AG93" i="17"/>
  <c r="AA93" i="17"/>
  <c r="Z93" i="17"/>
  <c r="T93" i="17"/>
  <c r="S93" i="17"/>
  <c r="M93" i="17"/>
  <c r="L93" i="17"/>
  <c r="F93" i="17"/>
  <c r="E93" i="17"/>
  <c r="CJ92" i="17"/>
  <c r="CI92" i="17"/>
  <c r="BJ92" i="17"/>
  <c r="BC92" i="17"/>
  <c r="AV92" i="17"/>
  <c r="AO92" i="17"/>
  <c r="AH92" i="17"/>
  <c r="AA92" i="17"/>
  <c r="T92" i="17"/>
  <c r="M92" i="17"/>
  <c r="F92" i="17"/>
  <c r="CJ91" i="17"/>
  <c r="CI91" i="17"/>
  <c r="BJ91" i="17"/>
  <c r="BC91" i="17"/>
  <c r="AV91" i="17"/>
  <c r="AO91" i="17"/>
  <c r="AH91" i="17"/>
  <c r="AA91" i="17"/>
  <c r="T91" i="17"/>
  <c r="M91" i="17"/>
  <c r="F91" i="17"/>
  <c r="CJ90" i="17"/>
  <c r="CI90" i="17"/>
  <c r="BJ90" i="17"/>
  <c r="BC90" i="17"/>
  <c r="AV90" i="17"/>
  <c r="AO90" i="17"/>
  <c r="AH90" i="17"/>
  <c r="AA90" i="17"/>
  <c r="T90" i="17"/>
  <c r="M90" i="17"/>
  <c r="F90" i="17"/>
  <c r="CJ89" i="17"/>
  <c r="CI89" i="17"/>
  <c r="BJ89" i="17"/>
  <c r="BI89" i="17"/>
  <c r="BC89" i="17"/>
  <c r="BB89" i="17"/>
  <c r="AV89" i="17"/>
  <c r="AU89" i="17"/>
  <c r="AO89" i="17"/>
  <c r="AN89" i="17"/>
  <c r="AH89" i="17"/>
  <c r="AG89" i="17"/>
  <c r="AA89" i="17"/>
  <c r="Z89" i="17"/>
  <c r="T89" i="17"/>
  <c r="S89" i="17"/>
  <c r="M89" i="17"/>
  <c r="L89" i="17"/>
  <c r="F89" i="17"/>
  <c r="E89" i="17"/>
  <c r="CJ88" i="17"/>
  <c r="CI88" i="17"/>
  <c r="BJ88" i="17"/>
  <c r="BC88" i="17"/>
  <c r="AV88" i="17"/>
  <c r="AO88" i="17"/>
  <c r="AH88" i="17"/>
  <c r="AA88" i="17"/>
  <c r="T88" i="17"/>
  <c r="M88" i="17"/>
  <c r="F88" i="17"/>
  <c r="CJ87" i="17"/>
  <c r="CI87" i="17"/>
  <c r="BJ87" i="17"/>
  <c r="BI87" i="17"/>
  <c r="BC87" i="17"/>
  <c r="BB87" i="17"/>
  <c r="AV87" i="17"/>
  <c r="AU87" i="17"/>
  <c r="AO87" i="17"/>
  <c r="AN87" i="17"/>
  <c r="AH87" i="17"/>
  <c r="AG87" i="17"/>
  <c r="AA87" i="17"/>
  <c r="Z87" i="17"/>
  <c r="T87" i="17"/>
  <c r="S87" i="17"/>
  <c r="M87" i="17"/>
  <c r="L87" i="17"/>
  <c r="F87" i="17"/>
  <c r="E87" i="17"/>
  <c r="CJ86" i="17"/>
  <c r="CI86" i="17"/>
  <c r="BJ86" i="17"/>
  <c r="BI86" i="17"/>
  <c r="BC86" i="17"/>
  <c r="BB86" i="17"/>
  <c r="AV86" i="17"/>
  <c r="AU86" i="17"/>
  <c r="AO86" i="17"/>
  <c r="AN86" i="17"/>
  <c r="AH86" i="17"/>
  <c r="AG86" i="17"/>
  <c r="AA86" i="17"/>
  <c r="Z86" i="17"/>
  <c r="T86" i="17"/>
  <c r="S86" i="17"/>
  <c r="M86" i="17"/>
  <c r="L86" i="17"/>
  <c r="F86" i="17"/>
  <c r="E86" i="17"/>
  <c r="CJ85" i="17"/>
  <c r="CI85" i="17"/>
  <c r="BJ85" i="17"/>
  <c r="BI85" i="17"/>
  <c r="BC85" i="17"/>
  <c r="BB85" i="17"/>
  <c r="AV85" i="17"/>
  <c r="AU85" i="17"/>
  <c r="AO85" i="17"/>
  <c r="AN85" i="17"/>
  <c r="AH85" i="17"/>
  <c r="AG85" i="17"/>
  <c r="AA85" i="17"/>
  <c r="Z85" i="17"/>
  <c r="T85" i="17"/>
  <c r="S85" i="17"/>
  <c r="M85" i="17"/>
  <c r="L85" i="17"/>
  <c r="F85" i="17"/>
  <c r="E85" i="17"/>
  <c r="CJ84" i="17"/>
  <c r="CI84" i="17"/>
  <c r="BJ84" i="17"/>
  <c r="BI84" i="17"/>
  <c r="BC84" i="17"/>
  <c r="BB84" i="17"/>
  <c r="AV84" i="17"/>
  <c r="AU84" i="17"/>
  <c r="AO84" i="17"/>
  <c r="AN84" i="17"/>
  <c r="AH84" i="17"/>
  <c r="AG84" i="17"/>
  <c r="AA84" i="17"/>
  <c r="Z84" i="17"/>
  <c r="T84" i="17"/>
  <c r="S84" i="17"/>
  <c r="M84" i="17"/>
  <c r="L84" i="17"/>
  <c r="F84" i="17"/>
  <c r="E84" i="17"/>
  <c r="CJ83" i="17"/>
  <c r="CI83" i="17"/>
  <c r="BJ83" i="17"/>
  <c r="BI83" i="17"/>
  <c r="BC83" i="17"/>
  <c r="BB83" i="17"/>
  <c r="AV83" i="17"/>
  <c r="AU83" i="17"/>
  <c r="AO83" i="17"/>
  <c r="AN83" i="17"/>
  <c r="AH83" i="17"/>
  <c r="AG83" i="17"/>
  <c r="AA83" i="17"/>
  <c r="Z83" i="17"/>
  <c r="T83" i="17"/>
  <c r="S83" i="17"/>
  <c r="M83" i="17"/>
  <c r="L83" i="17"/>
  <c r="F83" i="17"/>
  <c r="E83" i="17"/>
  <c r="CJ82" i="17"/>
  <c r="CI82" i="17"/>
  <c r="BJ82" i="17"/>
  <c r="BC82" i="17"/>
  <c r="AV82" i="17"/>
  <c r="AO82" i="17"/>
  <c r="AH82" i="17"/>
  <c r="AA82" i="17"/>
  <c r="T82" i="17"/>
  <c r="M82" i="17"/>
  <c r="F82" i="17"/>
  <c r="CJ81" i="17"/>
  <c r="CI81" i="17"/>
  <c r="BJ81" i="17"/>
  <c r="BC81" i="17"/>
  <c r="AV81" i="17"/>
  <c r="AO81" i="17"/>
  <c r="AH81" i="17"/>
  <c r="AA81" i="17"/>
  <c r="T81" i="17"/>
  <c r="M81" i="17"/>
  <c r="F81" i="17"/>
  <c r="CJ80" i="17"/>
  <c r="CI80" i="17"/>
  <c r="BJ80" i="17"/>
  <c r="BI80" i="17"/>
  <c r="BC80" i="17"/>
  <c r="BB80" i="17"/>
  <c r="AV80" i="17"/>
  <c r="AU80" i="17"/>
  <c r="AO80" i="17"/>
  <c r="AN80" i="17"/>
  <c r="AH80" i="17"/>
  <c r="AG80" i="17"/>
  <c r="AA80" i="17"/>
  <c r="Z80" i="17"/>
  <c r="T80" i="17"/>
  <c r="S80" i="17"/>
  <c r="M80" i="17"/>
  <c r="L80" i="17"/>
  <c r="F80" i="17"/>
  <c r="E80" i="17"/>
  <c r="CJ79" i="17"/>
  <c r="CI79" i="17"/>
  <c r="BJ79" i="17"/>
  <c r="BI79" i="17"/>
  <c r="BC79" i="17"/>
  <c r="BB79" i="17"/>
  <c r="AV79" i="17"/>
  <c r="AU79" i="17"/>
  <c r="AO79" i="17"/>
  <c r="AN79" i="17"/>
  <c r="AH79" i="17"/>
  <c r="AG79" i="17"/>
  <c r="AA79" i="17"/>
  <c r="Z79" i="17"/>
  <c r="T79" i="17"/>
  <c r="S79" i="17"/>
  <c r="M79" i="17"/>
  <c r="L79" i="17"/>
  <c r="F79" i="17"/>
  <c r="E79" i="17"/>
  <c r="CJ78" i="17"/>
  <c r="CI78" i="17"/>
  <c r="BJ78" i="17"/>
  <c r="BI78" i="17"/>
  <c r="BC78" i="17"/>
  <c r="BB78" i="17"/>
  <c r="AV78" i="17"/>
  <c r="AU78" i="17"/>
  <c r="AO78" i="17"/>
  <c r="AN78" i="17"/>
  <c r="AH78" i="17"/>
  <c r="AG78" i="17"/>
  <c r="AA78" i="17"/>
  <c r="Z78" i="17"/>
  <c r="T78" i="17"/>
  <c r="S78" i="17"/>
  <c r="M78" i="17"/>
  <c r="L78" i="17"/>
  <c r="F78" i="17"/>
  <c r="E78" i="17"/>
  <c r="CJ77" i="17"/>
  <c r="CI77" i="17"/>
  <c r="BJ77" i="17"/>
  <c r="BI77" i="17"/>
  <c r="BC77" i="17"/>
  <c r="BB77" i="17"/>
  <c r="AV77" i="17"/>
  <c r="AU77" i="17"/>
  <c r="AO77" i="17"/>
  <c r="AN77" i="17"/>
  <c r="AH77" i="17"/>
  <c r="AG77" i="17"/>
  <c r="AA77" i="17"/>
  <c r="Z77" i="17"/>
  <c r="T77" i="17"/>
  <c r="S77" i="17"/>
  <c r="M77" i="17"/>
  <c r="L77" i="17"/>
  <c r="F77" i="17"/>
  <c r="E77" i="17"/>
  <c r="CJ76" i="17"/>
  <c r="CI76" i="17"/>
  <c r="BJ76" i="17"/>
  <c r="BI76" i="17"/>
  <c r="BC76" i="17"/>
  <c r="BB76" i="17"/>
  <c r="AV76" i="17"/>
  <c r="AU76" i="17"/>
  <c r="AO76" i="17"/>
  <c r="AN76" i="17"/>
  <c r="AH76" i="17"/>
  <c r="AG76" i="17"/>
  <c r="AA76" i="17"/>
  <c r="Z76" i="17"/>
  <c r="T76" i="17"/>
  <c r="S76" i="17"/>
  <c r="M76" i="17"/>
  <c r="L76" i="17"/>
  <c r="F76" i="17"/>
  <c r="E76" i="17"/>
  <c r="CJ75" i="17"/>
  <c r="CI75" i="17"/>
  <c r="BJ75" i="17"/>
  <c r="BI75" i="17"/>
  <c r="BC75" i="17"/>
  <c r="BB75" i="17"/>
  <c r="AV75" i="17"/>
  <c r="AU75" i="17"/>
  <c r="AO75" i="17"/>
  <c r="AN75" i="17"/>
  <c r="AH75" i="17"/>
  <c r="AG75" i="17"/>
  <c r="AA75" i="17"/>
  <c r="Z75" i="17"/>
  <c r="T75" i="17"/>
  <c r="S75" i="17"/>
  <c r="M75" i="17"/>
  <c r="L75" i="17"/>
  <c r="F75" i="17"/>
  <c r="E75" i="17"/>
  <c r="CJ74" i="17"/>
  <c r="CI74" i="17"/>
  <c r="BJ74" i="17"/>
  <c r="BI74" i="17"/>
  <c r="BC74" i="17"/>
  <c r="BB74" i="17"/>
  <c r="AV74" i="17"/>
  <c r="AU74" i="17"/>
  <c r="AO74" i="17"/>
  <c r="AN74" i="17"/>
  <c r="AH74" i="17"/>
  <c r="AG74" i="17"/>
  <c r="AA74" i="17"/>
  <c r="Z74" i="17"/>
  <c r="T74" i="17"/>
  <c r="S74" i="17"/>
  <c r="M74" i="17"/>
  <c r="L74" i="17"/>
  <c r="F74" i="17"/>
  <c r="E74" i="17"/>
  <c r="CJ73" i="17"/>
  <c r="CI73" i="17"/>
  <c r="BJ73" i="17"/>
  <c r="BC73" i="17"/>
  <c r="AV73" i="17"/>
  <c r="AO73" i="17"/>
  <c r="AH73" i="17"/>
  <c r="AA73" i="17"/>
  <c r="T73" i="17"/>
  <c r="M73" i="17"/>
  <c r="F73" i="17"/>
  <c r="E73" i="17"/>
  <c r="CJ72" i="17"/>
  <c r="CI72" i="17"/>
  <c r="BJ72" i="17"/>
  <c r="BI72" i="17"/>
  <c r="BC72" i="17"/>
  <c r="BB72" i="17"/>
  <c r="AV72" i="17"/>
  <c r="AU72" i="17"/>
  <c r="AO72" i="17"/>
  <c r="AN72" i="17"/>
  <c r="AH72" i="17"/>
  <c r="AG72" i="17"/>
  <c r="AA72" i="17"/>
  <c r="Z72" i="17"/>
  <c r="T72" i="17"/>
  <c r="S72" i="17"/>
  <c r="M72" i="17"/>
  <c r="L72" i="17"/>
  <c r="F72" i="17"/>
  <c r="E72" i="17"/>
  <c r="CJ71" i="17"/>
  <c r="CI71" i="17"/>
  <c r="BJ71" i="17"/>
  <c r="BI71" i="17"/>
  <c r="BC71" i="17"/>
  <c r="BB71" i="17"/>
  <c r="AV71" i="17"/>
  <c r="AU71" i="17"/>
  <c r="AO71" i="17"/>
  <c r="AN71" i="17"/>
  <c r="AH71" i="17"/>
  <c r="AG71" i="17"/>
  <c r="AA71" i="17"/>
  <c r="Z71" i="17"/>
  <c r="T71" i="17"/>
  <c r="S71" i="17"/>
  <c r="M71" i="17"/>
  <c r="L71" i="17"/>
  <c r="F71" i="17"/>
  <c r="E71" i="17"/>
  <c r="CJ70" i="17"/>
  <c r="CI70" i="17"/>
  <c r="BJ70" i="17"/>
  <c r="BI70" i="17"/>
  <c r="BC70" i="17"/>
  <c r="BB70" i="17"/>
  <c r="AV70" i="17"/>
  <c r="AU70" i="17"/>
  <c r="AO70" i="17"/>
  <c r="AN70" i="17"/>
  <c r="AH70" i="17"/>
  <c r="AG70" i="17"/>
  <c r="AA70" i="17"/>
  <c r="Z70" i="17"/>
  <c r="T70" i="17"/>
  <c r="S70" i="17"/>
  <c r="M70" i="17"/>
  <c r="L70" i="17"/>
  <c r="F70" i="17"/>
  <c r="E70" i="17"/>
  <c r="CJ69" i="17"/>
  <c r="CI69" i="17"/>
  <c r="BJ69" i="17"/>
  <c r="BI69" i="17"/>
  <c r="BC69" i="17"/>
  <c r="BB69" i="17"/>
  <c r="AV69" i="17"/>
  <c r="AU69" i="17"/>
  <c r="AO69" i="17"/>
  <c r="AN69" i="17"/>
  <c r="AH69" i="17"/>
  <c r="AG69" i="17"/>
  <c r="AA69" i="17"/>
  <c r="Z69" i="17"/>
  <c r="T69" i="17"/>
  <c r="S69" i="17"/>
  <c r="M69" i="17"/>
  <c r="L69" i="17"/>
  <c r="F69" i="17"/>
  <c r="E69" i="17"/>
  <c r="CJ68" i="17"/>
  <c r="CI68" i="17"/>
  <c r="BJ68" i="17"/>
  <c r="BI68" i="17"/>
  <c r="BC68" i="17"/>
  <c r="BB68" i="17"/>
  <c r="AV68" i="17"/>
  <c r="AU68" i="17"/>
  <c r="AO68" i="17"/>
  <c r="AN68" i="17"/>
  <c r="AH68" i="17"/>
  <c r="AG68" i="17"/>
  <c r="AA68" i="17"/>
  <c r="Z68" i="17"/>
  <c r="T68" i="17"/>
  <c r="S68" i="17"/>
  <c r="M68" i="17"/>
  <c r="L68" i="17"/>
  <c r="F68" i="17"/>
  <c r="E68" i="17"/>
  <c r="CJ67" i="17"/>
  <c r="CI67" i="17"/>
  <c r="BJ67" i="17"/>
  <c r="BI67" i="17"/>
  <c r="BC67" i="17"/>
  <c r="BB67" i="17"/>
  <c r="AV67" i="17"/>
  <c r="AU67" i="17"/>
  <c r="AO67" i="17"/>
  <c r="AN67" i="17"/>
  <c r="AH67" i="17"/>
  <c r="AG67" i="17"/>
  <c r="AA67" i="17"/>
  <c r="Z67" i="17"/>
  <c r="T67" i="17"/>
  <c r="S67" i="17"/>
  <c r="M67" i="17"/>
  <c r="L67" i="17"/>
  <c r="F67" i="17"/>
  <c r="E67" i="17"/>
  <c r="CJ66" i="17"/>
  <c r="CI66" i="17"/>
  <c r="BJ66" i="17"/>
  <c r="BI66" i="17"/>
  <c r="BC66" i="17"/>
  <c r="BB66" i="17"/>
  <c r="AV66" i="17"/>
  <c r="AU66" i="17"/>
  <c r="AO66" i="17"/>
  <c r="AN66" i="17"/>
  <c r="AH66" i="17"/>
  <c r="AG66" i="17"/>
  <c r="AA66" i="17"/>
  <c r="Z66" i="17"/>
  <c r="T66" i="17"/>
  <c r="S66" i="17"/>
  <c r="M66" i="17"/>
  <c r="L66" i="17"/>
  <c r="F66" i="17"/>
  <c r="E66" i="17"/>
  <c r="CJ65" i="17"/>
  <c r="CI65" i="17"/>
  <c r="BJ65" i="17"/>
  <c r="BI65" i="17"/>
  <c r="BC65" i="17"/>
  <c r="BB65" i="17"/>
  <c r="AV65" i="17"/>
  <c r="AU65" i="17"/>
  <c r="AO65" i="17"/>
  <c r="AN65" i="17"/>
  <c r="AH65" i="17"/>
  <c r="AG65" i="17"/>
  <c r="AA65" i="17"/>
  <c r="Z65" i="17"/>
  <c r="T65" i="17"/>
  <c r="S65" i="17"/>
  <c r="M65" i="17"/>
  <c r="L65" i="17"/>
  <c r="F65" i="17"/>
  <c r="E65" i="17"/>
  <c r="CJ64" i="17"/>
  <c r="CI64" i="17"/>
  <c r="BJ64" i="17"/>
  <c r="BI64" i="17"/>
  <c r="BC64" i="17"/>
  <c r="BB64" i="17"/>
  <c r="AV64" i="17"/>
  <c r="AU64" i="17"/>
  <c r="AO64" i="17"/>
  <c r="AN64" i="17"/>
  <c r="AH64" i="17"/>
  <c r="AG64" i="17"/>
  <c r="AA64" i="17"/>
  <c r="Z64" i="17"/>
  <c r="T64" i="17"/>
  <c r="S64" i="17"/>
  <c r="M64" i="17"/>
  <c r="L64" i="17"/>
  <c r="F64" i="17"/>
  <c r="E64" i="17"/>
  <c r="CJ63" i="17"/>
  <c r="CI63" i="17"/>
  <c r="BJ63" i="17"/>
  <c r="BC63" i="17"/>
  <c r="AV63" i="17"/>
  <c r="AO63" i="17"/>
  <c r="AH63" i="17"/>
  <c r="AA63" i="17"/>
  <c r="T63" i="17"/>
  <c r="M63" i="17"/>
  <c r="F63" i="17"/>
  <c r="CJ62" i="17"/>
  <c r="CI62" i="17"/>
  <c r="BJ62" i="17"/>
  <c r="BI62" i="17"/>
  <c r="BC62" i="17"/>
  <c r="BB62" i="17"/>
  <c r="AV62" i="17"/>
  <c r="AU62" i="17"/>
  <c r="AO62" i="17"/>
  <c r="AN62" i="17"/>
  <c r="AH62" i="17"/>
  <c r="AG62" i="17"/>
  <c r="AA62" i="17"/>
  <c r="Z62" i="17"/>
  <c r="T62" i="17"/>
  <c r="S62" i="17"/>
  <c r="M62" i="17"/>
  <c r="L62" i="17"/>
  <c r="F62" i="17"/>
  <c r="E62" i="17"/>
  <c r="CJ59" i="17"/>
  <c r="CI59" i="17"/>
  <c r="F59" i="17"/>
  <c r="CJ58" i="17"/>
  <c r="CI58" i="17"/>
  <c r="F58" i="17"/>
  <c r="CJ57" i="17"/>
  <c r="CI57" i="17"/>
  <c r="BJ57" i="17"/>
  <c r="BC57" i="17"/>
  <c r="AV57" i="17"/>
  <c r="AO57" i="17"/>
  <c r="AH57" i="17"/>
  <c r="AA57" i="17"/>
  <c r="T57" i="17"/>
  <c r="M57" i="17"/>
  <c r="F57" i="17"/>
  <c r="CJ56" i="17"/>
  <c r="CI56" i="17"/>
  <c r="BJ56" i="17"/>
  <c r="BI56" i="17"/>
  <c r="BC56" i="17"/>
  <c r="BB56" i="17"/>
  <c r="AV56" i="17"/>
  <c r="AU56" i="17"/>
  <c r="AO56" i="17"/>
  <c r="AN56" i="17"/>
  <c r="AH56" i="17"/>
  <c r="AG56" i="17"/>
  <c r="AA56" i="17"/>
  <c r="Z56" i="17"/>
  <c r="T56" i="17"/>
  <c r="S56" i="17"/>
  <c r="M56" i="17"/>
  <c r="L56" i="17"/>
  <c r="F56" i="17"/>
  <c r="E56" i="17"/>
  <c r="CI55" i="17"/>
  <c r="BI55" i="17"/>
  <c r="BB55" i="17"/>
  <c r="AU55" i="17"/>
  <c r="AN55" i="17"/>
  <c r="AG55" i="17"/>
  <c r="Z55" i="17"/>
  <c r="S55" i="17"/>
  <c r="L55" i="17"/>
  <c r="E55" i="17"/>
  <c r="CI54" i="17"/>
  <c r="BI54" i="17"/>
  <c r="BB54" i="17"/>
  <c r="AU54" i="17"/>
  <c r="AN54" i="17"/>
  <c r="AG54" i="17"/>
  <c r="Z54" i="17"/>
  <c r="S54" i="17"/>
  <c r="L54" i="17"/>
  <c r="E54" i="17"/>
  <c r="CJ53" i="17"/>
  <c r="CI53" i="17"/>
  <c r="BJ53" i="17"/>
  <c r="BC53" i="17"/>
  <c r="AV53" i="17"/>
  <c r="AO53" i="17"/>
  <c r="AH53" i="17"/>
  <c r="AA53" i="17"/>
  <c r="T53" i="17"/>
  <c r="M53" i="17"/>
  <c r="F53" i="17"/>
  <c r="CJ52" i="17"/>
  <c r="CI52" i="17"/>
  <c r="BJ52" i="17"/>
  <c r="BC52" i="17"/>
  <c r="AV52" i="17"/>
  <c r="AO52" i="17"/>
  <c r="AH52" i="17"/>
  <c r="AA52" i="17"/>
  <c r="T52" i="17"/>
  <c r="M52" i="17"/>
  <c r="F52" i="17"/>
  <c r="CJ51" i="17"/>
  <c r="CI51" i="17"/>
  <c r="BJ51" i="17"/>
  <c r="BC51" i="17"/>
  <c r="AV51" i="17"/>
  <c r="AO51" i="17"/>
  <c r="AH51" i="17"/>
  <c r="AA51" i="17"/>
  <c r="T51" i="17"/>
  <c r="M51" i="17"/>
  <c r="F51" i="17"/>
  <c r="CJ50" i="17"/>
  <c r="CI50" i="17"/>
  <c r="BJ50" i="17"/>
  <c r="BC50" i="17"/>
  <c r="AV50" i="17"/>
  <c r="AO50" i="17"/>
  <c r="AH50" i="17"/>
  <c r="AA50" i="17"/>
  <c r="T50" i="17"/>
  <c r="M50" i="17"/>
  <c r="F50" i="17"/>
  <c r="CJ49" i="17"/>
  <c r="CI49" i="17"/>
  <c r="BJ49" i="17"/>
  <c r="BC49" i="17"/>
  <c r="AV49" i="17"/>
  <c r="AO49" i="17"/>
  <c r="AH49" i="17"/>
  <c r="AA49" i="17"/>
  <c r="T49" i="17"/>
  <c r="M49" i="17"/>
  <c r="F49" i="17"/>
  <c r="CJ48" i="17"/>
  <c r="CI48" i="17"/>
  <c r="BJ48" i="17"/>
  <c r="BC48" i="17"/>
  <c r="AV48" i="17"/>
  <c r="AO48" i="17"/>
  <c r="AH48" i="17"/>
  <c r="AA48" i="17"/>
  <c r="T48" i="17"/>
  <c r="M48" i="17"/>
  <c r="F48" i="17"/>
  <c r="CJ47" i="17"/>
  <c r="CI47" i="17"/>
  <c r="BJ47" i="17"/>
  <c r="BC47" i="17"/>
  <c r="AV47" i="17"/>
  <c r="AO47" i="17"/>
  <c r="AH47" i="17"/>
  <c r="AA47" i="17"/>
  <c r="T47" i="17"/>
  <c r="M47" i="17"/>
  <c r="F47" i="17"/>
  <c r="CJ46" i="17"/>
  <c r="CI46" i="17"/>
  <c r="BJ46" i="17"/>
  <c r="BC46" i="17"/>
  <c r="AV46" i="17"/>
  <c r="AO46" i="17"/>
  <c r="AH46" i="17"/>
  <c r="AA46" i="17"/>
  <c r="T46" i="17"/>
  <c r="M46" i="17"/>
  <c r="F46" i="17"/>
  <c r="CJ45" i="17"/>
  <c r="CI45" i="17"/>
  <c r="BJ45" i="17"/>
  <c r="BC45" i="17"/>
  <c r="AV45" i="17"/>
  <c r="AO45" i="17"/>
  <c r="AH45" i="17"/>
  <c r="AA45" i="17"/>
  <c r="T45" i="17"/>
  <c r="M45" i="17"/>
  <c r="F45" i="17"/>
  <c r="CJ44" i="17"/>
  <c r="CI44" i="17"/>
  <c r="BJ44" i="17"/>
  <c r="BC44" i="17"/>
  <c r="AV44" i="17"/>
  <c r="AO44" i="17"/>
  <c r="AH44" i="17"/>
  <c r="AA44" i="17"/>
  <c r="T44" i="17"/>
  <c r="M44" i="17"/>
  <c r="F44" i="17"/>
  <c r="CJ43" i="17"/>
  <c r="CI43" i="17"/>
  <c r="BJ43" i="17"/>
  <c r="BI43" i="17"/>
  <c r="BC43" i="17"/>
  <c r="BB43" i="17"/>
  <c r="AV43" i="17"/>
  <c r="AU43" i="17"/>
  <c r="AO43" i="17"/>
  <c r="AN43" i="17"/>
  <c r="AH43" i="17"/>
  <c r="AG43" i="17"/>
  <c r="AA43" i="17"/>
  <c r="Z43" i="17"/>
  <c r="T43" i="17"/>
  <c r="S43" i="17"/>
  <c r="M43" i="17"/>
  <c r="L43" i="17"/>
  <c r="F43" i="17"/>
  <c r="E43" i="17"/>
  <c r="CJ42" i="17"/>
  <c r="CI42" i="17"/>
  <c r="BJ42" i="17"/>
  <c r="BI42" i="17"/>
  <c r="BC42" i="17"/>
  <c r="BB42" i="17"/>
  <c r="AV42" i="17"/>
  <c r="AU42" i="17"/>
  <c r="AO42" i="17"/>
  <c r="AN42" i="17"/>
  <c r="AH42" i="17"/>
  <c r="AG42" i="17"/>
  <c r="AA42" i="17"/>
  <c r="Z42" i="17"/>
  <c r="T42" i="17"/>
  <c r="S42" i="17"/>
  <c r="M42" i="17"/>
  <c r="L42" i="17"/>
  <c r="F42" i="17"/>
  <c r="E42" i="17"/>
  <c r="CJ41" i="17"/>
  <c r="CI41" i="17"/>
  <c r="BJ41" i="17"/>
  <c r="BI41" i="17"/>
  <c r="BC41" i="17"/>
  <c r="BB41" i="17"/>
  <c r="AV41" i="17"/>
  <c r="AU41" i="17"/>
  <c r="AO41" i="17"/>
  <c r="AN41" i="17"/>
  <c r="AH41" i="17"/>
  <c r="AG41" i="17"/>
  <c r="AA41" i="17"/>
  <c r="Z41" i="17"/>
  <c r="T41" i="17"/>
  <c r="S41" i="17"/>
  <c r="M41" i="17"/>
  <c r="L41" i="17"/>
  <c r="F41" i="17"/>
  <c r="E41" i="17"/>
  <c r="CJ40" i="17"/>
  <c r="CI40" i="17"/>
  <c r="BJ40" i="17"/>
  <c r="BI40" i="17"/>
  <c r="BC40" i="17"/>
  <c r="BB40" i="17"/>
  <c r="AV40" i="17"/>
  <c r="AU40" i="17"/>
  <c r="AO40" i="17"/>
  <c r="AN40" i="17"/>
  <c r="AH40" i="17"/>
  <c r="AG40" i="17"/>
  <c r="AA40" i="17"/>
  <c r="Z40" i="17"/>
  <c r="T40" i="17"/>
  <c r="S40" i="17"/>
  <c r="M40" i="17"/>
  <c r="L40" i="17"/>
  <c r="F40" i="17"/>
  <c r="E40" i="17"/>
  <c r="CJ39" i="17"/>
  <c r="CI39" i="17"/>
  <c r="BJ39" i="17"/>
  <c r="BC39" i="17"/>
  <c r="AV39" i="17"/>
  <c r="AO39" i="17"/>
  <c r="AH39" i="17"/>
  <c r="AA39" i="17"/>
  <c r="T39" i="17"/>
  <c r="M39" i="17"/>
  <c r="F39" i="17"/>
  <c r="CJ38" i="17"/>
  <c r="CI38" i="17"/>
  <c r="BJ38" i="17"/>
  <c r="BC38" i="17"/>
  <c r="AV38" i="17"/>
  <c r="AO38" i="17"/>
  <c r="AH38" i="17"/>
  <c r="AA38" i="17"/>
  <c r="T38" i="17"/>
  <c r="M38" i="17"/>
  <c r="F38" i="17"/>
  <c r="CJ37" i="17"/>
  <c r="CI37" i="17"/>
  <c r="BJ37" i="17"/>
  <c r="BC37" i="17"/>
  <c r="AV37" i="17"/>
  <c r="AO37" i="17"/>
  <c r="AH37" i="17"/>
  <c r="AA37" i="17"/>
  <c r="T37" i="17"/>
  <c r="M37" i="17"/>
  <c r="F37" i="17"/>
  <c r="CJ36" i="17"/>
  <c r="CI36" i="17"/>
  <c r="BJ36" i="17"/>
  <c r="BC36" i="17"/>
  <c r="AV36" i="17"/>
  <c r="AO36" i="17"/>
  <c r="AH36" i="17"/>
  <c r="AA36" i="17"/>
  <c r="T36" i="17"/>
  <c r="M36" i="17"/>
  <c r="F36" i="17"/>
  <c r="CJ35" i="17"/>
  <c r="CI35" i="17"/>
  <c r="BJ35" i="17"/>
  <c r="BC35" i="17"/>
  <c r="AV35" i="17"/>
  <c r="AO35" i="17"/>
  <c r="AH35" i="17"/>
  <c r="AA35" i="17"/>
  <c r="T35" i="17"/>
  <c r="M35" i="17"/>
  <c r="F35" i="17"/>
  <c r="CJ34" i="17"/>
  <c r="CI34" i="17"/>
  <c r="BJ34" i="17"/>
  <c r="BC34" i="17"/>
  <c r="AV34" i="17"/>
  <c r="AO34" i="17"/>
  <c r="AH34" i="17"/>
  <c r="AA34" i="17"/>
  <c r="T34" i="17"/>
  <c r="M34" i="17"/>
  <c r="F34" i="17"/>
  <c r="BJ33" i="17"/>
  <c r="BC33" i="17"/>
  <c r="AV33" i="17"/>
  <c r="AO33" i="17"/>
  <c r="AH33" i="17"/>
  <c r="AA33" i="17"/>
  <c r="T33" i="17"/>
  <c r="M33" i="17"/>
  <c r="F33" i="17"/>
  <c r="CJ32" i="17"/>
  <c r="CI32" i="17"/>
  <c r="BJ32" i="17"/>
  <c r="BC32" i="17"/>
  <c r="AV32" i="17"/>
  <c r="AO32" i="17"/>
  <c r="AH32" i="17"/>
  <c r="AA32" i="17"/>
  <c r="T32" i="17"/>
  <c r="M32" i="17"/>
  <c r="F32" i="17"/>
  <c r="CJ31" i="17"/>
  <c r="CI31" i="17"/>
  <c r="BJ31" i="17"/>
  <c r="BC31" i="17"/>
  <c r="AV31" i="17"/>
  <c r="AO31" i="17"/>
  <c r="AH31" i="17"/>
  <c r="AA31" i="17"/>
  <c r="T31" i="17"/>
  <c r="M31" i="17"/>
  <c r="F31" i="17"/>
  <c r="CJ30" i="17"/>
  <c r="CI30" i="17"/>
  <c r="BJ30" i="17"/>
  <c r="BC30" i="17"/>
  <c r="AV30" i="17"/>
  <c r="AO30" i="17"/>
  <c r="AH30" i="17"/>
  <c r="AA30" i="17"/>
  <c r="T30" i="17"/>
  <c r="M30" i="17"/>
  <c r="F30" i="17"/>
  <c r="CJ29" i="17"/>
  <c r="CI29" i="17"/>
  <c r="BJ29" i="17"/>
  <c r="BC29" i="17"/>
  <c r="AV29" i="17"/>
  <c r="AO29" i="17"/>
  <c r="AH29" i="17"/>
  <c r="AA29" i="17"/>
  <c r="T29" i="17"/>
  <c r="M29" i="17"/>
  <c r="F29" i="17"/>
  <c r="CJ28" i="17"/>
  <c r="CI28" i="17"/>
  <c r="BJ28" i="17"/>
  <c r="BI28" i="17"/>
  <c r="BC28" i="17"/>
  <c r="BB28" i="17"/>
  <c r="AV28" i="17"/>
  <c r="AU28" i="17"/>
  <c r="AO28" i="17"/>
  <c r="AN28" i="17"/>
  <c r="AH28" i="17"/>
  <c r="AG28" i="17"/>
  <c r="AA28" i="17"/>
  <c r="Z28" i="17"/>
  <c r="T28" i="17"/>
  <c r="S28" i="17"/>
  <c r="M28" i="17"/>
  <c r="L28" i="17"/>
  <c r="F28" i="17"/>
  <c r="E28" i="17"/>
  <c r="CJ27" i="17"/>
  <c r="CI27" i="17"/>
  <c r="BJ27" i="17"/>
  <c r="BC27" i="17"/>
  <c r="AV27" i="17"/>
  <c r="AO27" i="17"/>
  <c r="AH27" i="17"/>
  <c r="AA27" i="17"/>
  <c r="T27" i="17"/>
  <c r="M27" i="17"/>
  <c r="F27" i="17"/>
  <c r="CJ26" i="17"/>
  <c r="CI26" i="17"/>
  <c r="BJ26" i="17"/>
  <c r="BI26" i="17"/>
  <c r="BC26" i="17"/>
  <c r="BB26" i="17"/>
  <c r="AV26" i="17"/>
  <c r="AU26" i="17"/>
  <c r="AO26" i="17"/>
  <c r="AN26" i="17"/>
  <c r="AH26" i="17"/>
  <c r="AG26" i="17"/>
  <c r="AA26" i="17"/>
  <c r="Z26" i="17"/>
  <c r="T26" i="17"/>
  <c r="S26" i="17"/>
  <c r="M26" i="17"/>
  <c r="L26" i="17"/>
  <c r="F26" i="17"/>
  <c r="E26" i="17"/>
  <c r="CJ25" i="17"/>
  <c r="CI25" i="17"/>
  <c r="BJ25" i="17"/>
  <c r="BC25" i="17"/>
  <c r="AV25" i="17"/>
  <c r="AO25" i="17"/>
  <c r="AH25" i="17"/>
  <c r="AA25" i="17"/>
  <c r="T25" i="17"/>
  <c r="M25" i="17"/>
  <c r="F25" i="17"/>
  <c r="CJ24" i="17"/>
  <c r="CI24" i="17"/>
  <c r="BJ24" i="17"/>
  <c r="BC24" i="17"/>
  <c r="AV24" i="17"/>
  <c r="AO24" i="17"/>
  <c r="AH24" i="17"/>
  <c r="AA24" i="17"/>
  <c r="T24" i="17"/>
  <c r="M24" i="17"/>
  <c r="F24" i="17"/>
  <c r="CJ23" i="17"/>
  <c r="CI23" i="17"/>
  <c r="BJ23" i="17"/>
  <c r="BC23" i="17"/>
  <c r="AV23" i="17"/>
  <c r="AO23" i="17"/>
  <c r="AH23" i="17"/>
  <c r="AA23" i="17"/>
  <c r="T23" i="17"/>
  <c r="M23" i="17"/>
  <c r="F23" i="17"/>
  <c r="CJ22" i="17"/>
  <c r="CI22" i="17"/>
  <c r="BJ22" i="17"/>
  <c r="BC22" i="17"/>
  <c r="AV22" i="17"/>
  <c r="AO22" i="17"/>
  <c r="AH22" i="17"/>
  <c r="AA22" i="17"/>
  <c r="T22" i="17"/>
  <c r="M22" i="17"/>
  <c r="F22" i="17"/>
  <c r="CJ21" i="17"/>
  <c r="CI21" i="17"/>
  <c r="BJ21" i="17"/>
  <c r="BC21" i="17"/>
  <c r="AV21" i="17"/>
  <c r="AO21" i="17"/>
  <c r="AH21" i="17"/>
  <c r="AA21" i="17"/>
  <c r="T21" i="17"/>
  <c r="M21" i="17"/>
  <c r="L21" i="17"/>
  <c r="F21" i="17"/>
  <c r="CJ20" i="17"/>
  <c r="CI20" i="17"/>
  <c r="BJ20" i="17"/>
  <c r="BC20" i="17"/>
  <c r="AV20" i="17"/>
  <c r="AO20" i="17"/>
  <c r="AH20" i="17"/>
  <c r="AA20" i="17"/>
  <c r="T20" i="17"/>
  <c r="M20" i="17"/>
  <c r="F20" i="17"/>
  <c r="CJ19" i="17"/>
  <c r="CI19" i="17"/>
  <c r="BJ19" i="17"/>
  <c r="BC19" i="17"/>
  <c r="AV19" i="17"/>
  <c r="AO19" i="17"/>
  <c r="AH19" i="17"/>
  <c r="AA19" i="17"/>
  <c r="T19" i="17"/>
  <c r="M19" i="17"/>
  <c r="F19" i="17"/>
  <c r="CJ18" i="17"/>
  <c r="CI18" i="17"/>
  <c r="BJ18" i="17"/>
  <c r="BC18" i="17"/>
  <c r="AV18" i="17"/>
  <c r="AO18" i="17"/>
  <c r="AH18" i="17"/>
  <c r="AA18" i="17"/>
  <c r="T18" i="17"/>
  <c r="M18" i="17"/>
  <c r="F18" i="17"/>
  <c r="CJ17" i="17"/>
  <c r="CI17" i="17"/>
  <c r="BJ17" i="17"/>
  <c r="BC17" i="17"/>
  <c r="AV17" i="17"/>
  <c r="AO17" i="17"/>
  <c r="AH17" i="17"/>
  <c r="AA17" i="17"/>
  <c r="T17" i="17"/>
  <c r="M17" i="17"/>
  <c r="F17" i="17"/>
  <c r="CJ16" i="17"/>
  <c r="CI16" i="17"/>
  <c r="BJ16" i="17"/>
  <c r="BC16" i="17"/>
  <c r="AV16" i="17"/>
  <c r="AO16" i="17"/>
  <c r="AH16" i="17"/>
  <c r="AA16" i="17"/>
  <c r="T16" i="17"/>
  <c r="M16" i="17"/>
  <c r="F16" i="17"/>
  <c r="CJ15" i="17"/>
  <c r="CI15" i="17"/>
  <c r="BJ15" i="17"/>
  <c r="BC15" i="17"/>
  <c r="AV15" i="17"/>
  <c r="AO15" i="17"/>
  <c r="AH15" i="17"/>
  <c r="AA15" i="17"/>
  <c r="T15" i="17"/>
  <c r="M15" i="17"/>
  <c r="F15" i="17"/>
  <c r="CJ14" i="17"/>
  <c r="CI14" i="17"/>
  <c r="BJ14" i="17"/>
  <c r="BC14" i="17"/>
  <c r="AV14" i="17"/>
  <c r="AO14" i="17"/>
  <c r="AH14" i="17"/>
  <c r="AA14" i="17"/>
  <c r="T14" i="17"/>
  <c r="M14" i="17"/>
  <c r="F14" i="17"/>
  <c r="CJ13" i="17"/>
  <c r="CI13" i="17"/>
  <c r="BJ13" i="17"/>
  <c r="BC13" i="17"/>
  <c r="AV13" i="17"/>
  <c r="AO13" i="17"/>
  <c r="AH13" i="17"/>
  <c r="AA13" i="17"/>
  <c r="T13" i="17"/>
  <c r="M13" i="17"/>
  <c r="F13" i="17"/>
  <c r="CJ11" i="17"/>
  <c r="CI11" i="17"/>
  <c r="BJ11" i="17"/>
  <c r="BI11" i="17"/>
  <c r="BC11" i="17"/>
  <c r="BB11" i="17"/>
  <c r="AV11" i="17"/>
  <c r="AU11" i="17"/>
  <c r="AO11" i="17"/>
  <c r="AN11" i="17"/>
  <c r="AH11" i="17"/>
  <c r="AG11" i="17"/>
  <c r="AA11" i="17"/>
  <c r="Z11" i="17"/>
  <c r="T11" i="17"/>
  <c r="S11" i="17"/>
  <c r="M11" i="17"/>
  <c r="L11" i="17"/>
  <c r="F11" i="17"/>
  <c r="E11" i="17"/>
  <c r="CJ10" i="17"/>
  <c r="CI10" i="17"/>
  <c r="BJ10" i="17"/>
  <c r="BC10" i="17"/>
  <c r="AV10" i="17"/>
  <c r="AO10" i="17"/>
  <c r="AH10" i="17"/>
  <c r="AA10" i="17"/>
  <c r="T10" i="17"/>
  <c r="M10" i="17"/>
  <c r="F10" i="17"/>
  <c r="CJ9" i="17"/>
  <c r="CI9" i="17"/>
  <c r="BJ9" i="17"/>
  <c r="BC9" i="17"/>
  <c r="AV9" i="17"/>
  <c r="AO9" i="17"/>
  <c r="AH9" i="17"/>
  <c r="AA9" i="17"/>
  <c r="T9" i="17"/>
  <c r="M9" i="17"/>
  <c r="F9" i="17"/>
  <c r="CJ8" i="17"/>
  <c r="CI8" i="17"/>
  <c r="BJ8" i="17"/>
  <c r="BC8" i="17"/>
  <c r="AV8" i="17"/>
  <c r="AO8" i="17"/>
  <c r="AH8" i="17"/>
  <c r="AA8" i="17"/>
  <c r="T8" i="17"/>
  <c r="M8" i="17"/>
  <c r="F8" i="17"/>
  <c r="CJ7" i="17"/>
  <c r="CI7" i="17"/>
  <c r="BJ7" i="17"/>
  <c r="BC7" i="17"/>
  <c r="AV7" i="17"/>
  <c r="AO7" i="17"/>
  <c r="AH7" i="17"/>
  <c r="AA7" i="17"/>
  <c r="T7" i="17"/>
  <c r="M7" i="17"/>
  <c r="F7" i="17"/>
  <c r="CJ6" i="17"/>
  <c r="CI6" i="17"/>
  <c r="BJ6" i="17"/>
  <c r="BC6" i="17"/>
  <c r="AV6" i="17"/>
  <c r="AO6" i="17"/>
  <c r="AH6" i="17"/>
  <c r="AA6" i="17"/>
  <c r="T6" i="17"/>
  <c r="M6" i="17"/>
  <c r="F6" i="17"/>
  <c r="CJ5" i="17"/>
  <c r="CI5" i="17"/>
  <c r="BJ5" i="17"/>
  <c r="AV5" i="17"/>
  <c r="AO5" i="17"/>
  <c r="AH5" i="17"/>
  <c r="AA5" i="17"/>
  <c r="T5" i="17"/>
  <c r="M5" i="17"/>
  <c r="F5" i="17"/>
  <c r="CJ4" i="17"/>
  <c r="CI4" i="17"/>
  <c r="BJ4" i="17"/>
  <c r="BC4" i="17"/>
  <c r="AV4" i="17"/>
  <c r="AO4" i="17"/>
  <c r="AH4" i="17"/>
  <c r="AA4" i="17"/>
  <c r="T4" i="17"/>
  <c r="M4" i="17"/>
  <c r="F4" i="17"/>
  <c r="CJ3" i="17"/>
  <c r="CI3" i="17"/>
  <c r="BJ3" i="17"/>
  <c r="BC3" i="17"/>
  <c r="AV3" i="17"/>
  <c r="AO3" i="17"/>
  <c r="AH3" i="17"/>
  <c r="AA3" i="17"/>
  <c r="T3" i="17"/>
  <c r="M3" i="17"/>
  <c r="F3" i="17"/>
  <c r="AT384" i="16"/>
  <c r="AR384" i="16"/>
  <c r="AN384" i="16"/>
  <c r="AL384" i="16"/>
  <c r="J384" i="16"/>
  <c r="I384" i="16"/>
  <c r="H384" i="16"/>
  <c r="D384" i="16"/>
  <c r="C384" i="16"/>
  <c r="B384" i="16"/>
  <c r="BC343" i="16"/>
  <c r="AS336" i="16"/>
  <c r="AS335" i="16"/>
  <c r="AS334" i="16"/>
  <c r="BA230" i="16"/>
  <c r="AY230" i="16"/>
  <c r="AT230" i="16"/>
  <c r="AR230" i="16"/>
  <c r="AN230" i="16"/>
  <c r="AO230" i="16" s="1"/>
  <c r="AL230" i="16"/>
  <c r="AH230" i="16"/>
  <c r="AG230" i="16"/>
  <c r="AF230" i="16"/>
  <c r="AB230" i="16"/>
  <c r="AA230" i="16"/>
  <c r="Z230" i="16"/>
  <c r="V230" i="16"/>
  <c r="U230" i="16"/>
  <c r="T230" i="16"/>
  <c r="Q230" i="16"/>
  <c r="J230" i="16"/>
  <c r="I230" i="16"/>
  <c r="H230" i="16"/>
  <c r="D230" i="16"/>
  <c r="C230" i="16"/>
  <c r="B230" i="16"/>
  <c r="AI229" i="16"/>
  <c r="AC229" i="16"/>
  <c r="W229" i="16"/>
  <c r="Q229" i="16"/>
  <c r="K229" i="16"/>
  <c r="E229" i="16"/>
  <c r="AI228" i="16"/>
  <c r="AC228" i="16"/>
  <c r="W228" i="16"/>
  <c r="Q228" i="16"/>
  <c r="K228" i="16"/>
  <c r="E228" i="16"/>
  <c r="BA157" i="16"/>
  <c r="AZ157" i="16"/>
  <c r="AY157" i="16"/>
  <c r="AT157" i="16"/>
  <c r="AS157" i="16"/>
  <c r="AR157" i="16"/>
  <c r="AN157" i="16"/>
  <c r="AM157" i="16"/>
  <c r="AL157" i="16"/>
  <c r="AH157" i="16"/>
  <c r="AG157" i="16"/>
  <c r="AF157" i="16"/>
  <c r="AB157" i="16"/>
  <c r="AA157" i="16"/>
  <c r="Z157" i="16"/>
  <c r="V157" i="16"/>
  <c r="U157" i="16"/>
  <c r="T157" i="16"/>
  <c r="P157" i="16"/>
  <c r="O157" i="16"/>
  <c r="N157" i="16"/>
  <c r="J157" i="16"/>
  <c r="I157" i="16"/>
  <c r="H157" i="16"/>
  <c r="D157" i="16"/>
  <c r="C157" i="16"/>
  <c r="B157" i="16"/>
  <c r="BA156" i="16"/>
  <c r="AY156" i="16"/>
  <c r="AT156" i="16"/>
  <c r="AR156" i="16"/>
  <c r="AN156" i="16"/>
  <c r="AL156" i="16"/>
  <c r="AH156" i="16"/>
  <c r="AG156" i="16"/>
  <c r="AF156" i="16"/>
  <c r="AB156" i="16"/>
  <c r="AA156" i="16"/>
  <c r="Z156" i="16"/>
  <c r="V156" i="16"/>
  <c r="U156" i="16"/>
  <c r="T156" i="16"/>
  <c r="P156" i="16"/>
  <c r="O156" i="16"/>
  <c r="N156" i="16"/>
  <c r="J156" i="16"/>
  <c r="I156" i="16"/>
  <c r="H156" i="16"/>
  <c r="D156" i="16"/>
  <c r="C156" i="16"/>
  <c r="B156" i="16"/>
  <c r="AJ504" i="15"/>
  <c r="AE504" i="15"/>
  <c r="Z504" i="15"/>
  <c r="T504" i="15"/>
  <c r="M504" i="15"/>
  <c r="F504" i="15"/>
  <c r="AJ503" i="15"/>
  <c r="AE503" i="15"/>
  <c r="Z503" i="15"/>
  <c r="T503" i="15"/>
  <c r="M503" i="15"/>
  <c r="F503" i="15"/>
  <c r="AJ502" i="15"/>
  <c r="AE502" i="15"/>
  <c r="Z502" i="15"/>
  <c r="T502" i="15"/>
  <c r="M502" i="15"/>
  <c r="F502" i="15"/>
  <c r="AJ501" i="15"/>
  <c r="AE501" i="15"/>
  <c r="Z501" i="15"/>
  <c r="T501" i="15"/>
  <c r="M501" i="15"/>
  <c r="F501" i="15"/>
  <c r="AJ500" i="15"/>
  <c r="AE500" i="15"/>
  <c r="Z500" i="15"/>
  <c r="T500" i="15"/>
  <c r="M500" i="15"/>
  <c r="F500" i="15"/>
  <c r="AJ499" i="15"/>
  <c r="AE499" i="15"/>
  <c r="Z499" i="15"/>
  <c r="T499" i="15"/>
  <c r="M499" i="15"/>
  <c r="F499" i="15"/>
  <c r="AJ498" i="15"/>
  <c r="AE498" i="15"/>
  <c r="Z498" i="15"/>
  <c r="T498" i="15"/>
  <c r="M498" i="15"/>
  <c r="F498" i="15"/>
  <c r="AJ497" i="15"/>
  <c r="AE497" i="15"/>
  <c r="Z497" i="15"/>
  <c r="T497" i="15"/>
  <c r="M497" i="15"/>
  <c r="F497" i="15"/>
  <c r="AJ496" i="15"/>
  <c r="AE496" i="15"/>
  <c r="Z496" i="15"/>
  <c r="T496" i="15"/>
  <c r="M496" i="15"/>
  <c r="F496" i="15"/>
  <c r="AJ495" i="15"/>
  <c r="AE495" i="15"/>
  <c r="Z495" i="15"/>
  <c r="T495" i="15"/>
  <c r="M495" i="15"/>
  <c r="F495" i="15"/>
  <c r="AJ494" i="15"/>
  <c r="AE494" i="15"/>
  <c r="Z494" i="15"/>
  <c r="T494" i="15"/>
  <c r="M494" i="15"/>
  <c r="F494" i="15"/>
  <c r="AJ493" i="15"/>
  <c r="AE493" i="15"/>
  <c r="Z493" i="15"/>
  <c r="T493" i="15"/>
  <c r="M493" i="15"/>
  <c r="F493" i="15"/>
  <c r="AJ492" i="15"/>
  <c r="AE492" i="15"/>
  <c r="Z492" i="15"/>
  <c r="T492" i="15"/>
  <c r="M492" i="15"/>
  <c r="F492" i="15"/>
  <c r="AJ491" i="15"/>
  <c r="AE491" i="15"/>
  <c r="Z491" i="15"/>
  <c r="T491" i="15"/>
  <c r="M491" i="15"/>
  <c r="F491" i="15"/>
  <c r="AJ490" i="15"/>
  <c r="AE490" i="15"/>
  <c r="Z490" i="15"/>
  <c r="T490" i="15"/>
  <c r="M490" i="15"/>
  <c r="F490" i="15"/>
  <c r="AJ489" i="15"/>
  <c r="AE489" i="15"/>
  <c r="Z489" i="15"/>
  <c r="T489" i="15"/>
  <c r="M489" i="15"/>
  <c r="F489" i="15"/>
  <c r="AJ488" i="15"/>
  <c r="AE488" i="15"/>
  <c r="Z488" i="15"/>
  <c r="T488" i="15"/>
  <c r="M488" i="15"/>
  <c r="F488" i="15"/>
  <c r="AJ487" i="15"/>
  <c r="AE487" i="15"/>
  <c r="Z487" i="15"/>
  <c r="T487" i="15"/>
  <c r="M487" i="15"/>
  <c r="F487" i="15"/>
  <c r="AJ486" i="15"/>
  <c r="AE486" i="15"/>
  <c r="Z486" i="15"/>
  <c r="T486" i="15"/>
  <c r="M486" i="15"/>
  <c r="F486" i="15"/>
  <c r="AJ485" i="15"/>
  <c r="AE485" i="15"/>
  <c r="Z485" i="15"/>
  <c r="T485" i="15"/>
  <c r="M485" i="15"/>
  <c r="F485" i="15"/>
  <c r="AJ484" i="15"/>
  <c r="AE484" i="15"/>
  <c r="Z484" i="15"/>
  <c r="T484" i="15"/>
  <c r="M484" i="15"/>
  <c r="F484" i="15"/>
  <c r="AJ483" i="15"/>
  <c r="AE483" i="15"/>
  <c r="Z483" i="15"/>
  <c r="T483" i="15"/>
  <c r="M483" i="15"/>
  <c r="F483" i="15"/>
  <c r="AJ482" i="15"/>
  <c r="AE482" i="15"/>
  <c r="Z482" i="15"/>
  <c r="T482" i="15"/>
  <c r="M482" i="15"/>
  <c r="F482" i="15"/>
  <c r="AJ481" i="15"/>
  <c r="AE481" i="15"/>
  <c r="Z481" i="15"/>
  <c r="T481" i="15"/>
  <c r="M481" i="15"/>
  <c r="F481" i="15"/>
  <c r="AJ480" i="15"/>
  <c r="AE480" i="15"/>
  <c r="Z480" i="15"/>
  <c r="T480" i="15"/>
  <c r="M480" i="15"/>
  <c r="F480" i="15"/>
  <c r="AJ479" i="15"/>
  <c r="AE479" i="15"/>
  <c r="Z479" i="15"/>
  <c r="T479" i="15"/>
  <c r="M479" i="15"/>
  <c r="F479" i="15"/>
  <c r="AJ478" i="15"/>
  <c r="AE478" i="15"/>
  <c r="Z478" i="15"/>
  <c r="T478" i="15"/>
  <c r="M478" i="15"/>
  <c r="F478" i="15"/>
  <c r="AJ477" i="15"/>
  <c r="AE477" i="15"/>
  <c r="Z477" i="15"/>
  <c r="T477" i="15"/>
  <c r="M477" i="15"/>
  <c r="F477" i="15"/>
  <c r="AJ476" i="15"/>
  <c r="AE476" i="15"/>
  <c r="Z476" i="15"/>
  <c r="T476" i="15"/>
  <c r="M476" i="15"/>
  <c r="F476" i="15"/>
  <c r="AJ475" i="15"/>
  <c r="AE475" i="15"/>
  <c r="Z475" i="15"/>
  <c r="T475" i="15"/>
  <c r="M475" i="15"/>
  <c r="F475" i="15"/>
  <c r="AJ474" i="15"/>
  <c r="AE474" i="15"/>
  <c r="Z474" i="15"/>
  <c r="T474" i="15"/>
  <c r="M474" i="15"/>
  <c r="F474" i="15"/>
  <c r="AJ473" i="15"/>
  <c r="AE473" i="15"/>
  <c r="Z473" i="15"/>
  <c r="T473" i="15"/>
  <c r="M473" i="15"/>
  <c r="F473" i="15"/>
  <c r="AJ472" i="15"/>
  <c r="AE472" i="15"/>
  <c r="Z472" i="15"/>
  <c r="T472" i="15"/>
  <c r="M472" i="15"/>
  <c r="F472" i="15"/>
  <c r="AJ471" i="15"/>
  <c r="AE471" i="15"/>
  <c r="Z471" i="15"/>
  <c r="T471" i="15"/>
  <c r="M471" i="15"/>
  <c r="F471" i="15"/>
  <c r="AJ470" i="15"/>
  <c r="AE470" i="15"/>
  <c r="Z470" i="15"/>
  <c r="T470" i="15"/>
  <c r="M470" i="15"/>
  <c r="F470" i="15"/>
  <c r="AJ469" i="15"/>
  <c r="AE469" i="15"/>
  <c r="Z469" i="15"/>
  <c r="T469" i="15"/>
  <c r="M469" i="15"/>
  <c r="F469" i="15"/>
  <c r="AJ468" i="15"/>
  <c r="AE468" i="15"/>
  <c r="Z468" i="15"/>
  <c r="T468" i="15"/>
  <c r="M468" i="15"/>
  <c r="F468" i="15"/>
  <c r="AJ467" i="15"/>
  <c r="AE467" i="15"/>
  <c r="Z467" i="15"/>
  <c r="T467" i="15"/>
  <c r="M467" i="15"/>
  <c r="F467" i="15"/>
  <c r="AJ466" i="15"/>
  <c r="AE466" i="15"/>
  <c r="Z466" i="15"/>
  <c r="T466" i="15"/>
  <c r="M466" i="15"/>
  <c r="F466" i="15"/>
  <c r="AJ465" i="15"/>
  <c r="AE465" i="15"/>
  <c r="Z465" i="15"/>
  <c r="T465" i="15"/>
  <c r="M465" i="15"/>
  <c r="F465" i="15"/>
  <c r="AJ464" i="15"/>
  <c r="AE464" i="15"/>
  <c r="Z464" i="15"/>
  <c r="T464" i="15"/>
  <c r="M464" i="15"/>
  <c r="F464" i="15"/>
  <c r="AJ463" i="15"/>
  <c r="AE463" i="15"/>
  <c r="Z463" i="15"/>
  <c r="T463" i="15"/>
  <c r="M463" i="15"/>
  <c r="F463" i="15"/>
  <c r="AJ462" i="15"/>
  <c r="AE462" i="15"/>
  <c r="Z462" i="15"/>
  <c r="T462" i="15"/>
  <c r="M462" i="15"/>
  <c r="F462" i="15"/>
  <c r="AJ461" i="15"/>
  <c r="AE461" i="15"/>
  <c r="Z461" i="15"/>
  <c r="T461" i="15"/>
  <c r="M461" i="15"/>
  <c r="F461" i="15"/>
  <c r="AJ460" i="15"/>
  <c r="AE460" i="15"/>
  <c r="Z460" i="15"/>
  <c r="T460" i="15"/>
  <c r="M460" i="15"/>
  <c r="F460" i="15"/>
  <c r="AJ459" i="15"/>
  <c r="AE459" i="15"/>
  <c r="Z459" i="15"/>
  <c r="T459" i="15"/>
  <c r="M459" i="15"/>
  <c r="F459" i="15"/>
  <c r="AJ458" i="15"/>
  <c r="AE458" i="15"/>
  <c r="Z458" i="15"/>
  <c r="T458" i="15"/>
  <c r="M458" i="15"/>
  <c r="F458" i="15"/>
  <c r="AJ457" i="15"/>
  <c r="AE457" i="15"/>
  <c r="Z457" i="15"/>
  <c r="T457" i="15"/>
  <c r="M457" i="15"/>
  <c r="F457" i="15"/>
  <c r="AJ456" i="15"/>
  <c r="AE456" i="15"/>
  <c r="Z456" i="15"/>
  <c r="T456" i="15"/>
  <c r="M456" i="15"/>
  <c r="F456" i="15"/>
  <c r="AJ455" i="15"/>
  <c r="AE455" i="15"/>
  <c r="Z455" i="15"/>
  <c r="T455" i="15"/>
  <c r="M455" i="15"/>
  <c r="F455" i="15"/>
  <c r="AJ454" i="15"/>
  <c r="AE454" i="15"/>
  <c r="Z454" i="15"/>
  <c r="T454" i="15"/>
  <c r="M454" i="15"/>
  <c r="F454" i="15"/>
  <c r="AJ453" i="15"/>
  <c r="AE453" i="15"/>
  <c r="Z453" i="15"/>
  <c r="T453" i="15"/>
  <c r="M453" i="15"/>
  <c r="F453" i="15"/>
  <c r="AJ452" i="15"/>
  <c r="AE452" i="15"/>
  <c r="Z452" i="15"/>
  <c r="T452" i="15"/>
  <c r="M452" i="15"/>
  <c r="F452" i="15"/>
  <c r="AJ451" i="15"/>
  <c r="AE451" i="15"/>
  <c r="Z451" i="15"/>
  <c r="T451" i="15"/>
  <c r="M451" i="15"/>
  <c r="F451" i="15"/>
  <c r="AJ450" i="15"/>
  <c r="AE450" i="15"/>
  <c r="Z450" i="15"/>
  <c r="T450" i="15"/>
  <c r="M450" i="15"/>
  <c r="F450" i="15"/>
  <c r="AJ449" i="15"/>
  <c r="AE449" i="15"/>
  <c r="Z449" i="15"/>
  <c r="T449" i="15"/>
  <c r="M449" i="15"/>
  <c r="F449" i="15"/>
  <c r="AJ448" i="15"/>
  <c r="AE448" i="15"/>
  <c r="Z448" i="15"/>
  <c r="T448" i="15"/>
  <c r="M448" i="15"/>
  <c r="F448" i="15"/>
  <c r="AJ447" i="15"/>
  <c r="AE447" i="15"/>
  <c r="Z447" i="15"/>
  <c r="T447" i="15"/>
  <c r="M447" i="15"/>
  <c r="F447" i="15"/>
  <c r="AJ446" i="15"/>
  <c r="AE446" i="15"/>
  <c r="Z446" i="15"/>
  <c r="T446" i="15"/>
  <c r="M446" i="15"/>
  <c r="F446" i="15"/>
  <c r="AJ445" i="15"/>
  <c r="AE445" i="15"/>
  <c r="Z445" i="15"/>
  <c r="T445" i="15"/>
  <c r="M445" i="15"/>
  <c r="F445" i="15"/>
  <c r="AJ444" i="15"/>
  <c r="AE444" i="15"/>
  <c r="Z444" i="15"/>
  <c r="T444" i="15"/>
  <c r="M444" i="15"/>
  <c r="F444" i="15"/>
  <c r="AJ443" i="15"/>
  <c r="AE443" i="15"/>
  <c r="Z443" i="15"/>
  <c r="T443" i="15"/>
  <c r="M443" i="15"/>
  <c r="F443" i="15"/>
  <c r="AJ442" i="15"/>
  <c r="AE442" i="15"/>
  <c r="Z442" i="15"/>
  <c r="T442" i="15"/>
  <c r="M442" i="15"/>
  <c r="F442" i="15"/>
  <c r="AJ441" i="15"/>
  <c r="AE441" i="15"/>
  <c r="Z441" i="15"/>
  <c r="T441" i="15"/>
  <c r="M441" i="15"/>
  <c r="F441" i="15"/>
  <c r="AJ440" i="15"/>
  <c r="AE440" i="15"/>
  <c r="Z440" i="15"/>
  <c r="T440" i="15"/>
  <c r="M440" i="15"/>
  <c r="F440" i="15"/>
  <c r="AJ439" i="15"/>
  <c r="AE439" i="15"/>
  <c r="Z439" i="15"/>
  <c r="T439" i="15"/>
  <c r="M439" i="15"/>
  <c r="F439" i="15"/>
  <c r="AJ438" i="15"/>
  <c r="AE438" i="15"/>
  <c r="Z438" i="15"/>
  <c r="T438" i="15"/>
  <c r="M438" i="15"/>
  <c r="F438" i="15"/>
  <c r="AJ437" i="15"/>
  <c r="AE437" i="15"/>
  <c r="Z437" i="15"/>
  <c r="T437" i="15"/>
  <c r="M437" i="15"/>
  <c r="F437" i="15"/>
  <c r="AJ436" i="15"/>
  <c r="AE436" i="15"/>
  <c r="Z436" i="15"/>
  <c r="T436" i="15"/>
  <c r="M436" i="15"/>
  <c r="F436" i="15"/>
  <c r="AJ435" i="15"/>
  <c r="AE435" i="15"/>
  <c r="Z435" i="15"/>
  <c r="T435" i="15"/>
  <c r="M435" i="15"/>
  <c r="F435" i="15"/>
  <c r="AJ434" i="15"/>
  <c r="AE434" i="15"/>
  <c r="Z434" i="15"/>
  <c r="T434" i="15"/>
  <c r="M434" i="15"/>
  <c r="F434" i="15"/>
  <c r="AJ433" i="15"/>
  <c r="AE433" i="15"/>
  <c r="Z433" i="15"/>
  <c r="T433" i="15"/>
  <c r="M433" i="15"/>
  <c r="F433" i="15"/>
  <c r="AJ432" i="15"/>
  <c r="AE432" i="15"/>
  <c r="Z432" i="15"/>
  <c r="T432" i="15"/>
  <c r="M432" i="15"/>
  <c r="F432" i="15"/>
  <c r="AJ431" i="15"/>
  <c r="AE431" i="15"/>
  <c r="Z431" i="15"/>
  <c r="T431" i="15"/>
  <c r="M431" i="15"/>
  <c r="F431" i="15"/>
  <c r="AJ430" i="15"/>
  <c r="AE430" i="15"/>
  <c r="Z430" i="15"/>
  <c r="T430" i="15"/>
  <c r="M430" i="15"/>
  <c r="F430" i="15"/>
  <c r="AJ429" i="15"/>
  <c r="AE429" i="15"/>
  <c r="Z429" i="15"/>
  <c r="T429" i="15"/>
  <c r="M429" i="15"/>
  <c r="F429" i="15"/>
  <c r="AJ428" i="15"/>
  <c r="AE428" i="15"/>
  <c r="Z428" i="15"/>
  <c r="T428" i="15"/>
  <c r="M428" i="15"/>
  <c r="F428" i="15"/>
  <c r="AJ427" i="15"/>
  <c r="AE427" i="15"/>
  <c r="Z427" i="15"/>
  <c r="T427" i="15"/>
  <c r="M427" i="15"/>
  <c r="F427" i="15"/>
  <c r="AJ426" i="15"/>
  <c r="AE426" i="15"/>
  <c r="Z426" i="15"/>
  <c r="T426" i="15"/>
  <c r="M426" i="15"/>
  <c r="F426" i="15"/>
  <c r="AJ425" i="15"/>
  <c r="AE425" i="15"/>
  <c r="Z425" i="15"/>
  <c r="T425" i="15"/>
  <c r="M425" i="15"/>
  <c r="F425" i="15"/>
  <c r="AJ424" i="15"/>
  <c r="AE424" i="15"/>
  <c r="Z424" i="15"/>
  <c r="T424" i="15"/>
  <c r="M424" i="15"/>
  <c r="F424" i="15"/>
  <c r="AJ423" i="15"/>
  <c r="AE423" i="15"/>
  <c r="Z423" i="15"/>
  <c r="T423" i="15"/>
  <c r="M423" i="15"/>
  <c r="F423" i="15"/>
  <c r="AJ422" i="15"/>
  <c r="AE422" i="15"/>
  <c r="Z422" i="15"/>
  <c r="T422" i="15"/>
  <c r="M422" i="15"/>
  <c r="F422" i="15"/>
  <c r="AJ421" i="15"/>
  <c r="AE421" i="15"/>
  <c r="Z421" i="15"/>
  <c r="T421" i="15"/>
  <c r="M421" i="15"/>
  <c r="F421" i="15"/>
  <c r="AJ420" i="15"/>
  <c r="AE420" i="15"/>
  <c r="Z420" i="15"/>
  <c r="T420" i="15"/>
  <c r="M420" i="15"/>
  <c r="F420" i="15"/>
  <c r="AJ419" i="15"/>
  <c r="AE419" i="15"/>
  <c r="Z419" i="15"/>
  <c r="T419" i="15"/>
  <c r="M419" i="15"/>
  <c r="F419" i="15"/>
  <c r="AJ418" i="15"/>
  <c r="AE418" i="15"/>
  <c r="Z418" i="15"/>
  <c r="T418" i="15"/>
  <c r="M418" i="15"/>
  <c r="F418" i="15"/>
  <c r="AJ417" i="15"/>
  <c r="AE417" i="15"/>
  <c r="Z417" i="15"/>
  <c r="T417" i="15"/>
  <c r="M417" i="15"/>
  <c r="F417" i="15"/>
  <c r="AJ416" i="15"/>
  <c r="AE416" i="15"/>
  <c r="Z416" i="15"/>
  <c r="T416" i="15"/>
  <c r="M416" i="15"/>
  <c r="F416" i="15"/>
  <c r="AJ415" i="15"/>
  <c r="AE415" i="15"/>
  <c r="Z415" i="15"/>
  <c r="T415" i="15"/>
  <c r="M415" i="15"/>
  <c r="F415" i="15"/>
  <c r="AJ414" i="15"/>
  <c r="AE414" i="15"/>
  <c r="Z414" i="15"/>
  <c r="T414" i="15"/>
  <c r="M414" i="15"/>
  <c r="F414" i="15"/>
  <c r="AJ413" i="15"/>
  <c r="AE413" i="15"/>
  <c r="Z413" i="15"/>
  <c r="T413" i="15"/>
  <c r="M413" i="15"/>
  <c r="F413" i="15"/>
  <c r="AJ412" i="15"/>
  <c r="AE412" i="15"/>
  <c r="Z412" i="15"/>
  <c r="T412" i="15"/>
  <c r="M412" i="15"/>
  <c r="F412" i="15"/>
  <c r="AJ411" i="15"/>
  <c r="AE411" i="15"/>
  <c r="Z411" i="15"/>
  <c r="T411" i="15"/>
  <c r="M411" i="15"/>
  <c r="F411" i="15"/>
  <c r="AJ410" i="15"/>
  <c r="AE410" i="15"/>
  <c r="Z410" i="15"/>
  <c r="T410" i="15"/>
  <c r="M410" i="15"/>
  <c r="F410" i="15"/>
  <c r="AJ409" i="15"/>
  <c r="AE409" i="15"/>
  <c r="Z409" i="15"/>
  <c r="T409" i="15"/>
  <c r="M409" i="15"/>
  <c r="F409" i="15"/>
  <c r="AJ408" i="15"/>
  <c r="AE408" i="15"/>
  <c r="Z408" i="15"/>
  <c r="T408" i="15"/>
  <c r="M408" i="15"/>
  <c r="F408" i="15"/>
  <c r="AJ407" i="15"/>
  <c r="AE407" i="15"/>
  <c r="Z407" i="15"/>
  <c r="T407" i="15"/>
  <c r="M407" i="15"/>
  <c r="F407" i="15"/>
  <c r="AJ406" i="15"/>
  <c r="AE406" i="15"/>
  <c r="Z406" i="15"/>
  <c r="T406" i="15"/>
  <c r="M406" i="15"/>
  <c r="F406" i="15"/>
  <c r="AJ405" i="15"/>
  <c r="AE405" i="15"/>
  <c r="Z405" i="15"/>
  <c r="T405" i="15"/>
  <c r="M405" i="15"/>
  <c r="F405" i="15"/>
  <c r="AJ404" i="15"/>
  <c r="AE404" i="15"/>
  <c r="Z404" i="15"/>
  <c r="T404" i="15"/>
  <c r="M404" i="15"/>
  <c r="F404" i="15"/>
  <c r="AJ403" i="15"/>
  <c r="AE403" i="15"/>
  <c r="Z403" i="15"/>
  <c r="T403" i="15"/>
  <c r="M403" i="15"/>
  <c r="F403" i="15"/>
  <c r="AJ402" i="15"/>
  <c r="AE402" i="15"/>
  <c r="Z402" i="15"/>
  <c r="T402" i="15"/>
  <c r="M402" i="15"/>
  <c r="F402" i="15"/>
  <c r="AJ401" i="15"/>
  <c r="AE401" i="15"/>
  <c r="Z401" i="15"/>
  <c r="T401" i="15"/>
  <c r="M401" i="15"/>
  <c r="F401" i="15"/>
  <c r="AJ400" i="15"/>
  <c r="AE400" i="15"/>
  <c r="Z400" i="15"/>
  <c r="T400" i="15"/>
  <c r="M400" i="15"/>
  <c r="F400" i="15"/>
  <c r="AJ399" i="15"/>
  <c r="AE399" i="15"/>
  <c r="Z399" i="15"/>
  <c r="T399" i="15"/>
  <c r="M399" i="15"/>
  <c r="F399" i="15"/>
  <c r="AJ398" i="15"/>
  <c r="AE398" i="15"/>
  <c r="Z398" i="15"/>
  <c r="T398" i="15"/>
  <c r="M398" i="15"/>
  <c r="F398" i="15"/>
  <c r="AJ397" i="15"/>
  <c r="AE397" i="15"/>
  <c r="Z397" i="15"/>
  <c r="T397" i="15"/>
  <c r="M397" i="15"/>
  <c r="F397" i="15"/>
  <c r="AJ396" i="15"/>
  <c r="AE396" i="15"/>
  <c r="Z396" i="15"/>
  <c r="R396" i="15"/>
  <c r="T396" i="15" s="1"/>
  <c r="Q396" i="15"/>
  <c r="P396" i="15"/>
  <c r="M396" i="15"/>
  <c r="F396" i="15"/>
  <c r="AJ395" i="15"/>
  <c r="AE395" i="15"/>
  <c r="Z395" i="15"/>
  <c r="T395" i="15"/>
  <c r="M395" i="15"/>
  <c r="F395" i="15"/>
  <c r="AJ394" i="15"/>
  <c r="AE394" i="15"/>
  <c r="Z394" i="15"/>
  <c r="T394" i="15"/>
  <c r="M394" i="15"/>
  <c r="F394" i="15"/>
  <c r="AJ393" i="15"/>
  <c r="AE393" i="15"/>
  <c r="Z393" i="15"/>
  <c r="R393" i="15"/>
  <c r="T393" i="15" s="1"/>
  <c r="Q393" i="15"/>
  <c r="P393" i="15"/>
  <c r="M393" i="15"/>
  <c r="F393" i="15"/>
  <c r="AJ392" i="15"/>
  <c r="AE392" i="15"/>
  <c r="Z392" i="15"/>
  <c r="R392" i="15"/>
  <c r="T392" i="15" s="1"/>
  <c r="Q392" i="15"/>
  <c r="P392" i="15"/>
  <c r="M392" i="15"/>
  <c r="F392" i="15"/>
  <c r="AJ391" i="15"/>
  <c r="AE391" i="15"/>
  <c r="Z391" i="15"/>
  <c r="R391" i="15"/>
  <c r="T391" i="15" s="1"/>
  <c r="Q391" i="15"/>
  <c r="P391" i="15"/>
  <c r="M391" i="15"/>
  <c r="F391" i="15"/>
  <c r="AJ390" i="15"/>
  <c r="AE390" i="15"/>
  <c r="Z390" i="15"/>
  <c r="R390" i="15"/>
  <c r="T390" i="15" s="1"/>
  <c r="Q390" i="15"/>
  <c r="P390" i="15"/>
  <c r="M390" i="15"/>
  <c r="F390" i="15"/>
  <c r="AJ389" i="15"/>
  <c r="AE389" i="15"/>
  <c r="Z389" i="15"/>
  <c r="R389" i="15"/>
  <c r="T389" i="15" s="1"/>
  <c r="Q389" i="15"/>
  <c r="P389" i="15"/>
  <c r="M389" i="15"/>
  <c r="F389" i="15"/>
  <c r="AJ388" i="15"/>
  <c r="AE388" i="15"/>
  <c r="Z388" i="15"/>
  <c r="R388" i="15"/>
  <c r="T388" i="15" s="1"/>
  <c r="Q388" i="15"/>
  <c r="P388" i="15"/>
  <c r="M388" i="15"/>
  <c r="F388" i="15"/>
  <c r="AJ387" i="15"/>
  <c r="AE387" i="15"/>
  <c r="Z387" i="15"/>
  <c r="R387" i="15"/>
  <c r="T387" i="15" s="1"/>
  <c r="Q387" i="15"/>
  <c r="P387" i="15"/>
  <c r="M387" i="15"/>
  <c r="F387" i="15"/>
  <c r="AJ386" i="15"/>
  <c r="AE386" i="15"/>
  <c r="Z386" i="15"/>
  <c r="R386" i="15"/>
  <c r="T386" i="15" s="1"/>
  <c r="Q386" i="15"/>
  <c r="P386" i="15"/>
  <c r="M386" i="15"/>
  <c r="F386" i="15"/>
  <c r="AJ385" i="15"/>
  <c r="AE385" i="15"/>
  <c r="Z385" i="15"/>
  <c r="R385" i="15"/>
  <c r="T385" i="15" s="1"/>
  <c r="Q385" i="15"/>
  <c r="P385" i="15"/>
  <c r="M385" i="15"/>
  <c r="F385" i="15"/>
  <c r="AJ384" i="15"/>
  <c r="AE384" i="15"/>
  <c r="Z384" i="15"/>
  <c r="R384" i="15"/>
  <c r="T384" i="15" s="1"/>
  <c r="Q384" i="15"/>
  <c r="P384" i="15"/>
  <c r="M384" i="15"/>
  <c r="F384" i="15"/>
  <c r="AJ383" i="15"/>
  <c r="AE383" i="15"/>
  <c r="Z383" i="15"/>
  <c r="R383" i="15"/>
  <c r="T383" i="15" s="1"/>
  <c r="Q383" i="15"/>
  <c r="P383" i="15"/>
  <c r="M383" i="15"/>
  <c r="F383" i="15"/>
  <c r="AJ382" i="15"/>
  <c r="AE382" i="15"/>
  <c r="Z382" i="15"/>
  <c r="R382" i="15"/>
  <c r="T382" i="15" s="1"/>
  <c r="Q382" i="15"/>
  <c r="P382" i="15"/>
  <c r="S382" i="15" s="1"/>
  <c r="M382" i="15"/>
  <c r="F382" i="15"/>
  <c r="AJ381" i="15"/>
  <c r="AE381" i="15"/>
  <c r="Z381" i="15"/>
  <c r="R381" i="15"/>
  <c r="T381" i="15" s="1"/>
  <c r="Q381" i="15"/>
  <c r="P381" i="15"/>
  <c r="M381" i="15"/>
  <c r="F381" i="15"/>
  <c r="AJ380" i="15"/>
  <c r="AE380" i="15"/>
  <c r="Z380" i="15"/>
  <c r="R380" i="15"/>
  <c r="T380" i="15" s="1"/>
  <c r="Q380" i="15"/>
  <c r="P380" i="15"/>
  <c r="M380" i="15"/>
  <c r="F380" i="15"/>
  <c r="AJ379" i="15"/>
  <c r="AE379" i="15"/>
  <c r="Z379" i="15"/>
  <c r="R379" i="15"/>
  <c r="T379" i="15" s="1"/>
  <c r="Q379" i="15"/>
  <c r="P379" i="15"/>
  <c r="M379" i="15"/>
  <c r="F379" i="15"/>
  <c r="AJ378" i="15"/>
  <c r="AE378" i="15"/>
  <c r="Z378" i="15"/>
  <c r="R378" i="15"/>
  <c r="T378" i="15" s="1"/>
  <c r="Q378" i="15"/>
  <c r="P378" i="15"/>
  <c r="M378" i="15"/>
  <c r="F378" i="15"/>
  <c r="AJ377" i="15"/>
  <c r="AE377" i="15"/>
  <c r="Z377" i="15"/>
  <c r="R377" i="15"/>
  <c r="T377" i="15" s="1"/>
  <c r="Q377" i="15"/>
  <c r="P377" i="15"/>
  <c r="M377" i="15"/>
  <c r="F377" i="15"/>
  <c r="AJ376" i="15"/>
  <c r="AE376" i="15"/>
  <c r="Z376" i="15"/>
  <c r="R376" i="15"/>
  <c r="T376" i="15" s="1"/>
  <c r="Q376" i="15"/>
  <c r="P376" i="15"/>
  <c r="M376" i="15"/>
  <c r="F376" i="15"/>
  <c r="AJ375" i="15"/>
  <c r="AE375" i="15"/>
  <c r="Z375" i="15"/>
  <c r="R375" i="15"/>
  <c r="T375" i="15" s="1"/>
  <c r="Q375" i="15"/>
  <c r="P375" i="15"/>
  <c r="M375" i="15"/>
  <c r="F375" i="15"/>
  <c r="AJ374" i="15"/>
  <c r="AE374" i="15"/>
  <c r="Z374" i="15"/>
  <c r="R374" i="15"/>
  <c r="Q374" i="15"/>
  <c r="P374" i="15"/>
  <c r="M374" i="15"/>
  <c r="F374" i="15"/>
  <c r="AJ373" i="15"/>
  <c r="AE373" i="15"/>
  <c r="Z373" i="15"/>
  <c r="R373" i="15"/>
  <c r="T373" i="15" s="1"/>
  <c r="Q373" i="15"/>
  <c r="P373" i="15"/>
  <c r="M373" i="15"/>
  <c r="F373" i="15"/>
  <c r="AJ372" i="15"/>
  <c r="AE372" i="15"/>
  <c r="Z372" i="15"/>
  <c r="R372" i="15"/>
  <c r="T372" i="15" s="1"/>
  <c r="Q372" i="15"/>
  <c r="P372" i="15"/>
  <c r="M372" i="15"/>
  <c r="F372" i="15"/>
  <c r="AJ371" i="15"/>
  <c r="AE371" i="15"/>
  <c r="Z371" i="15"/>
  <c r="R371" i="15"/>
  <c r="T371" i="15" s="1"/>
  <c r="Q371" i="15"/>
  <c r="P371" i="15"/>
  <c r="M371" i="15"/>
  <c r="F371" i="15"/>
  <c r="AJ370" i="15"/>
  <c r="AE370" i="15"/>
  <c r="Z370" i="15"/>
  <c r="R370" i="15"/>
  <c r="T370" i="15" s="1"/>
  <c r="Q370" i="15"/>
  <c r="P370" i="15"/>
  <c r="M370" i="15"/>
  <c r="F370" i="15"/>
  <c r="AJ369" i="15"/>
  <c r="AE369" i="15"/>
  <c r="Z369" i="15"/>
  <c r="T369" i="15"/>
  <c r="M369" i="15"/>
  <c r="F369" i="15"/>
  <c r="AJ368" i="15"/>
  <c r="AE368" i="15"/>
  <c r="Z368" i="15"/>
  <c r="T368" i="15"/>
  <c r="M368" i="15"/>
  <c r="F368" i="15"/>
  <c r="AJ367" i="15"/>
  <c r="AE367" i="15"/>
  <c r="Z367" i="15"/>
  <c r="T367" i="15"/>
  <c r="M367" i="15"/>
  <c r="F367" i="15"/>
  <c r="AJ366" i="15"/>
  <c r="AE366" i="15"/>
  <c r="Z366" i="15"/>
  <c r="T366" i="15"/>
  <c r="M366" i="15"/>
  <c r="F366" i="15"/>
  <c r="AJ365" i="15"/>
  <c r="AE365" i="15"/>
  <c r="Z365" i="15"/>
  <c r="T365" i="15"/>
  <c r="M365" i="15"/>
  <c r="F365" i="15"/>
  <c r="AJ364" i="15"/>
  <c r="AE364" i="15"/>
  <c r="Z364" i="15"/>
  <c r="T364" i="15"/>
  <c r="M364" i="15"/>
  <c r="F364" i="15"/>
  <c r="AJ363" i="15"/>
  <c r="AE363" i="15"/>
  <c r="Z363" i="15"/>
  <c r="T363" i="15"/>
  <c r="M363" i="15"/>
  <c r="F363" i="15"/>
  <c r="AJ362" i="15"/>
  <c r="AE362" i="15"/>
  <c r="Z362" i="15"/>
  <c r="T362" i="15"/>
  <c r="M362" i="15"/>
  <c r="F362" i="15"/>
  <c r="AJ361" i="15"/>
  <c r="AE361" i="15"/>
  <c r="Z361" i="15"/>
  <c r="T361" i="15"/>
  <c r="M361" i="15"/>
  <c r="F361" i="15"/>
  <c r="AJ360" i="15"/>
  <c r="AE360" i="15"/>
  <c r="Z360" i="15"/>
  <c r="T360" i="15"/>
  <c r="M360" i="15"/>
  <c r="F360" i="15"/>
  <c r="AJ359" i="15"/>
  <c r="AE359" i="15"/>
  <c r="Z359" i="15"/>
  <c r="T359" i="15"/>
  <c r="M359" i="15"/>
  <c r="F359" i="15"/>
  <c r="AJ358" i="15"/>
  <c r="AE358" i="15"/>
  <c r="Z358" i="15"/>
  <c r="T358" i="15"/>
  <c r="M358" i="15"/>
  <c r="F358" i="15"/>
  <c r="AJ357" i="15"/>
  <c r="AE357" i="15"/>
  <c r="Z357" i="15"/>
  <c r="T357" i="15"/>
  <c r="M357" i="15"/>
  <c r="F357" i="15"/>
  <c r="AJ356" i="15"/>
  <c r="AE356" i="15"/>
  <c r="Z356" i="15"/>
  <c r="T356" i="15"/>
  <c r="M356" i="15"/>
  <c r="F356" i="15"/>
  <c r="AJ355" i="15"/>
  <c r="AE355" i="15"/>
  <c r="Z355" i="15"/>
  <c r="T355" i="15"/>
  <c r="M355" i="15"/>
  <c r="F355" i="15"/>
  <c r="AJ354" i="15"/>
  <c r="AE354" i="15"/>
  <c r="Z354" i="15"/>
  <c r="T354" i="15"/>
  <c r="M354" i="15"/>
  <c r="F354" i="15"/>
  <c r="AJ353" i="15"/>
  <c r="AE353" i="15"/>
  <c r="Z353" i="15"/>
  <c r="T353" i="15"/>
  <c r="M353" i="15"/>
  <c r="F353" i="15"/>
  <c r="AJ352" i="15"/>
  <c r="AE352" i="15"/>
  <c r="Z352" i="15"/>
  <c r="T352" i="15"/>
  <c r="M352" i="15"/>
  <c r="F352" i="15"/>
  <c r="AJ351" i="15"/>
  <c r="AE351" i="15"/>
  <c r="Z351" i="15"/>
  <c r="T351" i="15"/>
  <c r="M351" i="15"/>
  <c r="F351" i="15"/>
  <c r="AJ350" i="15"/>
  <c r="AE350" i="15"/>
  <c r="Z350" i="15"/>
  <c r="T350" i="15"/>
  <c r="M350" i="15"/>
  <c r="F350" i="15"/>
  <c r="AJ349" i="15"/>
  <c r="AE349" i="15"/>
  <c r="Z349" i="15"/>
  <c r="T349" i="15"/>
  <c r="M349" i="15"/>
  <c r="F349" i="15"/>
  <c r="AJ348" i="15"/>
  <c r="AE348" i="15"/>
  <c r="Z348" i="15"/>
  <c r="T348" i="15"/>
  <c r="M348" i="15"/>
  <c r="F348" i="15"/>
  <c r="AJ347" i="15"/>
  <c r="AE347" i="15"/>
  <c r="Z347" i="15"/>
  <c r="T347" i="15"/>
  <c r="M347" i="15"/>
  <c r="F347" i="15"/>
  <c r="AJ346" i="15"/>
  <c r="AE346" i="15"/>
  <c r="Z346" i="15"/>
  <c r="T346" i="15"/>
  <c r="M346" i="15"/>
  <c r="F346" i="15"/>
  <c r="AJ345" i="15"/>
  <c r="AE345" i="15"/>
  <c r="Z345" i="15"/>
  <c r="T345" i="15"/>
  <c r="M345" i="15"/>
  <c r="F345" i="15"/>
  <c r="AJ344" i="15"/>
  <c r="AE344" i="15"/>
  <c r="Z344" i="15"/>
  <c r="T344" i="15"/>
  <c r="M344" i="15"/>
  <c r="F344" i="15"/>
  <c r="AJ343" i="15"/>
  <c r="AE343" i="15"/>
  <c r="Z343" i="15"/>
  <c r="T343" i="15"/>
  <c r="M343" i="15"/>
  <c r="F343" i="15"/>
  <c r="AJ342" i="15"/>
  <c r="AE342" i="15"/>
  <c r="Z342" i="15"/>
  <c r="T342" i="15"/>
  <c r="M342" i="15"/>
  <c r="F342" i="15"/>
  <c r="AJ341" i="15"/>
  <c r="AE341" i="15"/>
  <c r="Z341" i="15"/>
  <c r="T341" i="15"/>
  <c r="M341" i="15"/>
  <c r="F341" i="15"/>
  <c r="AJ340" i="15"/>
  <c r="AE340" i="15"/>
  <c r="Z340" i="15"/>
  <c r="T340" i="15"/>
  <c r="M340" i="15"/>
  <c r="F340" i="15"/>
  <c r="AJ339" i="15"/>
  <c r="AE339" i="15"/>
  <c r="Z339" i="15"/>
  <c r="T339" i="15"/>
  <c r="M339" i="15"/>
  <c r="F339" i="15"/>
  <c r="AJ338" i="15"/>
  <c r="AE338" i="15"/>
  <c r="Z338" i="15"/>
  <c r="T338" i="15"/>
  <c r="M338" i="15"/>
  <c r="F338" i="15"/>
  <c r="AJ337" i="15"/>
  <c r="AE337" i="15"/>
  <c r="Z337" i="15"/>
  <c r="T337" i="15"/>
  <c r="M337" i="15"/>
  <c r="F337" i="15"/>
  <c r="AJ336" i="15"/>
  <c r="AE336" i="15"/>
  <c r="Z336" i="15"/>
  <c r="T336" i="15"/>
  <c r="M336" i="15"/>
  <c r="F336" i="15"/>
  <c r="AJ335" i="15"/>
  <c r="AE335" i="15"/>
  <c r="Z335" i="15"/>
  <c r="T335" i="15"/>
  <c r="M335" i="15"/>
  <c r="F335" i="15"/>
  <c r="AJ334" i="15"/>
  <c r="AE334" i="15"/>
  <c r="Z334" i="15"/>
  <c r="T334" i="15"/>
  <c r="M334" i="15"/>
  <c r="F334" i="15"/>
  <c r="AJ333" i="15"/>
  <c r="AE333" i="15"/>
  <c r="Z333" i="15"/>
  <c r="T333" i="15"/>
  <c r="M333" i="15"/>
  <c r="F333" i="15"/>
  <c r="AJ332" i="15"/>
  <c r="AE332" i="15"/>
  <c r="Z332" i="15"/>
  <c r="T332" i="15"/>
  <c r="M332" i="15"/>
  <c r="F332" i="15"/>
  <c r="AJ331" i="15"/>
  <c r="AE331" i="15"/>
  <c r="Z331" i="15"/>
  <c r="T331" i="15"/>
  <c r="M331" i="15"/>
  <c r="F331" i="15"/>
  <c r="AJ330" i="15"/>
  <c r="AE330" i="15"/>
  <c r="Z330" i="15"/>
  <c r="T330" i="15"/>
  <c r="M330" i="15"/>
  <c r="F330" i="15"/>
  <c r="AJ329" i="15"/>
  <c r="AE329" i="15"/>
  <c r="Z329" i="15"/>
  <c r="T329" i="15"/>
  <c r="M329" i="15"/>
  <c r="F329" i="15"/>
  <c r="AJ328" i="15"/>
  <c r="AE328" i="15"/>
  <c r="Z328" i="15"/>
  <c r="T328" i="15"/>
  <c r="M328" i="15"/>
  <c r="F328" i="15"/>
  <c r="AJ327" i="15"/>
  <c r="AE327" i="15"/>
  <c r="Z327" i="15"/>
  <c r="T327" i="15"/>
  <c r="M327" i="15"/>
  <c r="F327" i="15"/>
  <c r="AJ326" i="15"/>
  <c r="AE326" i="15"/>
  <c r="Z326" i="15"/>
  <c r="T326" i="15"/>
  <c r="M326" i="15"/>
  <c r="F326" i="15"/>
  <c r="AJ325" i="15"/>
  <c r="AE325" i="15"/>
  <c r="Z325" i="15"/>
  <c r="T325" i="15"/>
  <c r="M325" i="15"/>
  <c r="F325" i="15"/>
  <c r="AJ324" i="15"/>
  <c r="AE324" i="15"/>
  <c r="Z324" i="15"/>
  <c r="T324" i="15"/>
  <c r="M324" i="15"/>
  <c r="F324" i="15"/>
  <c r="AJ323" i="15"/>
  <c r="AE323" i="15"/>
  <c r="Z323" i="15"/>
  <c r="T323" i="15"/>
  <c r="M323" i="15"/>
  <c r="F323" i="15"/>
  <c r="AJ322" i="15"/>
  <c r="AE322" i="15"/>
  <c r="Z322" i="15"/>
  <c r="T322" i="15"/>
  <c r="M322" i="15"/>
  <c r="F322" i="15"/>
  <c r="AJ321" i="15"/>
  <c r="AE321" i="15"/>
  <c r="Z321" i="15"/>
  <c r="T321" i="15"/>
  <c r="M321" i="15"/>
  <c r="F321" i="15"/>
  <c r="AJ320" i="15"/>
  <c r="AE320" i="15"/>
  <c r="Z320" i="15"/>
  <c r="T320" i="15"/>
  <c r="M320" i="15"/>
  <c r="F320" i="15"/>
  <c r="AJ319" i="15"/>
  <c r="AE319" i="15"/>
  <c r="Z319" i="15"/>
  <c r="T319" i="15"/>
  <c r="M319" i="15"/>
  <c r="F319" i="15"/>
  <c r="AJ318" i="15"/>
  <c r="AE318" i="15"/>
  <c r="Z318" i="15"/>
  <c r="T318" i="15"/>
  <c r="M318" i="15"/>
  <c r="F318" i="15"/>
  <c r="AJ317" i="15"/>
  <c r="AE317" i="15"/>
  <c r="Z317" i="15"/>
  <c r="T317" i="15"/>
  <c r="M317" i="15"/>
  <c r="F317" i="15"/>
  <c r="AJ316" i="15"/>
  <c r="AE316" i="15"/>
  <c r="Z316" i="15"/>
  <c r="T316" i="15"/>
  <c r="M316" i="15"/>
  <c r="F316" i="15"/>
  <c r="AJ315" i="15"/>
  <c r="AE315" i="15"/>
  <c r="Z315" i="15"/>
  <c r="T315" i="15"/>
  <c r="M315" i="15"/>
  <c r="F315" i="15"/>
  <c r="AJ314" i="15"/>
  <c r="AE314" i="15"/>
  <c r="Z314" i="15"/>
  <c r="T314" i="15"/>
  <c r="M314" i="15"/>
  <c r="F314" i="15"/>
  <c r="AJ313" i="15"/>
  <c r="AE313" i="15"/>
  <c r="Z313" i="15"/>
  <c r="T313" i="15"/>
  <c r="M313" i="15"/>
  <c r="F313" i="15"/>
  <c r="AJ312" i="15"/>
  <c r="AE312" i="15"/>
  <c r="Z312" i="15"/>
  <c r="T312" i="15"/>
  <c r="M312" i="15"/>
  <c r="F312" i="15"/>
  <c r="AJ311" i="15"/>
  <c r="AE311" i="15"/>
  <c r="Z311" i="15"/>
  <c r="T311" i="15"/>
  <c r="M311" i="15"/>
  <c r="F311" i="15"/>
  <c r="AJ310" i="15"/>
  <c r="AE310" i="15"/>
  <c r="Z310" i="15"/>
  <c r="T310" i="15"/>
  <c r="M310" i="15"/>
  <c r="F310" i="15"/>
  <c r="AJ309" i="15"/>
  <c r="AE309" i="15"/>
  <c r="Z309" i="15"/>
  <c r="T309" i="15"/>
  <c r="M309" i="15"/>
  <c r="F309" i="15"/>
  <c r="AJ308" i="15"/>
  <c r="AE308" i="15"/>
  <c r="Z308" i="15"/>
  <c r="T308" i="15"/>
  <c r="M308" i="15"/>
  <c r="F308" i="15"/>
  <c r="AJ307" i="15"/>
  <c r="AE307" i="15"/>
  <c r="Z307" i="15"/>
  <c r="T307" i="15"/>
  <c r="M307" i="15"/>
  <c r="F307" i="15"/>
  <c r="AJ306" i="15"/>
  <c r="AE306" i="15"/>
  <c r="Z306" i="15"/>
  <c r="T306" i="15"/>
  <c r="M306" i="15"/>
  <c r="F306" i="15"/>
  <c r="AJ305" i="15"/>
  <c r="AE305" i="15"/>
  <c r="Z305" i="15"/>
  <c r="T305" i="15"/>
  <c r="M305" i="15"/>
  <c r="F305" i="15"/>
  <c r="AJ304" i="15"/>
  <c r="AE304" i="15"/>
  <c r="Z304" i="15"/>
  <c r="T304" i="15"/>
  <c r="M304" i="15"/>
  <c r="H304" i="15"/>
  <c r="F304" i="15"/>
  <c r="AJ303" i="15"/>
  <c r="AE303" i="15"/>
  <c r="Z303" i="15"/>
  <c r="T303" i="15"/>
  <c r="M303" i="15"/>
  <c r="H303" i="15"/>
  <c r="F303" i="15"/>
  <c r="AJ302" i="15"/>
  <c r="AE302" i="15"/>
  <c r="Z302" i="15"/>
  <c r="T302" i="15"/>
  <c r="M302" i="15"/>
  <c r="H302" i="15"/>
  <c r="F302" i="15"/>
  <c r="AJ301" i="15"/>
  <c r="AE301" i="15"/>
  <c r="Z301" i="15"/>
  <c r="T301" i="15"/>
  <c r="M301" i="15"/>
  <c r="H301" i="15"/>
  <c r="F301" i="15"/>
  <c r="AJ300" i="15"/>
  <c r="AE300" i="15"/>
  <c r="Z300" i="15"/>
  <c r="T300" i="15"/>
  <c r="M300" i="15"/>
  <c r="H300" i="15"/>
  <c r="F300" i="15"/>
  <c r="AJ299" i="15"/>
  <c r="AE299" i="15"/>
  <c r="Z299" i="15"/>
  <c r="T299" i="15"/>
  <c r="M299" i="15"/>
  <c r="F299" i="15"/>
  <c r="AJ298" i="15"/>
  <c r="AE298" i="15"/>
  <c r="Z298" i="15"/>
  <c r="T298" i="15"/>
  <c r="M298" i="15"/>
  <c r="F298" i="15"/>
  <c r="AJ297" i="15"/>
  <c r="AE297" i="15"/>
  <c r="Z297" i="15"/>
  <c r="T297" i="15"/>
  <c r="M297" i="15"/>
  <c r="F297" i="15"/>
  <c r="AJ296" i="15"/>
  <c r="AE296" i="15"/>
  <c r="Z296" i="15"/>
  <c r="T296" i="15"/>
  <c r="M296" i="15"/>
  <c r="F296" i="15"/>
  <c r="AJ295" i="15"/>
  <c r="AE295" i="15"/>
  <c r="Z295" i="15"/>
  <c r="T295" i="15"/>
  <c r="M295" i="15"/>
  <c r="F295" i="15"/>
  <c r="AJ294" i="15"/>
  <c r="AE294" i="15"/>
  <c r="Z294" i="15"/>
  <c r="T294" i="15"/>
  <c r="M294" i="15"/>
  <c r="F294" i="15"/>
  <c r="AJ293" i="15"/>
  <c r="AE293" i="15"/>
  <c r="Z293" i="15"/>
  <c r="T293" i="15"/>
  <c r="M293" i="15"/>
  <c r="F293" i="15"/>
  <c r="AJ292" i="15"/>
  <c r="AE292" i="15"/>
  <c r="Z292" i="15"/>
  <c r="T292" i="15"/>
  <c r="M292" i="15"/>
  <c r="F292" i="15"/>
  <c r="AJ291" i="15"/>
  <c r="AE291" i="15"/>
  <c r="Z291" i="15"/>
  <c r="T291" i="15"/>
  <c r="M291" i="15"/>
  <c r="F291" i="15"/>
  <c r="AJ290" i="15"/>
  <c r="AE290" i="15"/>
  <c r="Z290" i="15"/>
  <c r="T290" i="15"/>
  <c r="M290" i="15"/>
  <c r="F290" i="15"/>
  <c r="AJ289" i="15"/>
  <c r="AE289" i="15"/>
  <c r="Z289" i="15"/>
  <c r="T289" i="15"/>
  <c r="M289" i="15"/>
  <c r="F289" i="15"/>
  <c r="AJ288" i="15"/>
  <c r="AE288" i="15"/>
  <c r="Z288" i="15"/>
  <c r="T288" i="15"/>
  <c r="M288" i="15"/>
  <c r="F288" i="15"/>
  <c r="AJ287" i="15"/>
  <c r="AE287" i="15"/>
  <c r="Z287" i="15"/>
  <c r="T287" i="15"/>
  <c r="M287" i="15"/>
  <c r="F287" i="15"/>
  <c r="AJ286" i="15"/>
  <c r="AE286" i="15"/>
  <c r="Z286" i="15"/>
  <c r="T286" i="15"/>
  <c r="M286" i="15"/>
  <c r="F286" i="15"/>
  <c r="AJ285" i="15"/>
  <c r="AE285" i="15"/>
  <c r="Z285" i="15"/>
  <c r="T285" i="15"/>
  <c r="M285" i="15"/>
  <c r="F285" i="15"/>
  <c r="AJ284" i="15"/>
  <c r="AE284" i="15"/>
  <c r="Z284" i="15"/>
  <c r="T284" i="15"/>
  <c r="M284" i="15"/>
  <c r="F284" i="15"/>
  <c r="AJ283" i="15"/>
  <c r="AE283" i="15"/>
  <c r="Z283" i="15"/>
  <c r="T283" i="15"/>
  <c r="M283" i="15"/>
  <c r="F283" i="15"/>
  <c r="AJ282" i="15"/>
  <c r="AE282" i="15"/>
  <c r="Z282" i="15"/>
  <c r="T282" i="15"/>
  <c r="M282" i="15"/>
  <c r="F282" i="15"/>
  <c r="AJ281" i="15"/>
  <c r="AE281" i="15"/>
  <c r="Z281" i="15"/>
  <c r="T281" i="15"/>
  <c r="M281" i="15"/>
  <c r="F281" i="15"/>
  <c r="AJ280" i="15"/>
  <c r="AE280" i="15"/>
  <c r="Z280" i="15"/>
  <c r="T280" i="15"/>
  <c r="M280" i="15"/>
  <c r="F280" i="15"/>
  <c r="AJ279" i="15"/>
  <c r="AE279" i="15"/>
  <c r="Z279" i="15"/>
  <c r="T279" i="15"/>
  <c r="M279" i="15"/>
  <c r="F279" i="15"/>
  <c r="AJ278" i="15"/>
  <c r="AE278" i="15"/>
  <c r="Z278" i="15"/>
  <c r="T278" i="15"/>
  <c r="M278" i="15"/>
  <c r="F278" i="15"/>
  <c r="AJ277" i="15"/>
  <c r="AE277" i="15"/>
  <c r="Z277" i="15"/>
  <c r="T277" i="15"/>
  <c r="M277" i="15"/>
  <c r="F277" i="15"/>
  <c r="AJ276" i="15"/>
  <c r="AE276" i="15"/>
  <c r="Z276" i="15"/>
  <c r="T276" i="15"/>
  <c r="M276" i="15"/>
  <c r="F276" i="15"/>
  <c r="AJ275" i="15"/>
  <c r="AE275" i="15"/>
  <c r="Z275" i="15"/>
  <c r="T275" i="15"/>
  <c r="M275" i="15"/>
  <c r="F275" i="15"/>
  <c r="AJ274" i="15"/>
  <c r="AE274" i="15"/>
  <c r="Z274" i="15"/>
  <c r="T274" i="15"/>
  <c r="M274" i="15"/>
  <c r="F274" i="15"/>
  <c r="AJ273" i="15"/>
  <c r="AE273" i="15"/>
  <c r="Z273" i="15"/>
  <c r="T273" i="15"/>
  <c r="M273" i="15"/>
  <c r="F273" i="15"/>
  <c r="AJ272" i="15"/>
  <c r="AE272" i="15"/>
  <c r="Z272" i="15"/>
  <c r="T272" i="15"/>
  <c r="M272" i="15"/>
  <c r="F272" i="15"/>
  <c r="AJ271" i="15"/>
  <c r="AE271" i="15"/>
  <c r="Z271" i="15"/>
  <c r="T271" i="15"/>
  <c r="M271" i="15"/>
  <c r="F271" i="15"/>
  <c r="AJ270" i="15"/>
  <c r="AE270" i="15"/>
  <c r="Z270" i="15"/>
  <c r="T270" i="15"/>
  <c r="M270" i="15"/>
  <c r="F270" i="15"/>
  <c r="AJ269" i="15"/>
  <c r="AE269" i="15"/>
  <c r="Z269" i="15"/>
  <c r="T269" i="15"/>
  <c r="M269" i="15"/>
  <c r="F269" i="15"/>
  <c r="AJ268" i="15"/>
  <c r="AE268" i="15"/>
  <c r="Z268" i="15"/>
  <c r="T268" i="15"/>
  <c r="M268" i="15"/>
  <c r="F268" i="15"/>
  <c r="AJ267" i="15"/>
  <c r="AE267" i="15"/>
  <c r="Z267" i="15"/>
  <c r="T267" i="15"/>
  <c r="M267" i="15"/>
  <c r="F267" i="15"/>
  <c r="AJ266" i="15"/>
  <c r="AE266" i="15"/>
  <c r="Z266" i="15"/>
  <c r="T266" i="15"/>
  <c r="M266" i="15"/>
  <c r="F266" i="15"/>
  <c r="AJ265" i="15"/>
  <c r="AE265" i="15"/>
  <c r="Z265" i="15"/>
  <c r="T265" i="15"/>
  <c r="M265" i="15"/>
  <c r="F265" i="15"/>
  <c r="AJ264" i="15"/>
  <c r="AE264" i="15"/>
  <c r="Z264" i="15"/>
  <c r="T264" i="15"/>
  <c r="M264" i="15"/>
  <c r="F264" i="15"/>
  <c r="AJ263" i="15"/>
  <c r="AE263" i="15"/>
  <c r="Z263" i="15"/>
  <c r="T263" i="15"/>
  <c r="M263" i="15"/>
  <c r="F263" i="15"/>
  <c r="AJ262" i="15"/>
  <c r="AE262" i="15"/>
  <c r="Z262" i="15"/>
  <c r="T262" i="15"/>
  <c r="M262" i="15"/>
  <c r="F262" i="15"/>
  <c r="AJ261" i="15"/>
  <c r="AE261" i="15"/>
  <c r="Z261" i="15"/>
  <c r="T261" i="15"/>
  <c r="M261" i="15"/>
  <c r="F261" i="15"/>
  <c r="AJ260" i="15"/>
  <c r="AE260" i="15"/>
  <c r="Z260" i="15"/>
  <c r="T260" i="15"/>
  <c r="M260" i="15"/>
  <c r="F260" i="15"/>
  <c r="AJ259" i="15"/>
  <c r="AE259" i="15"/>
  <c r="Z259" i="15"/>
  <c r="T259" i="15"/>
  <c r="M259" i="15"/>
  <c r="F259" i="15"/>
  <c r="AJ258" i="15"/>
  <c r="AE258" i="15"/>
  <c r="Z258" i="15"/>
  <c r="T258" i="15"/>
  <c r="M258" i="15"/>
  <c r="F258" i="15"/>
  <c r="AJ257" i="15"/>
  <c r="AE257" i="15"/>
  <c r="Z257" i="15"/>
  <c r="T257" i="15"/>
  <c r="M257" i="15"/>
  <c r="F257" i="15"/>
  <c r="AJ256" i="15"/>
  <c r="AE256" i="15"/>
  <c r="Z256" i="15"/>
  <c r="T256" i="15"/>
  <c r="M256" i="15"/>
  <c r="F256" i="15"/>
  <c r="AJ255" i="15"/>
  <c r="AE255" i="15"/>
  <c r="Z255" i="15"/>
  <c r="T255" i="15"/>
  <c r="M255" i="15"/>
  <c r="F255" i="15"/>
  <c r="AJ254" i="15"/>
  <c r="AE254" i="15"/>
  <c r="Z254" i="15"/>
  <c r="T254" i="15"/>
  <c r="M254" i="15"/>
  <c r="F254" i="15"/>
  <c r="AJ253" i="15"/>
  <c r="AE253" i="15"/>
  <c r="Z253" i="15"/>
  <c r="T253" i="15"/>
  <c r="M253" i="15"/>
  <c r="F253" i="15"/>
  <c r="AJ252" i="15"/>
  <c r="AE252" i="15"/>
  <c r="Z252" i="15"/>
  <c r="T252" i="15"/>
  <c r="M252" i="15"/>
  <c r="F252" i="15"/>
  <c r="AJ251" i="15"/>
  <c r="AE251" i="15"/>
  <c r="Z251" i="15"/>
  <c r="T251" i="15"/>
  <c r="M251" i="15"/>
  <c r="F251" i="15"/>
  <c r="AJ250" i="15"/>
  <c r="AE250" i="15"/>
  <c r="Z250" i="15"/>
  <c r="T250" i="15"/>
  <c r="M250" i="15"/>
  <c r="F250" i="15"/>
  <c r="AJ249" i="15"/>
  <c r="AE249" i="15"/>
  <c r="Z249" i="15"/>
  <c r="T249" i="15"/>
  <c r="M249" i="15"/>
  <c r="F249" i="15"/>
  <c r="AJ248" i="15"/>
  <c r="AE248" i="15"/>
  <c r="Z248" i="15"/>
  <c r="T248" i="15"/>
  <c r="M248" i="15"/>
  <c r="F248" i="15"/>
  <c r="AJ247" i="15"/>
  <c r="AE247" i="15"/>
  <c r="Z247" i="15"/>
  <c r="T247" i="15"/>
  <c r="M247" i="15"/>
  <c r="F247" i="15"/>
  <c r="AJ246" i="15"/>
  <c r="AE246" i="15"/>
  <c r="Z246" i="15"/>
  <c r="T246" i="15"/>
  <c r="M246" i="15"/>
  <c r="F246" i="15"/>
  <c r="AJ245" i="15"/>
  <c r="AE245" i="15"/>
  <c r="Z245" i="15"/>
  <c r="T245" i="15"/>
  <c r="M245" i="15"/>
  <c r="F245" i="15"/>
  <c r="AJ244" i="15"/>
  <c r="AE244" i="15"/>
  <c r="Z244" i="15"/>
  <c r="T244" i="15"/>
  <c r="M244" i="15"/>
  <c r="F244" i="15"/>
  <c r="AJ243" i="15"/>
  <c r="AE243" i="15"/>
  <c r="Z243" i="15"/>
  <c r="T243" i="15"/>
  <c r="M243" i="15"/>
  <c r="F243" i="15"/>
  <c r="AJ242" i="15"/>
  <c r="AE242" i="15"/>
  <c r="Z242" i="15"/>
  <c r="R242" i="15"/>
  <c r="T242" i="15" s="1"/>
  <c r="Q242" i="15"/>
  <c r="P242" i="15"/>
  <c r="M242" i="15"/>
  <c r="K242" i="15"/>
  <c r="J242" i="15"/>
  <c r="I242" i="15"/>
  <c r="D242" i="15"/>
  <c r="F242" i="15" s="1"/>
  <c r="C242" i="15"/>
  <c r="B242" i="15"/>
  <c r="AJ241" i="15"/>
  <c r="AE241" i="15"/>
  <c r="Z241" i="15"/>
  <c r="T241" i="15"/>
  <c r="S241" i="15"/>
  <c r="M241" i="15"/>
  <c r="L241" i="15"/>
  <c r="F241" i="15"/>
  <c r="E241" i="15"/>
  <c r="AJ240" i="15"/>
  <c r="AE240" i="15"/>
  <c r="Z240" i="15"/>
  <c r="T240" i="15"/>
  <c r="S240" i="15"/>
  <c r="M240" i="15"/>
  <c r="L240" i="15"/>
  <c r="F240" i="15"/>
  <c r="E240" i="15"/>
  <c r="AJ239" i="15"/>
  <c r="AE239" i="15"/>
  <c r="Z239" i="15"/>
  <c r="T239" i="15"/>
  <c r="M239" i="15"/>
  <c r="F239" i="15"/>
  <c r="AJ238" i="15"/>
  <c r="AE238" i="15"/>
  <c r="Z238" i="15"/>
  <c r="T238" i="15"/>
  <c r="M238" i="15"/>
  <c r="F238" i="15"/>
  <c r="AJ237" i="15"/>
  <c r="AE237" i="15"/>
  <c r="Z237" i="15"/>
  <c r="T237" i="15"/>
  <c r="M237" i="15"/>
  <c r="F237" i="15"/>
  <c r="AJ236" i="15"/>
  <c r="AE236" i="15"/>
  <c r="Z236" i="15"/>
  <c r="T236" i="15"/>
  <c r="M236" i="15"/>
  <c r="F236" i="15"/>
  <c r="AJ235" i="15"/>
  <c r="AE235" i="15"/>
  <c r="Z235" i="15"/>
  <c r="T235" i="15"/>
  <c r="M235" i="15"/>
  <c r="F235" i="15"/>
  <c r="AJ234" i="15"/>
  <c r="AE234" i="15"/>
  <c r="Z234" i="15"/>
  <c r="T234" i="15"/>
  <c r="M234" i="15"/>
  <c r="F234" i="15"/>
  <c r="AJ233" i="15"/>
  <c r="AE233" i="15"/>
  <c r="Z233" i="15"/>
  <c r="T233" i="15"/>
  <c r="M233" i="15"/>
  <c r="F233" i="15"/>
  <c r="AJ232" i="15"/>
  <c r="AE232" i="15"/>
  <c r="Z232" i="15"/>
  <c r="T232" i="15"/>
  <c r="M232" i="15"/>
  <c r="F232" i="15"/>
  <c r="AJ231" i="15"/>
  <c r="AE231" i="15"/>
  <c r="Z231" i="15"/>
  <c r="T231" i="15"/>
  <c r="M231" i="15"/>
  <c r="F231" i="15"/>
  <c r="AJ230" i="15"/>
  <c r="AE230" i="15"/>
  <c r="Z230" i="15"/>
  <c r="R230" i="15"/>
  <c r="T230" i="15" s="1"/>
  <c r="Q230" i="15"/>
  <c r="P230" i="15"/>
  <c r="M230" i="15"/>
  <c r="L230" i="15"/>
  <c r="D230" i="15"/>
  <c r="F230" i="15" s="1"/>
  <c r="C230" i="15"/>
  <c r="AJ229" i="15"/>
  <c r="AE229" i="15"/>
  <c r="Z229" i="15"/>
  <c r="R229" i="15"/>
  <c r="T229" i="15" s="1"/>
  <c r="Q229" i="15"/>
  <c r="P229" i="15"/>
  <c r="K229" i="15"/>
  <c r="M229" i="15" s="1"/>
  <c r="J229" i="15"/>
  <c r="D229" i="15"/>
  <c r="F229" i="15" s="1"/>
  <c r="C229" i="15"/>
  <c r="B229" i="15"/>
  <c r="E229" i="15" s="1"/>
  <c r="AJ228" i="15"/>
  <c r="AE228" i="15"/>
  <c r="Z228" i="15"/>
  <c r="T228" i="15"/>
  <c r="M228" i="15"/>
  <c r="F228" i="15"/>
  <c r="AJ227" i="15"/>
  <c r="AE227" i="15"/>
  <c r="Z227" i="15"/>
  <c r="T227" i="15"/>
  <c r="M227" i="15"/>
  <c r="F227" i="15"/>
  <c r="AJ226" i="15"/>
  <c r="AE226" i="15"/>
  <c r="Z226" i="15"/>
  <c r="T226" i="15"/>
  <c r="M226" i="15"/>
  <c r="F226" i="15"/>
  <c r="AJ225" i="15"/>
  <c r="AE225" i="15"/>
  <c r="Z225" i="15"/>
  <c r="T225" i="15"/>
  <c r="M225" i="15"/>
  <c r="F225" i="15"/>
  <c r="AJ224" i="15"/>
  <c r="AE224" i="15"/>
  <c r="Z224" i="15"/>
  <c r="T224" i="15"/>
  <c r="M224" i="15"/>
  <c r="F224" i="15"/>
  <c r="AJ223" i="15"/>
  <c r="AE223" i="15"/>
  <c r="Z223" i="15"/>
  <c r="T223" i="15"/>
  <c r="M223" i="15"/>
  <c r="F223" i="15"/>
  <c r="AJ222" i="15"/>
  <c r="AE222" i="15"/>
  <c r="Z222" i="15"/>
  <c r="T222" i="15"/>
  <c r="M222" i="15"/>
  <c r="F222" i="15"/>
  <c r="AJ221" i="15"/>
  <c r="AE221" i="15"/>
  <c r="Z221" i="15"/>
  <c r="T221" i="15"/>
  <c r="M221" i="15"/>
  <c r="F221" i="15"/>
  <c r="AJ220" i="15"/>
  <c r="AE220" i="15"/>
  <c r="Z220" i="15"/>
  <c r="T220" i="15"/>
  <c r="M220" i="15"/>
  <c r="F220" i="15"/>
  <c r="AJ219" i="15"/>
  <c r="AE219" i="15"/>
  <c r="Z219" i="15"/>
  <c r="T219" i="15"/>
  <c r="M219" i="15"/>
  <c r="F219" i="15"/>
  <c r="AJ218" i="15"/>
  <c r="AE218" i="15"/>
  <c r="Z218" i="15"/>
  <c r="T218" i="15"/>
  <c r="M218" i="15"/>
  <c r="F218" i="15"/>
  <c r="AJ217" i="15"/>
  <c r="AE217" i="15"/>
  <c r="Z217" i="15"/>
  <c r="T217" i="15"/>
  <c r="M217" i="15"/>
  <c r="F217" i="15"/>
  <c r="AJ216" i="15"/>
  <c r="AE216" i="15"/>
  <c r="Z216" i="15"/>
  <c r="T216" i="15"/>
  <c r="M216" i="15"/>
  <c r="F216" i="15"/>
  <c r="AJ215" i="15"/>
  <c r="AE215" i="15"/>
  <c r="Z215" i="15"/>
  <c r="T215" i="15"/>
  <c r="M215" i="15"/>
  <c r="F215" i="15"/>
  <c r="AJ214" i="15"/>
  <c r="AE214" i="15"/>
  <c r="Z214" i="15"/>
  <c r="T214" i="15"/>
  <c r="M214" i="15"/>
  <c r="F214" i="15"/>
  <c r="AJ213" i="15"/>
  <c r="AE213" i="15"/>
  <c r="Z213" i="15"/>
  <c r="T213" i="15"/>
  <c r="M213" i="15"/>
  <c r="F213" i="15"/>
  <c r="AJ212" i="15"/>
  <c r="AE212" i="15"/>
  <c r="Z212" i="15"/>
  <c r="T212" i="15"/>
  <c r="M212" i="15"/>
  <c r="F212" i="15"/>
  <c r="AJ211" i="15"/>
  <c r="AE211" i="15"/>
  <c r="Z211" i="15"/>
  <c r="T211" i="15"/>
  <c r="M211" i="15"/>
  <c r="F211" i="15"/>
  <c r="AJ210" i="15"/>
  <c r="AE210" i="15"/>
  <c r="Z210" i="15"/>
  <c r="T210" i="15"/>
  <c r="M210" i="15"/>
  <c r="F210" i="15"/>
  <c r="AJ209" i="15"/>
  <c r="AE209" i="15"/>
  <c r="Z209" i="15"/>
  <c r="T209" i="15"/>
  <c r="M209" i="15"/>
  <c r="F209" i="15"/>
  <c r="AJ208" i="15"/>
  <c r="AE208" i="15"/>
  <c r="Z208" i="15"/>
  <c r="T208" i="15"/>
  <c r="M208" i="15"/>
  <c r="F208" i="15"/>
  <c r="AJ207" i="15"/>
  <c r="AE207" i="15"/>
  <c r="Z207" i="15"/>
  <c r="T207" i="15"/>
  <c r="M207" i="15"/>
  <c r="F207" i="15"/>
  <c r="AJ206" i="15"/>
  <c r="AE206" i="15"/>
  <c r="Z206" i="15"/>
  <c r="T206" i="15"/>
  <c r="M206" i="15"/>
  <c r="F206" i="15"/>
  <c r="AJ205" i="15"/>
  <c r="AE205" i="15"/>
  <c r="Z205" i="15"/>
  <c r="T205" i="15"/>
  <c r="M205" i="15"/>
  <c r="F205" i="15"/>
  <c r="AJ204" i="15"/>
  <c r="AE204" i="15"/>
  <c r="Z204" i="15"/>
  <c r="T204" i="15"/>
  <c r="M204" i="15"/>
  <c r="F204" i="15"/>
  <c r="AJ203" i="15"/>
  <c r="AE203" i="15"/>
  <c r="Z203" i="15"/>
  <c r="T203" i="15"/>
  <c r="M203" i="15"/>
  <c r="F203" i="15"/>
  <c r="AJ202" i="15"/>
  <c r="AE202" i="15"/>
  <c r="Z202" i="15"/>
  <c r="T202" i="15"/>
  <c r="M202" i="15"/>
  <c r="F202" i="15"/>
  <c r="AJ201" i="15"/>
  <c r="AE201" i="15"/>
  <c r="Z201" i="15"/>
  <c r="T201" i="15"/>
  <c r="M201" i="15"/>
  <c r="F201" i="15"/>
  <c r="AJ200" i="15"/>
  <c r="AE200" i="15"/>
  <c r="Z200" i="15"/>
  <c r="T200" i="15"/>
  <c r="M200" i="15"/>
  <c r="F200" i="15"/>
  <c r="AJ199" i="15"/>
  <c r="AE199" i="15"/>
  <c r="Z199" i="15"/>
  <c r="T199" i="15"/>
  <c r="M199" i="15"/>
  <c r="F199" i="15"/>
  <c r="AJ198" i="15"/>
  <c r="AE198" i="15"/>
  <c r="Z198" i="15"/>
  <c r="T198" i="15"/>
  <c r="M198" i="15"/>
  <c r="F198" i="15"/>
  <c r="AJ197" i="15"/>
  <c r="AE197" i="15"/>
  <c r="Z197" i="15"/>
  <c r="T197" i="15"/>
  <c r="M197" i="15"/>
  <c r="F197" i="15"/>
  <c r="AJ196" i="15"/>
  <c r="AE196" i="15"/>
  <c r="Z196" i="15"/>
  <c r="T196" i="15"/>
  <c r="M196" i="15"/>
  <c r="F196" i="15"/>
  <c r="AJ195" i="15"/>
  <c r="AE195" i="15"/>
  <c r="Z195" i="15"/>
  <c r="T195" i="15"/>
  <c r="M195" i="15"/>
  <c r="F195" i="15"/>
  <c r="AJ194" i="15"/>
  <c r="AE194" i="15"/>
  <c r="Z194" i="15"/>
  <c r="T194" i="15"/>
  <c r="M194" i="15"/>
  <c r="F194" i="15"/>
  <c r="AJ193" i="15"/>
  <c r="AE193" i="15"/>
  <c r="Z193" i="15"/>
  <c r="T193" i="15"/>
  <c r="M193" i="15"/>
  <c r="F193" i="15"/>
  <c r="AJ192" i="15"/>
  <c r="AE192" i="15"/>
  <c r="Z192" i="15"/>
  <c r="T192" i="15"/>
  <c r="M192" i="15"/>
  <c r="F192" i="15"/>
  <c r="AJ191" i="15"/>
  <c r="AE191" i="15"/>
  <c r="Z191" i="15"/>
  <c r="T191" i="15"/>
  <c r="M191" i="15"/>
  <c r="F191" i="15"/>
  <c r="AJ190" i="15"/>
  <c r="AE190" i="15"/>
  <c r="Z190" i="15"/>
  <c r="T190" i="15"/>
  <c r="M190" i="15"/>
  <c r="F190" i="15"/>
  <c r="AJ189" i="15"/>
  <c r="AE189" i="15"/>
  <c r="Z189" i="15"/>
  <c r="T189" i="15"/>
  <c r="M189" i="15"/>
  <c r="F189" i="15"/>
  <c r="AJ188" i="15"/>
  <c r="AE188" i="15"/>
  <c r="Z188" i="15"/>
  <c r="T188" i="15"/>
  <c r="M188" i="15"/>
  <c r="F188" i="15"/>
  <c r="AJ187" i="15"/>
  <c r="AE187" i="15"/>
  <c r="Z187" i="15"/>
  <c r="T187" i="15"/>
  <c r="M187" i="15"/>
  <c r="F187" i="15"/>
  <c r="AJ186" i="15"/>
  <c r="AE186" i="15"/>
  <c r="Z186" i="15"/>
  <c r="T186" i="15"/>
  <c r="M186" i="15"/>
  <c r="F186" i="15"/>
  <c r="AJ185" i="15"/>
  <c r="AE185" i="15"/>
  <c r="Z185" i="15"/>
  <c r="T185" i="15"/>
  <c r="M185" i="15"/>
  <c r="F185" i="15"/>
  <c r="AJ184" i="15"/>
  <c r="AE184" i="15"/>
  <c r="Z184" i="15"/>
  <c r="T184" i="15"/>
  <c r="M184" i="15"/>
  <c r="F184" i="15"/>
  <c r="AJ183" i="15"/>
  <c r="AE183" i="15"/>
  <c r="Z183" i="15"/>
  <c r="T183" i="15"/>
  <c r="M183" i="15"/>
  <c r="F183" i="15"/>
  <c r="AJ182" i="15"/>
  <c r="AE182" i="15"/>
  <c r="Z182" i="15"/>
  <c r="T182" i="15"/>
  <c r="M182" i="15"/>
  <c r="F182" i="15"/>
  <c r="AJ181" i="15"/>
  <c r="AE181" i="15"/>
  <c r="Z181" i="15"/>
  <c r="T181" i="15"/>
  <c r="M181" i="15"/>
  <c r="F181" i="15"/>
  <c r="AJ180" i="15"/>
  <c r="AE180" i="15"/>
  <c r="Z180" i="15"/>
  <c r="T180" i="15"/>
  <c r="M180" i="15"/>
  <c r="F180" i="15"/>
  <c r="AJ179" i="15"/>
  <c r="AE179" i="15"/>
  <c r="Z179" i="15"/>
  <c r="T179" i="15"/>
  <c r="M179" i="15"/>
  <c r="F179" i="15"/>
  <c r="E179" i="15"/>
  <c r="AJ178" i="15"/>
  <c r="AE178" i="15"/>
  <c r="Z178" i="15"/>
  <c r="T178" i="15"/>
  <c r="M178" i="15"/>
  <c r="F178" i="15"/>
  <c r="E178" i="15"/>
  <c r="AJ177" i="15"/>
  <c r="AE177" i="15"/>
  <c r="Z177" i="15"/>
  <c r="T177" i="15"/>
  <c r="M177" i="15"/>
  <c r="F177" i="15"/>
  <c r="E177" i="15"/>
  <c r="AJ176" i="15"/>
  <c r="AE176" i="15"/>
  <c r="Z176" i="15"/>
  <c r="T176" i="15"/>
  <c r="M176" i="15"/>
  <c r="F176" i="15"/>
  <c r="AJ175" i="15"/>
  <c r="AE175" i="15"/>
  <c r="Z175" i="15"/>
  <c r="T175" i="15"/>
  <c r="M175" i="15"/>
  <c r="F175" i="15"/>
  <c r="AJ174" i="15"/>
  <c r="AE174" i="15"/>
  <c r="Z174" i="15"/>
  <c r="T174" i="15"/>
  <c r="M174" i="15"/>
  <c r="F174" i="15"/>
  <c r="AJ173" i="15"/>
  <c r="AE173" i="15"/>
  <c r="Z173" i="15"/>
  <c r="T173" i="15"/>
  <c r="M173" i="15"/>
  <c r="F173" i="15"/>
  <c r="AJ172" i="15"/>
  <c r="AE172" i="15"/>
  <c r="Z172" i="15"/>
  <c r="T172" i="15"/>
  <c r="M172" i="15"/>
  <c r="F172" i="15"/>
  <c r="AJ171" i="15"/>
  <c r="AE171" i="15"/>
  <c r="Z171" i="15"/>
  <c r="T171" i="15"/>
  <c r="M171" i="15"/>
  <c r="F171" i="15"/>
  <c r="AJ170" i="15"/>
  <c r="AE170" i="15"/>
  <c r="Z170" i="15"/>
  <c r="T170" i="15"/>
  <c r="M170" i="15"/>
  <c r="F170" i="15"/>
  <c r="AJ169" i="15"/>
  <c r="AE169" i="15"/>
  <c r="Z169" i="15"/>
  <c r="T169" i="15"/>
  <c r="M169" i="15"/>
  <c r="F169" i="15"/>
  <c r="AJ168" i="15"/>
  <c r="AE168" i="15"/>
  <c r="Z168" i="15"/>
  <c r="R168" i="15"/>
  <c r="Q168" i="15"/>
  <c r="P168" i="15"/>
  <c r="K168" i="15"/>
  <c r="M168" i="15" s="1"/>
  <c r="J168" i="15"/>
  <c r="I168" i="15"/>
  <c r="D168" i="15"/>
  <c r="F168" i="15" s="1"/>
  <c r="C168" i="15"/>
  <c r="B168" i="15"/>
  <c r="AJ167" i="15"/>
  <c r="AE167" i="15"/>
  <c r="Z167" i="15"/>
  <c r="R167" i="15"/>
  <c r="T167" i="15" s="1"/>
  <c r="Q167" i="15"/>
  <c r="P167" i="15"/>
  <c r="K167" i="15"/>
  <c r="M167" i="15" s="1"/>
  <c r="J167" i="15"/>
  <c r="I167" i="15"/>
  <c r="D167" i="15"/>
  <c r="F167" i="15" s="1"/>
  <c r="C167" i="15"/>
  <c r="B167" i="15"/>
  <c r="AJ166" i="15"/>
  <c r="AE166" i="15"/>
  <c r="Z166" i="15"/>
  <c r="T166" i="15"/>
  <c r="M166" i="15"/>
  <c r="F166" i="15"/>
  <c r="AJ165" i="15"/>
  <c r="AE165" i="15"/>
  <c r="Z165" i="15"/>
  <c r="T165" i="15"/>
  <c r="M165" i="15"/>
  <c r="F165" i="15"/>
  <c r="AJ164" i="15"/>
  <c r="AE164" i="15"/>
  <c r="Z164" i="15"/>
  <c r="T164" i="15"/>
  <c r="M164" i="15"/>
  <c r="F164" i="15"/>
  <c r="AJ163" i="15"/>
  <c r="AE163" i="15"/>
  <c r="Z163" i="15"/>
  <c r="T163" i="15"/>
  <c r="M163" i="15"/>
  <c r="F163" i="15"/>
  <c r="AJ162" i="15"/>
  <c r="AE162" i="15"/>
  <c r="Z162" i="15"/>
  <c r="T162" i="15"/>
  <c r="M162" i="15"/>
  <c r="F162" i="15"/>
  <c r="AJ161" i="15"/>
  <c r="AE161" i="15"/>
  <c r="Z161" i="15"/>
  <c r="T161" i="15"/>
  <c r="M161" i="15"/>
  <c r="F161" i="15"/>
  <c r="AJ160" i="15"/>
  <c r="AE160" i="15"/>
  <c r="Z160" i="15"/>
  <c r="T160" i="15"/>
  <c r="M160" i="15"/>
  <c r="F160" i="15"/>
  <c r="AJ159" i="15"/>
  <c r="AE159" i="15"/>
  <c r="Z159" i="15"/>
  <c r="T159" i="15"/>
  <c r="M159" i="15"/>
  <c r="F159" i="15"/>
  <c r="AJ158" i="15"/>
  <c r="AE158" i="15"/>
  <c r="Z158" i="15"/>
  <c r="T158" i="15"/>
  <c r="M158" i="15"/>
  <c r="F158" i="15"/>
  <c r="AJ157" i="15"/>
  <c r="AE157" i="15"/>
  <c r="Z157" i="15"/>
  <c r="T157" i="15"/>
  <c r="M157" i="15"/>
  <c r="F157" i="15"/>
  <c r="AJ156" i="15"/>
  <c r="AE156" i="15"/>
  <c r="Z156" i="15"/>
  <c r="T156" i="15"/>
  <c r="M156" i="15"/>
  <c r="F156" i="15"/>
  <c r="AJ155" i="15"/>
  <c r="AE155" i="15"/>
  <c r="Z155" i="15"/>
  <c r="T155" i="15"/>
  <c r="M155" i="15"/>
  <c r="F155" i="15"/>
  <c r="AJ154" i="15"/>
  <c r="AE154" i="15"/>
  <c r="Z154" i="15"/>
  <c r="T154" i="15"/>
  <c r="M154" i="15"/>
  <c r="F154" i="15"/>
  <c r="AJ153" i="15"/>
  <c r="AE153" i="15"/>
  <c r="Z153" i="15"/>
  <c r="T153" i="15"/>
  <c r="M153" i="15"/>
  <c r="F153" i="15"/>
  <c r="AJ152" i="15"/>
  <c r="AE152" i="15"/>
  <c r="Z152" i="15"/>
  <c r="T152" i="15"/>
  <c r="M152" i="15"/>
  <c r="F152" i="15"/>
  <c r="AJ151" i="15"/>
  <c r="AE151" i="15"/>
  <c r="Z151" i="15"/>
  <c r="T151" i="15"/>
  <c r="M151" i="15"/>
  <c r="F151" i="15"/>
  <c r="AJ150" i="15"/>
  <c r="AE150" i="15"/>
  <c r="Z150" i="15"/>
  <c r="T150" i="15"/>
  <c r="M150" i="15"/>
  <c r="F150" i="15"/>
  <c r="AJ149" i="15"/>
  <c r="AE149" i="15"/>
  <c r="Z149" i="15"/>
  <c r="T149" i="15"/>
  <c r="M149" i="15"/>
  <c r="F149" i="15"/>
  <c r="AJ148" i="15"/>
  <c r="AE148" i="15"/>
  <c r="Z148" i="15"/>
  <c r="T148" i="15"/>
  <c r="M148" i="15"/>
  <c r="F148" i="15"/>
  <c r="AJ147" i="15"/>
  <c r="AE147" i="15"/>
  <c r="Z147" i="15"/>
  <c r="T147" i="15"/>
  <c r="M147" i="15"/>
  <c r="F147" i="15"/>
  <c r="AJ146" i="15"/>
  <c r="AE146" i="15"/>
  <c r="Z146" i="15"/>
  <c r="T146" i="15"/>
  <c r="M146" i="15"/>
  <c r="F146" i="15"/>
  <c r="AJ145" i="15"/>
  <c r="AE145" i="15"/>
  <c r="Z145" i="15"/>
  <c r="T145" i="15"/>
  <c r="M145" i="15"/>
  <c r="F145" i="15"/>
  <c r="AJ144" i="15"/>
  <c r="AE144" i="15"/>
  <c r="Z144" i="15"/>
  <c r="T144" i="15"/>
  <c r="M144" i="15"/>
  <c r="F144" i="15"/>
  <c r="AJ143" i="15"/>
  <c r="AE143" i="15"/>
  <c r="Z143" i="15"/>
  <c r="T143" i="15"/>
  <c r="M143" i="15"/>
  <c r="F143" i="15"/>
  <c r="AJ142" i="15"/>
  <c r="AE142" i="15"/>
  <c r="Z142" i="15"/>
  <c r="T142" i="15"/>
  <c r="M142" i="15"/>
  <c r="F142" i="15"/>
  <c r="AJ141" i="15"/>
  <c r="AE141" i="15"/>
  <c r="Z141" i="15"/>
  <c r="T141" i="15"/>
  <c r="M141" i="15"/>
  <c r="F141" i="15"/>
  <c r="AJ140" i="15"/>
  <c r="AE140" i="15"/>
  <c r="Z140" i="15"/>
  <c r="T140" i="15"/>
  <c r="M140" i="15"/>
  <c r="F140" i="15"/>
  <c r="AJ139" i="15"/>
  <c r="AE139" i="15"/>
  <c r="Z139" i="15"/>
  <c r="T139" i="15"/>
  <c r="M139" i="15"/>
  <c r="F139" i="15"/>
  <c r="AJ138" i="15"/>
  <c r="AE138" i="15"/>
  <c r="Z138" i="15"/>
  <c r="T138" i="15"/>
  <c r="M138" i="15"/>
  <c r="F138" i="15"/>
  <c r="AJ137" i="15"/>
  <c r="AE137" i="15"/>
  <c r="Z137" i="15"/>
  <c r="T137" i="15"/>
  <c r="M137" i="15"/>
  <c r="F137" i="15"/>
  <c r="AJ136" i="15"/>
  <c r="AE136" i="15"/>
  <c r="Z136" i="15"/>
  <c r="T136" i="15"/>
  <c r="M136" i="15"/>
  <c r="F136" i="15"/>
  <c r="AJ135" i="15"/>
  <c r="AE135" i="15"/>
  <c r="Z135" i="15"/>
  <c r="T135" i="15"/>
  <c r="M135" i="15"/>
  <c r="F135" i="15"/>
  <c r="AJ134" i="15"/>
  <c r="AE134" i="15"/>
  <c r="Z134" i="15"/>
  <c r="T134" i="15"/>
  <c r="M134" i="15"/>
  <c r="F134" i="15"/>
  <c r="AJ133" i="15"/>
  <c r="AE133" i="15"/>
  <c r="Z133" i="15"/>
  <c r="T133" i="15"/>
  <c r="M133" i="15"/>
  <c r="F133" i="15"/>
  <c r="AJ132" i="15"/>
  <c r="AE132" i="15"/>
  <c r="Z132" i="15"/>
  <c r="T132" i="15"/>
  <c r="M132" i="15"/>
  <c r="F132" i="15"/>
  <c r="AJ131" i="15"/>
  <c r="AE131" i="15"/>
  <c r="Z131" i="15"/>
  <c r="T131" i="15"/>
  <c r="M131" i="15"/>
  <c r="F131" i="15"/>
  <c r="AJ130" i="15"/>
  <c r="AE130" i="15"/>
  <c r="Z130" i="15"/>
  <c r="T130" i="15"/>
  <c r="M130" i="15"/>
  <c r="F130" i="15"/>
  <c r="AJ129" i="15"/>
  <c r="AE129" i="15"/>
  <c r="Z129" i="15"/>
  <c r="T129" i="15"/>
  <c r="M129" i="15"/>
  <c r="F129" i="15"/>
  <c r="AJ128" i="15"/>
  <c r="AE128" i="15"/>
  <c r="Z128" i="15"/>
  <c r="T128" i="15"/>
  <c r="M128" i="15"/>
  <c r="F128" i="15"/>
  <c r="AJ127" i="15"/>
  <c r="AE127" i="15"/>
  <c r="Z127" i="15"/>
  <c r="T127" i="15"/>
  <c r="M127" i="15"/>
  <c r="F127" i="15"/>
  <c r="AJ126" i="15"/>
  <c r="AE126" i="15"/>
  <c r="Z126" i="15"/>
  <c r="T126" i="15"/>
  <c r="M126" i="15"/>
  <c r="F126" i="15"/>
  <c r="AJ125" i="15"/>
  <c r="AE125" i="15"/>
  <c r="Z125" i="15"/>
  <c r="T125" i="15"/>
  <c r="M125" i="15"/>
  <c r="F125" i="15"/>
  <c r="AJ124" i="15"/>
  <c r="AE124" i="15"/>
  <c r="Z124" i="15"/>
  <c r="T124" i="15"/>
  <c r="M124" i="15"/>
  <c r="F124" i="15"/>
  <c r="AJ123" i="15"/>
  <c r="AE123" i="15"/>
  <c r="Z123" i="15"/>
  <c r="T123" i="15"/>
  <c r="M123" i="15"/>
  <c r="F123" i="15"/>
  <c r="AJ122" i="15"/>
  <c r="AE122" i="15"/>
  <c r="Z122" i="15"/>
  <c r="T122" i="15"/>
  <c r="M122" i="15"/>
  <c r="F122" i="15"/>
  <c r="AJ121" i="15"/>
  <c r="AE121" i="15"/>
  <c r="Z121" i="15"/>
  <c r="T121" i="15"/>
  <c r="M121" i="15"/>
  <c r="F121" i="15"/>
  <c r="AJ120" i="15"/>
  <c r="AE120" i="15"/>
  <c r="Z120" i="15"/>
  <c r="T120" i="15"/>
  <c r="M120" i="15"/>
  <c r="F120" i="15"/>
  <c r="AJ119" i="15"/>
  <c r="AE119" i="15"/>
  <c r="Z119" i="15"/>
  <c r="T119" i="15"/>
  <c r="M119" i="15"/>
  <c r="F119" i="15"/>
  <c r="AJ118" i="15"/>
  <c r="AE118" i="15"/>
  <c r="Z118" i="15"/>
  <c r="T118" i="15"/>
  <c r="M118" i="15"/>
  <c r="F118" i="15"/>
  <c r="AJ117" i="15"/>
  <c r="AE117" i="15"/>
  <c r="Z117" i="15"/>
  <c r="T117" i="15"/>
  <c r="M117" i="15"/>
  <c r="F117" i="15"/>
  <c r="AJ116" i="15"/>
  <c r="AE116" i="15"/>
  <c r="Z116" i="15"/>
  <c r="T116" i="15"/>
  <c r="M116" i="15"/>
  <c r="F116" i="15"/>
  <c r="AJ115" i="15"/>
  <c r="AE115" i="15"/>
  <c r="Z115" i="15"/>
  <c r="T115" i="15"/>
  <c r="M115" i="15"/>
  <c r="F115" i="15"/>
  <c r="AJ114" i="15"/>
  <c r="AE114" i="15"/>
  <c r="Z114" i="15"/>
  <c r="T114" i="15"/>
  <c r="M114" i="15"/>
  <c r="F114" i="15"/>
  <c r="AJ113" i="15"/>
  <c r="AE113" i="15"/>
  <c r="Z113" i="15"/>
  <c r="T113" i="15"/>
  <c r="M113" i="15"/>
  <c r="F113" i="15"/>
  <c r="AJ112" i="15"/>
  <c r="AE112" i="15"/>
  <c r="Z112" i="15"/>
  <c r="T112" i="15"/>
  <c r="M112" i="15"/>
  <c r="F112" i="15"/>
  <c r="AJ111" i="15"/>
  <c r="AE111" i="15"/>
  <c r="Z111" i="15"/>
  <c r="T111" i="15"/>
  <c r="M111" i="15"/>
  <c r="F111" i="15"/>
  <c r="AJ110" i="15"/>
  <c r="AE110" i="15"/>
  <c r="Z110" i="15"/>
  <c r="T110" i="15"/>
  <c r="M110" i="15"/>
  <c r="F110" i="15"/>
  <c r="AJ109" i="15"/>
  <c r="AE109" i="15"/>
  <c r="Z109" i="15"/>
  <c r="T109" i="15"/>
  <c r="M109" i="15"/>
  <c r="F109" i="15"/>
  <c r="AJ108" i="15"/>
  <c r="AE108" i="15"/>
  <c r="Z108" i="15"/>
  <c r="T108" i="15"/>
  <c r="M108" i="15"/>
  <c r="F108" i="15"/>
  <c r="AJ107" i="15"/>
  <c r="AE107" i="15"/>
  <c r="Z107" i="15"/>
  <c r="T107" i="15"/>
  <c r="M107" i="15"/>
  <c r="F107" i="15"/>
  <c r="AJ106" i="15"/>
  <c r="AE106" i="15"/>
  <c r="Z106" i="15"/>
  <c r="T106" i="15"/>
  <c r="M106" i="15"/>
  <c r="F106" i="15"/>
  <c r="AJ105" i="15"/>
  <c r="AE105" i="15"/>
  <c r="Z105" i="15"/>
  <c r="T105" i="15"/>
  <c r="M105" i="15"/>
  <c r="F105" i="15"/>
  <c r="AJ104" i="15"/>
  <c r="AE104" i="15"/>
  <c r="Z104" i="15"/>
  <c r="T104" i="15"/>
  <c r="M104" i="15"/>
  <c r="F104" i="15"/>
  <c r="AJ103" i="15"/>
  <c r="AE103" i="15"/>
  <c r="Z103" i="15"/>
  <c r="T103" i="15"/>
  <c r="M103" i="15"/>
  <c r="F103" i="15"/>
  <c r="AJ102" i="15"/>
  <c r="AE102" i="15"/>
  <c r="Z102" i="15"/>
  <c r="T102" i="15"/>
  <c r="M102" i="15"/>
  <c r="F102" i="15"/>
  <c r="AJ101" i="15"/>
  <c r="AE101" i="15"/>
  <c r="Z101" i="15"/>
  <c r="T101" i="15"/>
  <c r="M101" i="15"/>
  <c r="F101" i="15"/>
  <c r="AJ100" i="15"/>
  <c r="AE100" i="15"/>
  <c r="Z100" i="15"/>
  <c r="T100" i="15"/>
  <c r="M100" i="15"/>
  <c r="F100" i="15"/>
  <c r="AJ99" i="15"/>
  <c r="AE99" i="15"/>
  <c r="Z99" i="15"/>
  <c r="T99" i="15"/>
  <c r="M99" i="15"/>
  <c r="F99" i="15"/>
  <c r="AJ98" i="15"/>
  <c r="AE98" i="15"/>
  <c r="Z98" i="15"/>
  <c r="T98" i="15"/>
  <c r="M98" i="15"/>
  <c r="F98" i="15"/>
  <c r="AJ97" i="15"/>
  <c r="AE97" i="15"/>
  <c r="Z97" i="15"/>
  <c r="T97" i="15"/>
  <c r="M97" i="15"/>
  <c r="F97" i="15"/>
  <c r="AJ96" i="15"/>
  <c r="AE96" i="15"/>
  <c r="Z96" i="15"/>
  <c r="T96" i="15"/>
  <c r="M96" i="15"/>
  <c r="F96" i="15"/>
  <c r="AJ95" i="15"/>
  <c r="AE95" i="15"/>
  <c r="Z95" i="15"/>
  <c r="T95" i="15"/>
  <c r="M95" i="15"/>
  <c r="F95" i="15"/>
  <c r="AJ94" i="15"/>
  <c r="AE94" i="15"/>
  <c r="Z94" i="15"/>
  <c r="T94" i="15"/>
  <c r="M94" i="15"/>
  <c r="F94" i="15"/>
  <c r="AJ93" i="15"/>
  <c r="AE93" i="15"/>
  <c r="Z93" i="15"/>
  <c r="T93" i="15"/>
  <c r="M93" i="15"/>
  <c r="F93" i="15"/>
  <c r="AJ92" i="15"/>
  <c r="AE92" i="15"/>
  <c r="Z92" i="15"/>
  <c r="T92" i="15"/>
  <c r="M92" i="15"/>
  <c r="F92" i="15"/>
  <c r="AJ91" i="15"/>
  <c r="AE91" i="15"/>
  <c r="Z91" i="15"/>
  <c r="T91" i="15"/>
  <c r="M91" i="15"/>
  <c r="F91" i="15"/>
  <c r="AJ90" i="15"/>
  <c r="AE90" i="15"/>
  <c r="Z90" i="15"/>
  <c r="T90" i="15"/>
  <c r="M90" i="15"/>
  <c r="F90" i="15"/>
  <c r="AJ89" i="15"/>
  <c r="AE89" i="15"/>
  <c r="Z89" i="15"/>
  <c r="T89" i="15"/>
  <c r="M89" i="15"/>
  <c r="F89" i="15"/>
  <c r="AJ88" i="15"/>
  <c r="AE88" i="15"/>
  <c r="Z88" i="15"/>
  <c r="T88" i="15"/>
  <c r="M88" i="15"/>
  <c r="F88" i="15"/>
  <c r="AJ87" i="15"/>
  <c r="AE87" i="15"/>
  <c r="Z87" i="15"/>
  <c r="T87" i="15"/>
  <c r="M87" i="15"/>
  <c r="F87" i="15"/>
  <c r="AE86" i="15"/>
  <c r="Z86" i="15"/>
  <c r="T86" i="15"/>
  <c r="M86" i="15"/>
  <c r="F86" i="15"/>
  <c r="AE85" i="15"/>
  <c r="Z85" i="15"/>
  <c r="T85" i="15"/>
  <c r="M85" i="15"/>
  <c r="F85" i="15"/>
  <c r="AE84" i="15"/>
  <c r="Z84" i="15"/>
  <c r="T84" i="15"/>
  <c r="M84" i="15"/>
  <c r="F84" i="15"/>
  <c r="AE83" i="15"/>
  <c r="Z83" i="15"/>
  <c r="T83" i="15"/>
  <c r="M83" i="15"/>
  <c r="F83" i="15"/>
  <c r="AE82" i="15"/>
  <c r="Z82" i="15"/>
  <c r="T82" i="15"/>
  <c r="M82" i="15"/>
  <c r="F82" i="15"/>
  <c r="AE81" i="15"/>
  <c r="Z81" i="15"/>
  <c r="T81" i="15"/>
  <c r="M81" i="15"/>
  <c r="F81" i="15"/>
  <c r="AE80" i="15"/>
  <c r="Z80" i="15"/>
  <c r="T80" i="15"/>
  <c r="M80" i="15"/>
  <c r="F80" i="15"/>
  <c r="AE79" i="15"/>
  <c r="Z79" i="15"/>
  <c r="T79" i="15"/>
  <c r="M79" i="15"/>
  <c r="F79" i="15"/>
  <c r="AE78" i="15"/>
  <c r="Z78" i="15"/>
  <c r="T78" i="15"/>
  <c r="M78" i="15"/>
  <c r="F78" i="15"/>
  <c r="AE77" i="15"/>
  <c r="Z77" i="15"/>
  <c r="T77" i="15"/>
  <c r="M77" i="15"/>
  <c r="F77" i="15"/>
  <c r="AE76" i="15"/>
  <c r="Z76" i="15"/>
  <c r="T76" i="15"/>
  <c r="M76" i="15"/>
  <c r="F76" i="15"/>
  <c r="AE75" i="15"/>
  <c r="Z75" i="15"/>
  <c r="T75" i="15"/>
  <c r="M75" i="15"/>
  <c r="F75" i="15"/>
  <c r="Z74" i="15"/>
  <c r="T74" i="15"/>
  <c r="M74" i="15"/>
  <c r="F74" i="15"/>
  <c r="Z73" i="15"/>
  <c r="T73" i="15"/>
  <c r="M73" i="15"/>
  <c r="F73" i="15"/>
  <c r="Z72" i="15"/>
  <c r="Z71" i="15"/>
  <c r="AE70" i="15"/>
  <c r="Z70" i="15"/>
  <c r="T70" i="15"/>
  <c r="F70" i="15"/>
  <c r="AE69" i="15"/>
  <c r="Z69" i="15"/>
  <c r="T69" i="15"/>
  <c r="F69" i="15"/>
  <c r="AJ68" i="15"/>
  <c r="AE68" i="15"/>
  <c r="Z68" i="15"/>
  <c r="T68" i="15"/>
  <c r="M68" i="15"/>
  <c r="F68" i="15"/>
  <c r="AJ67" i="15"/>
  <c r="AE67" i="15"/>
  <c r="Z67" i="15"/>
  <c r="T67" i="15"/>
  <c r="M67" i="15"/>
  <c r="F67" i="15"/>
  <c r="AJ66" i="15"/>
  <c r="AE66" i="15"/>
  <c r="Z66" i="15"/>
  <c r="T66" i="15"/>
  <c r="M66" i="15"/>
  <c r="F66" i="15"/>
  <c r="AE65" i="15"/>
  <c r="Z65" i="15"/>
  <c r="T65" i="15"/>
  <c r="M65" i="15"/>
  <c r="F65" i="15"/>
  <c r="AE64" i="15"/>
  <c r="Z64" i="15"/>
  <c r="T64" i="15"/>
  <c r="M64" i="15"/>
  <c r="F64" i="15"/>
  <c r="AE63" i="15"/>
  <c r="Z63" i="15"/>
  <c r="T63" i="15"/>
  <c r="M63" i="15"/>
  <c r="F63" i="15"/>
  <c r="AE62" i="15"/>
  <c r="Z62" i="15"/>
  <c r="T62" i="15"/>
  <c r="M62" i="15"/>
  <c r="F62" i="15"/>
  <c r="AE61" i="15"/>
  <c r="Z61" i="15"/>
  <c r="T61" i="15"/>
  <c r="M61" i="15"/>
  <c r="F61" i="15"/>
  <c r="AE60" i="15"/>
  <c r="Z60" i="15"/>
  <c r="T60" i="15"/>
  <c r="M60" i="15"/>
  <c r="F60" i="15"/>
  <c r="AE59" i="15"/>
  <c r="Z59" i="15"/>
  <c r="T59" i="15"/>
  <c r="M59" i="15"/>
  <c r="F59" i="15"/>
  <c r="AE58" i="15"/>
  <c r="Z58" i="15"/>
  <c r="T58" i="15"/>
  <c r="M58" i="15"/>
  <c r="F58" i="15"/>
  <c r="AE57" i="15"/>
  <c r="Z57" i="15"/>
  <c r="T57" i="15"/>
  <c r="M57" i="15"/>
  <c r="F57" i="15"/>
  <c r="AE56" i="15"/>
  <c r="Z56" i="15"/>
  <c r="T56" i="15"/>
  <c r="M56" i="15"/>
  <c r="F56" i="15"/>
  <c r="AE55" i="15"/>
  <c r="Z55" i="15"/>
  <c r="T55" i="15"/>
  <c r="M55" i="15"/>
  <c r="F55" i="15"/>
  <c r="AE54" i="15"/>
  <c r="Z54" i="15"/>
  <c r="T54" i="15"/>
  <c r="M54" i="15"/>
  <c r="F54" i="15"/>
  <c r="AE53" i="15"/>
  <c r="Z53" i="15"/>
  <c r="T53" i="15"/>
  <c r="M53" i="15"/>
  <c r="F53" i="15"/>
  <c r="AE52" i="15"/>
  <c r="Z52" i="15"/>
  <c r="T52" i="15"/>
  <c r="M52" i="15"/>
  <c r="F52" i="15"/>
  <c r="AE51" i="15"/>
  <c r="Z51" i="15"/>
  <c r="T51" i="15"/>
  <c r="M51" i="15"/>
  <c r="F51" i="15"/>
  <c r="AE50" i="15"/>
  <c r="Z50" i="15"/>
  <c r="T50" i="15"/>
  <c r="M50" i="15"/>
  <c r="F50" i="15"/>
  <c r="AE49" i="15"/>
  <c r="Z49" i="15"/>
  <c r="T49" i="15"/>
  <c r="M49" i="15"/>
  <c r="F49" i="15"/>
  <c r="AE48" i="15"/>
  <c r="Z48" i="15"/>
  <c r="T48" i="15"/>
  <c r="M48" i="15"/>
  <c r="F48" i="15"/>
  <c r="AE47" i="15"/>
  <c r="Z47" i="15"/>
  <c r="T47" i="15"/>
  <c r="M47" i="15"/>
  <c r="F47" i="15"/>
  <c r="AE46" i="15"/>
  <c r="Z46" i="15"/>
  <c r="T46" i="15"/>
  <c r="M46" i="15"/>
  <c r="F46" i="15"/>
  <c r="AE45" i="15"/>
  <c r="Z45" i="15"/>
  <c r="T45" i="15"/>
  <c r="M45" i="15"/>
  <c r="F45" i="15"/>
  <c r="AE44" i="15"/>
  <c r="Z44" i="15"/>
  <c r="T44" i="15"/>
  <c r="M44" i="15"/>
  <c r="F44" i="15"/>
  <c r="AE43" i="15"/>
  <c r="Z43" i="15"/>
  <c r="T43" i="15"/>
  <c r="M43" i="15"/>
  <c r="F43" i="15"/>
  <c r="AE42" i="15"/>
  <c r="Z42" i="15"/>
  <c r="T42" i="15"/>
  <c r="M42" i="15"/>
  <c r="F42" i="15"/>
  <c r="AE41" i="15"/>
  <c r="Z41" i="15"/>
  <c r="T41" i="15"/>
  <c r="M41" i="15"/>
  <c r="F41" i="15"/>
  <c r="AE40" i="15"/>
  <c r="Z40" i="15"/>
  <c r="T40" i="15"/>
  <c r="M40" i="15"/>
  <c r="F40" i="15"/>
  <c r="AE39" i="15"/>
  <c r="Z39" i="15"/>
  <c r="T39" i="15"/>
  <c r="M39" i="15"/>
  <c r="F39" i="15"/>
  <c r="AE38" i="15"/>
  <c r="Z38" i="15"/>
  <c r="T38" i="15"/>
  <c r="M38" i="15"/>
  <c r="F38" i="15"/>
  <c r="AE37" i="15"/>
  <c r="Z37" i="15"/>
  <c r="T37" i="15"/>
  <c r="M37" i="15"/>
  <c r="F37" i="15"/>
  <c r="AE36" i="15"/>
  <c r="Z36" i="15"/>
  <c r="T36" i="15"/>
  <c r="M36" i="15"/>
  <c r="F36" i="15"/>
  <c r="AE35" i="15"/>
  <c r="Z35" i="15"/>
  <c r="T35" i="15"/>
  <c r="M35" i="15"/>
  <c r="F35" i="15"/>
  <c r="AE34" i="15"/>
  <c r="Z34" i="15"/>
  <c r="T34" i="15"/>
  <c r="M34" i="15"/>
  <c r="F34" i="15"/>
  <c r="AJ33" i="15"/>
  <c r="AE33" i="15"/>
  <c r="Z33" i="15"/>
  <c r="T33" i="15"/>
  <c r="M33" i="15"/>
  <c r="F33" i="15"/>
  <c r="AJ32" i="15"/>
  <c r="AE32" i="15"/>
  <c r="Z32" i="15"/>
  <c r="T32" i="15"/>
  <c r="M32" i="15"/>
  <c r="F32" i="15"/>
  <c r="AJ31" i="15"/>
  <c r="AE31" i="15"/>
  <c r="Z31" i="15"/>
  <c r="T31" i="15"/>
  <c r="M31" i="15"/>
  <c r="F31" i="15"/>
  <c r="AJ30" i="15"/>
  <c r="AE30" i="15"/>
  <c r="Z30" i="15"/>
  <c r="T30" i="15"/>
  <c r="M30" i="15"/>
  <c r="F30" i="15"/>
  <c r="AJ29" i="15"/>
  <c r="AE29" i="15"/>
  <c r="Z29" i="15"/>
  <c r="T29" i="15"/>
  <c r="M29" i="15"/>
  <c r="F29" i="15"/>
  <c r="AJ28" i="15"/>
  <c r="AE28" i="15"/>
  <c r="Z28" i="15"/>
  <c r="T28" i="15"/>
  <c r="M28" i="15"/>
  <c r="F28" i="15"/>
  <c r="AJ27" i="15"/>
  <c r="AE27" i="15"/>
  <c r="Z27" i="15"/>
  <c r="T27" i="15"/>
  <c r="M27" i="15"/>
  <c r="F27" i="15"/>
  <c r="AJ26" i="15"/>
  <c r="AE26" i="15"/>
  <c r="Z26" i="15"/>
  <c r="T26" i="15"/>
  <c r="M26" i="15"/>
  <c r="F26" i="15"/>
  <c r="AJ25" i="15"/>
  <c r="AE25" i="15"/>
  <c r="Z25" i="15"/>
  <c r="T25" i="15"/>
  <c r="M25" i="15"/>
  <c r="F25" i="15"/>
  <c r="AJ24" i="15"/>
  <c r="AE24" i="15"/>
  <c r="Z24" i="15"/>
  <c r="T24" i="15"/>
  <c r="M24" i="15"/>
  <c r="F24" i="15"/>
  <c r="AE23" i="15"/>
  <c r="Z23" i="15"/>
  <c r="AJ22" i="15"/>
  <c r="AE22" i="15"/>
  <c r="Z22" i="15"/>
  <c r="T22" i="15"/>
  <c r="M22" i="15"/>
  <c r="F22" i="15"/>
  <c r="AJ21" i="15"/>
  <c r="AE21" i="15"/>
  <c r="Z21" i="15"/>
  <c r="T21" i="15"/>
  <c r="M21" i="15"/>
  <c r="F21" i="15"/>
  <c r="AJ20" i="15"/>
  <c r="AE20" i="15"/>
  <c r="Z20" i="15"/>
  <c r="T20" i="15"/>
  <c r="M20" i="15"/>
  <c r="F20" i="15"/>
  <c r="AJ19" i="15"/>
  <c r="AE19" i="15"/>
  <c r="Z19" i="15"/>
  <c r="T19" i="15"/>
  <c r="M19" i="15"/>
  <c r="F19" i="15"/>
  <c r="AJ18" i="15"/>
  <c r="AE18" i="15"/>
  <c r="Z18" i="15"/>
  <c r="T18" i="15"/>
  <c r="M18" i="15"/>
  <c r="F18" i="15"/>
  <c r="T17" i="15"/>
  <c r="M17" i="15"/>
  <c r="F17" i="15"/>
  <c r="T16" i="15"/>
  <c r="M16" i="15"/>
  <c r="F16" i="15"/>
  <c r="T15" i="15"/>
  <c r="M15" i="15"/>
  <c r="F15" i="15"/>
  <c r="T14" i="15"/>
  <c r="M14" i="15"/>
  <c r="F14" i="15"/>
  <c r="T13" i="15"/>
  <c r="M13" i="15"/>
  <c r="F13" i="15"/>
  <c r="T12" i="15"/>
  <c r="M12" i="15"/>
  <c r="F12" i="15"/>
  <c r="T11" i="15"/>
  <c r="M11" i="15"/>
  <c r="F11" i="15"/>
  <c r="T10" i="15"/>
  <c r="M10" i="15"/>
  <c r="F10" i="15"/>
  <c r="T9" i="15"/>
  <c r="M9" i="15"/>
  <c r="F9" i="15"/>
  <c r="T8" i="15"/>
  <c r="M8" i="15"/>
  <c r="F8" i="15"/>
  <c r="T7" i="15"/>
  <c r="M7" i="15"/>
  <c r="F7" i="15"/>
  <c r="AJ6" i="15"/>
  <c r="AE6" i="15"/>
  <c r="Z6" i="15"/>
  <c r="T6" i="15"/>
  <c r="M6" i="15"/>
  <c r="F6" i="15"/>
  <c r="AJ5" i="15"/>
  <c r="AE5" i="15"/>
  <c r="Z5" i="15"/>
  <c r="T5" i="15"/>
  <c r="M5" i="15"/>
  <c r="F5" i="15"/>
  <c r="AJ4" i="15"/>
  <c r="AE4" i="15"/>
  <c r="Z4" i="15"/>
  <c r="T4" i="15"/>
  <c r="M4" i="15"/>
  <c r="F4" i="15"/>
  <c r="AJ3" i="15"/>
  <c r="AE3" i="15"/>
  <c r="Z3" i="15"/>
  <c r="T3" i="15"/>
  <c r="M3" i="15"/>
  <c r="F3" i="15"/>
  <c r="MO21" i="14"/>
  <c r="S370" i="15" l="1"/>
  <c r="S383" i="15"/>
  <c r="L167" i="15"/>
  <c r="S386" i="15"/>
  <c r="S388" i="15"/>
  <c r="S390" i="15"/>
  <c r="S391" i="15"/>
  <c r="S389" i="15"/>
  <c r="E156" i="16"/>
  <c r="E157" i="16"/>
  <c r="BB157" i="16"/>
  <c r="S392" i="15"/>
  <c r="CI384" i="17"/>
  <c r="S167" i="15"/>
  <c r="S384" i="15"/>
  <c r="S371" i="15"/>
  <c r="L168" i="15"/>
  <c r="S374" i="15"/>
  <c r="AC230" i="16"/>
  <c r="E384" i="16"/>
  <c r="BB230" i="16"/>
  <c r="AI156" i="16"/>
  <c r="AU230" i="16"/>
  <c r="AC156" i="16"/>
  <c r="AC157" i="16"/>
  <c r="K230" i="16"/>
  <c r="AI230" i="16"/>
  <c r="K384" i="16"/>
  <c r="K156" i="16"/>
  <c r="K157" i="16"/>
  <c r="E230" i="16"/>
  <c r="CI155" i="17"/>
  <c r="S168" i="15"/>
  <c r="S372" i="15"/>
  <c r="T374" i="15"/>
  <c r="S230" i="15"/>
  <c r="CJ384" i="17"/>
  <c r="CI230" i="17"/>
  <c r="CC384" i="17"/>
  <c r="E230" i="17"/>
  <c r="L242" i="15"/>
  <c r="S373" i="15"/>
  <c r="E167" i="15"/>
  <c r="S229" i="15"/>
  <c r="E230" i="15"/>
  <c r="S242" i="15"/>
  <c r="E242" i="15"/>
  <c r="S375" i="15"/>
  <c r="S376" i="15"/>
  <c r="S379" i="15"/>
  <c r="S396" i="15"/>
  <c r="Q156" i="16"/>
  <c r="Q157" i="16"/>
  <c r="W230" i="16"/>
  <c r="AU157" i="16"/>
  <c r="AI157" i="16"/>
  <c r="AO156" i="16"/>
  <c r="AO157" i="16"/>
  <c r="W156" i="16"/>
  <c r="W157" i="16"/>
  <c r="S380" i="15"/>
  <c r="S387" i="15"/>
  <c r="T168" i="15"/>
  <c r="S377" i="15"/>
  <c r="S385" i="15"/>
  <c r="S378" i="15"/>
  <c r="L229" i="15"/>
  <c r="S393" i="15"/>
  <c r="E168" i="15"/>
  <c r="S381" i="15"/>
  <c r="MN21" i="14"/>
  <c r="MM21" i="14"/>
  <c r="ML21" i="14"/>
  <c r="MK21" i="14"/>
  <c r="MJ21" i="14"/>
  <c r="G435" i="1"/>
  <c r="C435" i="1"/>
  <c r="MI21" i="14" l="1"/>
  <c r="MH21" i="14" l="1"/>
  <c r="MG21" i="14" l="1"/>
  <c r="MF21" i="14" l="1"/>
  <c r="MB21" i="14" l="1"/>
  <c r="MC21" i="14"/>
  <c r="MD21" i="14"/>
  <c r="ME21" i="14"/>
  <c r="MA21" i="14"/>
  <c r="LZ21" i="14"/>
  <c r="LY21" i="14"/>
  <c r="LV21" i="14" l="1"/>
  <c r="LW21" i="14"/>
  <c r="LX21" i="14"/>
  <c r="LU21" i="14"/>
  <c r="LT21" i="14"/>
  <c r="LS21" i="14"/>
  <c r="LR21" i="14"/>
  <c r="LO21" i="14"/>
  <c r="LP21" i="14"/>
  <c r="LQ21" i="14"/>
  <c r="LN21" i="14"/>
  <c r="LN20" i="14"/>
  <c r="LM21" i="14" l="1"/>
  <c r="LM20" i="14"/>
  <c r="LL21" i="14"/>
  <c r="LL20" i="14"/>
  <c r="LK21" i="14" l="1"/>
  <c r="LK20" i="14"/>
  <c r="LI21" i="14" l="1"/>
  <c r="LJ21" i="14"/>
  <c r="LI20" i="14"/>
  <c r="LJ20" i="14"/>
  <c r="LH21" i="14"/>
  <c r="KZ20" i="14"/>
  <c r="LA20" i="14"/>
  <c r="LB20" i="14"/>
  <c r="LC20" i="14"/>
  <c r="LD20" i="14"/>
  <c r="LE20" i="14"/>
  <c r="LF20" i="14"/>
  <c r="LG20" i="14"/>
  <c r="LH20" i="14"/>
  <c r="LG21" i="14" l="1"/>
  <c r="LE21" i="14" l="1"/>
  <c r="LF21" i="14"/>
  <c r="LD21" i="14" l="1"/>
  <c r="KZ21" i="14" l="1"/>
  <c r="LA21" i="14"/>
  <c r="LB21" i="14"/>
  <c r="LC21" i="14"/>
  <c r="KY21" i="14" l="1"/>
  <c r="KY20" i="14"/>
  <c r="KX21" i="14" l="1"/>
  <c r="KX20" i="14"/>
  <c r="KW21" i="14"/>
  <c r="KW20" i="14"/>
  <c r="KM21" i="14"/>
  <c r="KN21" i="14"/>
  <c r="KO21" i="14"/>
  <c r="KP21" i="14"/>
  <c r="KQ21" i="14"/>
  <c r="KR21" i="14"/>
  <c r="KS21" i="14"/>
  <c r="KT21" i="14"/>
  <c r="KU21" i="14"/>
  <c r="KV21" i="14"/>
  <c r="KM20" i="14"/>
  <c r="KN20" i="14"/>
  <c r="KO20" i="14"/>
  <c r="KP20" i="14"/>
  <c r="KQ20" i="14"/>
  <c r="KR20" i="14"/>
  <c r="KS20" i="14"/>
  <c r="KT20" i="14"/>
  <c r="KU20" i="14"/>
  <c r="KV20" i="14"/>
  <c r="KL21" i="14" l="1"/>
  <c r="KL20" i="14"/>
  <c r="KH21" i="14" l="1"/>
  <c r="KI21" i="14"/>
  <c r="KJ21" i="14"/>
  <c r="KK21" i="14"/>
  <c r="KH20" i="14"/>
  <c r="KI20" i="14"/>
  <c r="KJ20" i="14"/>
  <c r="KK20" i="14"/>
  <c r="KC20" i="14"/>
  <c r="KD20" i="14"/>
  <c r="KE20" i="14"/>
  <c r="KF20" i="14"/>
  <c r="KG20" i="14"/>
  <c r="KE21" i="14"/>
  <c r="KF21" i="14"/>
  <c r="KG21" i="14"/>
  <c r="KD21" i="14" l="1"/>
  <c r="KC21" i="14"/>
  <c r="KB20" i="14"/>
  <c r="KB21" i="14"/>
  <c r="JY21" i="14" l="1"/>
  <c r="JZ21" i="14"/>
  <c r="KA21" i="14"/>
  <c r="JY20" i="14"/>
  <c r="JZ20" i="14"/>
  <c r="KA20" i="14"/>
  <c r="JX21" i="14" l="1"/>
  <c r="JX20" i="14"/>
  <c r="JW21" i="14" l="1"/>
  <c r="JW20" i="14"/>
  <c r="JV21" i="14"/>
  <c r="JV20" i="14"/>
  <c r="JR21" i="14" l="1"/>
  <c r="JS21" i="14"/>
  <c r="JT21" i="14"/>
  <c r="JU21" i="14"/>
  <c r="JR20" i="14"/>
  <c r="JS20" i="14"/>
  <c r="JT20" i="14"/>
  <c r="JU20" i="14"/>
  <c r="JP20" i="14" l="1"/>
  <c r="JQ20" i="14"/>
  <c r="JP21" i="14"/>
  <c r="JQ21" i="14"/>
  <c r="JO21" i="14"/>
  <c r="JN21" i="14"/>
  <c r="JM21" i="14"/>
  <c r="JL21" i="14"/>
  <c r="JK21" i="14"/>
  <c r="JJ21" i="14"/>
  <c r="JI21" i="14"/>
  <c r="JH21" i="14"/>
  <c r="JG21" i="14"/>
  <c r="JF21" i="14"/>
  <c r="JE21" i="14"/>
  <c r="JD21" i="14"/>
  <c r="JO20" i="14"/>
  <c r="JN20" i="14"/>
  <c r="JM20" i="14"/>
  <c r="JL20" i="14"/>
  <c r="JK20" i="14"/>
  <c r="JJ20" i="14"/>
  <c r="JI20" i="14"/>
  <c r="JH20" i="14"/>
  <c r="JG20" i="14"/>
  <c r="JF20" i="14"/>
  <c r="JE20" i="14"/>
  <c r="JD20" i="14"/>
  <c r="JC20" i="14"/>
  <c r="JC21" i="14"/>
  <c r="JB20" i="14"/>
  <c r="JB21" i="14"/>
  <c r="IW20" i="14"/>
  <c r="IX20" i="14"/>
  <c r="IY20" i="14"/>
  <c r="IZ20" i="14"/>
  <c r="JA20" i="14"/>
  <c r="IW21" i="14"/>
  <c r="IX21" i="14"/>
  <c r="IY21" i="14"/>
  <c r="IZ21" i="14"/>
  <c r="JA21" i="14"/>
  <c r="IV20" i="14" l="1"/>
  <c r="IV21" i="14"/>
  <c r="IU20" i="14"/>
  <c r="IU21" i="14"/>
  <c r="IT20" i="14"/>
  <c r="IT21" i="14"/>
  <c r="IS20" i="14" l="1"/>
  <c r="IS21" i="14"/>
  <c r="IO20" i="14" l="1"/>
  <c r="IP20" i="14"/>
  <c r="IQ20" i="14"/>
  <c r="IR20" i="14"/>
  <c r="IO21" i="14"/>
  <c r="IP21" i="14"/>
  <c r="IQ21" i="14"/>
  <c r="IR21" i="14"/>
  <c r="IN20" i="14" l="1"/>
  <c r="IN21" i="14"/>
  <c r="IM20" i="14"/>
  <c r="IM21" i="14"/>
  <c r="IL20" i="14"/>
  <c r="IL21" i="14"/>
  <c r="IK20" i="14" l="1"/>
  <c r="IK21" i="14"/>
  <c r="II20" i="14" l="1"/>
  <c r="IJ20" i="14"/>
  <c r="II21" i="14"/>
  <c r="IJ21" i="14"/>
  <c r="IH20" i="14" l="1"/>
  <c r="IH21" i="14"/>
  <c r="IG20" i="14"/>
  <c r="IG21" i="14"/>
  <c r="IF20" i="14" l="1"/>
  <c r="IF21" i="14"/>
  <c r="IE20" i="14" l="1"/>
  <c r="IE21" i="14"/>
  <c r="IB20" i="14" l="1"/>
  <c r="IC20" i="14"/>
  <c r="ID20" i="14"/>
  <c r="IB21" i="14"/>
  <c r="IC21" i="14"/>
  <c r="ID21" i="14"/>
  <c r="IA20" i="14" l="1"/>
  <c r="IA21" i="14"/>
  <c r="HZ20" i="14" l="1"/>
  <c r="HZ21" i="14"/>
  <c r="HY20" i="14" l="1"/>
  <c r="HY21" i="14"/>
  <c r="HX20" i="14" l="1"/>
  <c r="HX21" i="14"/>
  <c r="HU20" i="14" l="1"/>
  <c r="HV20" i="14"/>
  <c r="HW20" i="14"/>
  <c r="HU21" i="14"/>
  <c r="HV21" i="14"/>
  <c r="HW21" i="14"/>
  <c r="HT20" i="14" l="1"/>
  <c r="HT21" i="14"/>
  <c r="HS20" i="14" l="1"/>
  <c r="HS21" i="14"/>
  <c r="HR20" i="14" l="1"/>
  <c r="HR21" i="14"/>
  <c r="HQ20" i="14" l="1"/>
  <c r="HQ21" i="14"/>
  <c r="HN20" i="14" l="1"/>
  <c r="HO20" i="14"/>
  <c r="HP20" i="14"/>
  <c r="HN21" i="14"/>
  <c r="HO21" i="14"/>
  <c r="HP21" i="14"/>
  <c r="HM20" i="14" l="1"/>
  <c r="HM21" i="14"/>
  <c r="HL20" i="14" l="1"/>
  <c r="HL21" i="14"/>
  <c r="HK20" i="14" l="1"/>
  <c r="HK21" i="14"/>
  <c r="HJ20" i="14" l="1"/>
  <c r="HJ21" i="14"/>
  <c r="HG20" i="14" l="1"/>
  <c r="HH20" i="14"/>
  <c r="HI20" i="14"/>
  <c r="HG21" i="14"/>
  <c r="HH21" i="14"/>
  <c r="HI21" i="14"/>
  <c r="HF20" i="14" l="1"/>
  <c r="HF21" i="14"/>
  <c r="HE20" i="14" l="1"/>
  <c r="HE21" i="14"/>
  <c r="HD20" i="14" l="1"/>
  <c r="HD21" i="14"/>
  <c r="HC20" i="14" l="1"/>
  <c r="HC21" i="14"/>
  <c r="GZ20" i="14" l="1"/>
  <c r="HA20" i="14"/>
  <c r="HB20" i="14"/>
  <c r="GZ21" i="14"/>
  <c r="HA21" i="14"/>
  <c r="HB21" i="14"/>
  <c r="GY20" i="14" l="1"/>
  <c r="GY21" i="14"/>
  <c r="GX20" i="14" l="1"/>
  <c r="GX21" i="14"/>
  <c r="GW21" i="14" l="1"/>
  <c r="GW20" i="14"/>
  <c r="GV21" i="14" l="1"/>
  <c r="GV20" i="14"/>
  <c r="GU20" i="14" l="1"/>
  <c r="GU21" i="14"/>
  <c r="GS20" i="14"/>
  <c r="GT20" i="14"/>
  <c r="GS21" i="14"/>
  <c r="GT21" i="14"/>
  <c r="GQ21" i="14"/>
  <c r="GR21" i="14"/>
  <c r="GQ20" i="14"/>
  <c r="GR20" i="14"/>
  <c r="GP21" i="14"/>
  <c r="GP20" i="14"/>
  <c r="GL20" i="14"/>
  <c r="GM20" i="14"/>
  <c r="GN20" i="14"/>
  <c r="GO20" i="14"/>
  <c r="GL21" i="14"/>
  <c r="GM21" i="14"/>
  <c r="GN21" i="14"/>
  <c r="GO21" i="14"/>
  <c r="GK21" i="14"/>
  <c r="GK20" i="14"/>
  <c r="GJ21" i="14"/>
  <c r="GJ20" i="14"/>
  <c r="GI21" i="14" l="1"/>
  <c r="GI20" i="14"/>
  <c r="GH21" i="14" l="1"/>
  <c r="GH20" i="14"/>
  <c r="GE21" i="14" l="1"/>
  <c r="GF21" i="14"/>
  <c r="GG21" i="14"/>
  <c r="GE20" i="14"/>
  <c r="GF20" i="14"/>
  <c r="GG20" i="14"/>
  <c r="GD21" i="14" l="1"/>
  <c r="GD20" i="14"/>
  <c r="GC20" i="14"/>
  <c r="GC21" i="14"/>
  <c r="GB21" i="14"/>
  <c r="GB20" i="14"/>
  <c r="GA21" i="14"/>
  <c r="GA20" i="14"/>
  <c r="FX21" i="14"/>
  <c r="FY21" i="14"/>
  <c r="FZ21" i="14"/>
  <c r="FX20" i="14"/>
  <c r="FY20" i="14"/>
  <c r="FZ20" i="14"/>
  <c r="FW21" i="14" l="1"/>
  <c r="FW20" i="14"/>
  <c r="FV21" i="14" l="1"/>
  <c r="FV20" i="14"/>
  <c r="FU21" i="14" l="1"/>
  <c r="FU20" i="14"/>
  <c r="FT21" i="14" l="1"/>
  <c r="FT20" i="14"/>
  <c r="FS21" i="14" l="1"/>
  <c r="FS20" i="14"/>
  <c r="FQ20" i="14" l="1"/>
  <c r="FR20" i="14"/>
  <c r="FQ21" i="14"/>
  <c r="FR21" i="14"/>
  <c r="FP21" i="14" l="1"/>
  <c r="FP20" i="14"/>
  <c r="FO21" i="14" l="1"/>
  <c r="FO20" i="14"/>
  <c r="FN21" i="14"/>
  <c r="FN20" i="14"/>
  <c r="FM21" i="14" l="1"/>
  <c r="FM20" i="14"/>
  <c r="FL21" i="14" l="1"/>
  <c r="FL20" i="14"/>
  <c r="FH20" i="14"/>
  <c r="FI20" i="14"/>
  <c r="FJ20" i="14"/>
  <c r="FK20" i="14"/>
  <c r="FJ21" i="14"/>
  <c r="FK21" i="14"/>
  <c r="FI21" i="14" l="1"/>
  <c r="FH21" i="14" l="1"/>
  <c r="FG21" i="14" l="1"/>
  <c r="FG20" i="14"/>
  <c r="FC21" i="14" l="1"/>
  <c r="FD21" i="14"/>
  <c r="FE21" i="14"/>
  <c r="FF21" i="14"/>
  <c r="FC20" i="14"/>
  <c r="FD20" i="14"/>
  <c r="FE20" i="14"/>
  <c r="FF20" i="14"/>
  <c r="FB21" i="14" l="1"/>
  <c r="FB20" i="14"/>
  <c r="FA21" i="14"/>
  <c r="FA20" i="14"/>
  <c r="EZ21" i="14"/>
  <c r="EZ20" i="14"/>
  <c r="EY21" i="14"/>
  <c r="EY20" i="14"/>
  <c r="EV21" i="14" l="1"/>
  <c r="EW21" i="14"/>
  <c r="EX21" i="14"/>
  <c r="EV20" i="14"/>
  <c r="EW20" i="14"/>
  <c r="EX20" i="14"/>
  <c r="EU21" i="14"/>
  <c r="EU20" i="14"/>
  <c r="ET21" i="14"/>
  <c r="ET20" i="14"/>
  <c r="ES21" i="14"/>
  <c r="ES20" i="14"/>
  <c r="ER21" i="14"/>
  <c r="ER20" i="14"/>
  <c r="EQ21" i="14"/>
  <c r="EQ20" i="14"/>
  <c r="EO20" i="14"/>
  <c r="EP20" i="14"/>
  <c r="EO21" i="14"/>
  <c r="EP21" i="14"/>
  <c r="EN21" i="14" l="1"/>
  <c r="EN20" i="14"/>
  <c r="EM20" i="14"/>
  <c r="EM21" i="14"/>
  <c r="EL20" i="14"/>
  <c r="EL21" i="14"/>
  <c r="EK20" i="14" l="1"/>
  <c r="EK21" i="14"/>
  <c r="EH20" i="14" l="1"/>
  <c r="EI20" i="14"/>
  <c r="EJ20" i="14"/>
  <c r="EH21" i="14"/>
  <c r="EI21" i="14"/>
  <c r="EJ21" i="14"/>
  <c r="EG20" i="14"/>
  <c r="EG21" i="14"/>
  <c r="EF20" i="14"/>
  <c r="EF21" i="14"/>
  <c r="EE20" i="14"/>
  <c r="EE21" i="14"/>
  <c r="ED20" i="14" l="1"/>
  <c r="ED21" i="14"/>
  <c r="EA20" i="14"/>
  <c r="EB20" i="14"/>
  <c r="EC20" i="14"/>
  <c r="EA21" i="14"/>
  <c r="EB21" i="14"/>
  <c r="EC21" i="14"/>
  <c r="DZ20" i="14"/>
  <c r="DZ21" i="14"/>
  <c r="DY20" i="14"/>
  <c r="DY21" i="14"/>
  <c r="DX20" i="14"/>
  <c r="DX21" i="14"/>
  <c r="DW20" i="14"/>
  <c r="DW21" i="14"/>
  <c r="DT20" i="14"/>
  <c r="DU20" i="14"/>
  <c r="DV20" i="14"/>
  <c r="DT21" i="14"/>
  <c r="DU21" i="14"/>
  <c r="DV21" i="14"/>
  <c r="DS20" i="14"/>
  <c r="DS21" i="14"/>
  <c r="DR20" i="14"/>
  <c r="DR21" i="14"/>
  <c r="DQ20" i="14"/>
  <c r="DQ21" i="14"/>
  <c r="DP20" i="14"/>
  <c r="DP21" i="14"/>
  <c r="DM20" i="14"/>
  <c r="DN20" i="14"/>
  <c r="DO20" i="14"/>
  <c r="DM21" i="14"/>
  <c r="DN21" i="14"/>
  <c r="DO21" i="14"/>
  <c r="DL20" i="14"/>
  <c r="DL21" i="14"/>
  <c r="DK20" i="14"/>
  <c r="DK21" i="14"/>
  <c r="DJ20" i="14"/>
  <c r="DJ21" i="14"/>
  <c r="DI20" i="14"/>
  <c r="DI21" i="14"/>
  <c r="DF21" i="14"/>
  <c r="DG21" i="14"/>
  <c r="DH21" i="14"/>
  <c r="DF20" i="14"/>
  <c r="DG20" i="14"/>
  <c r="DH20" i="14"/>
  <c r="DD20" i="14"/>
  <c r="DE20" i="14"/>
  <c r="DD21" i="14"/>
  <c r="DE21" i="14"/>
  <c r="DC20" i="14" l="1"/>
  <c r="DC21" i="14"/>
  <c r="DB21" i="14"/>
  <c r="DB20" i="14"/>
  <c r="CY21" i="14"/>
  <c r="CZ21" i="14"/>
  <c r="DA21" i="14"/>
  <c r="CY20" i="14"/>
  <c r="CZ20" i="14"/>
  <c r="DA20" i="14"/>
  <c r="CX20" i="14"/>
  <c r="CX21" i="14"/>
  <c r="CW21" i="14" l="1"/>
  <c r="CW20" i="14" l="1"/>
  <c r="CV21" i="14" l="1"/>
  <c r="CV20" i="14"/>
  <c r="CU21" i="14" l="1"/>
  <c r="CU20" i="14"/>
  <c r="CR20" i="14" l="1"/>
  <c r="CS20" i="14"/>
  <c r="CT20" i="14"/>
  <c r="CR21" i="14"/>
  <c r="CS21" i="14"/>
  <c r="CT21" i="14"/>
  <c r="CQ20" i="14" l="1"/>
  <c r="CQ21" i="14"/>
  <c r="CP20" i="14"/>
  <c r="CN20" i="14" l="1"/>
  <c r="CO20" i="14"/>
  <c r="CN21" i="14"/>
  <c r="CO21" i="14"/>
  <c r="CP21" i="14"/>
  <c r="CK20" i="14" l="1"/>
  <c r="CL20" i="14"/>
  <c r="CK21" i="14"/>
  <c r="CL21" i="14"/>
  <c r="CM17" i="14"/>
  <c r="M208" i="1"/>
  <c r="L208" i="1"/>
  <c r="K208" i="1"/>
  <c r="I208" i="1"/>
  <c r="H208" i="1"/>
  <c r="CM18" i="14" l="1"/>
  <c r="CM2" i="14"/>
  <c r="CM21" i="14" l="1"/>
  <c r="CM20" i="14"/>
  <c r="CJ21" i="14"/>
  <c r="CJ20" i="14"/>
  <c r="CI21" i="14" l="1"/>
  <c r="CI20" i="14"/>
  <c r="CH21" i="14" l="1"/>
  <c r="CH20" i="14"/>
  <c r="CG21" i="14" l="1"/>
  <c r="CG20" i="14"/>
  <c r="CD20" i="14" l="1"/>
  <c r="CE20" i="14"/>
  <c r="CF20" i="14"/>
  <c r="CD21" i="14"/>
  <c r="CE21" i="14"/>
  <c r="CF21" i="14"/>
  <c r="CC21" i="14" l="1"/>
  <c r="C18" i="14"/>
  <c r="CB21" i="14" l="1"/>
  <c r="CC20" i="14"/>
  <c r="CB20" i="14" l="1"/>
  <c r="CA21" i="14" l="1"/>
  <c r="CA20" i="14"/>
  <c r="BZ21" i="14" l="1"/>
  <c r="BZ20" i="14"/>
  <c r="BW21" i="14" l="1"/>
  <c r="BX21" i="14"/>
  <c r="BY21" i="14"/>
  <c r="BW20" i="14"/>
  <c r="BX20" i="14"/>
  <c r="BY20" i="14"/>
  <c r="BU21" i="14" l="1"/>
  <c r="BV21" i="14"/>
  <c r="BV20" i="14"/>
  <c r="BU20" i="14" l="1"/>
  <c r="BT21" i="14" l="1"/>
  <c r="BT20" i="14"/>
  <c r="BS21" i="14" l="1"/>
  <c r="BS20" i="14"/>
  <c r="BR21" i="14"/>
  <c r="BQ21" i="14" l="1"/>
  <c r="BP21" i="14"/>
  <c r="BQ20" i="14"/>
  <c r="BR20" i="14"/>
  <c r="BP20" i="14"/>
  <c r="BC21" i="14" l="1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F20" i="14"/>
  <c r="BG20" i="14"/>
  <c r="BH20" i="14"/>
  <c r="BI20" i="14"/>
  <c r="BJ20" i="14"/>
  <c r="BK20" i="14"/>
  <c r="BL20" i="14"/>
  <c r="BM20" i="14"/>
  <c r="BN20" i="14"/>
  <c r="BO20" i="14"/>
  <c r="L21" i="14" l="1"/>
  <c r="AT21" i="14"/>
  <c r="BE20" i="14" l="1"/>
  <c r="BA21" i="14" l="1"/>
  <c r="C15" i="14"/>
  <c r="K21" i="14"/>
  <c r="M21" i="14"/>
  <c r="N21" i="14"/>
  <c r="O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U21" i="14"/>
  <c r="AV21" i="14"/>
  <c r="AW21" i="14"/>
  <c r="AX21" i="14"/>
  <c r="AY21" i="14"/>
  <c r="AZ21" i="14"/>
  <c r="BB21" i="14"/>
  <c r="C17" i="14" l="1"/>
  <c r="C21" i="14" l="1"/>
  <c r="C20" i="14"/>
  <c r="BB20" i="14"/>
  <c r="BC20" i="14"/>
  <c r="BD20" i="14"/>
  <c r="P19" i="14"/>
  <c r="P21" i="14" s="1"/>
  <c r="BA20" i="14"/>
  <c r="I19" i="14" l="1"/>
  <c r="AZ20" i="14" l="1"/>
  <c r="AY20" i="14" l="1"/>
  <c r="AU20" i="14" l="1"/>
  <c r="AV20" i="14"/>
  <c r="AW20" i="14"/>
  <c r="AX20" i="14"/>
  <c r="AT20" i="14" l="1"/>
  <c r="AS20" i="14" l="1"/>
  <c r="AR20" i="14" l="1"/>
  <c r="AQ20" i="14" l="1"/>
  <c r="AN20" i="14" l="1"/>
  <c r="AO20" i="14"/>
  <c r="AP20" i="14"/>
  <c r="AM20" i="14" l="1"/>
  <c r="AL20" i="14" l="1"/>
  <c r="AK20" i="14" l="1"/>
  <c r="AJ20" i="14" l="1"/>
  <c r="AG20" i="14" l="1"/>
  <c r="AH20" i="14"/>
  <c r="AI20" i="14"/>
  <c r="AF20" i="14" l="1"/>
  <c r="AE20" i="14" l="1"/>
  <c r="AD20" i="14" l="1"/>
  <c r="AC20" i="14" l="1"/>
  <c r="AB20" i="14" l="1"/>
  <c r="AA20" i="14"/>
  <c r="Z20" i="14"/>
  <c r="Y20" i="14" l="1"/>
  <c r="X20" i="14" l="1"/>
  <c r="W20" i="14" l="1"/>
  <c r="V20" i="14" l="1"/>
  <c r="V15" i="14"/>
  <c r="S20" i="14" l="1"/>
  <c r="T20" i="14"/>
  <c r="U20" i="14"/>
  <c r="U15" i="14"/>
  <c r="T15" i="14"/>
  <c r="S15" i="14"/>
  <c r="R20" i="14" l="1"/>
  <c r="R15" i="14"/>
  <c r="Q15" i="14"/>
  <c r="K134" i="1" l="1"/>
  <c r="K133" i="1"/>
  <c r="M134" i="1"/>
  <c r="M133" i="1"/>
  <c r="L134" i="1"/>
  <c r="L133" i="1"/>
  <c r="I134" i="1"/>
  <c r="I133" i="1"/>
  <c r="G134" i="1"/>
  <c r="G133" i="1"/>
  <c r="H134" i="1"/>
  <c r="H133" i="1"/>
  <c r="E134" i="1"/>
  <c r="E133" i="1"/>
  <c r="D134" i="1"/>
  <c r="D133" i="1"/>
  <c r="C134" i="1"/>
  <c r="C133" i="1"/>
  <c r="Q20" i="14" l="1"/>
  <c r="P20" i="14"/>
  <c r="P15" i="14"/>
  <c r="O15" i="14"/>
  <c r="O20" i="14"/>
  <c r="M15" i="14"/>
  <c r="N15" i="14"/>
  <c r="M20" i="14"/>
  <c r="N20" i="14"/>
  <c r="L20" i="14"/>
  <c r="L15" i="14"/>
  <c r="K15" i="14"/>
  <c r="K20" i="14"/>
  <c r="J18" i="14"/>
  <c r="J17" i="14"/>
  <c r="J15" i="14"/>
  <c r="D18" i="14"/>
  <c r="E18" i="14"/>
  <c r="F18" i="14"/>
  <c r="G18" i="14"/>
  <c r="H18" i="14"/>
  <c r="H21" i="14" s="1"/>
  <c r="I18" i="14"/>
  <c r="I21" i="14" s="1"/>
  <c r="D17" i="14"/>
  <c r="E17" i="14"/>
  <c r="F17" i="14"/>
  <c r="G17" i="14"/>
  <c r="H17" i="14"/>
  <c r="I17" i="14"/>
  <c r="H15" i="14"/>
  <c r="J21" i="14" l="1"/>
  <c r="E21" i="14"/>
  <c r="D21" i="14"/>
  <c r="G21" i="14"/>
  <c r="F21" i="14"/>
  <c r="F20" i="14"/>
  <c r="J20" i="14"/>
  <c r="H20" i="14"/>
  <c r="G20" i="14"/>
  <c r="D20" i="14"/>
  <c r="I20" i="14"/>
  <c r="E20" i="14"/>
  <c r="G15" i="14"/>
  <c r="I15" i="14"/>
  <c r="E15" i="14" l="1"/>
  <c r="F15" i="14"/>
  <c r="D15" i="14"/>
  <c r="AEK27" i="11" l="1"/>
  <c r="AEJ27" i="11"/>
  <c r="AEI27" i="11"/>
  <c r="AEL27" i="11" s="1"/>
  <c r="AEM18" i="11"/>
  <c r="AEJ18" i="11"/>
  <c r="YM27" i="11" l="1"/>
  <c r="YL27" i="11"/>
  <c r="YK27" i="11"/>
  <c r="YO18" i="11"/>
  <c r="YL18" i="11"/>
  <c r="YN27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Barjinder Singh1</author>
  </authors>
  <commentList>
    <comment ref="J5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Barjinder Singh1:</t>
        </r>
        <r>
          <rPr>
            <sz val="9"/>
            <color indexed="81"/>
            <rFont val="Tahoma"/>
            <family val="2"/>
          </rPr>
          <t xml:space="preserve">
High Account not connected error for CP: 4026531874</t>
        </r>
      </text>
    </comment>
    <comment ref="J6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Barjinder Singh1:</t>
        </r>
        <r>
          <rPr>
            <sz val="9"/>
            <color indexed="81"/>
            <rFont val="Tahoma"/>
            <family val="2"/>
          </rPr>
          <t xml:space="preserve">
High Account not connected error for CP: 4026531874</t>
        </r>
      </text>
    </comment>
    <comment ref="J7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Barjinder Singh1:</t>
        </r>
        <r>
          <rPr>
            <sz val="9"/>
            <color indexed="81"/>
            <rFont val="Tahoma"/>
            <family val="2"/>
          </rPr>
          <t xml:space="preserve">
High Account not connected error for CP: 4026531874</t>
        </r>
      </text>
    </comment>
    <comment ref="J13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Barjinder Singh1:</t>
        </r>
        <r>
          <rPr>
            <sz val="9"/>
            <color indexed="81"/>
            <rFont val="Tahoma"/>
            <family val="2"/>
          </rPr>
          <t xml:space="preserve">
High Account not connected error for CP: 4026531874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<sst xmlns="http://schemas.openxmlformats.org/spreadsheetml/2006/main" count="3798" uniqueCount="307">
  <si>
    <t>Servers</t>
  </si>
  <si>
    <t>Disk Space</t>
  </si>
  <si>
    <t>CPU Utilization</t>
  </si>
  <si>
    <t>Free Memory</t>
  </si>
  <si>
    <t>SVR-VCAPP-01</t>
  </si>
  <si>
    <t>SVR-VCAPP-02</t>
  </si>
  <si>
    <t>SVR-VCAPP-03</t>
  </si>
  <si>
    <t>SVR-VCAPP-04</t>
  </si>
  <si>
    <t>SVR-VCDB-01</t>
  </si>
  <si>
    <t>SVR-VCDB-02</t>
  </si>
  <si>
    <t>SVR-VCWAPMMS-01</t>
  </si>
  <si>
    <t>SVR-VCWAPMMS-02</t>
  </si>
  <si>
    <t>OK</t>
  </si>
  <si>
    <t>appsmsr01</t>
  </si>
  <si>
    <t>appsmsr02</t>
  </si>
  <si>
    <t>appsmsr03</t>
  </si>
  <si>
    <t>dbsmsr01</t>
  </si>
  <si>
    <t>dbsmsr02</t>
  </si>
  <si>
    <t>dr-appsmsr01</t>
  </si>
  <si>
    <t>dr-appsmsr02</t>
  </si>
  <si>
    <t>dr-appsmsr03</t>
  </si>
  <si>
    <t>dr-dbsmsr01</t>
  </si>
  <si>
    <t>dr-dbsmsr02</t>
  </si>
  <si>
    <t>Date</t>
  </si>
  <si>
    <t>SOFTWARE LICENSE UTILIZATION</t>
  </si>
  <si>
    <t>APPLICATION STATUS</t>
  </si>
  <si>
    <t>TOP 5 USSD SHORT CODES - Success Rate Trend</t>
  </si>
  <si>
    <t>KPI</t>
  </si>
  <si>
    <t>Overall USSD Session Success Rate</t>
  </si>
  <si>
    <t>USSD-APP01</t>
  </si>
  <si>
    <t>USSD-DB01</t>
  </si>
  <si>
    <t>USSD-DB02</t>
  </si>
  <si>
    <t>With no exclusion</t>
  </si>
  <si>
    <t>With  exclusion</t>
  </si>
  <si>
    <t>SMS Delivery Success Rate - P2P (overall)</t>
  </si>
  <si>
    <t>SMS Delivery Success Rate - P2P (5 sec)</t>
  </si>
  <si>
    <t>SMS Delivery Success Rate - P2P (10 sec)</t>
  </si>
  <si>
    <t>SMS Delivery Success Rate - P2P (15 sec)</t>
  </si>
  <si>
    <t>SMS Delivery Success Rate - P2P (60 sec)</t>
  </si>
  <si>
    <t>SMS Delivery Success Rate - P2P (180 sec)</t>
  </si>
  <si>
    <t>Comments</t>
  </si>
  <si>
    <t>Peak SMSC</t>
  </si>
  <si>
    <t>Peak USSD</t>
  </si>
  <si>
    <t>Peak IM</t>
  </si>
  <si>
    <t>Mobile Money 133</t>
  </si>
  <si>
    <t>SOS Credit 155</t>
  </si>
  <si>
    <t>CIS on VAS CLOUD 105</t>
  </si>
  <si>
    <t>Info Sport 422</t>
  </si>
  <si>
    <t>P2P Total</t>
  </si>
  <si>
    <t>P2P Success</t>
  </si>
  <si>
    <t>P2P Failure</t>
  </si>
  <si>
    <t>P2P Success Rate</t>
  </si>
  <si>
    <t>A2P Total</t>
  </si>
  <si>
    <t>A2P Success</t>
  </si>
  <si>
    <t>A2P Failure</t>
  </si>
  <si>
    <t>A2P Success Rate</t>
  </si>
  <si>
    <t>P2A Total</t>
  </si>
  <si>
    <t>P2A Success</t>
  </si>
  <si>
    <t>P2A Failure</t>
  </si>
  <si>
    <t>P2A Success Rate</t>
  </si>
  <si>
    <t>Point Product</t>
  </si>
  <si>
    <t>CIS Bundle 105</t>
  </si>
  <si>
    <t>OccAIR</t>
  </si>
  <si>
    <t>OccAIR01</t>
  </si>
  <si>
    <t>OccAIR02</t>
  </si>
  <si>
    <t>OccAIR03</t>
  </si>
  <si>
    <t>OccAIR04</t>
  </si>
  <si>
    <t>OccAIR05</t>
  </si>
  <si>
    <t>OccAIR7</t>
  </si>
  <si>
    <t>OccAIR8</t>
  </si>
  <si>
    <t>SMS Delivery Success Rate - A2P (overall)</t>
  </si>
  <si>
    <t>SMS Delivery Success Rate - P2A (overall)</t>
  </si>
  <si>
    <t>Date -&gt;</t>
  </si>
  <si>
    <t>USSD-APP02</t>
  </si>
  <si>
    <t>USSD-APP03</t>
  </si>
  <si>
    <t>USSD-APP04</t>
  </si>
  <si>
    <t>migrated to IM</t>
  </si>
  <si>
    <t>SMS TRAFFIC STATS VAS CLOUD (With No Exclusion)</t>
  </si>
  <si>
    <t>94.54</t>
  </si>
  <si>
    <t>95.04</t>
  </si>
  <si>
    <t>94.88</t>
  </si>
  <si>
    <t>94.66</t>
  </si>
  <si>
    <t>94.64</t>
  </si>
  <si>
    <t>94.55</t>
  </si>
  <si>
    <t>93.57</t>
  </si>
  <si>
    <t>VAS CLOUD (License 10000)</t>
  </si>
  <si>
    <t>99.99</t>
  </si>
  <si>
    <t>99.97</t>
  </si>
  <si>
    <t>99.96</t>
  </si>
  <si>
    <t>N/A</t>
  </si>
  <si>
    <t>95.2</t>
  </si>
  <si>
    <t>99.94</t>
  </si>
  <si>
    <t>94.17</t>
  </si>
  <si>
    <t>95.55</t>
  </si>
  <si>
    <t>72.83</t>
  </si>
  <si>
    <t>75.07</t>
  </si>
  <si>
    <t>77.83</t>
  </si>
  <si>
    <t>74.51</t>
  </si>
  <si>
    <t>95.69</t>
  </si>
  <si>
    <t>96.13</t>
  </si>
  <si>
    <t>97.21</t>
  </si>
  <si>
    <t>97.22</t>
  </si>
  <si>
    <t>95.85</t>
  </si>
  <si>
    <t>96.31</t>
  </si>
  <si>
    <t>74.98</t>
  </si>
  <si>
    <t>74.94</t>
  </si>
  <si>
    <t>79.1</t>
  </si>
  <si>
    <t>83.78</t>
  </si>
  <si>
    <t>73.89</t>
  </si>
  <si>
    <t>75.93</t>
  </si>
  <si>
    <t>99.95</t>
  </si>
  <si>
    <t>99.98</t>
  </si>
  <si>
    <t>success</t>
  </si>
  <si>
    <t>CP error</t>
  </si>
  <si>
    <t>usssd success rate including all error</t>
  </si>
  <si>
    <t>ussd success rate (excluding errors)</t>
  </si>
  <si>
    <t>Total hiTs</t>
  </si>
  <si>
    <t xml:space="preserve"> 	99.98 </t>
  </si>
  <si>
    <t xml:space="preserve"> 	99.97</t>
  </si>
  <si>
    <t xml:space="preserve"> 	99.53 </t>
  </si>
  <si>
    <t>With Customer Behaviour</t>
  </si>
  <si>
    <t>Without Customer and Network Behaviour</t>
  </si>
  <si>
    <t>SMS Delivery Success Rate - OccAIR (overall)</t>
  </si>
  <si>
    <t>Service Usage Notification Delivery Success Rate 
(OCC Air)</t>
  </si>
  <si>
    <t>`100</t>
  </si>
  <si>
    <t xml:space="preserve"> 	23.88</t>
  </si>
  <si>
    <t xml:space="preserve"> 	99.87</t>
  </si>
  <si>
    <t xml:space="preserve"> 	99.94</t>
  </si>
  <si>
    <t>P2P</t>
  </si>
  <si>
    <t>P2A</t>
  </si>
  <si>
    <t>A2P</t>
  </si>
  <si>
    <t>SMS TPS</t>
  </si>
  <si>
    <t>USSD TPS</t>
  </si>
  <si>
    <t>IM TPS</t>
  </si>
  <si>
    <t xml:space="preserve">success  </t>
  </si>
  <si>
    <t xml:space="preserve"> failure </t>
  </si>
  <si>
    <t xml:space="preserve"> total    </t>
  </si>
  <si>
    <t xml:space="preserve"> success  Rate</t>
  </si>
  <si>
    <t>Total(Mn)</t>
  </si>
  <si>
    <t xml:space="preserve">Dated      </t>
  </si>
  <si>
    <t xml:space="preserve"> Peak_TPS </t>
  </si>
  <si>
    <t xml:space="preserve"> Max_Allowed </t>
  </si>
  <si>
    <t xml:space="preserve"> Avg_TPS  </t>
  </si>
  <si>
    <t xml:space="preserve">day        </t>
  </si>
  <si>
    <t xml:space="preserve"> Error_desc                                      </t>
  </si>
  <si>
    <t xml:space="preserve"> Error_Count</t>
  </si>
  <si>
    <t>Absent Subscriber for SM - IMSI Detach</t>
  </si>
  <si>
    <t>Unknown Errors</t>
  </si>
  <si>
    <t>Unknown Subscriber</t>
  </si>
  <si>
    <t>Absent Subscriber for SM - Restricted Area</t>
  </si>
  <si>
    <t>SS Incompatible</t>
  </si>
  <si>
    <t>HLR/MSC Timeout</t>
  </si>
  <si>
    <t xml:space="preserve">MAP P Abort - - PROVIDER_MALFUNCTION </t>
  </si>
  <si>
    <t xml:space="preserve">Tele Service Not Provisioned </t>
  </si>
  <si>
    <t>Unidentified Subscriber</t>
  </si>
  <si>
    <t>SMPP - Account not connected</t>
  </si>
  <si>
    <t>Roaming Not Allowed</t>
  </si>
  <si>
    <t>Timeout at SRI</t>
  </si>
  <si>
    <t xml:space="preserve"> Absent Subscriber for SM - IMSI Detach      </t>
  </si>
  <si>
    <t xml:space="preserve"> Absent Subscriber for SM - IMSI Detach     </t>
  </si>
  <si>
    <t xml:space="preserve"> Unknown Subscriber</t>
  </si>
  <si>
    <t xml:space="preserve"> Absent Subscriber for SM - Restricted Area</t>
  </si>
  <si>
    <t xml:space="preserve"> Absent Subscriber for SM - Restricted Area        </t>
  </si>
  <si>
    <t xml:space="preserve"> SM Delivery Fail - Memory Capacity Exceeded    </t>
  </si>
  <si>
    <t>UDT Errors</t>
  </si>
  <si>
    <t xml:space="preserve"> Unknown Subscriber </t>
  </si>
  <si>
    <t xml:space="preserve"> SM Delivery Fail - Equipment Protocol Err      </t>
  </si>
  <si>
    <t xml:space="preserve"> Absent Subscriber for SM - IMSI Detach  </t>
  </si>
  <si>
    <t xml:space="preserve"> Absent Subscriber for SM - Restricted Area     </t>
  </si>
  <si>
    <t>Spamming error</t>
  </si>
  <si>
    <t>MSC/HLR Timeout</t>
  </si>
  <si>
    <t xml:space="preserve"> Absent Subscriber for SM       </t>
  </si>
  <si>
    <t>SM Delivery Fail - Equipment Protocol Err</t>
  </si>
  <si>
    <t>MAP P Abort - - PROVIDER_MALFUNCTION</t>
  </si>
  <si>
    <t xml:space="preserve">Illegal SS Operation      </t>
  </si>
  <si>
    <t xml:space="preserve"> Absent Subscriber for SM - Restricted Area </t>
  </si>
  <si>
    <t xml:space="preserve"> HLR/MSC Timeout  </t>
  </si>
  <si>
    <t xml:space="preserve">SS Incompatible  </t>
  </si>
  <si>
    <t xml:space="preserve"> Absent Subscriber for SM - Restricted Area  </t>
  </si>
  <si>
    <t xml:space="preserve">MAP P Abort - - PROVIDER_MALFUNCTION    </t>
  </si>
  <si>
    <t>SM Delivery Fail - Memory Capacity Exceeded</t>
  </si>
  <si>
    <t>Absent Subscriber for MT</t>
  </si>
  <si>
    <t xml:space="preserve"> Tele Service Not Provisioned                                                               </t>
  </si>
  <si>
    <t xml:space="preserve"> SS Incompatible                                                                            </t>
  </si>
  <si>
    <t xml:space="preserve"> Absent Subscriber for MT</t>
  </si>
  <si>
    <t>MTS Indication Firewall Response Timeout</t>
  </si>
  <si>
    <t>UDTS Error</t>
  </si>
  <si>
    <t>SMPP - Account Based List Full</t>
  </si>
  <si>
    <t>M Delivery Fail - Memory Capacity Exceeded</t>
  </si>
  <si>
    <t>AbsentSubscriberforSM-IMSIDetach</t>
  </si>
  <si>
    <t>SMPP-Accountnotconnected</t>
  </si>
  <si>
    <t>UnknownSubscriber</t>
  </si>
  <si>
    <t>AbsentSubscriberforSM-RestrictedArea</t>
  </si>
  <si>
    <t>UnknownErrors</t>
  </si>
  <si>
    <t>SMDeliveryFail-MemoryCapacityExceeded</t>
  </si>
  <si>
    <t>UDTSError</t>
  </si>
  <si>
    <t>IllegalSubscriber</t>
  </si>
  <si>
    <t>SMDeliveryFail-EquipmentProtocolErr</t>
  </si>
  <si>
    <t xml:space="preserve">SMPP - Account not connected </t>
  </si>
  <si>
    <t>TeleServiceNotProvisioned</t>
  </si>
  <si>
    <t>MAPPAbort--PROVIDER_MALFUNCTION</t>
  </si>
  <si>
    <t>Spamming Error</t>
  </si>
  <si>
    <t>No Error</t>
  </si>
  <si>
    <t>MAPPABORTFW</t>
  </si>
  <si>
    <t>SMPP-AccountBasedListFull</t>
  </si>
  <si>
    <t>FacilityNotSupported</t>
  </si>
  <si>
    <t>AbsentSubscriberforMT</t>
  </si>
  <si>
    <t>CallBarred</t>
  </si>
  <si>
    <t>UnidentifiedSubscriber</t>
  </si>
  <si>
    <t>no error</t>
  </si>
  <si>
    <t>ewpmom</t>
  </si>
  <si>
    <t>Neon-Dx01</t>
  </si>
  <si>
    <t>upstream</t>
  </si>
  <si>
    <t>MADAPI03</t>
  </si>
  <si>
    <t>70099                                                         344</t>
  </si>
  <si>
    <t>4026531874                                               158</t>
  </si>
  <si>
    <t>Dash&amp;Star</t>
  </si>
  <si>
    <t xml:space="preserve">Success </t>
  </si>
  <si>
    <t>Failures</t>
  </si>
  <si>
    <t>Total</t>
  </si>
  <si>
    <t>Success_per</t>
  </si>
  <si>
    <t xml:space="preserve">Charging Hits </t>
  </si>
  <si>
    <t>Total traffic</t>
  </si>
  <si>
    <t>Avg. hits per day</t>
  </si>
  <si>
    <t xml:space="preserve">reort not received </t>
  </si>
  <si>
    <t>133*6</t>
  </si>
  <si>
    <t>170*3</t>
  </si>
  <si>
    <t>105*9*1</t>
  </si>
  <si>
    <t>404(CRBT)</t>
  </si>
  <si>
    <t>Overall USSD</t>
  </si>
  <si>
    <t>Overall Error</t>
  </si>
  <si>
    <t>Success</t>
  </si>
  <si>
    <t>Failure</t>
  </si>
  <si>
    <t>Success Rate</t>
  </si>
  <si>
    <t xml:space="preserve">Total </t>
  </si>
  <si>
    <t>Uniq</t>
  </si>
  <si>
    <t>average number of session per customer</t>
  </si>
  <si>
    <t>Response timeout</t>
  </si>
  <si>
    <t>Empty response</t>
  </si>
  <si>
    <t>External application down</t>
  </si>
  <si>
    <t>HTTP error</t>
  </si>
  <si>
    <t>Invalid Input in Freeflow request</t>
  </si>
  <si>
    <t xml:space="preserve"> Session based charging failed</t>
  </si>
  <si>
    <t>Invalid application response</t>
  </si>
  <si>
    <t>Invalid nodes access</t>
  </si>
  <si>
    <t>Empty Response</t>
  </si>
  <si>
    <t>Session based charging failed</t>
  </si>
  <si>
    <t>Response timeout [External Application Timeout]</t>
  </si>
  <si>
    <t xml:space="preserve">    </t>
  </si>
  <si>
    <t xml:space="preserve"> </t>
  </si>
  <si>
    <t>Session Based Charging Failed</t>
  </si>
  <si>
    <t>MSISDN blocked</t>
  </si>
  <si>
    <t>No errors</t>
  </si>
  <si>
    <t>* Errors highlighted in green are user error.</t>
  </si>
  <si>
    <t>Without exclusion</t>
  </si>
  <si>
    <t>Success Rate P2P (overall with exclusion)</t>
  </si>
  <si>
    <t>Total P2P</t>
  </si>
  <si>
    <t>P2P overall - P2P 60 sec</t>
  </si>
  <si>
    <t>New total P2P</t>
  </si>
  <si>
    <t>With exclusion</t>
  </si>
  <si>
    <t>Differed Delay</t>
  </si>
  <si>
    <t>'Success %'</t>
  </si>
  <si>
    <t>05 sec</t>
  </si>
  <si>
    <t xml:space="preserve">10 sec </t>
  </si>
  <si>
    <t>ARTCI TARGET 15 sec (&gt;=95%)</t>
  </si>
  <si>
    <t>60 sec (&gt;=98,5%)</t>
  </si>
  <si>
    <t>ARTCI TARGET 180 sec (&gt;=98%)</t>
  </si>
  <si>
    <t>#P2P</t>
  </si>
  <si>
    <t xml:space="preserve">P2P </t>
  </si>
  <si>
    <t>#A2P</t>
  </si>
  <si>
    <t>Error_Description</t>
  </si>
  <si>
    <t>Count</t>
  </si>
  <si>
    <t>Error Rate(%)</t>
  </si>
  <si>
    <t>#P2A</t>
  </si>
  <si>
    <t>Absent Subscriber</t>
  </si>
  <si>
    <t>Others</t>
  </si>
  <si>
    <t>Tele Service Not Provisioned</t>
  </si>
  <si>
    <t>Call Barred</t>
  </si>
  <si>
    <t>MAP P ABORT FW</t>
  </si>
  <si>
    <t>Network System Failure</t>
  </si>
  <si>
    <t>Subscriber Busy for MT</t>
  </si>
  <si>
    <t>Provider Error Service Completion Failure</t>
  </si>
  <si>
    <t>Facility Not Supported</t>
  </si>
  <si>
    <t>Illegal Subscriber</t>
  </si>
  <si>
    <t>SM Delivery Fail - EQuipmet Not SM-Supported</t>
  </si>
  <si>
    <t>MAP P Abort</t>
  </si>
  <si>
    <t>HLR/MSC Timeout fw</t>
  </si>
  <si>
    <t>Délivré</t>
  </si>
  <si>
    <t>Non délivré</t>
  </si>
  <si>
    <t>no exclusion %</t>
  </si>
  <si>
    <t>exclusion %</t>
  </si>
  <si>
    <t>Invalid Application response</t>
  </si>
  <si>
    <t xml:space="preserve"> 	99.24</t>
  </si>
  <si>
    <t>USSD SC 432 &amp; 296  Complete traffic failing due to  HTTP Error .</t>
  </si>
  <si>
    <t>Stack/Sig Cannot deliver Message</t>
  </si>
  <si>
    <t>99.04</t>
  </si>
  <si>
    <t>Stack/Sig Error Map Unrecognised Transaction ID</t>
  </si>
  <si>
    <t>Unknown Equipment</t>
  </si>
  <si>
    <t>Unexpected Data</t>
  </si>
  <si>
    <t>Unknown Base Station</t>
  </si>
  <si>
    <t>Error Forward Violation</t>
  </si>
  <si>
    <t>HLR/MSCTimeout</t>
  </si>
  <si>
    <t>MTN CDI Daily Report 11th Aug 2024</t>
  </si>
  <si>
    <t>Provider Error Mistyped Paramter</t>
  </si>
  <si>
    <t xml:space="preserve"> KPIs are in trend.</t>
  </si>
  <si>
    <t>CP User Neon-Dx01 performance slightly degraded due to error "Absent Subscriber for SM - IMSI Detach".</t>
  </si>
  <si>
    <t>USSD KPI performance slightly degraded due to CP douhau traffic failure with response timeout error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</si>
</sst>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_-;\-* #,##0_-;_-* &quot;-&quot;_-;_-@_-"/>
    <numFmt numFmtId="165" formatCode="0.000"/>
    <numFmt numFmtId="166" formatCode="#,##0.00\ _€"/>
    <numFmt numFmtId="167" formatCode="0.0000"/>
    <numFmt numFmtId="168" formatCode="[$-409]d/mmm;@"/>
    <numFmt numFmtId="169" formatCode="0.0"/>
    <numFmt numFmtId="170" formatCode="_-* #,##0\ _C_F_A_-;\-* #,##0\ _C_F_A_-;_-* &quot;-&quot;??\ _C_F_A_-;_-@_-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Times New Roman"/>
      <family val="1"/>
    </font>
    <font>
      <sz val="11"/>
      <color rgb="FF242424"/>
      <name val="Segoe UI"/>
      <family val="2"/>
    </font>
    <font>
      <sz val="9"/>
      <name val="Arial"/>
      <family val="2"/>
    </font>
    <font>
      <sz val="11"/>
      <color theme="1"/>
      <name val="Apto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2"/>
      <color theme="1"/>
      <name val="Aptos"/>
      <family val="2"/>
    </font>
    <font>
      <sz val="11"/>
      <color theme="1"/>
      <name val="Aptos Narrow"/>
      <family val="2"/>
    </font>
    <font>
      <sz val="11"/>
      <color rgb="FF000000"/>
      <name val="Segoe UI"/>
      <family val="2"/>
    </font>
  </fonts>
  <fills count="5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1F6F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7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6">
    <xf numFmtId="0" fontId="0" fillId="0" borderId="0"/>
    <xf numFmtId="0" fontId="6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50" applyNumberFormat="0" applyFill="0" applyAlignment="0" applyProtection="0"/>
    <xf numFmtId="0" fontId="16" fillId="0" borderId="51" applyNumberFormat="0" applyFill="0" applyAlignment="0" applyProtection="0"/>
    <xf numFmtId="0" fontId="17" fillId="0" borderId="52" applyNumberFormat="0" applyFill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27" borderId="0" applyNumberFormat="0" applyBorder="0" applyAlignment="0" applyProtection="0"/>
    <xf numFmtId="0" fontId="20" fillId="28" borderId="0" applyNumberFormat="0" applyBorder="0" applyAlignment="0" applyProtection="0"/>
    <xf numFmtId="0" fontId="21" fillId="29" borderId="53" applyNumberFormat="0" applyAlignment="0" applyProtection="0"/>
    <xf numFmtId="0" fontId="22" fillId="30" borderId="54" applyNumberFormat="0" applyAlignment="0" applyProtection="0"/>
    <xf numFmtId="0" fontId="23" fillId="30" borderId="53" applyNumberFormat="0" applyAlignment="0" applyProtection="0"/>
    <xf numFmtId="0" fontId="24" fillId="0" borderId="55" applyNumberFormat="0" applyFill="0" applyAlignment="0" applyProtection="0"/>
    <xf numFmtId="0" fontId="5" fillId="31" borderId="56" applyNumberFormat="0" applyAlignment="0" applyProtection="0"/>
    <xf numFmtId="0" fontId="25" fillId="0" borderId="0" applyNumberFormat="0" applyFill="0" applyBorder="0" applyAlignment="0" applyProtection="0"/>
    <xf numFmtId="0" fontId="8" fillId="32" borderId="57" applyNumberFormat="0" applyFont="0" applyAlignment="0" applyProtection="0"/>
    <xf numFmtId="0" fontId="26" fillId="0" borderId="0" applyNumberFormat="0" applyFill="0" applyBorder="0" applyAlignment="0" applyProtection="0"/>
    <xf numFmtId="0" fontId="1" fillId="0" borderId="58" applyNumberFormat="0" applyFill="0" applyAlignment="0" applyProtection="0"/>
    <xf numFmtId="0" fontId="27" fillId="33" borderId="0" applyNumberFormat="0" applyBorder="0" applyAlignment="0" applyProtection="0"/>
    <xf numFmtId="0" fontId="8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27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27" fillId="41" borderId="0" applyNumberFormat="0" applyBorder="0" applyAlignment="0" applyProtection="0"/>
    <xf numFmtId="0" fontId="8" fillId="42" borderId="0" applyNumberFormat="0" applyBorder="0" applyAlignment="0" applyProtection="0"/>
    <xf numFmtId="0" fontId="8" fillId="43" borderId="0" applyNumberFormat="0" applyBorder="0" applyAlignment="0" applyProtection="0"/>
    <xf numFmtId="0" fontId="8" fillId="44" borderId="0" applyNumberFormat="0" applyBorder="0" applyAlignment="0" applyProtection="0"/>
    <xf numFmtId="0" fontId="27" fillId="45" borderId="0" applyNumberFormat="0" applyBorder="0" applyAlignment="0" applyProtection="0"/>
    <xf numFmtId="0" fontId="8" fillId="46" borderId="0" applyNumberFormat="0" applyBorder="0" applyAlignment="0" applyProtection="0"/>
    <xf numFmtId="0" fontId="8" fillId="47" borderId="0" applyNumberFormat="0" applyBorder="0" applyAlignment="0" applyProtection="0"/>
    <xf numFmtId="0" fontId="8" fillId="48" borderId="0" applyNumberFormat="0" applyBorder="0" applyAlignment="0" applyProtection="0"/>
    <xf numFmtId="0" fontId="27" fillId="49" borderId="0" applyNumberFormat="0" applyBorder="0" applyAlignment="0" applyProtection="0"/>
    <xf numFmtId="0" fontId="8" fillId="50" borderId="0" applyNumberFormat="0" applyBorder="0" applyAlignment="0" applyProtection="0"/>
    <xf numFmtId="0" fontId="8" fillId="51" borderId="0" applyNumberFormat="0" applyBorder="0" applyAlignment="0" applyProtection="0"/>
    <xf numFmtId="0" fontId="8" fillId="52" borderId="0" applyNumberFormat="0" applyBorder="0" applyAlignment="0" applyProtection="0"/>
    <xf numFmtId="0" fontId="27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5" borderId="0" applyNumberFormat="0" applyBorder="0" applyAlignment="0" applyProtection="0"/>
    <xf numFmtId="0" fontId="8" fillId="56" borderId="0" applyNumberFormat="0" applyBorder="0" applyAlignment="0" applyProtection="0"/>
    <xf numFmtId="164" fontId="8" fillId="0" borderId="0" applyFont="0" applyFill="0" applyBorder="0" applyAlignment="0" applyProtection="0"/>
  </cellStyleXfs>
  <cellXfs count="396"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7" borderId="2" xfId="0" applyFill="1" applyBorder="1"/>
    <xf numFmtId="0" fontId="0" fillId="7" borderId="2" xfId="0" applyFill="1" applyBorder="1" applyAlignment="1">
      <alignment horizontal="center"/>
    </xf>
    <xf numFmtId="15" fontId="0" fillId="0" borderId="15" xfId="0" applyNumberFormat="1" applyBorder="1"/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0" fillId="7" borderId="16" xfId="0" applyFill="1" applyBorder="1" applyAlignment="1">
      <alignment horizontal="center"/>
    </xf>
    <xf numFmtId="0" fontId="0" fillId="5" borderId="1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5" fontId="0" fillId="12" borderId="15" xfId="0" applyNumberFormat="1" applyFill="1" applyBorder="1"/>
    <xf numFmtId="15" fontId="0" fillId="12" borderId="2" xfId="0" applyNumberForma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7" borderId="4" xfId="0" applyFill="1" applyBorder="1"/>
    <xf numFmtId="0" fontId="0" fillId="7" borderId="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3" fillId="4" borderId="26" xfId="0" applyFont="1" applyFill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/>
    </xf>
    <xf numFmtId="0" fontId="3" fillId="4" borderId="28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2" borderId="2" xfId="0" applyFill="1" applyBorder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3" fillId="4" borderId="31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10" borderId="25" xfId="0" applyFill="1" applyBorder="1" applyAlignment="1">
      <alignment horizontal="left" vertical="top"/>
    </xf>
    <xf numFmtId="0" fontId="0" fillId="10" borderId="34" xfId="0" applyFill="1" applyBorder="1" applyAlignment="1">
      <alignment horizontal="left" vertical="top"/>
    </xf>
    <xf numFmtId="0" fontId="0" fillId="9" borderId="25" xfId="0" applyFill="1" applyBorder="1" applyAlignment="1">
      <alignment horizontal="left" vertical="top"/>
    </xf>
    <xf numFmtId="0" fontId="0" fillId="9" borderId="34" xfId="0" applyFill="1" applyBorder="1" applyAlignment="1">
      <alignment horizontal="left" vertical="top"/>
    </xf>
    <xf numFmtId="0" fontId="0" fillId="8" borderId="25" xfId="0" applyFill="1" applyBorder="1" applyAlignment="1">
      <alignment horizontal="left" vertical="top"/>
    </xf>
    <xf numFmtId="0" fontId="0" fillId="8" borderId="34" xfId="0" applyFill="1" applyBorder="1" applyAlignment="1">
      <alignment horizontal="left" vertical="top"/>
    </xf>
    <xf numFmtId="0" fontId="0" fillId="15" borderId="25" xfId="0" applyFill="1" applyBorder="1" applyAlignment="1">
      <alignment horizontal="left" vertical="top"/>
    </xf>
    <xf numFmtId="0" fontId="0" fillId="10" borderId="35" xfId="0" applyFill="1" applyBorder="1" applyAlignment="1">
      <alignment horizontal="left" vertical="top"/>
    </xf>
    <xf numFmtId="0" fontId="0" fillId="10" borderId="36" xfId="0" applyFill="1" applyBorder="1" applyAlignment="1">
      <alignment horizontal="left" vertical="top"/>
    </xf>
    <xf numFmtId="0" fontId="0" fillId="8" borderId="2" xfId="0" applyFill="1" applyBorder="1" applyAlignment="1">
      <alignment horizontal="left" vertical="top"/>
    </xf>
    <xf numFmtId="0" fontId="5" fillId="16" borderId="2" xfId="0" applyFont="1" applyFill="1" applyBorder="1" applyAlignment="1">
      <alignment horizontal="left" vertical="center"/>
    </xf>
    <xf numFmtId="2" fontId="0" fillId="0" borderId="2" xfId="0" applyNumberFormat="1" applyBorder="1"/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1" xfId="0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/>
    <xf numFmtId="14" fontId="0" fillId="2" borderId="29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2" xfId="2" applyFont="1" applyBorder="1" applyAlignment="1">
      <alignment horizontal="center"/>
    </xf>
    <xf numFmtId="164" fontId="0" fillId="0" borderId="2" xfId="2" applyFont="1" applyBorder="1" applyAlignment="1">
      <alignment horizontal="center" vertical="center" wrapText="1"/>
    </xf>
    <xf numFmtId="164" fontId="0" fillId="18" borderId="2" xfId="2" applyFont="1" applyFill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 wrapText="1"/>
    </xf>
    <xf numFmtId="2" fontId="0" fillId="7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2" fontId="0" fillId="17" borderId="2" xfId="0" applyNumberFormat="1" applyFill="1" applyBorder="1" applyAlignment="1">
      <alignment horizontal="center"/>
    </xf>
    <xf numFmtId="2" fontId="0" fillId="0" borderId="2" xfId="0" applyNumberFormat="1" applyBorder="1" applyAlignment="1">
      <alignment horizontal="center" vertical="center" wrapText="1"/>
    </xf>
    <xf numFmtId="14" fontId="0" fillId="0" borderId="0" xfId="0" applyNumberFormat="1"/>
    <xf numFmtId="2" fontId="0" fillId="0" borderId="2" xfId="0" applyNumberFormat="1" applyBorder="1" applyAlignment="1">
      <alignment horizontal="center"/>
    </xf>
    <xf numFmtId="2" fontId="0" fillId="0" borderId="16" xfId="0" applyNumberFormat="1" applyBorder="1" applyAlignment="1">
      <alignment horizontal="center" vertical="center"/>
    </xf>
    <xf numFmtId="2" fontId="0" fillId="7" borderId="16" xfId="0" applyNumberFormat="1" applyFill="1" applyBorder="1" applyAlignment="1">
      <alignment horizontal="center" vertical="center"/>
    </xf>
    <xf numFmtId="0" fontId="0" fillId="0" borderId="38" xfId="0" applyBorder="1" applyAlignment="1">
      <alignment vertical="center" wrapText="1"/>
    </xf>
    <xf numFmtId="14" fontId="0" fillId="0" borderId="38" xfId="0" applyNumberFormat="1" applyBorder="1" applyAlignment="1">
      <alignment vertical="center" wrapText="1"/>
    </xf>
    <xf numFmtId="14" fontId="0" fillId="2" borderId="2" xfId="0" applyNumberFormat="1" applyFill="1" applyBorder="1" applyAlignment="1">
      <alignment horizontal="center" vertical="center"/>
    </xf>
    <xf numFmtId="14" fontId="0" fillId="2" borderId="16" xfId="0" applyNumberFormat="1" applyFill="1" applyBorder="1" applyAlignment="1">
      <alignment horizontal="center" vertical="center"/>
    </xf>
    <xf numFmtId="4" fontId="4" fillId="7" borderId="2" xfId="0" applyNumberFormat="1" applyFont="1" applyFill="1" applyBorder="1" applyAlignment="1">
      <alignment horizontal="center" vertical="center" wrapText="1"/>
    </xf>
    <xf numFmtId="166" fontId="4" fillId="7" borderId="2" xfId="0" applyNumberFormat="1" applyFont="1" applyFill="1" applyBorder="1" applyAlignment="1">
      <alignment horizontal="center" vertical="center" wrapText="1"/>
    </xf>
    <xf numFmtId="166" fontId="4" fillId="7" borderId="2" xfId="0" applyNumberFormat="1" applyFont="1" applyFill="1" applyBorder="1" applyAlignment="1">
      <alignment horizontal="center"/>
    </xf>
    <xf numFmtId="166" fontId="4" fillId="7" borderId="16" xfId="0" applyNumberFormat="1" applyFont="1" applyFill="1" applyBorder="1" applyAlignment="1">
      <alignment horizontal="center"/>
    </xf>
    <xf numFmtId="2" fontId="0" fillId="7" borderId="2" xfId="0" applyNumberForma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 vertical="center" wrapText="1"/>
    </xf>
    <xf numFmtId="2" fontId="4" fillId="7" borderId="2" xfId="1" applyNumberFormat="1" applyFont="1" applyFill="1" applyBorder="1" applyAlignment="1">
      <alignment horizontal="center" vertical="center" wrapText="1"/>
    </xf>
    <xf numFmtId="2" fontId="4" fillId="7" borderId="2" xfId="0" applyNumberFormat="1" applyFont="1" applyFill="1" applyBorder="1" applyAlignment="1">
      <alignment horizontal="center"/>
    </xf>
    <xf numFmtId="2" fontId="0" fillId="0" borderId="2" xfId="0" applyNumberFormat="1" applyBorder="1" applyAlignment="1">
      <alignment horizontal="right" vertical="center"/>
    </xf>
    <xf numFmtId="0" fontId="0" fillId="0" borderId="38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9" xfId="0" applyBorder="1" applyAlignment="1">
      <alignment horizontal="center" vertical="center" wrapText="1"/>
    </xf>
    <xf numFmtId="0" fontId="0" fillId="0" borderId="16" xfId="0" applyBorder="1" applyAlignment="1">
      <alignment horizontal="center" wrapText="1"/>
    </xf>
    <xf numFmtId="2" fontId="0" fillId="0" borderId="16" xfId="0" applyNumberFormat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167" fontId="0" fillId="0" borderId="2" xfId="0" applyNumberFormat="1" applyBorder="1" applyAlignment="1">
      <alignment horizontal="center" vertical="center"/>
    </xf>
    <xf numFmtId="0" fontId="0" fillId="0" borderId="40" xfId="0" applyBorder="1" applyAlignment="1">
      <alignment vertical="center" wrapText="1"/>
    </xf>
    <xf numFmtId="2" fontId="0" fillId="0" borderId="38" xfId="0" applyNumberFormat="1" applyBorder="1" applyAlignment="1">
      <alignment horizontal="center" vertical="center" wrapText="1"/>
    </xf>
    <xf numFmtId="2" fontId="0" fillId="0" borderId="39" xfId="0" applyNumberFormat="1" applyBorder="1" applyAlignment="1">
      <alignment horizontal="center" vertical="center" wrapText="1"/>
    </xf>
    <xf numFmtId="14" fontId="0" fillId="19" borderId="29" xfId="0" applyNumberFormat="1" applyFill="1" applyBorder="1" applyAlignment="1">
      <alignment horizontal="center" vertical="center"/>
    </xf>
    <xf numFmtId="0" fontId="0" fillId="15" borderId="37" xfId="0" applyFill="1" applyBorder="1" applyAlignment="1">
      <alignment horizontal="left" vertical="top"/>
    </xf>
    <xf numFmtId="0" fontId="0" fillId="8" borderId="16" xfId="0" applyFill="1" applyBorder="1" applyAlignment="1">
      <alignment horizontal="left" vertical="top"/>
    </xf>
    <xf numFmtId="2" fontId="0" fillId="0" borderId="7" xfId="0" applyNumberFormat="1" applyBorder="1" applyAlignment="1">
      <alignment horizontal="center" vertical="center"/>
    </xf>
    <xf numFmtId="0" fontId="9" fillId="0" borderId="38" xfId="0" applyFont="1" applyBorder="1" applyAlignment="1">
      <alignment horizontal="center" vertical="center" wrapText="1"/>
    </xf>
    <xf numFmtId="0" fontId="9" fillId="0" borderId="39" xfId="0" applyFont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3" fillId="4" borderId="41" xfId="0" applyFont="1" applyFill="1" applyBorder="1" applyAlignment="1">
      <alignment horizontal="center" vertical="center"/>
    </xf>
    <xf numFmtId="15" fontId="0" fillId="0" borderId="32" xfId="0" applyNumberFormat="1" applyBorder="1"/>
    <xf numFmtId="15" fontId="0" fillId="0" borderId="2" xfId="0" applyNumberFormat="1" applyBorder="1"/>
    <xf numFmtId="0" fontId="0" fillId="0" borderId="0" xfId="0" applyAlignment="1">
      <alignment horizontal="right"/>
    </xf>
    <xf numFmtId="2" fontId="0" fillId="0" borderId="42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0" fontId="10" fillId="0" borderId="0" xfId="0" applyFont="1"/>
    <xf numFmtId="16" fontId="0" fillId="0" borderId="0" xfId="0" applyNumberFormat="1" applyAlignment="1">
      <alignment horizontal="center"/>
    </xf>
    <xf numFmtId="2" fontId="9" fillId="0" borderId="2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0" fontId="0" fillId="21" borderId="0" xfId="0" applyFill="1"/>
    <xf numFmtId="0" fontId="0" fillId="22" borderId="0" xfId="0" applyFill="1"/>
    <xf numFmtId="2" fontId="0" fillId="0" borderId="43" xfId="0" applyNumberFormat="1" applyBorder="1" applyAlignment="1">
      <alignment horizontal="center" vertical="center"/>
    </xf>
    <xf numFmtId="0" fontId="0" fillId="23" borderId="0" xfId="0" applyFill="1"/>
    <xf numFmtId="0" fontId="9" fillId="17" borderId="2" xfId="0" applyFont="1" applyFill="1" applyBorder="1" applyAlignment="1">
      <alignment horizontal="center" vertical="center" wrapText="1"/>
    </xf>
    <xf numFmtId="15" fontId="0" fillId="0" borderId="44" xfId="0" applyNumberFormat="1" applyBorder="1"/>
    <xf numFmtId="0" fontId="0" fillId="0" borderId="29" xfId="0" applyBorder="1" applyAlignment="1">
      <alignment horizontal="center"/>
    </xf>
    <xf numFmtId="2" fontId="0" fillId="0" borderId="45" xfId="0" applyNumberFormat="1" applyBorder="1" applyAlignment="1">
      <alignment horizontal="center"/>
    </xf>
    <xf numFmtId="1" fontId="0" fillId="0" borderId="43" xfId="0" applyNumberFormat="1" applyBorder="1" applyAlignment="1">
      <alignment horizontal="center" vertical="center"/>
    </xf>
    <xf numFmtId="0" fontId="0" fillId="17" borderId="2" xfId="0" applyFill="1" applyBorder="1"/>
    <xf numFmtId="14" fontId="0" fillId="0" borderId="2" xfId="0" applyNumberFormat="1" applyBorder="1" applyAlignment="1">
      <alignment vertical="center" wrapText="1"/>
    </xf>
    <xf numFmtId="15" fontId="0" fillId="0" borderId="2" xfId="0" applyNumberFormat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1" fillId="8" borderId="9" xfId="0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14" xfId="0" applyFont="1" applyFill="1" applyBorder="1" applyAlignment="1">
      <alignment horizontal="center"/>
    </xf>
    <xf numFmtId="16" fontId="0" fillId="0" borderId="0" xfId="0" applyNumberFormat="1"/>
    <xf numFmtId="2" fontId="0" fillId="0" borderId="2" xfId="0" applyNumberFormat="1" applyBorder="1" applyAlignment="1">
      <alignment vertical="center" wrapText="1"/>
    </xf>
    <xf numFmtId="2" fontId="9" fillId="0" borderId="2" xfId="0" applyNumberFormat="1" applyFont="1" applyBorder="1" applyAlignment="1">
      <alignment vertical="center" wrapText="1"/>
    </xf>
    <xf numFmtId="2" fontId="0" fillId="0" borderId="2" xfId="0" applyNumberFormat="1" applyBorder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16" xfId="0" applyNumberFormat="1" applyBorder="1"/>
    <xf numFmtId="2" fontId="0" fillId="0" borderId="16" xfId="0" applyNumberFormat="1" applyBorder="1" applyAlignment="1">
      <alignment vertical="center" wrapText="1"/>
    </xf>
    <xf numFmtId="0" fontId="3" fillId="4" borderId="46" xfId="0" applyFont="1" applyFill="1" applyBorder="1" applyAlignment="1">
      <alignment horizontal="center" vertical="center"/>
    </xf>
    <xf numFmtId="0" fontId="3" fillId="4" borderId="47" xfId="0" applyFont="1" applyFill="1" applyBorder="1" applyAlignment="1">
      <alignment horizontal="right" vertical="center"/>
    </xf>
    <xf numFmtId="0" fontId="9" fillId="0" borderId="48" xfId="0" applyFont="1" applyBorder="1" applyAlignment="1">
      <alignment horizontal="center" vertical="center" wrapText="1"/>
    </xf>
    <xf numFmtId="15" fontId="0" fillId="0" borderId="32" xfId="0" applyNumberFormat="1" applyBorder="1" applyAlignment="1">
      <alignment horizontal="center"/>
    </xf>
    <xf numFmtId="15" fontId="0" fillId="0" borderId="15" xfId="0" applyNumberFormat="1" applyBorder="1" applyAlignment="1">
      <alignment horizontal="center"/>
    </xf>
    <xf numFmtId="14" fontId="0" fillId="2" borderId="37" xfId="0" applyNumberFormat="1" applyFill="1" applyBorder="1" applyAlignment="1">
      <alignment horizontal="center" vertical="center"/>
    </xf>
    <xf numFmtId="14" fontId="0" fillId="2" borderId="49" xfId="0" applyNumberForma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9" fillId="10" borderId="2" xfId="0" applyFont="1" applyFill="1" applyBorder="1" applyAlignment="1">
      <alignment horizontal="center" vertical="center" wrapText="1"/>
    </xf>
    <xf numFmtId="0" fontId="11" fillId="24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wrapText="1"/>
    </xf>
    <xf numFmtId="164" fontId="0" fillId="18" borderId="2" xfId="2" applyFont="1" applyFill="1" applyBorder="1" applyAlignment="1">
      <alignment horizontal="center" wrapText="1"/>
    </xf>
    <xf numFmtId="164" fontId="0" fillId="0" borderId="2" xfId="2" applyFont="1" applyBorder="1" applyAlignment="1">
      <alignment horizontal="center" wrapText="1"/>
    </xf>
    <xf numFmtId="0" fontId="9" fillId="17" borderId="2" xfId="0" applyFont="1" applyFill="1" applyBorder="1" applyAlignment="1">
      <alignment horizontal="center" wrapText="1"/>
    </xf>
    <xf numFmtId="0" fontId="0" fillId="17" borderId="2" xfId="0" applyFill="1" applyBorder="1" applyAlignment="1">
      <alignment horizontal="center"/>
    </xf>
    <xf numFmtId="0" fontId="0" fillId="17" borderId="2" xfId="0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/>
    </xf>
    <xf numFmtId="16" fontId="1" fillId="25" borderId="0" xfId="0" applyNumberFormat="1" applyFont="1" applyFill="1"/>
    <xf numFmtId="2" fontId="0" fillId="0" borderId="2" xfId="3" applyNumberFormat="1" applyFont="1" applyBorder="1" applyAlignment="1">
      <alignment horizontal="center"/>
    </xf>
    <xf numFmtId="0" fontId="0" fillId="0" borderId="2" xfId="0" applyBorder="1" applyAlignment="1">
      <alignment vertical="center"/>
    </xf>
    <xf numFmtId="0" fontId="13" fillId="0" borderId="0" xfId="0" applyFont="1"/>
    <xf numFmtId="0" fontId="13" fillId="0" borderId="2" xfId="0" applyFont="1" applyBorder="1" applyAlignment="1">
      <alignment horizontal="center"/>
    </xf>
    <xf numFmtId="0" fontId="9" fillId="0" borderId="59" xfId="0" applyFont="1" applyBorder="1" applyAlignment="1">
      <alignment horizontal="center" vertical="center" wrapText="1"/>
    </xf>
    <xf numFmtId="15" fontId="0" fillId="12" borderId="2" xfId="0" applyNumberFormat="1" applyFill="1" applyBorder="1" applyAlignment="1">
      <alignment horizontal="center"/>
    </xf>
    <xf numFmtId="0" fontId="9" fillId="0" borderId="38" xfId="0" applyFont="1" applyBorder="1" applyAlignment="1">
      <alignment horizontal="right" vertical="center" wrapText="1"/>
    </xf>
    <xf numFmtId="2" fontId="0" fillId="0" borderId="0" xfId="0" applyNumberFormat="1" applyAlignment="1">
      <alignment horizontal="right"/>
    </xf>
    <xf numFmtId="0" fontId="0" fillId="0" borderId="22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2" xfId="0" applyNumberFormat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15" fontId="0" fillId="12" borderId="49" xfId="0" applyNumberFormat="1" applyFill="1" applyBorder="1"/>
    <xf numFmtId="15" fontId="0" fillId="12" borderId="29" xfId="0" applyNumberFormat="1" applyFill="1" applyBorder="1" applyAlignment="1">
      <alignment horizontal="center"/>
    </xf>
    <xf numFmtId="2" fontId="0" fillId="0" borderId="15" xfId="0" applyNumberFormat="1" applyBorder="1" applyAlignment="1">
      <alignment horizontal="center" vertical="center"/>
    </xf>
    <xf numFmtId="0" fontId="9" fillId="0" borderId="61" xfId="0" applyFont="1" applyBorder="1" applyAlignment="1">
      <alignment horizontal="center" vertical="center" wrapText="1"/>
    </xf>
    <xf numFmtId="16" fontId="1" fillId="25" borderId="2" xfId="0" applyNumberFormat="1" applyFont="1" applyFill="1" applyBorder="1" applyAlignment="1">
      <alignment horizontal="center"/>
    </xf>
    <xf numFmtId="16" fontId="1" fillId="25" borderId="16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right"/>
    </xf>
    <xf numFmtId="0" fontId="1" fillId="20" borderId="2" xfId="0" applyFont="1" applyFill="1" applyBorder="1" applyAlignment="1">
      <alignment horizontal="right"/>
    </xf>
    <xf numFmtId="0" fontId="0" fillId="0" borderId="0" xfId="0" applyAlignment="1">
      <alignment horizontal="center" vertical="center" wrapText="1"/>
    </xf>
    <xf numFmtId="1" fontId="0" fillId="0" borderId="2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9" fillId="0" borderId="29" xfId="0" applyFont="1" applyBorder="1" applyAlignment="1">
      <alignment horizontal="center" vertical="center" wrapText="1"/>
    </xf>
    <xf numFmtId="2" fontId="9" fillId="0" borderId="38" xfId="0" applyNumberFormat="1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0" fillId="2" borderId="2" xfId="0" applyFill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0" borderId="2" xfId="0" applyFont="1" applyBorder="1" applyAlignment="1">
      <alignment horizontal="center" vertical="center"/>
    </xf>
    <xf numFmtId="168" fontId="0" fillId="0" borderId="0" xfId="0" applyNumberFormat="1"/>
    <xf numFmtId="168" fontId="0" fillId="0" borderId="2" xfId="0" applyNumberFormat="1" applyBorder="1"/>
    <xf numFmtId="0" fontId="0" fillId="0" borderId="62" xfId="0" applyBorder="1"/>
    <xf numFmtId="0" fontId="0" fillId="0" borderId="0" xfId="0" applyAlignment="1">
      <alignment horizontal="left"/>
    </xf>
    <xf numFmtId="0" fontId="29" fillId="0" borderId="38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68" fontId="0" fillId="0" borderId="29" xfId="0" applyNumberFormat="1" applyBorder="1" applyAlignment="1">
      <alignment horizontal="center"/>
    </xf>
    <xf numFmtId="0" fontId="29" fillId="0" borderId="59" xfId="0" applyFont="1" applyBorder="1" applyAlignment="1">
      <alignment horizontal="center" vertical="center" wrapText="1"/>
    </xf>
    <xf numFmtId="2" fontId="0" fillId="0" borderId="29" xfId="0" applyNumberFormat="1" applyBorder="1" applyAlignment="1">
      <alignment horizontal="center"/>
    </xf>
    <xf numFmtId="0" fontId="29" fillId="0" borderId="2" xfId="0" applyFont="1" applyBorder="1" applyAlignment="1">
      <alignment vertical="center" wrapText="1"/>
    </xf>
    <xf numFmtId="0" fontId="30" fillId="0" borderId="2" xfId="0" applyFont="1" applyBorder="1" applyAlignment="1">
      <alignment horizontal="center"/>
    </xf>
    <xf numFmtId="2" fontId="29" fillId="0" borderId="38" xfId="0" applyNumberFormat="1" applyFont="1" applyBorder="1" applyAlignment="1">
      <alignment horizontal="center" vertical="center" wrapText="1"/>
    </xf>
    <xf numFmtId="2" fontId="29" fillId="0" borderId="2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2" fontId="29" fillId="0" borderId="59" xfId="0" applyNumberFormat="1" applyFont="1" applyBorder="1" applyAlignment="1">
      <alignment horizontal="center" vertical="center" wrapText="1"/>
    </xf>
    <xf numFmtId="16" fontId="0" fillId="0" borderId="2" xfId="0" applyNumberFormat="1" applyBorder="1" applyAlignment="1">
      <alignment horizontal="center"/>
    </xf>
    <xf numFmtId="16" fontId="0" fillId="0" borderId="2" xfId="0" applyNumberFormat="1" applyBorder="1"/>
    <xf numFmtId="0" fontId="30" fillId="0" borderId="2" xfId="0" applyFont="1" applyBorder="1"/>
    <xf numFmtId="2" fontId="30" fillId="0" borderId="2" xfId="0" applyNumberFormat="1" applyFont="1" applyBorder="1" applyAlignment="1">
      <alignment horizontal="center"/>
    </xf>
    <xf numFmtId="1" fontId="9" fillId="0" borderId="2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2" fontId="10" fillId="0" borderId="2" xfId="0" applyNumberFormat="1" applyFont="1" applyBorder="1" applyAlignment="1">
      <alignment horizontal="center" vertical="center" wrapText="1"/>
    </xf>
    <xf numFmtId="14" fontId="9" fillId="0" borderId="38" xfId="0" applyNumberFormat="1" applyFont="1" applyBorder="1" applyAlignment="1">
      <alignment horizontal="center" vertical="center" wrapText="1"/>
    </xf>
    <xf numFmtId="2" fontId="29" fillId="0" borderId="29" xfId="0" applyNumberFormat="1" applyFont="1" applyBorder="1" applyAlignment="1">
      <alignment horizontal="center" vertical="center" wrapText="1"/>
    </xf>
    <xf numFmtId="16" fontId="0" fillId="0" borderId="29" xfId="0" applyNumberFormat="1" applyBorder="1" applyAlignment="1">
      <alignment horizontal="center"/>
    </xf>
    <xf numFmtId="2" fontId="9" fillId="0" borderId="29" xfId="0" applyNumberFormat="1" applyFont="1" applyBorder="1" applyAlignment="1">
      <alignment horizontal="center" vertical="center" wrapText="1"/>
    </xf>
    <xf numFmtId="0" fontId="9" fillId="0" borderId="63" xfId="0" applyFont="1" applyBorder="1" applyAlignment="1">
      <alignment horizontal="center" vertical="center" wrapText="1"/>
    </xf>
    <xf numFmtId="0" fontId="9" fillId="0" borderId="64" xfId="0" applyFont="1" applyBorder="1" applyAlignment="1">
      <alignment horizontal="center" vertical="center" wrapText="1"/>
    </xf>
    <xf numFmtId="0" fontId="9" fillId="0" borderId="65" xfId="0" applyFont="1" applyBorder="1" applyAlignment="1">
      <alignment horizontal="center" vertical="center" wrapText="1"/>
    </xf>
    <xf numFmtId="0" fontId="9" fillId="0" borderId="66" xfId="0" applyFont="1" applyBorder="1" applyAlignment="1">
      <alignment horizontal="center" vertical="center" wrapText="1"/>
    </xf>
    <xf numFmtId="0" fontId="9" fillId="0" borderId="67" xfId="0" applyFont="1" applyBorder="1" applyAlignment="1">
      <alignment horizontal="center" vertical="center" wrapText="1"/>
    </xf>
    <xf numFmtId="0" fontId="32" fillId="0" borderId="0" xfId="0" applyFont="1" applyAlignment="1">
      <alignment vertical="center" wrapText="1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/>
    <xf numFmtId="0" fontId="32" fillId="0" borderId="68" xfId="0" applyFont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2" fillId="0" borderId="68" xfId="0" applyFont="1" applyBorder="1" applyAlignment="1">
      <alignment vertical="center" wrapText="1"/>
    </xf>
    <xf numFmtId="16" fontId="28" fillId="0" borderId="2" xfId="0" applyNumberFormat="1" applyFont="1" applyBorder="1" applyAlignment="1">
      <alignment horizontal="center"/>
    </xf>
    <xf numFmtId="1" fontId="0" fillId="0" borderId="2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169" fontId="0" fillId="0" borderId="0" xfId="0" applyNumberFormat="1" applyAlignment="1">
      <alignment horizontal="center" vertical="top"/>
    </xf>
    <xf numFmtId="0" fontId="32" fillId="0" borderId="40" xfId="0" applyFont="1" applyBorder="1" applyAlignment="1">
      <alignment vertical="center" wrapText="1"/>
    </xf>
    <xf numFmtId="0" fontId="1" fillId="2" borderId="15" xfId="0" applyFont="1" applyFill="1" applyBorder="1"/>
    <xf numFmtId="0" fontId="0" fillId="2" borderId="15" xfId="0" applyFill="1" applyBorder="1"/>
    <xf numFmtId="2" fontId="0" fillId="0" borderId="15" xfId="0" applyNumberFormat="1" applyBorder="1" applyAlignment="1">
      <alignment horizontal="center"/>
    </xf>
    <xf numFmtId="0" fontId="0" fillId="0" borderId="15" xfId="0" applyBorder="1"/>
    <xf numFmtId="0" fontId="30" fillId="0" borderId="15" xfId="0" applyFont="1" applyBorder="1" applyAlignment="1">
      <alignment horizontal="center"/>
    </xf>
    <xf numFmtId="0" fontId="1" fillId="0" borderId="0" xfId="0" applyFont="1"/>
    <xf numFmtId="49" fontId="0" fillId="0" borderId="0" xfId="0" applyNumberFormat="1" applyAlignment="1">
      <alignment horizontal="right"/>
    </xf>
    <xf numFmtId="0" fontId="0" fillId="0" borderId="15" xfId="0" applyBorder="1" applyAlignment="1">
      <alignment horizontal="center"/>
    </xf>
    <xf numFmtId="0" fontId="28" fillId="0" borderId="0" xfId="0" applyFont="1"/>
    <xf numFmtId="0" fontId="32" fillId="0" borderId="15" xfId="0" applyFont="1" applyBorder="1" applyAlignment="1">
      <alignment vertical="center" wrapText="1"/>
    </xf>
    <xf numFmtId="0" fontId="9" fillId="0" borderId="69" xfId="0" applyFont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/>
    </xf>
    <xf numFmtId="0" fontId="0" fillId="0" borderId="70" xfId="0" applyBorder="1" applyAlignment="1">
      <alignment horizontal="center"/>
    </xf>
    <xf numFmtId="14" fontId="9" fillId="0" borderId="59" xfId="0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0" fillId="14" borderId="0" xfId="0" applyFill="1"/>
    <xf numFmtId="0" fontId="0" fillId="14" borderId="0" xfId="0" applyFill="1" applyAlignment="1">
      <alignment vertical="top" wrapText="1"/>
    </xf>
    <xf numFmtId="0" fontId="0" fillId="14" borderId="0" xfId="0" applyFill="1" applyAlignment="1">
      <alignment horizontal="center" wrapText="1"/>
    </xf>
    <xf numFmtId="0" fontId="0" fillId="14" borderId="0" xfId="0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1" fillId="7" borderId="0" xfId="0" applyFont="1" applyFill="1" applyAlignment="1">
      <alignment horizontal="right"/>
    </xf>
    <xf numFmtId="16" fontId="0" fillId="7" borderId="0" xfId="0" applyNumberFormat="1" applyFill="1" applyAlignment="1">
      <alignment horizontal="center"/>
    </xf>
    <xf numFmtId="2" fontId="0" fillId="7" borderId="15" xfId="0" applyNumberFormat="1" applyFill="1" applyBorder="1" applyAlignment="1">
      <alignment horizontal="center" vertical="center"/>
    </xf>
    <xf numFmtId="0" fontId="0" fillId="14" borderId="0" xfId="0" applyFill="1" applyAlignment="1">
      <alignment horizontal="left" vertical="top" wrapText="1"/>
    </xf>
    <xf numFmtId="14" fontId="1" fillId="2" borderId="2" xfId="0" applyNumberFormat="1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4" fontId="0" fillId="0" borderId="0" xfId="45" applyFont="1" applyBorder="1" applyAlignment="1">
      <alignment horizontal="center"/>
    </xf>
    <xf numFmtId="0" fontId="5" fillId="16" borderId="0" xfId="0" applyFont="1" applyFill="1" applyAlignment="1">
      <alignment horizontal="left" vertical="center"/>
    </xf>
    <xf numFmtId="0" fontId="0" fillId="0" borderId="39" xfId="0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164" fontId="0" fillId="0" borderId="2" xfId="2" applyFont="1" applyBorder="1"/>
    <xf numFmtId="164" fontId="0" fillId="0" borderId="2" xfId="2" applyFont="1" applyBorder="1" applyAlignment="1">
      <alignment horizontal="center" vertical="center"/>
    </xf>
    <xf numFmtId="164" fontId="0" fillId="0" borderId="4" xfId="2" applyFont="1" applyBorder="1" applyAlignment="1">
      <alignment horizontal="center" vertical="center"/>
    </xf>
    <xf numFmtId="164" fontId="0" fillId="0" borderId="4" xfId="2" applyFont="1" applyBorder="1" applyAlignment="1">
      <alignment horizontal="left" vertical="center"/>
    </xf>
    <xf numFmtId="0" fontId="9" fillId="0" borderId="71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170" fontId="0" fillId="0" borderId="2" xfId="0" applyNumberFormat="1" applyBorder="1" applyAlignment="1">
      <alignment horizontal="center" vertical="center"/>
    </xf>
    <xf numFmtId="170" fontId="0" fillId="0" borderId="16" xfId="0" applyNumberForma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17" borderId="2" xfId="0" applyFont="1" applyFill="1" applyBorder="1"/>
    <xf numFmtId="164" fontId="0" fillId="0" borderId="4" xfId="2" applyFont="1" applyBorder="1" applyAlignment="1">
      <alignment horizontal="center"/>
    </xf>
    <xf numFmtId="14" fontId="0" fillId="0" borderId="2" xfId="0" applyNumberFormat="1" applyBorder="1" applyAlignment="1">
      <alignment horizontal="center" vertical="center"/>
    </xf>
    <xf numFmtId="0" fontId="0" fillId="17" borderId="0" xfId="0" applyFill="1"/>
    <xf numFmtId="164" fontId="0" fillId="17" borderId="2" xfId="0" applyNumberFormat="1" applyFill="1" applyBorder="1"/>
    <xf numFmtId="164" fontId="0" fillId="0" borderId="0" xfId="2" applyFont="1" applyFill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0" fillId="0" borderId="0" xfId="0" applyNumberFormat="1"/>
    <xf numFmtId="164" fontId="1" fillId="0" borderId="4" xfId="2" applyFont="1" applyBorder="1" applyAlignment="1">
      <alignment horizontal="center" vertical="center"/>
    </xf>
    <xf numFmtId="164" fontId="1" fillId="0" borderId="72" xfId="2" applyFont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164" fontId="0" fillId="0" borderId="4" xfId="2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36" fillId="0" borderId="2" xfId="0" applyFont="1" applyBorder="1" applyAlignment="1">
      <alignment horizontal="center" vertical="center" wrapText="1"/>
    </xf>
    <xf numFmtId="14" fontId="9" fillId="0" borderId="29" xfId="0" applyNumberFormat="1" applyFont="1" applyBorder="1" applyAlignment="1">
      <alignment horizontal="center" vertical="center" wrapText="1"/>
    </xf>
    <xf numFmtId="0" fontId="28" fillId="0" borderId="2" xfId="0" applyFont="1" applyBorder="1"/>
    <xf numFmtId="0" fontId="0" fillId="0" borderId="16" xfId="0" applyBorder="1"/>
    <xf numFmtId="14" fontId="0" fillId="0" borderId="2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/>
    </xf>
    <xf numFmtId="16" fontId="0" fillId="0" borderId="15" xfId="0" applyNumberFormat="1" applyBorder="1" applyAlignment="1">
      <alignment horizontal="center"/>
    </xf>
    <xf numFmtId="14" fontId="1" fillId="2" borderId="16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vertical="center" wrapText="1"/>
    </xf>
    <xf numFmtId="0" fontId="0" fillId="0" borderId="29" xfId="0" applyBorder="1" applyAlignment="1">
      <alignment horizontal="center" vertical="center" wrapText="1"/>
    </xf>
    <xf numFmtId="2" fontId="0" fillId="7" borderId="16" xfId="0" applyNumberFormat="1" applyFill="1" applyBorder="1" applyAlignment="1">
      <alignment vertical="center"/>
    </xf>
    <xf numFmtId="14" fontId="0" fillId="0" borderId="39" xfId="0" applyNumberFormat="1" applyBorder="1" applyAlignment="1">
      <alignment vertical="center" wrapText="1"/>
    </xf>
    <xf numFmtId="0" fontId="0" fillId="0" borderId="48" xfId="0" applyBorder="1" applyAlignment="1">
      <alignment vertical="center" wrapText="1"/>
    </xf>
    <xf numFmtId="49" fontId="0" fillId="0" borderId="2" xfId="0" applyNumberFormat="1" applyBorder="1" applyAlignment="1">
      <alignment horizontal="center"/>
    </xf>
    <xf numFmtId="0" fontId="0" fillId="0" borderId="59" xfId="0" applyBorder="1" applyAlignment="1">
      <alignment vertical="center" wrapText="1"/>
    </xf>
    <xf numFmtId="0" fontId="37" fillId="0" borderId="38" xfId="0" applyFont="1" applyBorder="1" applyAlignment="1">
      <alignment horizontal="center" vertical="center" wrapText="1"/>
    </xf>
    <xf numFmtId="0" fontId="9" fillId="0" borderId="70" xfId="0" applyFont="1" applyBorder="1" applyAlignment="1">
      <alignment horizontal="center" vertical="center" wrapText="1"/>
    </xf>
    <xf numFmtId="14" fontId="0" fillId="0" borderId="2" xfId="0" applyNumberFormat="1" applyBorder="1"/>
    <xf numFmtId="0" fontId="37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/>
    </xf>
    <xf numFmtId="0" fontId="38" fillId="0" borderId="2" xfId="0" applyFont="1" applyBorder="1" applyAlignment="1">
      <alignment horizontal="center"/>
    </xf>
    <xf numFmtId="0" fontId="28" fillId="0" borderId="38" xfId="0" applyFont="1" applyBorder="1" applyAlignment="1">
      <alignment horizontal="center"/>
    </xf>
    <xf numFmtId="0" fontId="39" fillId="24" borderId="38" xfId="0" applyFont="1" applyFill="1" applyBorder="1" applyAlignment="1">
      <alignment horizontal="center" vertical="center" wrapText="1"/>
    </xf>
    <xf numFmtId="16" fontId="1" fillId="25" borderId="2" xfId="0" applyNumberFormat="1" applyFont="1" applyFill="1" applyBorder="1" applyAlignment="1">
      <alignment horizontal="center" vertical="center"/>
    </xf>
    <xf numFmtId="0" fontId="28" fillId="0" borderId="39" xfId="0" applyFont="1" applyBorder="1" applyAlignment="1">
      <alignment horizontal="center"/>
    </xf>
    <xf numFmtId="0" fontId="0" fillId="0" borderId="59" xfId="0" applyBorder="1" applyAlignment="1">
      <alignment horizontal="center" vertical="center" wrapText="1"/>
    </xf>
    <xf numFmtId="0" fontId="1" fillId="8" borderId="19" xfId="0" applyFont="1" applyFill="1" applyBorder="1"/>
    <xf numFmtId="0" fontId="1" fillId="8" borderId="18" xfId="0" applyFont="1" applyFill="1" applyBorder="1"/>
    <xf numFmtId="14" fontId="0" fillId="0" borderId="48" xfId="0" applyNumberFormat="1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1" fillId="0" borderId="16" xfId="0" applyFont="1" applyBorder="1" applyAlignment="1">
      <alignment horizontal="center"/>
    </xf>
    <xf numFmtId="0" fontId="0" fillId="0" borderId="71" xfId="0" applyBorder="1" applyAlignment="1">
      <alignment vertical="center" wrapText="1"/>
    </xf>
    <xf numFmtId="0" fontId="3" fillId="4" borderId="24" xfId="0" applyFont="1" applyFill="1" applyBorder="1" applyAlignment="1">
      <alignment horizontal="center" vertical="center" wrapText="1"/>
    </xf>
    <xf numFmtId="0" fontId="0" fillId="0" borderId="7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16" fontId="1" fillId="25" borderId="16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horizontal="left" wrapText="1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0" fillId="13" borderId="23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5" fillId="16" borderId="2" xfId="0" applyFont="1" applyFill="1" applyBorder="1" applyAlignment="1">
      <alignment horizontal="left" vertical="center"/>
    </xf>
    <xf numFmtId="0" fontId="5" fillId="16" borderId="23" xfId="0" applyFont="1" applyFill="1" applyBorder="1" applyAlignment="1">
      <alignment horizontal="left" vertical="center"/>
    </xf>
    <xf numFmtId="0" fontId="5" fillId="16" borderId="33" xfId="0" applyFont="1" applyFill="1" applyBorder="1" applyAlignment="1">
      <alignment horizontal="left" vertical="center"/>
    </xf>
    <xf numFmtId="0" fontId="5" fillId="16" borderId="30" xfId="0" applyFont="1" applyFill="1" applyBorder="1" applyAlignment="1">
      <alignment horizontal="left" vertical="center"/>
    </xf>
    <xf numFmtId="0" fontId="5" fillId="16" borderId="23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14" fontId="0" fillId="14" borderId="0" xfId="0" applyNumberFormat="1" applyFill="1" applyAlignment="1">
      <alignment horizontal="left" vertical="top" wrapText="1"/>
    </xf>
    <xf numFmtId="14" fontId="0" fillId="14" borderId="0" xfId="0" applyNumberFormat="1" applyFill="1" applyAlignment="1">
      <alignment horizontal="center" vertical="top" wrapText="1"/>
    </xf>
    <xf numFmtId="0" fontId="0" fillId="0" borderId="0" xfId="0" applyAlignment="1">
      <alignment horizontal="center"/>
    </xf>
    <xf numFmtId="14" fontId="0" fillId="0" borderId="38" xfId="0" applyNumberForma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73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14" fontId="0" fillId="0" borderId="48" xfId="0" applyNumberFormat="1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2" fontId="0" fillId="0" borderId="2" xfId="0" applyNumberFormat="1" applyFill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 wrapText="1"/>
    </xf>
  </cellXfs>
  <cellStyles count="46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 [0]" xfId="2" builtinId="6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1" builtinId="8"/>
    <cellStyle name="Input" xfId="12" builtinId="20" customBuiltin="1"/>
    <cellStyle name="Linked Cell" xfId="15" builtinId="24" customBuiltin="1"/>
    <cellStyle name="Milliers [0] 2" xfId="45" xr:uid="{00000000-0005-0000-0000-000025000000}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24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IM</a:t>
            </a:r>
            <a:r>
              <a:rPr lang="en-ZA" baseline="0"/>
              <a:t> Daily Peak TPS</a:t>
            </a:r>
          </a:p>
        </c:rich>
      </c:tx>
      <c:layout>
        <c:manualLayout>
          <c:xMode val="edge"/>
          <c:yMode val="edge"/>
          <c:x val="0.35199999999999992"/>
          <c:y val="2.74914089347079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635092835250655E-2"/>
          <c:y val="0.17194825388502674"/>
          <c:w val="0.9102511270060708"/>
          <c:h val="0.49326550676010861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'IM TPS'!$A$654:$A$660</c:f>
              <c:numCache>
                <c:formatCode>d\-mmm\-yy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'IM TPS'!$B$654:$B$660</c:f>
              <c:numCache>
                <c:formatCode>General</c:formatCode>
                <c:ptCount val="7"/>
                <c:pt idx="0">
                  <c:v>8600</c:v>
                </c:pt>
                <c:pt idx="1">
                  <c:v>9477</c:v>
                </c:pt>
                <c:pt idx="2">
                  <c:v>11000</c:v>
                </c:pt>
                <c:pt idx="3">
                  <c:v>11000</c:v>
                </c:pt>
                <c:pt idx="4">
                  <c:v>10323</c:v>
                </c:pt>
                <c:pt idx="5">
                  <c:v>11000</c:v>
                </c:pt>
                <c:pt idx="6">
                  <c:v>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D-4066-A045-1FF68743B0CB}"/>
            </c:ext>
          </c:extLst>
        </c:ser>
        <c:ser>
          <c:idx val="1"/>
          <c:order val="1"/>
          <c:marker>
            <c:symbol val="none"/>
          </c:marker>
          <c:cat>
            <c:numRef>
              <c:f>'IM TPS'!$A$654:$A$660</c:f>
              <c:numCache>
                <c:formatCode>d\-mmm\-yy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'IM TPS'!$C$654:$C$660</c:f>
              <c:numCache>
                <c:formatCode>General</c:formatCode>
                <c:ptCount val="7"/>
                <c:pt idx="0">
                  <c:v>1051</c:v>
                </c:pt>
                <c:pt idx="1">
                  <c:v>999</c:v>
                </c:pt>
                <c:pt idx="2">
                  <c:v>1020</c:v>
                </c:pt>
                <c:pt idx="3">
                  <c:v>1531</c:v>
                </c:pt>
                <c:pt idx="4">
                  <c:v>984</c:v>
                </c:pt>
                <c:pt idx="5">
                  <c:v>1091</c:v>
                </c:pt>
                <c:pt idx="6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D-4066-A045-1FF68743B0CB}"/>
            </c:ext>
          </c:extLst>
        </c:ser>
        <c:ser>
          <c:idx val="2"/>
          <c:order val="2"/>
          <c:marker>
            <c:symbol val="none"/>
          </c:marker>
          <c:cat>
            <c:numRef>
              <c:f>'IM TPS'!$A$654:$A$660</c:f>
              <c:numCache>
                <c:formatCode>d\-mmm\-yy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'IM TPS'!$D$654:$D$660</c:f>
              <c:numCache>
                <c:formatCode>General</c:formatCode>
                <c:ptCount val="7"/>
                <c:pt idx="0">
                  <c:v>9127</c:v>
                </c:pt>
                <c:pt idx="1">
                  <c:v>10107</c:v>
                </c:pt>
                <c:pt idx="2">
                  <c:v>11530</c:v>
                </c:pt>
                <c:pt idx="3">
                  <c:v>11610</c:v>
                </c:pt>
                <c:pt idx="4">
                  <c:v>10904</c:v>
                </c:pt>
                <c:pt idx="5">
                  <c:v>11592</c:v>
                </c:pt>
                <c:pt idx="6">
                  <c:v>5610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D-4066-A045-1FF68743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251232"/>
        <c:axId val="1994246336"/>
      </c:lineChart>
      <c:dateAx>
        <c:axId val="199425123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994246336"/>
        <c:crosses val="autoZero"/>
        <c:auto val="1"/>
        <c:lblOffset val="100"/>
        <c:baseTimeUnit val="days"/>
      </c:dateAx>
      <c:valAx>
        <c:axId val="19942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2512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I"/>
              <a:t>SMS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28-46C2-8B73-04889DCC0034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28-46C2-8B73-04889DCC0034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28-46C2-8B73-04889DCC00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P2P!$G$1:$G$3</c:f>
              <c:strCache>
                <c:ptCount val="3"/>
                <c:pt idx="0">
                  <c:v>#P2P</c:v>
                </c:pt>
                <c:pt idx="1">
                  <c:v>#A2P</c:v>
                </c:pt>
                <c:pt idx="2">
                  <c:v>#P2A</c:v>
                </c:pt>
              </c:strCache>
            </c:strRef>
          </c:cat>
          <c:val>
            <c:numRef>
              <c:f>P2P!$H$1:$H$3</c:f>
              <c:numCache>
                <c:formatCode>_-* #,##0_-;\-* #,##0_-;_-* "-"_-;_-@_-</c:formatCode>
                <c:ptCount val="3"/>
                <c:pt idx="0">
                  <c:v>11351726</c:v>
                </c:pt>
                <c:pt idx="1">
                  <c:v>86467952</c:v>
                </c:pt>
                <c:pt idx="2">
                  <c:v>1808868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8-46C2-8B73-04889DCC003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P2P Error Rate(%)</a:t>
            </a:r>
          </a:p>
        </c:rich>
      </c:tx>
      <c:layout>
        <c:manualLayout>
          <c:xMode val="edge"/>
          <c:yMode val="edge"/>
          <c:x val="0.21567227392030541"/>
          <c:y val="2.8021010609740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P2P!$O$2</c:f>
              <c:strCache>
                <c:ptCount val="1"/>
                <c:pt idx="0">
                  <c:v>Error Rate(%)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34-4DC8-89DA-4C1EE83310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34-4DC8-89DA-4C1EE8331071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34-4DC8-89DA-4C1EE83310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98-41AB-BBB7-1A00018E33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P2P!$N$3:$N$6</c:f>
              <c:strCache>
                <c:ptCount val="4"/>
                <c:pt idx="0">
                  <c:v>Absent Subscriber</c:v>
                </c:pt>
                <c:pt idx="1">
                  <c:v>SM Delivery Fail - Memory Capacity Exceeded</c:v>
                </c:pt>
                <c:pt idx="2">
                  <c:v>Unknown Subscriber</c:v>
                </c:pt>
                <c:pt idx="3">
                  <c:v>Others</c:v>
                </c:pt>
              </c:strCache>
            </c:strRef>
          </c:cat>
          <c:val>
            <c:numRef>
              <c:f>P2P!$O$3:$O$6</c:f>
              <c:numCache>
                <c:formatCode>General</c:formatCode>
                <c:ptCount val="4"/>
                <c:pt idx="0">
                  <c:v>2757864</c:v>
                </c:pt>
                <c:pt idx="1">
                  <c:v>180258</c:v>
                </c:pt>
                <c:pt idx="2">
                  <c:v>206899</c:v>
                </c:pt>
                <c:pt idx="3">
                  <c:v>987735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34-4DC8-89DA-4C1EE833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P2P Volume &amp;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2"/>
          <c:tx>
            <c:strRef>
              <c:f>'SMS and TPS'!$D$2</c:f>
              <c:strCache>
                <c:ptCount val="1"/>
                <c:pt idx="0">
                  <c:v> total   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'SMS and TPS'!$A$3:$A$641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TPS'!$D$3:$D$641</c:f>
              <c:numCache>
                <c:formatCode>General</c:formatCode>
                <c:ptCount val="7"/>
                <c:pt idx="0">
                  <c:v>22295529</c:v>
                </c:pt>
                <c:pt idx="1">
                  <c:v>22034812</c:v>
                </c:pt>
                <c:pt idx="2">
                  <c:v>22036941</c:v>
                </c:pt>
                <c:pt idx="3">
                  <c:v>22038960</c:v>
                </c:pt>
                <c:pt idx="4">
                  <c:v>22377103</c:v>
                </c:pt>
                <c:pt idx="5">
                  <c:v>21781150</c:v>
                </c:pt>
                <c:pt idx="6">
                  <c:v>22465596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771-4527-B38D-59A4E2983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719232"/>
        <c:axId val="470728480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TPS'!$C$2</c15:sqref>
                        </c15:formulaRef>
                      </c:ext>
                    </c:extLst>
                    <c:strCache>
                      <c:ptCount val="1"/>
                      <c:pt idx="0">
                        <c:v> failure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'SMS and TPS'!$A$3:$A$641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TPS'!$C$3:$C$641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298289</c:v>
                      </c:pt>
                      <c:pt idx="1">
                        <c:v>328007</c:v>
                      </c:pt>
                      <c:pt idx="2">
                        <c:v>348885</c:v>
                      </c:pt>
                      <c:pt idx="3">
                        <c:v>336495</c:v>
                      </c:pt>
                      <c:pt idx="4">
                        <c:v>326589</c:v>
                      </c:pt>
                      <c:pt idx="5">
                        <c:v>381397</c:v>
                      </c:pt>
                      <c:pt idx="6">
                        <c:v>371111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771-4527-B38D-59A4E29839A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3"/>
          <c:tx>
            <c:strRef>
              <c:f>'SMS and TPS'!$E$2</c:f>
              <c:strCache>
                <c:ptCount val="1"/>
                <c:pt idx="0">
                  <c:v> success  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'SMS and TPS'!$A$3:$A$641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TPS'!$E$3:$E$641</c:f>
              <c:numCache>
                <c:formatCode>General</c:formatCode>
                <c:ptCount val="7"/>
                <c:pt idx="0">
                  <c:v>98.66</c:v>
                </c:pt>
                <c:pt idx="1">
                  <c:v>98.51</c:v>
                </c:pt>
                <c:pt idx="2">
                  <c:v>98.42</c:v>
                </c:pt>
                <c:pt idx="3">
                  <c:v>98.47</c:v>
                </c:pt>
                <c:pt idx="4">
                  <c:v>98.54</c:v>
                </c:pt>
                <c:pt idx="5">
                  <c:v>98.25</c:v>
                </c:pt>
                <c:pt idx="6">
                  <c:v>98.34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771-4527-B38D-59A4E2983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56752"/>
        <c:axId val="469857296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'SMS and TPS'!$B$2</c15:sqref>
                        </c15:formulaRef>
                      </c:ext>
                    </c:extLst>
                    <c:strCache>
                      <c:ptCount val="1"/>
                      <c:pt idx="0">
                        <c:v>success 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TPS'!$A$3:$A$641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TPS'!$B$3:$B$641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21997240</c:v>
                      </c:pt>
                      <c:pt idx="1">
                        <c:v>21706805</c:v>
                      </c:pt>
                      <c:pt idx="2">
                        <c:v>21688056</c:v>
                      </c:pt>
                      <c:pt idx="3">
                        <c:v>21702465</c:v>
                      </c:pt>
                      <c:pt idx="4">
                        <c:v>22050514</c:v>
                      </c:pt>
                      <c:pt idx="5">
                        <c:v>21399753</c:v>
                      </c:pt>
                      <c:pt idx="6">
                        <c:v>22094485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71-4527-B38D-59A4E29839A3}"/>
                  </c:ext>
                </c:extLst>
              </c15:ser>
            </c15:filteredLineSeries>
            <c15:filteredLine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'SMS and TPS'!$F$2</c15:sqref>
                        </c15:formulaRef>
                      </c:ext>
                    </c:extLst>
                    <c:strCache>
                      <c:ptCount val="1"/>
                      <c:pt idx="0">
                        <c:v>Total(Mn)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TPS'!$A$3:$A$641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TPS'!$F$3:$F$641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22.295528999999998</c:v>
                      </c:pt>
                      <c:pt idx="1">
                        <c:v>22.034811999999999</c:v>
                      </c:pt>
                      <c:pt idx="2">
                        <c:v>22.036940999999999</c:v>
                      </c:pt>
                      <c:pt idx="3">
                        <c:v>22.038959999999999</c:v>
                      </c:pt>
                      <c:pt idx="4">
                        <c:v>22.377103000000002</c:v>
                      </c:pt>
                      <c:pt idx="5">
                        <c:v>21.78115</c:v>
                      </c:pt>
                      <c:pt idx="6">
                        <c:v>22.465596000000001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F6D-4F1B-B961-90EE63188A24}"/>
                  </c:ext>
                </c:extLst>
              </c15:ser>
            </c15:filteredLineSeries>
          </c:ext>
        </c:extLst>
      </c:lineChart>
      <c:dateAx>
        <c:axId val="4707192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28480"/>
        <c:crosses val="autoZero"/>
        <c:auto val="1"/>
        <c:lblOffset val="100"/>
        <c:baseTimeUnit val="days"/>
      </c:dateAx>
      <c:valAx>
        <c:axId val="4707284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Traffic 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19232"/>
        <c:crosses val="autoZero"/>
        <c:crossBetween val="between"/>
        <c:dispUnits>
          <c:builtInUnit val="millions"/>
        </c:dispUnits>
      </c:valAx>
      <c:valAx>
        <c:axId val="469857296"/>
        <c:scaling>
          <c:orientation val="minMax"/>
          <c:max val="100"/>
          <c:min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6752"/>
        <c:crosses val="max"/>
        <c:crossBetween val="between"/>
        <c:majorUnit val="5"/>
      </c:valAx>
      <c:dateAx>
        <c:axId val="46985675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69857296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P2A Volume &amp;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2"/>
          <c:tx>
            <c:strRef>
              <c:f>'SMS and TPS'!$K$2</c:f>
              <c:strCache>
                <c:ptCount val="1"/>
                <c:pt idx="0">
                  <c:v> total    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'SMS and TPS'!$H$3:$H$641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TPS'!$K$3:$K$641</c:f>
              <c:numCache>
                <c:formatCode>General</c:formatCode>
                <c:ptCount val="7"/>
                <c:pt idx="0">
                  <c:v>1990816</c:v>
                </c:pt>
                <c:pt idx="1">
                  <c:v>1537319</c:v>
                </c:pt>
                <c:pt idx="2">
                  <c:v>4935372</c:v>
                </c:pt>
                <c:pt idx="3">
                  <c:v>7315857</c:v>
                </c:pt>
                <c:pt idx="4">
                  <c:v>2032122</c:v>
                </c:pt>
                <c:pt idx="5">
                  <c:v>1899876</c:v>
                </c:pt>
                <c:pt idx="6">
                  <c:v>1763702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A97-4DD5-90B5-80CBB9BA7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9850768"/>
        <c:axId val="469857840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'SMS and TPS'!$I$2</c15:sqref>
                        </c15:formulaRef>
                      </c:ext>
                    </c:extLst>
                    <c:strCache>
                      <c:ptCount val="1"/>
                      <c:pt idx="0">
                        <c:v>success 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'SMS and TPS'!$H$3:$H$641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TPS'!$I$3:$I$641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1990515</c:v>
                      </c:pt>
                      <c:pt idx="1">
                        <c:v>1536998</c:v>
                      </c:pt>
                      <c:pt idx="2">
                        <c:v>4933358</c:v>
                      </c:pt>
                      <c:pt idx="3">
                        <c:v>7304758</c:v>
                      </c:pt>
                      <c:pt idx="4">
                        <c:v>2030384</c:v>
                      </c:pt>
                      <c:pt idx="5">
                        <c:v>1899504</c:v>
                      </c:pt>
                      <c:pt idx="6">
                        <c:v>1763340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A97-4DD5-90B5-80CBB9BA7F49}"/>
                  </c:ext>
                </c:extLst>
              </c15:ser>
            </c15:filteredBarSeries>
            <c15:filteredBarSeries>
              <c15:ser>
                <c:idx val="1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'SMS and TPS'!$M$2</c15:sqref>
                        </c15:formulaRef>
                      </c:ext>
                    </c:extLst>
                    <c:strCache>
                      <c:ptCount val="1"/>
                      <c:pt idx="0">
                        <c:v>Total(Mn)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TPS'!$H$3:$H$641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TPS'!$M$3:$M$641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1.9908159999999999</c:v>
                      </c:pt>
                      <c:pt idx="1">
                        <c:v>1.5373190000000001</c:v>
                      </c:pt>
                      <c:pt idx="2">
                        <c:v>4.9353720000000001</c:v>
                      </c:pt>
                      <c:pt idx="3">
                        <c:v>7.3158570000000003</c:v>
                      </c:pt>
                      <c:pt idx="4">
                        <c:v>2.0321220000000002</c:v>
                      </c:pt>
                      <c:pt idx="5">
                        <c:v>1.8998759999999999</c:v>
                      </c:pt>
                      <c:pt idx="6">
                        <c:v>1.7637020000000001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A97-4DD5-90B5-80CBB9BA7F4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3"/>
          <c:tx>
            <c:strRef>
              <c:f>'SMS and TPS'!$L$2</c:f>
              <c:strCache>
                <c:ptCount val="1"/>
                <c:pt idx="0">
                  <c:v> success  Rate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'SMS and TPS'!$H$3:$H$641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TPS'!$L$3:$L$641</c:f>
              <c:numCache>
                <c:formatCode>General</c:formatCode>
                <c:ptCount val="7"/>
                <c:pt idx="0">
                  <c:v>99.98</c:v>
                </c:pt>
                <c:pt idx="1">
                  <c:v>99.98</c:v>
                </c:pt>
                <c:pt idx="2">
                  <c:v>99.96</c:v>
                </c:pt>
                <c:pt idx="3">
                  <c:v>99.85</c:v>
                </c:pt>
                <c:pt idx="4">
                  <c:v>99.91</c:v>
                </c:pt>
                <c:pt idx="5">
                  <c:v>99.98</c:v>
                </c:pt>
                <c:pt idx="6">
                  <c:v>99.97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7-4DD5-90B5-80CBB9BA7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45872"/>
        <c:axId val="469849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TPS'!$J$2</c15:sqref>
                        </c15:formulaRef>
                      </c:ext>
                    </c:extLst>
                    <c:strCache>
                      <c:ptCount val="1"/>
                      <c:pt idx="0">
                        <c:v> failure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TPS'!$H$3:$H$641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TPS'!$J$3:$J$641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301</c:v>
                      </c:pt>
                      <c:pt idx="1">
                        <c:v>321</c:v>
                      </c:pt>
                      <c:pt idx="2">
                        <c:v>2014</c:v>
                      </c:pt>
                      <c:pt idx="3">
                        <c:v>11099</c:v>
                      </c:pt>
                      <c:pt idx="4">
                        <c:v>1738</c:v>
                      </c:pt>
                      <c:pt idx="5">
                        <c:v>372</c:v>
                      </c:pt>
                      <c:pt idx="6">
                        <c:v>362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A97-4DD5-90B5-80CBB9BA7F49}"/>
                  </c:ext>
                </c:extLst>
              </c15:ser>
            </c15:filteredLineSeries>
          </c:ext>
        </c:extLst>
      </c:lineChart>
      <c:dateAx>
        <c:axId val="4698507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7840"/>
        <c:crosses val="autoZero"/>
        <c:auto val="1"/>
        <c:lblOffset val="100"/>
        <c:baseTimeUnit val="days"/>
      </c:dateAx>
      <c:valAx>
        <c:axId val="4698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Traffic  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0768"/>
        <c:crosses val="autoZero"/>
        <c:crossBetween val="between"/>
        <c:dispUnits>
          <c:builtInUnit val="millions"/>
        </c:dispUnits>
      </c:valAx>
      <c:valAx>
        <c:axId val="469849680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5872"/>
        <c:crosses val="max"/>
        <c:crossBetween val="between"/>
      </c:valAx>
      <c:dateAx>
        <c:axId val="46984587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698496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A2P Volume &amp;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4"/>
          <c:tx>
            <c:strRef>
              <c:f>'SMS and TPS'!$T$2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'SMS and TPS'!$O$3:$O$641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TPS'!$T$3:$T$641</c:f>
              <c:numCache>
                <c:formatCode>0.00</c:formatCode>
                <c:ptCount val="7"/>
                <c:pt idx="0">
                  <c:v>91.866493000000006</c:v>
                </c:pt>
                <c:pt idx="1">
                  <c:v>90.185890000000001</c:v>
                </c:pt>
                <c:pt idx="2">
                  <c:v>105.270909</c:v>
                </c:pt>
                <c:pt idx="3">
                  <c:v>117.25597999999999</c:v>
                </c:pt>
                <c:pt idx="4">
                  <c:v>91.667097999999996</c:v>
                </c:pt>
                <c:pt idx="5">
                  <c:v>96.705920000000006</c:v>
                </c:pt>
                <c:pt idx="6">
                  <c:v>65.736277999999999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627-429C-A4A4-4841748DB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9850224"/>
        <c:axId val="469854032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TPS'!$Q$2</c15:sqref>
                        </c15:formulaRef>
                      </c:ext>
                    </c:extLst>
                    <c:strCache>
                      <c:ptCount val="1"/>
                      <c:pt idx="0">
                        <c:v> failure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'SMS and TPS'!$O$3:$O$641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TPS'!$Q$3:$Q$641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27398552</c:v>
                      </c:pt>
                      <c:pt idx="1">
                        <c:v>26030820</c:v>
                      </c:pt>
                      <c:pt idx="2">
                        <c:v>31886587</c:v>
                      </c:pt>
                      <c:pt idx="3">
                        <c:v>34912144</c:v>
                      </c:pt>
                      <c:pt idx="4">
                        <c:v>25955569</c:v>
                      </c:pt>
                      <c:pt idx="5">
                        <c:v>31013892</c:v>
                      </c:pt>
                      <c:pt idx="6">
                        <c:v>16847420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627-429C-A4A4-4841748DB46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3"/>
          <c:tx>
            <c:strRef>
              <c:f>'SMS and TPS'!$S$2</c:f>
              <c:strCache>
                <c:ptCount val="1"/>
                <c:pt idx="0">
                  <c:v> success  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'SMS and TPS'!$O$3:$O$641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TPS'!$S$3:$S$641</c:f>
              <c:numCache>
                <c:formatCode>General</c:formatCode>
                <c:ptCount val="7"/>
                <c:pt idx="0">
                  <c:v>70.180000000000007</c:v>
                </c:pt>
                <c:pt idx="1">
                  <c:v>71.14</c:v>
                </c:pt>
                <c:pt idx="2">
                  <c:v>69.709999999999994</c:v>
                </c:pt>
                <c:pt idx="3">
                  <c:v>70.23</c:v>
                </c:pt>
                <c:pt idx="4">
                  <c:v>71.680000000000007</c:v>
                </c:pt>
                <c:pt idx="5">
                  <c:v>67.930000000000007</c:v>
                </c:pt>
                <c:pt idx="6">
                  <c:v>74.37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7-429C-A4A4-4841748DB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54576"/>
        <c:axId val="469856208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'SMS and TPS'!$P$2</c15:sqref>
                        </c15:formulaRef>
                      </c:ext>
                    </c:extLst>
                    <c:strCache>
                      <c:ptCount val="1"/>
                      <c:pt idx="0">
                        <c:v>success 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TPS'!$O$3:$O$641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TPS'!$P$3:$P$641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64467941</c:v>
                      </c:pt>
                      <c:pt idx="1">
                        <c:v>64155070</c:v>
                      </c:pt>
                      <c:pt idx="2">
                        <c:v>73384322</c:v>
                      </c:pt>
                      <c:pt idx="3">
                        <c:v>82343836</c:v>
                      </c:pt>
                      <c:pt idx="4">
                        <c:v>65711529</c:v>
                      </c:pt>
                      <c:pt idx="5">
                        <c:v>65692028</c:v>
                      </c:pt>
                      <c:pt idx="6">
                        <c:v>48888858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27-429C-A4A4-4841748DB46B}"/>
                  </c:ext>
                </c:extLst>
              </c15:ser>
            </c15:filteredLineSeries>
            <c15:filteredLineSeries>
              <c15:ser>
                <c:idx val="0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'SMS and TPS'!$R$2</c15:sqref>
                        </c15:formulaRef>
                      </c:ext>
                    </c:extLst>
                    <c:strCache>
                      <c:ptCount val="1"/>
                      <c:pt idx="0">
                        <c:v> total    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TPS'!$O$3:$O$641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TPS'!$R$3:$R$641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91866493</c:v>
                      </c:pt>
                      <c:pt idx="1">
                        <c:v>90185890</c:v>
                      </c:pt>
                      <c:pt idx="2">
                        <c:v>105270909</c:v>
                      </c:pt>
                      <c:pt idx="3">
                        <c:v>117255980</c:v>
                      </c:pt>
                      <c:pt idx="4">
                        <c:v>91667098</c:v>
                      </c:pt>
                      <c:pt idx="5">
                        <c:v>96705920</c:v>
                      </c:pt>
                      <c:pt idx="6">
                        <c:v>65736278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627-429C-A4A4-4841748DB46B}"/>
                  </c:ext>
                </c:extLst>
              </c15:ser>
            </c15:filteredLineSeries>
          </c:ext>
        </c:extLst>
      </c:lineChart>
      <c:dateAx>
        <c:axId val="46985022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4032"/>
        <c:crosses val="autoZero"/>
        <c:auto val="1"/>
        <c:lblOffset val="100"/>
        <c:baseTimeUnit val="days"/>
      </c:dateAx>
      <c:valAx>
        <c:axId val="469854032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Traffic in Millions</a:t>
                </a:r>
              </a:p>
            </c:rich>
          </c:tx>
          <c:layout>
            <c:manualLayout>
              <c:xMode val="edge"/>
              <c:yMode val="edge"/>
              <c:x val="3.4500778428443853E-2"/>
              <c:y val="0.36856267966504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0224"/>
        <c:crosses val="autoZero"/>
        <c:crossBetween val="between"/>
        <c:minorUnit val="30"/>
      </c:valAx>
      <c:valAx>
        <c:axId val="469856208"/>
        <c:scaling>
          <c:orientation val="minMax"/>
          <c:max val="9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54576"/>
        <c:crosses val="max"/>
        <c:crossBetween val="between"/>
      </c:valAx>
      <c:dateAx>
        <c:axId val="46985457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69856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SMS Peak TPS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'SMS and TPS'!$X$2</c:f>
              <c:strCache>
                <c:ptCount val="1"/>
                <c:pt idx="0">
                  <c:v> Peak_TPS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'SMS and TPS'!$W$3:$W$641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TPS'!$X$3:$X$641</c:f>
              <c:numCache>
                <c:formatCode>General</c:formatCode>
                <c:ptCount val="7"/>
                <c:pt idx="0">
                  <c:v>8600</c:v>
                </c:pt>
                <c:pt idx="1">
                  <c:v>9477</c:v>
                </c:pt>
                <c:pt idx="2">
                  <c:v>11000</c:v>
                </c:pt>
                <c:pt idx="3">
                  <c:v>11000</c:v>
                </c:pt>
                <c:pt idx="4">
                  <c:v>10323</c:v>
                </c:pt>
                <c:pt idx="5">
                  <c:v>11000</c:v>
                </c:pt>
                <c:pt idx="6">
                  <c:v>5161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9D4-4B4C-9670-7AB720DAF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60016"/>
        <c:axId val="4698464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TPS'!$Y$2</c15:sqref>
                        </c15:formulaRef>
                      </c:ext>
                    </c:extLst>
                    <c:strCache>
                      <c:ptCount val="1"/>
                      <c:pt idx="0">
                        <c:v> Max_Allowed 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TPS'!$W$3:$W$641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TPS'!$Y$3:$Y$641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12000</c:v>
                      </c:pt>
                      <c:pt idx="1">
                        <c:v>12000</c:v>
                      </c:pt>
                      <c:pt idx="2">
                        <c:v>12000</c:v>
                      </c:pt>
                      <c:pt idx="3">
                        <c:v>12000</c:v>
                      </c:pt>
                      <c:pt idx="4">
                        <c:v>12000</c:v>
                      </c:pt>
                      <c:pt idx="5">
                        <c:v>12000</c:v>
                      </c:pt>
                      <c:pt idx="6">
                        <c:v>12000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D4-4B4C-9670-7AB720DAF0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'SMS and TPS'!$Z$2</c15:sqref>
                        </c15:formulaRef>
                      </c:ext>
                    </c:extLst>
                    <c:strCache>
                      <c:ptCount val="1"/>
                      <c:pt idx="0">
                        <c:v> Avg_TPS  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TPS'!$W$3:$W$641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TPS'!$Z$3:$Z$641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71.666666666666671</c:v>
                      </c:pt>
                      <c:pt idx="1">
                        <c:v>78.974999999999994</c:v>
                      </c:pt>
                      <c:pt idx="2">
                        <c:v>91.666666666666671</c:v>
                      </c:pt>
                      <c:pt idx="3">
                        <c:v>91.666666666666671</c:v>
                      </c:pt>
                      <c:pt idx="4">
                        <c:v>86.025000000000006</c:v>
                      </c:pt>
                      <c:pt idx="5">
                        <c:v>91.666666666666671</c:v>
                      </c:pt>
                      <c:pt idx="6">
                        <c:v>43.008333333333333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D4-4B4C-9670-7AB720DAF00C}"/>
                  </c:ext>
                </c:extLst>
              </c15:ser>
            </c15:filteredLineSeries>
          </c:ext>
        </c:extLst>
      </c:lineChart>
      <c:dateAx>
        <c:axId val="46986001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6416"/>
        <c:crosses val="autoZero"/>
        <c:auto val="1"/>
        <c:lblOffset val="100"/>
        <c:baseTimeUnit val="days"/>
      </c:dateAx>
      <c:valAx>
        <c:axId val="4698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SMS Peak 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IM Peak TPS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849136"/>
        <c:axId val="46984750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TPS'!$AI$2</c15:sqref>
                        </c15:formulaRef>
                      </c:ext>
                    </c:extLst>
                    <c:strCache>
                      <c:ptCount val="1"/>
                      <c:pt idx="0">
                        <c:v> Max_Allowed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'SMS and TPS'!$AG$3:$AG$641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TPS'!$AI$3:$AI$641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12000</c:v>
                      </c:pt>
                      <c:pt idx="1">
                        <c:v>12000</c:v>
                      </c:pt>
                      <c:pt idx="2">
                        <c:v>12000</c:v>
                      </c:pt>
                      <c:pt idx="3">
                        <c:v>12000</c:v>
                      </c:pt>
                      <c:pt idx="4">
                        <c:v>12000</c:v>
                      </c:pt>
                      <c:pt idx="5">
                        <c:v>12000</c:v>
                      </c:pt>
                      <c:pt idx="6">
                        <c:v>12000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5B1-4B82-9A20-24D1A794D90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'SMS and TPS'!$AH$2</c:f>
              <c:strCache>
                <c:ptCount val="1"/>
                <c:pt idx="0">
                  <c:v> Peak_TPS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'SMS and TPS'!$AG$3:$AG$641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TPS'!$AH$3:$AH$641</c:f>
              <c:numCache>
                <c:formatCode>General</c:formatCode>
                <c:ptCount val="7"/>
                <c:pt idx="0">
                  <c:v>9127</c:v>
                </c:pt>
                <c:pt idx="1">
                  <c:v>10107</c:v>
                </c:pt>
                <c:pt idx="2">
                  <c:v>11530</c:v>
                </c:pt>
                <c:pt idx="3">
                  <c:v>11610</c:v>
                </c:pt>
                <c:pt idx="4">
                  <c:v>10904</c:v>
                </c:pt>
                <c:pt idx="5">
                  <c:v>11592</c:v>
                </c:pt>
                <c:pt idx="6">
                  <c:v>5610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5B1-4B82-9A20-24D1A794D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49136"/>
        <c:axId val="46984750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'SMS and TPS'!$AJ$2</c15:sqref>
                        </c15:formulaRef>
                      </c:ext>
                    </c:extLst>
                    <c:strCache>
                      <c:ptCount val="1"/>
                      <c:pt idx="0">
                        <c:v> Avg_TPS  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TPS'!$AG$3:$AG$641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TPS'!$AJ$3:$AJ$641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76.058333333333337</c:v>
                      </c:pt>
                      <c:pt idx="1">
                        <c:v>84.224999999999994</c:v>
                      </c:pt>
                      <c:pt idx="2">
                        <c:v>96.083333333333329</c:v>
                      </c:pt>
                      <c:pt idx="3">
                        <c:v>96.75</c:v>
                      </c:pt>
                      <c:pt idx="4">
                        <c:v>90.86666666666666</c:v>
                      </c:pt>
                      <c:pt idx="5">
                        <c:v>96.6</c:v>
                      </c:pt>
                      <c:pt idx="6">
                        <c:v>46.75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5B1-4B82-9A20-24D1A794D90A}"/>
                  </c:ext>
                </c:extLst>
              </c15:ser>
            </c15:filteredLineSeries>
          </c:ext>
        </c:extLst>
      </c:lineChart>
      <c:dateAx>
        <c:axId val="46984913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7504"/>
        <c:crosses val="autoZero"/>
        <c:auto val="1"/>
        <c:lblOffset val="100"/>
        <c:baseTimeUnit val="days"/>
      </c:dateAx>
      <c:valAx>
        <c:axId val="4698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 Peak 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Top Five P2P Error Breakdown (11</a:t>
            </a:r>
            <a:r>
              <a:rPr lang="en-US" sz="1600" b="1" i="0" u="none" strike="noStrike" baseline="0">
                <a:effectLst/>
              </a:rPr>
              <a:t>-Aug</a:t>
            </a:r>
            <a:r>
              <a:rPr lang="en-US" sz="1400"/>
              <a:t>)</a:t>
            </a:r>
          </a:p>
        </c:rich>
      </c:tx>
      <c:layout>
        <c:manualLayout>
          <c:xMode val="edge"/>
          <c:yMode val="edge"/>
          <c:x val="0.13023905677277783"/>
          <c:y val="3.7140620075669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88F-4E68-93A6-0F19C8B61E8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88F-4E68-93A6-0F19C8B61E8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88F-4E68-93A6-0F19C8B61E8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88F-4E68-93A6-0F19C8B61E8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88F-4E68-93A6-0F19C8B61E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'SMS and TPS'!$AM$666:$AM$670</c:f>
              <c:strCache>
                <c:ptCount val="5"/>
                <c:pt idx="0">
                  <c:v>AbsentSubscriberforSM-IMSIDetach</c:v>
                </c:pt>
                <c:pt idx="1">
                  <c:v>SMDeliveryFail-EquipmentProtocolErr</c:v>
                </c:pt>
                <c:pt idx="2">
                  <c:v>AbsentSubscriberforSM-RestrictedArea</c:v>
                </c:pt>
                <c:pt idx="3">
                  <c:v>SMDeliveryFail-MemoryCapacityExceeded</c:v>
                </c:pt>
                <c:pt idx="4">
                  <c:v>HLR/MSCTimeout</c:v>
                </c:pt>
              </c:strCache>
            </c:strRef>
          </c:cat>
          <c:val>
            <c:numRef>
              <c:f>'SMS and TPS'!$AN$666:$AN$670</c:f>
              <c:numCache>
                <c:formatCode>General</c:formatCode>
                <c:ptCount val="5"/>
                <c:pt idx="0">
                  <c:v>223367</c:v>
                </c:pt>
                <c:pt idx="1">
                  <c:v>38013</c:v>
                </c:pt>
                <c:pt idx="2">
                  <c:v>31932</c:v>
                </c:pt>
                <c:pt idx="3">
                  <c:v>23731</c:v>
                </c:pt>
                <c:pt idx="4">
                  <c:v>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8F-4E68-93A6-0F19C8B61E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USSD SC 133(Mobile Money)Sucess Rate &amp; Volume</a:t>
            </a:r>
            <a:endParaRPr lang="en-IN" sz="1200">
              <a:effectLst/>
            </a:endParaRPr>
          </a:p>
        </c:rich>
      </c:tx>
      <c:layout>
        <c:manualLayout>
          <c:xMode val="edge"/>
          <c:yMode val="edge"/>
          <c:x val="0.15561733459034327"/>
          <c:y val="3.2671583697136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USSD!$F$2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USSD!$A$3:$A$629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USSD!$F$3:$F$629</c:f>
              <c:numCache>
                <c:formatCode>0.00</c:formatCode>
                <c:ptCount val="7"/>
                <c:pt idx="0">
                  <c:v>6.6613429999999996</c:v>
                </c:pt>
                <c:pt idx="1">
                  <c:v>7.2471709999999998</c:v>
                </c:pt>
                <c:pt idx="2">
                  <c:v>5.5977170000000003</c:v>
                </c:pt>
                <c:pt idx="3">
                  <c:v>6.4575719999999999</c:v>
                </c:pt>
                <c:pt idx="4">
                  <c:v>6.456817</c:v>
                </c:pt>
                <c:pt idx="5">
                  <c:v>6.2636209999999997</c:v>
                </c:pt>
                <c:pt idx="6">
                  <c:v>5.318708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9E8-41DC-B064-B72F9008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06620015"/>
        <c:axId val="180661835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USSD!$B$2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USSD!$A$3:$A$629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USSD!$B$3:$B$629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6659139</c:v>
                      </c:pt>
                      <c:pt idx="1">
                        <c:v>7244603</c:v>
                      </c:pt>
                      <c:pt idx="2">
                        <c:v>5595721</c:v>
                      </c:pt>
                      <c:pt idx="3">
                        <c:v>6454983</c:v>
                      </c:pt>
                      <c:pt idx="4">
                        <c:v>6441246</c:v>
                      </c:pt>
                      <c:pt idx="5">
                        <c:v>6211161</c:v>
                      </c:pt>
                      <c:pt idx="6">
                        <c:v>5280100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9E8-41DC-B064-B72F9008154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USSD!$C$2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USSD!$A$3:$A$629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USSD!$C$3:$C$629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2204</c:v>
                      </c:pt>
                      <c:pt idx="1">
                        <c:v>2568</c:v>
                      </c:pt>
                      <c:pt idx="2">
                        <c:v>1996</c:v>
                      </c:pt>
                      <c:pt idx="3">
                        <c:v>2589</c:v>
                      </c:pt>
                      <c:pt idx="4">
                        <c:v>15571</c:v>
                      </c:pt>
                      <c:pt idx="5">
                        <c:v>52460</c:v>
                      </c:pt>
                      <c:pt idx="6">
                        <c:v>38608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9E8-41DC-B064-B72F9008154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USSD!$D$2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USSD!$A$3:$A$629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USSD!$D$3:$D$629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6661343</c:v>
                      </c:pt>
                      <c:pt idx="1">
                        <c:v>7247171</c:v>
                      </c:pt>
                      <c:pt idx="2">
                        <c:v>5597717</c:v>
                      </c:pt>
                      <c:pt idx="3">
                        <c:v>6457572</c:v>
                      </c:pt>
                      <c:pt idx="4">
                        <c:v>6456817</c:v>
                      </c:pt>
                      <c:pt idx="5">
                        <c:v>6263621</c:v>
                      </c:pt>
                      <c:pt idx="6">
                        <c:v>5318708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9E8-41DC-B064-B72F9008154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USSD!$A$3:$A$629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USSD!$E$3:$E$629</c:f>
              <c:numCache>
                <c:formatCode>General</c:formatCode>
                <c:ptCount val="7"/>
                <c:pt idx="0">
                  <c:v>99.97</c:v>
                </c:pt>
                <c:pt idx="1">
                  <c:v>99.96</c:v>
                </c:pt>
                <c:pt idx="2">
                  <c:v>99.96</c:v>
                </c:pt>
                <c:pt idx="3">
                  <c:v>99.96</c:v>
                </c:pt>
                <c:pt idx="4">
                  <c:v>99.76</c:v>
                </c:pt>
                <c:pt idx="5">
                  <c:v>99.16</c:v>
                </c:pt>
                <c:pt idx="6">
                  <c:v>99.27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8-41DC-B064-B72F9008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620431"/>
        <c:axId val="1806619183"/>
      </c:lineChart>
      <c:dateAx>
        <c:axId val="180662001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351"/>
        <c:crosses val="autoZero"/>
        <c:auto val="1"/>
        <c:lblOffset val="100"/>
        <c:baseTimeUnit val="days"/>
      </c:dateAx>
      <c:valAx>
        <c:axId val="180661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</a:t>
                </a:r>
                <a:r>
                  <a:rPr lang="en-IN" baseline="0"/>
                  <a:t> in Millions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20015"/>
        <c:crosses val="autoZero"/>
        <c:crossBetween val="between"/>
      </c:valAx>
      <c:valAx>
        <c:axId val="1806619183"/>
        <c:scaling>
          <c:orientation val="minMax"/>
          <c:max val="100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20431"/>
        <c:crosses val="max"/>
        <c:crossBetween val="between"/>
      </c:valAx>
      <c:dateAx>
        <c:axId val="1806620431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80661918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USSD SC 105(CIS) Sucess Rate &amp; Volume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USSD!$M$2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USSD!$H$3:$H$629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USSD!$M$3:$M$629</c:f>
              <c:numCache>
                <c:formatCode>0.00</c:formatCode>
                <c:ptCount val="7"/>
                <c:pt idx="0">
                  <c:v>1.5035879999999999</c:v>
                </c:pt>
                <c:pt idx="1">
                  <c:v>1.951827</c:v>
                </c:pt>
                <c:pt idx="2">
                  <c:v>1.3755189999999999</c:v>
                </c:pt>
                <c:pt idx="3">
                  <c:v>1.507252</c:v>
                </c:pt>
                <c:pt idx="4">
                  <c:v>1.547547</c:v>
                </c:pt>
                <c:pt idx="5">
                  <c:v>1.474979</c:v>
                </c:pt>
                <c:pt idx="6">
                  <c:v>1.348719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C05-4D07-BAA6-FBE9E645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06700383"/>
        <c:axId val="170670121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USSD!$I$2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USSD!$H$3:$H$629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USSD!$I$3:$I$629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1503146</c:v>
                      </c:pt>
                      <c:pt idx="1">
                        <c:v>1951147</c:v>
                      </c:pt>
                      <c:pt idx="2">
                        <c:v>1375118</c:v>
                      </c:pt>
                      <c:pt idx="3">
                        <c:v>1506834</c:v>
                      </c:pt>
                      <c:pt idx="4">
                        <c:v>1547120</c:v>
                      </c:pt>
                      <c:pt idx="5">
                        <c:v>1474584</c:v>
                      </c:pt>
                      <c:pt idx="6">
                        <c:v>1348306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C05-4D07-BAA6-FBE9E6455A2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USSD!$J$2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USSD!$H$3:$H$629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USSD!$J$3:$J$629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442</c:v>
                      </c:pt>
                      <c:pt idx="1">
                        <c:v>680</c:v>
                      </c:pt>
                      <c:pt idx="2">
                        <c:v>401</c:v>
                      </c:pt>
                      <c:pt idx="3">
                        <c:v>418</c:v>
                      </c:pt>
                      <c:pt idx="4">
                        <c:v>427</c:v>
                      </c:pt>
                      <c:pt idx="5">
                        <c:v>395</c:v>
                      </c:pt>
                      <c:pt idx="6">
                        <c:v>413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05-4D07-BAA6-FBE9E6455A2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USSD!$K$2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USSD!$H$3:$H$629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USSD!$K$3:$K$629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1503588</c:v>
                      </c:pt>
                      <c:pt idx="1">
                        <c:v>1951827</c:v>
                      </c:pt>
                      <c:pt idx="2">
                        <c:v>1375519</c:v>
                      </c:pt>
                      <c:pt idx="3">
                        <c:v>1507252</c:v>
                      </c:pt>
                      <c:pt idx="4">
                        <c:v>1547547</c:v>
                      </c:pt>
                      <c:pt idx="5">
                        <c:v>1474979</c:v>
                      </c:pt>
                      <c:pt idx="6">
                        <c:v>1348719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05-4D07-BAA6-FBE9E6455A2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USSD!$H$3:$H$629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USSD!$L$3:$L$629</c:f>
              <c:numCache>
                <c:formatCode>General</c:formatCode>
                <c:ptCount val="7"/>
                <c:pt idx="0">
                  <c:v>99.97</c:v>
                </c:pt>
                <c:pt idx="1">
                  <c:v>99.97</c:v>
                </c:pt>
                <c:pt idx="2">
                  <c:v>99.97</c:v>
                </c:pt>
                <c:pt idx="3">
                  <c:v>99.97</c:v>
                </c:pt>
                <c:pt idx="4">
                  <c:v>99.97</c:v>
                </c:pt>
                <c:pt idx="5">
                  <c:v>99.97</c:v>
                </c:pt>
                <c:pt idx="6">
                  <c:v>99.97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5-4D07-BAA6-FBE9E645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698719"/>
        <c:axId val="1706701631"/>
      </c:lineChart>
      <c:dateAx>
        <c:axId val="1706700383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1215"/>
        <c:crosses val="autoZero"/>
        <c:auto val="1"/>
        <c:lblOffset val="100"/>
        <c:baseTimeUnit val="days"/>
      </c:dateAx>
      <c:valAx>
        <c:axId val="170670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 in Mil7lions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038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06701631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698719"/>
        <c:crosses val="max"/>
        <c:crossBetween val="between"/>
      </c:valAx>
      <c:dateAx>
        <c:axId val="1706698719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7067016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USSD SC 133*6 Sucess Rate &amp; Volume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USSD!$AA$2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USSD!$V$3:$V$629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USSD!$AA$3:$AA$629</c:f>
              <c:numCache>
                <c:formatCode>0.00</c:formatCode>
                <c:ptCount val="7"/>
                <c:pt idx="0">
                  <c:v>0.998394</c:v>
                </c:pt>
                <c:pt idx="1">
                  <c:v>1.126044</c:v>
                </c:pt>
                <c:pt idx="2">
                  <c:v>0.88289099999999998</c:v>
                </c:pt>
                <c:pt idx="3">
                  <c:v>1.0164010000000001</c:v>
                </c:pt>
                <c:pt idx="4">
                  <c:v>1.0045839999999999</c:v>
                </c:pt>
                <c:pt idx="5">
                  <c:v>0.97142099999999998</c:v>
                </c:pt>
                <c:pt idx="6">
                  <c:v>0.88822999999999996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037-47CC-B355-78831A493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65746159"/>
        <c:axId val="186574699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USSD!$W$2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USSD!$V$3:$V$629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USSD!$W$3:$W$629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998188</c:v>
                      </c:pt>
                      <c:pt idx="1">
                        <c:v>1125877</c:v>
                      </c:pt>
                      <c:pt idx="2">
                        <c:v>882730</c:v>
                      </c:pt>
                      <c:pt idx="3">
                        <c:v>1016227</c:v>
                      </c:pt>
                      <c:pt idx="4">
                        <c:v>1004414</c:v>
                      </c:pt>
                      <c:pt idx="5">
                        <c:v>971223</c:v>
                      </c:pt>
                      <c:pt idx="6">
                        <c:v>888091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037-47CC-B355-78831A4933A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USSD!$X$2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USSD!$V$3:$V$629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USSD!$X$3:$X$629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206</c:v>
                      </c:pt>
                      <c:pt idx="1">
                        <c:v>167</c:v>
                      </c:pt>
                      <c:pt idx="2">
                        <c:v>161</c:v>
                      </c:pt>
                      <c:pt idx="3">
                        <c:v>174</c:v>
                      </c:pt>
                      <c:pt idx="4">
                        <c:v>170</c:v>
                      </c:pt>
                      <c:pt idx="5">
                        <c:v>198</c:v>
                      </c:pt>
                      <c:pt idx="6">
                        <c:v>139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37-47CC-B355-78831A4933A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USSD!$Y$2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USSD!$V$3:$V$629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USSD!$Y$3:$Y$629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998394</c:v>
                      </c:pt>
                      <c:pt idx="1">
                        <c:v>1126044</c:v>
                      </c:pt>
                      <c:pt idx="2">
                        <c:v>882891</c:v>
                      </c:pt>
                      <c:pt idx="3">
                        <c:v>1016401</c:v>
                      </c:pt>
                      <c:pt idx="4">
                        <c:v>1004584</c:v>
                      </c:pt>
                      <c:pt idx="5">
                        <c:v>971421</c:v>
                      </c:pt>
                      <c:pt idx="6">
                        <c:v>888230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37-47CC-B355-78831A4933A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USSD!$Z$2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USSD!$V$3:$V$629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USSD!$Z$3:$Z$629</c:f>
              <c:numCache>
                <c:formatCode>General</c:formatCode>
                <c:ptCount val="7"/>
                <c:pt idx="0">
                  <c:v>99.98</c:v>
                </c:pt>
                <c:pt idx="1">
                  <c:v>99.99</c:v>
                </c:pt>
                <c:pt idx="2">
                  <c:v>99.98</c:v>
                </c:pt>
                <c:pt idx="3">
                  <c:v>99.98</c:v>
                </c:pt>
                <c:pt idx="4">
                  <c:v>99.98</c:v>
                </c:pt>
                <c:pt idx="5">
                  <c:v>99.98</c:v>
                </c:pt>
                <c:pt idx="6">
                  <c:v>99.98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7-47CC-B355-78831A493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744495"/>
        <c:axId val="1865744079"/>
      </c:lineChart>
      <c:dateAx>
        <c:axId val="1865746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6991"/>
        <c:crosses val="autoZero"/>
        <c:auto val="1"/>
        <c:lblOffset val="100"/>
        <c:baseTimeUnit val="days"/>
      </c:dateAx>
      <c:valAx>
        <c:axId val="186574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 in</a:t>
                </a:r>
                <a:r>
                  <a:rPr lang="en-IN" baseline="0"/>
                  <a:t> millions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6159"/>
        <c:crosses val="autoZero"/>
        <c:crossBetween val="between"/>
      </c:valAx>
      <c:valAx>
        <c:axId val="18657440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4495"/>
        <c:crosses val="max"/>
        <c:crossBetween val="between"/>
      </c:valAx>
      <c:dateAx>
        <c:axId val="1865744495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865744079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USSD Peak TPS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'SMS and TPS'!$AC$2</c:f>
              <c:strCache>
                <c:ptCount val="1"/>
                <c:pt idx="0">
                  <c:v> Peak_TPS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'SMS and TPS'!$AB$3:$AB$641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'SMS and TPS'!$AC$3:$AC$641</c:f>
              <c:numCache>
                <c:formatCode>General</c:formatCode>
                <c:ptCount val="7"/>
                <c:pt idx="0">
                  <c:v>1051</c:v>
                </c:pt>
                <c:pt idx="1">
                  <c:v>999</c:v>
                </c:pt>
                <c:pt idx="2">
                  <c:v>1020</c:v>
                </c:pt>
                <c:pt idx="3">
                  <c:v>1531</c:v>
                </c:pt>
                <c:pt idx="4">
                  <c:v>984</c:v>
                </c:pt>
                <c:pt idx="5">
                  <c:v>1091</c:v>
                </c:pt>
                <c:pt idx="6">
                  <c:v>894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BD5-4489-98FE-6A377C912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60016"/>
        <c:axId val="4698464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'SMS and TPS'!$AD$2</c15:sqref>
                        </c15:formulaRef>
                      </c:ext>
                    </c:extLst>
                    <c:strCache>
                      <c:ptCount val="1"/>
                      <c:pt idx="0">
                        <c:v> Max_Allowed 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'SMS and TPS'!$AB$3:$AB$641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'SMS and TPS'!$AD$3:$AD$641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12000</c:v>
                      </c:pt>
                      <c:pt idx="1">
                        <c:v>12000</c:v>
                      </c:pt>
                      <c:pt idx="2">
                        <c:v>12000</c:v>
                      </c:pt>
                      <c:pt idx="3">
                        <c:v>12000</c:v>
                      </c:pt>
                      <c:pt idx="4">
                        <c:v>12000</c:v>
                      </c:pt>
                      <c:pt idx="5">
                        <c:v>12000</c:v>
                      </c:pt>
                      <c:pt idx="6">
                        <c:v>12000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BD5-4489-98FE-6A377C9128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'SMS and TPS'!$AE$2</c15:sqref>
                        </c15:formulaRef>
                      </c:ext>
                    </c:extLst>
                    <c:strCache>
                      <c:ptCount val="1"/>
                      <c:pt idx="0">
                        <c:v> Avg_TPS  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TPS'!$AB$3:$AB$641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'SMS and TPS'!$AE$3:$AE$641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8.7583333333333329</c:v>
                      </c:pt>
                      <c:pt idx="1">
                        <c:v>8.3249999999999993</c:v>
                      </c:pt>
                      <c:pt idx="2">
                        <c:v>8.5</c:v>
                      </c:pt>
                      <c:pt idx="3">
                        <c:v>12.758333333333333</c:v>
                      </c:pt>
                      <c:pt idx="4">
                        <c:v>8.1999999999999993</c:v>
                      </c:pt>
                      <c:pt idx="5">
                        <c:v>9.0916666666666668</c:v>
                      </c:pt>
                      <c:pt idx="6">
                        <c:v>7.45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D5-4489-98FE-6A377C912824}"/>
                  </c:ext>
                </c:extLst>
              </c15:ser>
            </c15:filteredLineSeries>
          </c:ext>
        </c:extLst>
      </c:lineChart>
      <c:dateAx>
        <c:axId val="46986001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6416"/>
        <c:crosses val="autoZero"/>
        <c:auto val="1"/>
        <c:lblOffset val="100"/>
        <c:baseTimeUnit val="days"/>
      </c:dateAx>
      <c:valAx>
        <c:axId val="469846416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USSD  Peak 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Top Five P2A Error Breakdown(11-Aug)</a:t>
            </a:r>
          </a:p>
        </c:rich>
      </c:tx>
      <c:layout>
        <c:manualLayout>
          <c:xMode val="edge"/>
          <c:yMode val="edge"/>
          <c:x val="9.4442453800701057E-2"/>
          <c:y val="2.4161068718264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explosion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1D-4912-A8C2-D3F4CB93459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CA3-46E0-B338-FF1ED1C10D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'SMS and TPS'!$AU$666:$AU$667</c:f>
              <c:strCache>
                <c:ptCount val="2"/>
                <c:pt idx="0">
                  <c:v>UnknownErrors</c:v>
                </c:pt>
                <c:pt idx="1">
                  <c:v>SMPP-Accountnotconnected</c:v>
                </c:pt>
              </c:strCache>
            </c:strRef>
          </c:cat>
          <c:val>
            <c:numRef>
              <c:f>'SMS and TPS'!$AV$666:$AV$667</c:f>
              <c:numCache>
                <c:formatCode>General</c:formatCode>
                <c:ptCount val="2"/>
                <c:pt idx="0">
                  <c:v>225</c:v>
                </c:pt>
                <c:pt idx="1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1D-4912-A8C2-D3F4CB93459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57324607298344"/>
          <c:y val="0.47440927239053732"/>
          <c:w val="0.28487941845768366"/>
          <c:h val="0.230558930145016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USSD SC 590 Sucess Rate &amp; Volume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69913493305"/>
          <c:y val="0.17221416276938584"/>
          <c:w val="0.70990628863138339"/>
          <c:h val="0.50779662825557748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USSD!$AH$2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USSD!$AC$3:$AC$629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USSD!$AH$3:$AH$629</c:f>
              <c:numCache>
                <c:formatCode>0.00</c:formatCode>
                <c:ptCount val="7"/>
                <c:pt idx="0">
                  <c:v>1.00787</c:v>
                </c:pt>
                <c:pt idx="1">
                  <c:v>1.19431</c:v>
                </c:pt>
                <c:pt idx="2">
                  <c:v>1.0120960000000001</c:v>
                </c:pt>
                <c:pt idx="3">
                  <c:v>0.97816199999999998</c:v>
                </c:pt>
                <c:pt idx="4">
                  <c:v>1.0180070000000001</c:v>
                </c:pt>
                <c:pt idx="5">
                  <c:v>1.0611630000000001</c:v>
                </c:pt>
                <c:pt idx="6">
                  <c:v>1.010041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B29-47F9-88F5-4968E4B9B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65746159"/>
        <c:axId val="186574699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USSD!$AD$2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USSD!$AC$3:$AC$629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USSD!$AD$3:$AD$629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1007792</c:v>
                      </c:pt>
                      <c:pt idx="1">
                        <c:v>1194216</c:v>
                      </c:pt>
                      <c:pt idx="2">
                        <c:v>1011967</c:v>
                      </c:pt>
                      <c:pt idx="3">
                        <c:v>978042</c:v>
                      </c:pt>
                      <c:pt idx="4">
                        <c:v>1017894</c:v>
                      </c:pt>
                      <c:pt idx="5">
                        <c:v>1061103</c:v>
                      </c:pt>
                      <c:pt idx="6">
                        <c:v>1009986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B29-47F9-88F5-4968E4B9BC6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USSD!$AE$2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USSD!$AC$3:$AC$629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USSD!$AE$3:$AE$629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78</c:v>
                      </c:pt>
                      <c:pt idx="1">
                        <c:v>94</c:v>
                      </c:pt>
                      <c:pt idx="2">
                        <c:v>129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60</c:v>
                      </c:pt>
                      <c:pt idx="6">
                        <c:v>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29-47F9-88F5-4968E4B9BC6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USSD!$AF$2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USSD!$AC$3:$AC$629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USSD!$AF$3:$AF$629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1007870</c:v>
                      </c:pt>
                      <c:pt idx="1">
                        <c:v>1194310</c:v>
                      </c:pt>
                      <c:pt idx="2">
                        <c:v>1012096</c:v>
                      </c:pt>
                      <c:pt idx="3">
                        <c:v>978162</c:v>
                      </c:pt>
                      <c:pt idx="4">
                        <c:v>1018007</c:v>
                      </c:pt>
                      <c:pt idx="5">
                        <c:v>1061163</c:v>
                      </c:pt>
                      <c:pt idx="6">
                        <c:v>1010041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29-47F9-88F5-4968E4B9BC6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USSD!$AG$2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USSD!$AC$3:$AC$629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USSD!$AG$3:$AG$629</c:f>
              <c:numCache>
                <c:formatCode>General</c:formatCode>
                <c:ptCount val="7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9-47F9-88F5-4968E4B9B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744495"/>
        <c:axId val="1865744079"/>
      </c:lineChart>
      <c:dateAx>
        <c:axId val="1865746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6991"/>
        <c:crosses val="autoZero"/>
        <c:auto val="1"/>
        <c:lblOffset val="100"/>
        <c:baseTimeUnit val="days"/>
      </c:dateAx>
      <c:valAx>
        <c:axId val="1865746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 in</a:t>
                </a:r>
                <a:r>
                  <a:rPr lang="en-IN" baseline="0"/>
                  <a:t> millions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6159"/>
        <c:crosses val="autoZero"/>
        <c:crossBetween val="between"/>
      </c:valAx>
      <c:valAx>
        <c:axId val="18657440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44495"/>
        <c:crosses val="max"/>
        <c:crossBetween val="between"/>
      </c:valAx>
      <c:dateAx>
        <c:axId val="1865744495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865744079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Overall</a:t>
            </a:r>
            <a:r>
              <a:rPr lang="en-IN" baseline="0"/>
              <a:t> USSD Volume &amp; Success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8328727899691"/>
          <c:y val="0.20548950593015833"/>
          <c:w val="0.75628379333539719"/>
          <c:h val="0.58930162531092622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USSD!$CJ$2</c:f>
              <c:strCache>
                <c:ptCount val="1"/>
                <c:pt idx="0">
                  <c:v>Total(Mn)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USSD!$CE$3:$CE$629</c:f>
              <c:numCache>
                <c:formatCode>m/d/yyyy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USSD!$CJ$3:$CJ$629</c:f>
              <c:numCache>
                <c:formatCode>0.00</c:formatCode>
                <c:ptCount val="7"/>
                <c:pt idx="0">
                  <c:v>12.928356000000001</c:v>
                </c:pt>
                <c:pt idx="1">
                  <c:v>14.581037</c:v>
                </c:pt>
                <c:pt idx="2">
                  <c:v>11.330919</c:v>
                </c:pt>
                <c:pt idx="3">
                  <c:v>12.768706999999999</c:v>
                </c:pt>
                <c:pt idx="4">
                  <c:v>12.821224000000001</c:v>
                </c:pt>
                <c:pt idx="5">
                  <c:v>12.453348999999999</c:v>
                </c:pt>
                <c:pt idx="6">
                  <c:v>10.855909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8C-4387-B2A3-EA1B2227B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179408"/>
        <c:axId val="129318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USSD!$CF$2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USSD!$CE$3:$CE$629</c15:sqref>
                        </c15:formulaRef>
                      </c:ext>
                    </c:extLst>
                    <c:numCache>
                      <c:formatCode>m/d/yyyy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USSD!$CF$3:$CF$629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12917053</c:v>
                      </c:pt>
                      <c:pt idx="1">
                        <c:v>14568479</c:v>
                      </c:pt>
                      <c:pt idx="2">
                        <c:v>11320772</c:v>
                      </c:pt>
                      <c:pt idx="3">
                        <c:v>12756622</c:v>
                      </c:pt>
                      <c:pt idx="4">
                        <c:v>12795175</c:v>
                      </c:pt>
                      <c:pt idx="5">
                        <c:v>12390929</c:v>
                      </c:pt>
                      <c:pt idx="6">
                        <c:v>10807845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38C-4387-B2A3-EA1B2227B46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USSD!$CG$2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USSD!$CE$3:$CE$629</c15:sqref>
                        </c15:formulaRef>
                      </c:ext>
                    </c:extLst>
                    <c:numCache>
                      <c:formatCode>m/d/yyyy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USSD!$CG$3:$CG$629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11303</c:v>
                      </c:pt>
                      <c:pt idx="1">
                        <c:v>12558</c:v>
                      </c:pt>
                      <c:pt idx="2">
                        <c:v>10147</c:v>
                      </c:pt>
                      <c:pt idx="3">
                        <c:v>12085</c:v>
                      </c:pt>
                      <c:pt idx="4">
                        <c:v>26049</c:v>
                      </c:pt>
                      <c:pt idx="5">
                        <c:v>62420</c:v>
                      </c:pt>
                      <c:pt idx="6">
                        <c:v>48064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8C-4387-B2A3-EA1B2227B46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USSD!$CH$2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USSD!$CE$3:$CE$629</c15:sqref>
                        </c15:formulaRef>
                      </c:ext>
                    </c:extLst>
                    <c:numCache>
                      <c:formatCode>m/d/yyyy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USSD!$CH$3:$CH$629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12928356</c:v>
                      </c:pt>
                      <c:pt idx="1">
                        <c:v>14581037</c:v>
                      </c:pt>
                      <c:pt idx="2">
                        <c:v>11330919</c:v>
                      </c:pt>
                      <c:pt idx="3">
                        <c:v>12768707</c:v>
                      </c:pt>
                      <c:pt idx="4">
                        <c:v>12821224</c:v>
                      </c:pt>
                      <c:pt idx="5">
                        <c:v>12453349</c:v>
                      </c:pt>
                      <c:pt idx="6">
                        <c:v>10855909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8C-4387-B2A3-EA1B2227B46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USSD!$CI$2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USSD!$CE$3:$CE$629</c:f>
              <c:numCache>
                <c:formatCode>m/d/yyyy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USSD!$CI$3:$CI$629</c:f>
              <c:numCache>
                <c:formatCode>General</c:formatCode>
                <c:ptCount val="7"/>
                <c:pt idx="0">
                  <c:v>99.91</c:v>
                </c:pt>
                <c:pt idx="1">
                  <c:v>99.91</c:v>
                </c:pt>
                <c:pt idx="2">
                  <c:v>99.91</c:v>
                </c:pt>
                <c:pt idx="3">
                  <c:v>99.91</c:v>
                </c:pt>
                <c:pt idx="4">
                  <c:v>99.8</c:v>
                </c:pt>
                <c:pt idx="5">
                  <c:v>99.5</c:v>
                </c:pt>
                <c:pt idx="6">
                  <c:v>99.56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38C-4387-B2A3-EA1B2227B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174416"/>
        <c:axId val="1293173584"/>
        <c:extLst/>
      </c:lineChart>
      <c:dateAx>
        <c:axId val="1293179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80240"/>
        <c:crosses val="autoZero"/>
        <c:auto val="1"/>
        <c:lblOffset val="100"/>
        <c:baseTimeUnit val="days"/>
      </c:dateAx>
      <c:valAx>
        <c:axId val="129318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 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79408"/>
        <c:crosses val="autoZero"/>
        <c:crossBetween val="between"/>
      </c:valAx>
      <c:valAx>
        <c:axId val="1293173584"/>
        <c:scaling>
          <c:orientation val="minMax"/>
          <c:max val="100"/>
          <c:min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74416"/>
        <c:crosses val="max"/>
        <c:crossBetween val="between"/>
      </c:valAx>
      <c:dateAx>
        <c:axId val="12931744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93173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Overall USSD Top</a:t>
            </a:r>
            <a:r>
              <a:rPr lang="en-IN" baseline="0"/>
              <a:t> five </a:t>
            </a:r>
            <a:r>
              <a:rPr lang="en-IN"/>
              <a:t>Failures(11-Aug</a:t>
            </a:r>
            <a:r>
              <a:rPr lang="en-US" sz="1600" b="1" i="0" u="none" strike="noStrike" baseline="0">
                <a:effectLst/>
              </a:rPr>
              <a:t>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73-4879-9204-DF92BBC63B4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73-4879-9204-DF92BBC63B4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A73-4879-9204-DF92BBC63B4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A73-4879-9204-DF92BBC63B4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A73-4879-9204-DF92BBC63B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USSD!$CM$653:$CM$657</c:f>
              <c:strCache>
                <c:ptCount val="5"/>
                <c:pt idx="0">
                  <c:v>Response timeout</c:v>
                </c:pt>
                <c:pt idx="1">
                  <c:v>HTTP error</c:v>
                </c:pt>
                <c:pt idx="2">
                  <c:v>External application down</c:v>
                </c:pt>
                <c:pt idx="3">
                  <c:v>Invalid Application response</c:v>
                </c:pt>
                <c:pt idx="4">
                  <c:v>Empty response</c:v>
                </c:pt>
              </c:strCache>
            </c:strRef>
          </c:cat>
          <c:val>
            <c:numRef>
              <c:f>USSD!$CN$653:$CN$657</c:f>
              <c:numCache>
                <c:formatCode>General</c:formatCode>
                <c:ptCount val="5"/>
                <c:pt idx="0">
                  <c:v>36158</c:v>
                </c:pt>
                <c:pt idx="1">
                  <c:v>8469</c:v>
                </c:pt>
                <c:pt idx="2">
                  <c:v>1831</c:v>
                </c:pt>
                <c:pt idx="3">
                  <c:v>821</c:v>
                </c:pt>
                <c:pt idx="4">
                  <c:v>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73-4879-9204-DF92BBC63B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1266708794226554"/>
          <c:y val="0.2330836736306264"/>
          <c:w val="0.33361861959403993"/>
          <c:h val="0.28338563548184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 EWPMOM Vol.</a:t>
            </a:r>
            <a:r>
              <a:rPr lang="en-IN" baseline="0"/>
              <a:t> &amp; Success%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SMPP'!$D$3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SMPP'!$A$4:$A$629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SMPP'!$D$4:$D$629</c:f>
              <c:numCache>
                <c:formatCode>General</c:formatCode>
                <c:ptCount val="7"/>
                <c:pt idx="0">
                  <c:v>14223764</c:v>
                </c:pt>
                <c:pt idx="1">
                  <c:v>15012201</c:v>
                </c:pt>
                <c:pt idx="2">
                  <c:v>12491439</c:v>
                </c:pt>
                <c:pt idx="3">
                  <c:v>13236898</c:v>
                </c:pt>
                <c:pt idx="4">
                  <c:v>14118064</c:v>
                </c:pt>
                <c:pt idx="5">
                  <c:v>13616262</c:v>
                </c:pt>
                <c:pt idx="6">
                  <c:v>11560006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4-45EC-9D6D-FA5A03A5A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7821632"/>
        <c:axId val="1167818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SMPP'!$B$3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SMPP'!$A$4:$A$629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SMPP'!$B$4:$B$629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13399756</c:v>
                      </c:pt>
                      <c:pt idx="1">
                        <c:v>14068070</c:v>
                      </c:pt>
                      <c:pt idx="2">
                        <c:v>11641131</c:v>
                      </c:pt>
                      <c:pt idx="3">
                        <c:v>12438707</c:v>
                      </c:pt>
                      <c:pt idx="4">
                        <c:v>13266354</c:v>
                      </c:pt>
                      <c:pt idx="5">
                        <c:v>12762456</c:v>
                      </c:pt>
                      <c:pt idx="6">
                        <c:v>10756215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1B4-45EC-9D6D-FA5A03A5A82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SMPP'!$C$3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SMPP'!$A$4:$A$629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SMPP'!$C$4:$C$629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824008</c:v>
                      </c:pt>
                      <c:pt idx="1">
                        <c:v>944131</c:v>
                      </c:pt>
                      <c:pt idx="2">
                        <c:v>850308</c:v>
                      </c:pt>
                      <c:pt idx="3">
                        <c:v>798191</c:v>
                      </c:pt>
                      <c:pt idx="4">
                        <c:v>851710</c:v>
                      </c:pt>
                      <c:pt idx="5">
                        <c:v>853806</c:v>
                      </c:pt>
                      <c:pt idx="6">
                        <c:v>803791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B4-45EC-9D6D-FA5A03A5A82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SMPP'!$E$3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SMPP'!$A$4:$A$629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SMPP'!$E$4:$E$629</c:f>
              <c:numCache>
                <c:formatCode>General</c:formatCode>
                <c:ptCount val="7"/>
                <c:pt idx="0">
                  <c:v>94.21</c:v>
                </c:pt>
                <c:pt idx="1">
                  <c:v>93.71</c:v>
                </c:pt>
                <c:pt idx="2">
                  <c:v>93.19</c:v>
                </c:pt>
                <c:pt idx="3">
                  <c:v>93.97</c:v>
                </c:pt>
                <c:pt idx="4">
                  <c:v>93.97</c:v>
                </c:pt>
                <c:pt idx="5">
                  <c:v>93.73</c:v>
                </c:pt>
                <c:pt idx="6">
                  <c:v>93.04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4-45EC-9D6D-FA5A03A5A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801248"/>
        <c:axId val="1167799584"/>
      </c:lineChart>
      <c:dateAx>
        <c:axId val="11678216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8720"/>
        <c:crosses val="autoZero"/>
        <c:auto val="1"/>
        <c:lblOffset val="100"/>
        <c:baseTimeUnit val="days"/>
      </c:dateAx>
      <c:valAx>
        <c:axId val="1167818720"/>
        <c:scaling>
          <c:orientation val="minMax"/>
          <c:max val="17000000"/>
          <c:min val="5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216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67799584"/>
        <c:scaling>
          <c:orientation val="minMax"/>
          <c:max val="100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01248"/>
        <c:crosses val="max"/>
        <c:crossBetween val="between"/>
      </c:valAx>
      <c:dateAx>
        <c:axId val="116780124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167799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 4026531874 Vol.</a:t>
            </a:r>
            <a:r>
              <a:rPr lang="en-IN" baseline="0"/>
              <a:t> &amp; Success%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SMPP'!$G$4:$G$629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SMPP'!$J$4:$J$629</c:f>
              <c:numCache>
                <c:formatCode>General</c:formatCode>
                <c:ptCount val="7"/>
                <c:pt idx="0">
                  <c:v>1324493</c:v>
                </c:pt>
                <c:pt idx="1">
                  <c:v>406388</c:v>
                </c:pt>
                <c:pt idx="2">
                  <c:v>6385457</c:v>
                </c:pt>
                <c:pt idx="3">
                  <c:v>11481264</c:v>
                </c:pt>
                <c:pt idx="4">
                  <c:v>1161644</c:v>
                </c:pt>
                <c:pt idx="5">
                  <c:v>897693</c:v>
                </c:pt>
                <c:pt idx="6">
                  <c:v>845837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6-4BE4-B248-3A6CD1EB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7819552"/>
        <c:axId val="11678203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SMPP'!$H$3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SMPP'!$G$4:$G$629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SMPP'!$H$4:$H$629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929597</c:v>
                      </c:pt>
                      <c:pt idx="1">
                        <c:v>271594</c:v>
                      </c:pt>
                      <c:pt idx="2">
                        <c:v>4499919</c:v>
                      </c:pt>
                      <c:pt idx="3">
                        <c:v>7965160</c:v>
                      </c:pt>
                      <c:pt idx="4">
                        <c:v>808171</c:v>
                      </c:pt>
                      <c:pt idx="5">
                        <c:v>627065</c:v>
                      </c:pt>
                      <c:pt idx="6">
                        <c:v>591590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936-4BE4-B248-3A6CD1EBDD3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SMPP'!$I$3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SMPP'!$G$4:$G$629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SMPP'!$I$4:$I$629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394896</c:v>
                      </c:pt>
                      <c:pt idx="1">
                        <c:v>134794</c:v>
                      </c:pt>
                      <c:pt idx="2">
                        <c:v>1885538</c:v>
                      </c:pt>
                      <c:pt idx="3">
                        <c:v>3516104</c:v>
                      </c:pt>
                      <c:pt idx="4">
                        <c:v>353473</c:v>
                      </c:pt>
                      <c:pt idx="5">
                        <c:v>270628</c:v>
                      </c:pt>
                      <c:pt idx="6">
                        <c:v>254247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36-4BE4-B248-3A6CD1EBDD3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SMPP'!$K$3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SMPP'!$G$4:$G$629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SMPP'!$K$4:$K$629</c:f>
              <c:numCache>
                <c:formatCode>General</c:formatCode>
                <c:ptCount val="7"/>
                <c:pt idx="0">
                  <c:v>70.19</c:v>
                </c:pt>
                <c:pt idx="1">
                  <c:v>66.83</c:v>
                </c:pt>
                <c:pt idx="2">
                  <c:v>70.47</c:v>
                </c:pt>
                <c:pt idx="3">
                  <c:v>69.38</c:v>
                </c:pt>
                <c:pt idx="4">
                  <c:v>69.569999999999993</c:v>
                </c:pt>
                <c:pt idx="5">
                  <c:v>69.849999999999994</c:v>
                </c:pt>
                <c:pt idx="6">
                  <c:v>69.94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6-4BE4-B248-3A6CD1EB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817472"/>
        <c:axId val="1167818304"/>
      </c:lineChart>
      <c:dateAx>
        <c:axId val="1167819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20384"/>
        <c:crosses val="autoZero"/>
        <c:auto val="1"/>
        <c:lblOffset val="100"/>
        <c:baseTimeUnit val="days"/>
      </c:dateAx>
      <c:valAx>
        <c:axId val="11678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955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67818304"/>
        <c:scaling>
          <c:orientation val="minMax"/>
          <c:max val="85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7472"/>
        <c:crosses val="max"/>
        <c:crossBetween val="between"/>
      </c:valAx>
      <c:dateAx>
        <c:axId val="116781747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167818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</a:t>
            </a:r>
            <a:r>
              <a:rPr lang="en-IN" baseline="0"/>
              <a:t> upstream Vol. &amp; Success% </a:t>
            </a:r>
            <a:endParaRPr lang="en-IN"/>
          </a:p>
        </c:rich>
      </c:tx>
      <c:layout>
        <c:manualLayout>
          <c:xMode val="edge"/>
          <c:yMode val="edge"/>
          <c:x val="0.1701843958500330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SMPP'!$S$4:$S$629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SMPP'!$V$4:$V$629</c:f>
              <c:numCache>
                <c:formatCode>General</c:formatCode>
                <c:ptCount val="7"/>
                <c:pt idx="0">
                  <c:v>4065530</c:v>
                </c:pt>
                <c:pt idx="1">
                  <c:v>3612479</c:v>
                </c:pt>
                <c:pt idx="2">
                  <c:v>4006750</c:v>
                </c:pt>
                <c:pt idx="3">
                  <c:v>4095761</c:v>
                </c:pt>
                <c:pt idx="4">
                  <c:v>3983758</c:v>
                </c:pt>
                <c:pt idx="5">
                  <c:v>4054214</c:v>
                </c:pt>
                <c:pt idx="6">
                  <c:v>65680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1-4394-803D-6F9DE07C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16002704"/>
        <c:axId val="1016004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SMPP'!$T$3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SMPP'!$S$4:$S$629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SMPP'!$T$4:$T$629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1271576</c:v>
                      </c:pt>
                      <c:pt idx="1">
                        <c:v>1122316</c:v>
                      </c:pt>
                      <c:pt idx="2">
                        <c:v>1266146</c:v>
                      </c:pt>
                      <c:pt idx="3">
                        <c:v>1663275</c:v>
                      </c:pt>
                      <c:pt idx="4">
                        <c:v>1267751</c:v>
                      </c:pt>
                      <c:pt idx="5">
                        <c:v>1252388</c:v>
                      </c:pt>
                      <c:pt idx="6">
                        <c:v>42282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941-4394-803D-6F9DE07C869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SMPP'!$U$3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SMPP'!$S$4:$S$629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SMPP'!$U$4:$U$629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2793954</c:v>
                      </c:pt>
                      <c:pt idx="1">
                        <c:v>2490163</c:v>
                      </c:pt>
                      <c:pt idx="2">
                        <c:v>2740604</c:v>
                      </c:pt>
                      <c:pt idx="3">
                        <c:v>2432486</c:v>
                      </c:pt>
                      <c:pt idx="4">
                        <c:v>2716007</c:v>
                      </c:pt>
                      <c:pt idx="5">
                        <c:v>2801826</c:v>
                      </c:pt>
                      <c:pt idx="6">
                        <c:v>23398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41-4394-803D-6F9DE07C869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SMPP'!$W$3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SMPP'!$S$4:$S$629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SMPP'!$W$4:$W$629</c:f>
              <c:numCache>
                <c:formatCode>General</c:formatCode>
                <c:ptCount val="7"/>
                <c:pt idx="0">
                  <c:v>31.28</c:v>
                </c:pt>
                <c:pt idx="1">
                  <c:v>31.07</c:v>
                </c:pt>
                <c:pt idx="2">
                  <c:v>31.6</c:v>
                </c:pt>
                <c:pt idx="3">
                  <c:v>40.61</c:v>
                </c:pt>
                <c:pt idx="4">
                  <c:v>31.82</c:v>
                </c:pt>
                <c:pt idx="5">
                  <c:v>30.89</c:v>
                </c:pt>
                <c:pt idx="6">
                  <c:v>64.37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1-4394-803D-6F9DE07C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990224"/>
        <c:axId val="1015982736"/>
      </c:lineChart>
      <c:dateAx>
        <c:axId val="101600270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004368"/>
        <c:crosses val="autoZero"/>
        <c:auto val="1"/>
        <c:lblOffset val="100"/>
        <c:baseTimeUnit val="days"/>
      </c:dateAx>
      <c:valAx>
        <c:axId val="10160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00270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1598273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90224"/>
        <c:crosses val="max"/>
        <c:crossBetween val="between"/>
      </c:valAx>
      <c:dateAx>
        <c:axId val="101599022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0159827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</a:t>
            </a:r>
            <a:r>
              <a:rPr lang="en-IN" baseline="0"/>
              <a:t> MADAPI03 Vol. &amp; Success%</a:t>
            </a:r>
            <a:endParaRPr lang="en-IN"/>
          </a:p>
        </c:rich>
      </c:tx>
      <c:layout>
        <c:manualLayout>
          <c:xMode val="edge"/>
          <c:yMode val="edge"/>
          <c:x val="0.2071304328608815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SMPP'!$AB$3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SMPP'!$Y$4:$Y$629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SMPP'!$AB$4:$AB$629</c:f>
              <c:numCache>
                <c:formatCode>General</c:formatCode>
                <c:ptCount val="7"/>
                <c:pt idx="0">
                  <c:v>2128358</c:v>
                </c:pt>
                <c:pt idx="1">
                  <c:v>2442850</c:v>
                </c:pt>
                <c:pt idx="2">
                  <c:v>2158619</c:v>
                </c:pt>
                <c:pt idx="3">
                  <c:v>2015501</c:v>
                </c:pt>
                <c:pt idx="4">
                  <c:v>2070806</c:v>
                </c:pt>
                <c:pt idx="5">
                  <c:v>2310221</c:v>
                </c:pt>
                <c:pt idx="6">
                  <c:v>2054918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9-4523-8C2F-8C232F20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014578176"/>
        <c:axId val="1014575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SMPP'!$Z$3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SMPP'!$Y$4:$Y$629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SMPP'!$Z$4:$Z$629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1510067</c:v>
                      </c:pt>
                      <c:pt idx="1">
                        <c:v>1742374</c:v>
                      </c:pt>
                      <c:pt idx="2">
                        <c:v>1525024</c:v>
                      </c:pt>
                      <c:pt idx="3">
                        <c:v>1493542</c:v>
                      </c:pt>
                      <c:pt idx="4">
                        <c:v>1535380</c:v>
                      </c:pt>
                      <c:pt idx="5">
                        <c:v>1755317</c:v>
                      </c:pt>
                      <c:pt idx="6">
                        <c:v>1524555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0C9-4523-8C2F-8C232F20510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SMPP'!$AA$3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SMPP'!$Y$4:$Y$629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SMPP'!$AA$4:$AA$629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618291</c:v>
                      </c:pt>
                      <c:pt idx="1">
                        <c:v>700476</c:v>
                      </c:pt>
                      <c:pt idx="2">
                        <c:v>633595</c:v>
                      </c:pt>
                      <c:pt idx="3">
                        <c:v>521959</c:v>
                      </c:pt>
                      <c:pt idx="4">
                        <c:v>535426</c:v>
                      </c:pt>
                      <c:pt idx="5">
                        <c:v>554904</c:v>
                      </c:pt>
                      <c:pt idx="6">
                        <c:v>530363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0C9-4523-8C2F-8C232F20510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SMPP'!$AC$3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SMPP'!$Y$4:$Y$629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SMPP'!$AC$4:$AC$629</c:f>
              <c:numCache>
                <c:formatCode>General</c:formatCode>
                <c:ptCount val="7"/>
                <c:pt idx="0">
                  <c:v>70.95</c:v>
                </c:pt>
                <c:pt idx="1">
                  <c:v>71.33</c:v>
                </c:pt>
                <c:pt idx="2">
                  <c:v>70.650000000000006</c:v>
                </c:pt>
                <c:pt idx="3">
                  <c:v>74.099999999999994</c:v>
                </c:pt>
                <c:pt idx="4">
                  <c:v>74.14</c:v>
                </c:pt>
                <c:pt idx="5">
                  <c:v>75.98</c:v>
                </c:pt>
                <c:pt idx="6">
                  <c:v>74.19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9-4523-8C2F-8C232F20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588992"/>
        <c:axId val="1014582336"/>
      </c:lineChart>
      <c:dateAx>
        <c:axId val="10145781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75680"/>
        <c:crosses val="autoZero"/>
        <c:auto val="1"/>
        <c:lblOffset val="100"/>
        <c:baseTimeUnit val="days"/>
      </c:dateAx>
      <c:valAx>
        <c:axId val="10145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781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14582336"/>
        <c:scaling>
          <c:orientation val="minMax"/>
          <c:max val="90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88992"/>
        <c:crosses val="max"/>
        <c:crossBetween val="between"/>
      </c:valAx>
      <c:dateAx>
        <c:axId val="101458899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0145823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100" baseline="0">
                <a:solidFill>
                  <a:schemeClr val="bg1"/>
                </a:solidFill>
                <a:effectLst/>
                <a:latin typeface="+mn-lt"/>
                <a:ea typeface="Arial Unicode MS" pitchFamily="34" charset="-128"/>
                <a:cs typeface="Arial Unicode MS" pitchFamily="34" charset="-128"/>
              </a:defRPr>
            </a:pPr>
            <a:r>
              <a:rPr lang="en-US" sz="1400" kern="1200" baseline="0">
                <a:solidFill>
                  <a:schemeClr val="bg1"/>
                </a:solidFill>
                <a:effectLst/>
                <a:latin typeface="+mn-lt"/>
                <a:ea typeface="Arial Unicode MS" pitchFamily="34" charset="-128"/>
                <a:cs typeface="Arial Unicode MS" pitchFamily="34" charset="-128"/>
              </a:rPr>
              <a:t>Top Five A2P Error Breakdown(11</a:t>
            </a:r>
            <a:r>
              <a:rPr lang="en-US" sz="1400" b="1" i="0" u="none" strike="noStrike" baseline="0">
                <a:effectLst/>
              </a:rPr>
              <a:t>-Aug</a:t>
            </a:r>
            <a:r>
              <a:rPr lang="en-US" sz="1400" kern="1200" baseline="0">
                <a:solidFill>
                  <a:schemeClr val="bg1"/>
                </a:solidFill>
                <a:effectLst/>
                <a:latin typeface="+mn-lt"/>
                <a:ea typeface="Arial Unicode MS" pitchFamily="34" charset="-128"/>
                <a:cs typeface="Arial Unicode MS" pitchFamily="34" charset="-128"/>
              </a:rPr>
              <a:t>)</a:t>
            </a:r>
          </a:p>
        </c:rich>
      </c:tx>
      <c:layout>
        <c:manualLayout>
          <c:xMode val="edge"/>
          <c:yMode val="edge"/>
          <c:x val="0.15087574337716519"/>
          <c:y val="3.2637191042889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100" baseline="0">
              <a:solidFill>
                <a:schemeClr val="bg1"/>
              </a:solidFill>
              <a:effectLst/>
              <a:latin typeface="+mn-lt"/>
              <a:ea typeface="Arial Unicode MS" pitchFamily="34" charset="-128"/>
              <a:cs typeface="Arial Unicode MS" pitchFamily="34" charset="-12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6398182459797"/>
          <c:y val="0.19492273241390251"/>
          <c:w val="0.47549699537361029"/>
          <c:h val="0.692114681178652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CC-4EBA-B388-CA54BE590D9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CC-4EBA-B388-CA54BE590D9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9CC-4EBA-B388-CA54BE590D9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9CC-4EBA-B388-CA54BE590D9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9CC-4EBA-B388-CA54BE590D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'SMS and TPS'!$AQ$666:$AQ$670</c:f>
              <c:strCache>
                <c:ptCount val="5"/>
                <c:pt idx="0">
                  <c:v>AbsentSubscriberforSM-IMSIDetach</c:v>
                </c:pt>
                <c:pt idx="1">
                  <c:v>SMDeliveryFail-MemoryCapacityExceeded</c:v>
                </c:pt>
                <c:pt idx="2">
                  <c:v>UnknownSubscriber</c:v>
                </c:pt>
                <c:pt idx="3">
                  <c:v>UnidentifiedSubscriber</c:v>
                </c:pt>
                <c:pt idx="4">
                  <c:v>MAPPABORTFW</c:v>
                </c:pt>
              </c:strCache>
            </c:strRef>
          </c:cat>
          <c:val>
            <c:numRef>
              <c:f>'SMS and TPS'!$AR$666:$AR$670</c:f>
              <c:numCache>
                <c:formatCode>General</c:formatCode>
                <c:ptCount val="5"/>
                <c:pt idx="0">
                  <c:v>15003255</c:v>
                </c:pt>
                <c:pt idx="1">
                  <c:v>809171</c:v>
                </c:pt>
                <c:pt idx="2">
                  <c:v>688792</c:v>
                </c:pt>
                <c:pt idx="3">
                  <c:v>58912</c:v>
                </c:pt>
                <c:pt idx="4">
                  <c:v>45511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9CC-4EBA-B388-CA54BE590D9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SMPP 4026531874 (ONEPIN) P2A Success Trend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30657288446286"/>
          <c:y val="0.16912037037037039"/>
          <c:w val="0.8421892518359777"/>
          <c:h val="0.6036880285797608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'TOP SMPP'!$AT$3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'TOP SMPP'!$AQ$4:$AQ$629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SMPP'!$AT$4:$AT$629</c:f>
              <c:numCache>
                <c:formatCode>General</c:formatCode>
                <c:ptCount val="7"/>
                <c:pt idx="0">
                  <c:v>785680</c:v>
                </c:pt>
                <c:pt idx="1">
                  <c:v>212495</c:v>
                </c:pt>
                <c:pt idx="2">
                  <c:v>3145504</c:v>
                </c:pt>
                <c:pt idx="3">
                  <c:v>5693165</c:v>
                </c:pt>
                <c:pt idx="4">
                  <c:v>677903</c:v>
                </c:pt>
                <c:pt idx="5">
                  <c:v>524574</c:v>
                </c:pt>
                <c:pt idx="6">
                  <c:v>497414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0-4F3C-BFE2-1417D94E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94365536"/>
        <c:axId val="159435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SMPP'!$AR$3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SMPP'!$AQ$4:$AQ$629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SMPP'!$AR$4:$AR$629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785680</c:v>
                      </c:pt>
                      <c:pt idx="1">
                        <c:v>212495</c:v>
                      </c:pt>
                      <c:pt idx="2">
                        <c:v>3145504</c:v>
                      </c:pt>
                      <c:pt idx="3">
                        <c:v>5693165</c:v>
                      </c:pt>
                      <c:pt idx="4">
                        <c:v>677576</c:v>
                      </c:pt>
                      <c:pt idx="5">
                        <c:v>524574</c:v>
                      </c:pt>
                      <c:pt idx="6">
                        <c:v>497414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868-480E-BF25-03C32B393A6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SMPP'!$AS$3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SMPP'!$AQ$4:$AQ$629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SMPP'!$AS$4:$AS$629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327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68-480E-BF25-03C32B393A6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SMPP'!$AU$3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'TOP SMPP'!$AQ$4:$AQ$629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SMPP'!$AU$4:$AU$629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99.95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0-4F3C-BFE2-1417D94E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039120"/>
        <c:axId val="1667118144"/>
      </c:lineChart>
      <c:dateAx>
        <c:axId val="159436553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58880"/>
        <c:crosses val="autoZero"/>
        <c:auto val="1"/>
        <c:lblOffset val="100"/>
        <c:baseTimeUnit val="days"/>
      </c:dateAx>
      <c:valAx>
        <c:axId val="15943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65536"/>
        <c:crosses val="autoZero"/>
        <c:crossBetween val="between"/>
      </c:valAx>
      <c:valAx>
        <c:axId val="1667118144"/>
        <c:scaling>
          <c:orientation val="minMax"/>
          <c:max val="100"/>
          <c:min val="8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39120"/>
        <c:crosses val="max"/>
        <c:crossBetween val="between"/>
      </c:valAx>
      <c:dateAx>
        <c:axId val="178903912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667118144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SMPP 70099</a:t>
            </a:r>
            <a:r>
              <a:rPr lang="en-US" baseline="0"/>
              <a:t> (</a:t>
            </a:r>
            <a:r>
              <a:rPr lang="en-US"/>
              <a:t>THALES) P2A Success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SMPP'!$AN$3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'TOP SMPP'!$AK$4:$AK$629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SMPP'!$AN$4:$AN$629</c:f>
              <c:numCache>
                <c:formatCode>General</c:formatCode>
                <c:ptCount val="7"/>
                <c:pt idx="0">
                  <c:v>737646</c:v>
                </c:pt>
                <c:pt idx="1">
                  <c:v>754300</c:v>
                </c:pt>
                <c:pt idx="2">
                  <c:v>813158</c:v>
                </c:pt>
                <c:pt idx="3">
                  <c:v>826046</c:v>
                </c:pt>
                <c:pt idx="4">
                  <c:v>736364</c:v>
                </c:pt>
                <c:pt idx="5">
                  <c:v>693490</c:v>
                </c:pt>
                <c:pt idx="6">
                  <c:v>638477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D-496C-BD47-A9048199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94378848"/>
        <c:axId val="1594382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SMPP'!$AL$3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SMPP'!$AK$4:$AK$629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SMPP'!$AL$4:$AL$629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737646</c:v>
                      </c:pt>
                      <c:pt idx="1">
                        <c:v>754300</c:v>
                      </c:pt>
                      <c:pt idx="2">
                        <c:v>813158</c:v>
                      </c:pt>
                      <c:pt idx="3">
                        <c:v>823990</c:v>
                      </c:pt>
                      <c:pt idx="4">
                        <c:v>735313</c:v>
                      </c:pt>
                      <c:pt idx="5">
                        <c:v>693469</c:v>
                      </c:pt>
                      <c:pt idx="6">
                        <c:v>638342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05D-496C-BD47-A9048199021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SMPP'!$AM$3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SMPP'!$AK$4:$AK$629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SMPP'!$AM$4:$AM$629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1051</c:v>
                      </c:pt>
                      <c:pt idx="5">
                        <c:v>21</c:v>
                      </c:pt>
                      <c:pt idx="6">
                        <c:v>135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5D-496C-BD47-A9048199021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SMPP'!$AO$3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'TOP SMPP'!$AK$4:$AK$629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SMPP'!$AO$4:$AO$629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99.75</c:v>
                </c:pt>
                <c:pt idx="4">
                  <c:v>99.86</c:v>
                </c:pt>
                <c:pt idx="5">
                  <c:v>100</c:v>
                </c:pt>
                <c:pt idx="6">
                  <c:v>99.98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D-496C-BD47-A9048199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415728"/>
        <c:axId val="1569406576"/>
      </c:lineChart>
      <c:dateAx>
        <c:axId val="159437884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82592"/>
        <c:crosses val="autoZero"/>
        <c:auto val="1"/>
        <c:lblOffset val="100"/>
        <c:baseTimeUnit val="days"/>
      </c:dateAx>
      <c:valAx>
        <c:axId val="1594382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78848"/>
        <c:crosses val="autoZero"/>
        <c:crossBetween val="between"/>
      </c:valAx>
      <c:valAx>
        <c:axId val="1569406576"/>
        <c:scaling>
          <c:orientation val="minMax"/>
          <c:max val="100"/>
          <c:min val="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15728"/>
        <c:crosses val="max"/>
        <c:crossBetween val="between"/>
      </c:valAx>
      <c:dateAx>
        <c:axId val="156941572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569406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USSD SC 432 Sucess Rate &amp; Volume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USSD!$AM$2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USSD!$AJ$3:$AJ$629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USSD!$AM$3:$AM$629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5</c:v>
                </c:pt>
                <c:pt idx="3">
                  <c:v>25</c:v>
                </c:pt>
                <c:pt idx="4">
                  <c:v>22</c:v>
                </c:pt>
                <c:pt idx="5">
                  <c:v>17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7-4292-BF4D-03B2A04B9F67}"/>
            </c:ext>
          </c:extLst>
        </c:ser>
        <c:ser>
          <c:idx val="3"/>
          <c:order val="3"/>
          <c:tx>
            <c:strRef>
              <c:f>USSD!$AN$2</c:f>
              <c:strCache>
                <c:ptCount val="1"/>
                <c:pt idx="0">
                  <c:v>Success Rate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USSD!$AJ$3:$AJ$629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USSD!$AN$3:$AN$629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7-4292-BF4D-03B2A04B9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7435055"/>
        <c:axId val="161742756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USSD!$AK$2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USSD!$AJ$3:$AJ$629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USSD!$AK$3:$AK$629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137-4292-BF4D-03B2A04B9F6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USSD!$AL$2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USSD!$AJ$3:$AJ$629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USSD!$AL$3:$AL$629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14</c:v>
                      </c:pt>
                      <c:pt idx="1">
                        <c:v>15</c:v>
                      </c:pt>
                      <c:pt idx="2">
                        <c:v>5</c:v>
                      </c:pt>
                      <c:pt idx="3">
                        <c:v>25</c:v>
                      </c:pt>
                      <c:pt idx="4">
                        <c:v>22</c:v>
                      </c:pt>
                      <c:pt idx="5">
                        <c:v>17</c:v>
                      </c:pt>
                      <c:pt idx="6">
                        <c:v>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37-4292-BF4D-03B2A04B9F67}"/>
                  </c:ext>
                </c:extLst>
              </c15:ser>
            </c15:filteredBarSeries>
          </c:ext>
        </c:extLst>
      </c:barChart>
      <c:dateAx>
        <c:axId val="1617435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27567"/>
        <c:crosses val="autoZero"/>
        <c:auto val="1"/>
        <c:lblOffset val="100"/>
        <c:baseTimeUnit val="days"/>
      </c:dateAx>
      <c:valAx>
        <c:axId val="16174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3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USSD</a:t>
            </a:r>
            <a:r>
              <a:rPr lang="en-US" sz="1400" baseline="0"/>
              <a:t> SC 105*9*1 Success Rate &amp; Volume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USSD!$BH$2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USSD!$BE$3:$BE$629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USSD!$BH$3:$BH$629</c:f>
              <c:numCache>
                <c:formatCode>General</c:formatCode>
                <c:ptCount val="7"/>
                <c:pt idx="0">
                  <c:v>22289</c:v>
                </c:pt>
                <c:pt idx="1">
                  <c:v>27292</c:v>
                </c:pt>
                <c:pt idx="2">
                  <c:v>20015</c:v>
                </c:pt>
                <c:pt idx="3">
                  <c:v>24475</c:v>
                </c:pt>
                <c:pt idx="4">
                  <c:v>22755</c:v>
                </c:pt>
                <c:pt idx="5">
                  <c:v>21594</c:v>
                </c:pt>
                <c:pt idx="6">
                  <c:v>19596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D-4A08-BC66-61B608CD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8751679"/>
        <c:axId val="11987529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USSD!$BF$2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USSD!$BE$3:$BE$629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USSD!$BF$3:$BF$629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22095</c:v>
                      </c:pt>
                      <c:pt idx="1">
                        <c:v>27094</c:v>
                      </c:pt>
                      <c:pt idx="2">
                        <c:v>19859</c:v>
                      </c:pt>
                      <c:pt idx="3">
                        <c:v>24292</c:v>
                      </c:pt>
                      <c:pt idx="4">
                        <c:v>22562</c:v>
                      </c:pt>
                      <c:pt idx="5">
                        <c:v>21442</c:v>
                      </c:pt>
                      <c:pt idx="6">
                        <c:v>19432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ADD-4A08-BC66-61B608CD8A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USSD!$BG$2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USSD!$BE$3:$BE$629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USSD!$BG$3:$BG$629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194</c:v>
                      </c:pt>
                      <c:pt idx="1">
                        <c:v>198</c:v>
                      </c:pt>
                      <c:pt idx="2">
                        <c:v>156</c:v>
                      </c:pt>
                      <c:pt idx="3">
                        <c:v>183</c:v>
                      </c:pt>
                      <c:pt idx="4">
                        <c:v>193</c:v>
                      </c:pt>
                      <c:pt idx="5">
                        <c:v>152</c:v>
                      </c:pt>
                      <c:pt idx="6">
                        <c:v>164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DD-4A08-BC66-61B608CD8AB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USSD!$BI$2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USSD!$BE$3:$BE$629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USSD!$BI$3:$BI$629</c:f>
              <c:numCache>
                <c:formatCode>General</c:formatCode>
                <c:ptCount val="7"/>
                <c:pt idx="0">
                  <c:v>99.13</c:v>
                </c:pt>
                <c:pt idx="1">
                  <c:v>99.27</c:v>
                </c:pt>
                <c:pt idx="2">
                  <c:v>99.22</c:v>
                </c:pt>
                <c:pt idx="3">
                  <c:v>99.25</c:v>
                </c:pt>
                <c:pt idx="4">
                  <c:v>99.15</c:v>
                </c:pt>
                <c:pt idx="5">
                  <c:v>99.3</c:v>
                </c:pt>
                <c:pt idx="6">
                  <c:v>99.16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D-4A08-BC66-61B608CD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156639"/>
        <c:axId val="1715155807"/>
        <c:extLst/>
      </c:lineChart>
      <c:dateAx>
        <c:axId val="119875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2927"/>
        <c:crosses val="autoZero"/>
        <c:auto val="1"/>
        <c:lblOffset val="100"/>
        <c:baseTimeUnit val="days"/>
      </c:dateAx>
      <c:valAx>
        <c:axId val="11987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1679"/>
        <c:crosses val="autoZero"/>
        <c:crossBetween val="between"/>
      </c:valAx>
      <c:valAx>
        <c:axId val="1715155807"/>
        <c:scaling>
          <c:orientation val="minMax"/>
          <c:max val="100"/>
          <c:min val="5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56639"/>
        <c:crosses val="max"/>
        <c:crossBetween val="between"/>
      </c:valAx>
      <c:dateAx>
        <c:axId val="1715156639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71515580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USSD</a:t>
            </a:r>
            <a:r>
              <a:rPr lang="en-US" sz="1400" baseline="0"/>
              <a:t> SC 404(CRBT) Success Rate &amp; Volume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USSD!$BO$2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USSD!$BL$3:$BL$629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USSD!$BO$3:$BO$629</c:f>
              <c:numCache>
                <c:formatCode>General</c:formatCode>
                <c:ptCount val="7"/>
                <c:pt idx="0">
                  <c:v>240027</c:v>
                </c:pt>
                <c:pt idx="1">
                  <c:v>248741</c:v>
                </c:pt>
                <c:pt idx="2">
                  <c:v>222916</c:v>
                </c:pt>
                <c:pt idx="3">
                  <c:v>279586</c:v>
                </c:pt>
                <c:pt idx="4">
                  <c:v>234519</c:v>
                </c:pt>
                <c:pt idx="5">
                  <c:v>243677</c:v>
                </c:pt>
                <c:pt idx="6">
                  <c:v>5719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9-4C44-B17A-642DA617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8751679"/>
        <c:axId val="11987529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USSD!$BM$2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USSD!$BL$3:$BL$629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USSD!$BM$3:$BM$629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240027</c:v>
                      </c:pt>
                      <c:pt idx="1">
                        <c:v>248741</c:v>
                      </c:pt>
                      <c:pt idx="2">
                        <c:v>222916</c:v>
                      </c:pt>
                      <c:pt idx="3">
                        <c:v>279586</c:v>
                      </c:pt>
                      <c:pt idx="4">
                        <c:v>234519</c:v>
                      </c:pt>
                      <c:pt idx="5">
                        <c:v>243677</c:v>
                      </c:pt>
                      <c:pt idx="6">
                        <c:v>5719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989-4C44-B17A-642DA617242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USSD!$BN$2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USSD!$BL$3:$BL$629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USSD!$BN$3:$BN$629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89-4C44-B17A-642DA617242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USSD!$BP$2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USSD!$BL$3:$BL$629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USSD!$BP$3:$BP$629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9-4C44-B17A-642DA617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156639"/>
        <c:axId val="1715155807"/>
        <c:extLst/>
      </c:lineChart>
      <c:dateAx>
        <c:axId val="119875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2927"/>
        <c:crosses val="autoZero"/>
        <c:auto val="1"/>
        <c:lblOffset val="100"/>
        <c:baseTimeUnit val="days"/>
      </c:dateAx>
      <c:valAx>
        <c:axId val="11987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1679"/>
        <c:crosses val="autoZero"/>
        <c:crossBetween val="between"/>
      </c:valAx>
      <c:valAx>
        <c:axId val="1715155807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56639"/>
        <c:crosses val="max"/>
        <c:crossBetween val="between"/>
      </c:valAx>
      <c:dateAx>
        <c:axId val="1715156639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71515580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 OccAIR Vol.</a:t>
            </a:r>
            <a:r>
              <a:rPr lang="en-IN" baseline="0"/>
              <a:t> &amp; Success%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'TOP SMPP'!$AH$3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SMPP'!$AE$4:$AE$629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SMPP'!$AH$4:$AH$629</c:f>
              <c:numCache>
                <c:formatCode>General</c:formatCode>
                <c:ptCount val="7"/>
                <c:pt idx="0">
                  <c:v>894099</c:v>
                </c:pt>
                <c:pt idx="1">
                  <c:v>904714</c:v>
                </c:pt>
                <c:pt idx="2">
                  <c:v>905099</c:v>
                </c:pt>
                <c:pt idx="3">
                  <c:v>906772</c:v>
                </c:pt>
                <c:pt idx="4">
                  <c:v>1000204</c:v>
                </c:pt>
                <c:pt idx="5">
                  <c:v>942826</c:v>
                </c:pt>
                <c:pt idx="6">
                  <c:v>942049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9-494F-B035-2559E4099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7821632"/>
        <c:axId val="1167818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SMPP'!$AF$3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SMPP'!$AE$4:$AE$629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SMPP'!$AF$4:$AF$629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885209</c:v>
                      </c:pt>
                      <c:pt idx="1">
                        <c:v>892961</c:v>
                      </c:pt>
                      <c:pt idx="2">
                        <c:v>895511</c:v>
                      </c:pt>
                      <c:pt idx="3">
                        <c:v>896484</c:v>
                      </c:pt>
                      <c:pt idx="4">
                        <c:v>989832</c:v>
                      </c:pt>
                      <c:pt idx="5">
                        <c:v>932825</c:v>
                      </c:pt>
                      <c:pt idx="6">
                        <c:v>933470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A19-494F-B035-2559E4099AF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SMPP'!$AG$3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SMPP'!$AE$4:$AE$629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SMPP'!$AG$4:$AG$629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8890</c:v>
                      </c:pt>
                      <c:pt idx="1">
                        <c:v>11753</c:v>
                      </c:pt>
                      <c:pt idx="2">
                        <c:v>9588</c:v>
                      </c:pt>
                      <c:pt idx="3">
                        <c:v>10288</c:v>
                      </c:pt>
                      <c:pt idx="4">
                        <c:v>10372</c:v>
                      </c:pt>
                      <c:pt idx="5">
                        <c:v>10001</c:v>
                      </c:pt>
                      <c:pt idx="6">
                        <c:v>8579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19-494F-B035-2559E4099AF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SMPP'!$AI$3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SMPP'!$AE$4:$AE$629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SMPP'!$AI$4:$AI$629</c:f>
              <c:numCache>
                <c:formatCode>General</c:formatCode>
                <c:ptCount val="7"/>
                <c:pt idx="0">
                  <c:v>99.01</c:v>
                </c:pt>
                <c:pt idx="1">
                  <c:v>98.7</c:v>
                </c:pt>
                <c:pt idx="2">
                  <c:v>98.94</c:v>
                </c:pt>
                <c:pt idx="3">
                  <c:v>98.87</c:v>
                </c:pt>
                <c:pt idx="4">
                  <c:v>98.96</c:v>
                </c:pt>
                <c:pt idx="5">
                  <c:v>98.94</c:v>
                </c:pt>
                <c:pt idx="6">
                  <c:v>99.08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9-494F-B035-2559E4099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801248"/>
        <c:axId val="1167799584"/>
      </c:lineChart>
      <c:dateAx>
        <c:axId val="11678216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8720"/>
        <c:crosses val="autoZero"/>
        <c:auto val="1"/>
        <c:lblOffset val="100"/>
        <c:baseTimeUnit val="days"/>
      </c:dateAx>
      <c:valAx>
        <c:axId val="11678187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216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67799584"/>
        <c:scaling>
          <c:orientation val="minMax"/>
          <c:max val="100"/>
          <c:min val="7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01248"/>
        <c:crosses val="max"/>
        <c:crossBetween val="between"/>
        <c:majorUnit val="3"/>
      </c:valAx>
      <c:dateAx>
        <c:axId val="116780124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167799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SMPP Neon-Dx01 Vol. &amp; Success%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92652947931079"/>
          <c:y val="0.16062740646271018"/>
          <c:w val="0.79465547484431376"/>
          <c:h val="0.65215659373182255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'TOP SMPP'!$P$3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'TOP SMPP'!$M$4:$M$629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SMPP'!$P$4:$P$629</c:f>
              <c:numCache>
                <c:formatCode>General</c:formatCode>
                <c:ptCount val="7"/>
                <c:pt idx="0">
                  <c:v>5471925</c:v>
                </c:pt>
                <c:pt idx="1">
                  <c:v>3318673</c:v>
                </c:pt>
                <c:pt idx="2">
                  <c:v>5519130</c:v>
                </c:pt>
                <c:pt idx="3">
                  <c:v>6266123</c:v>
                </c:pt>
                <c:pt idx="4">
                  <c:v>4028004</c:v>
                </c:pt>
                <c:pt idx="5">
                  <c:v>5554268</c:v>
                </c:pt>
                <c:pt idx="6">
                  <c:v>4483046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1A0-9AA3-4B873278A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7819552"/>
        <c:axId val="11678203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SMPP'!$N$3</c15:sqref>
                        </c15:formulaRef>
                      </c:ext>
                    </c:extLst>
                    <c:strCache>
                      <c:ptCount val="1"/>
                      <c:pt idx="0">
                        <c:v>Success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'TOP SMPP'!$M$4:$M$629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'TOP SMPP'!$N$4:$N$629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2859668</c:v>
                      </c:pt>
                      <c:pt idx="1">
                        <c:v>1828457</c:v>
                      </c:pt>
                      <c:pt idx="2">
                        <c:v>2858751</c:v>
                      </c:pt>
                      <c:pt idx="3">
                        <c:v>3360985</c:v>
                      </c:pt>
                      <c:pt idx="4">
                        <c:v>2220521</c:v>
                      </c:pt>
                      <c:pt idx="5">
                        <c:v>2600757</c:v>
                      </c:pt>
                      <c:pt idx="6">
                        <c:v>2004577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8B9-41A0-9AA3-4B873278A3F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SMPP'!$O$3</c15:sqref>
                        </c15:formulaRef>
                      </c:ext>
                    </c:extLst>
                    <c:strCache>
                      <c:ptCount val="1"/>
                      <c:pt idx="0">
                        <c:v>Failures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SMPP'!$M$4:$M$629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SMPP'!$O$4:$O$629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2612257</c:v>
                      </c:pt>
                      <c:pt idx="1">
                        <c:v>1490216</c:v>
                      </c:pt>
                      <c:pt idx="2">
                        <c:v>2660379</c:v>
                      </c:pt>
                      <c:pt idx="3">
                        <c:v>2905138</c:v>
                      </c:pt>
                      <c:pt idx="4">
                        <c:v>1807483</c:v>
                      </c:pt>
                      <c:pt idx="5">
                        <c:v>2953511</c:v>
                      </c:pt>
                      <c:pt idx="6">
                        <c:v>2478469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B9-41A0-9AA3-4B873278A3F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'TOP SMPP'!$Q$3</c:f>
              <c:strCache>
                <c:ptCount val="1"/>
                <c:pt idx="0">
                  <c:v>Success_per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'TOP SMPP'!$M$4:$M$629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'TOP SMPP'!$Q$4:$Q$629</c:f>
              <c:numCache>
                <c:formatCode>General</c:formatCode>
                <c:ptCount val="7"/>
                <c:pt idx="0">
                  <c:v>52.26</c:v>
                </c:pt>
                <c:pt idx="1">
                  <c:v>55.1</c:v>
                </c:pt>
                <c:pt idx="2">
                  <c:v>51.8</c:v>
                </c:pt>
                <c:pt idx="3">
                  <c:v>53.64</c:v>
                </c:pt>
                <c:pt idx="4">
                  <c:v>55.13</c:v>
                </c:pt>
                <c:pt idx="5">
                  <c:v>46.82</c:v>
                </c:pt>
                <c:pt idx="6">
                  <c:v>44.71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9-41A0-9AA3-4B873278A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817472"/>
        <c:axId val="1167818304"/>
      </c:lineChart>
      <c:dateAx>
        <c:axId val="1167819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20384"/>
        <c:crosses val="autoZero"/>
        <c:auto val="1"/>
        <c:lblOffset val="100"/>
        <c:baseTimeUnit val="days"/>
      </c:dateAx>
      <c:valAx>
        <c:axId val="11678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955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67818304"/>
        <c:scaling>
          <c:orientation val="minMax"/>
          <c:max val="70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17472"/>
        <c:crosses val="max"/>
        <c:crossBetween val="between"/>
      </c:valAx>
      <c:dateAx>
        <c:axId val="116781747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167818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number of session per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USSD!$CC$2</c:f>
              <c:strCache>
                <c:ptCount val="1"/>
                <c:pt idx="0">
                  <c:v>average number of session per customer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USSD!$BZ$3:$BZ$629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USSD!$CC$3:$CC$629</c:f>
              <c:numCache>
                <c:formatCode>0.00</c:formatCode>
                <c:ptCount val="7"/>
                <c:pt idx="0">
                  <c:v>12.814106371324117</c:v>
                </c:pt>
                <c:pt idx="1">
                  <c:v>12.889773348519363</c:v>
                </c:pt>
                <c:pt idx="2">
                  <c:v>12.228371203531466</c:v>
                </c:pt>
                <c:pt idx="3">
                  <c:v>12.234854667834702</c:v>
                </c:pt>
                <c:pt idx="4">
                  <c:v>13.237230822774153</c:v>
                </c:pt>
                <c:pt idx="5">
                  <c:v>12.986791183602962</c:v>
                </c:pt>
                <c:pt idx="6">
                  <c:v>16.124481728624524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DC7-4E49-8642-143A865D8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60016"/>
        <c:axId val="469846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USSD!$CA$2</c15:sqref>
                        </c15:formulaRef>
                      </c:ext>
                    </c:extLst>
                    <c:strCache>
                      <c:ptCount val="1"/>
                      <c:pt idx="0">
                        <c:v>Total 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USSD!$BZ$3:$BZ$629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USSD!$CA$3:$CA$629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33312166</c:v>
                      </c:pt>
                      <c:pt idx="1">
                        <c:v>33951663</c:v>
                      </c:pt>
                      <c:pt idx="2">
                        <c:v>29496580</c:v>
                      </c:pt>
                      <c:pt idx="3">
                        <c:v>31061066</c:v>
                      </c:pt>
                      <c:pt idx="4">
                        <c:v>32937897</c:v>
                      </c:pt>
                      <c:pt idx="5">
                        <c:v>31275310</c:v>
                      </c:pt>
                      <c:pt idx="6">
                        <c:v>27709164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DC7-4E49-8642-143A865D8E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USSD!$CB$2</c15:sqref>
                        </c15:formulaRef>
                      </c:ext>
                    </c:extLst>
                    <c:strCache>
                      <c:ptCount val="1"/>
                      <c:pt idx="0">
                        <c:v>Uniq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USSD!$BZ$3:$BZ$629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USSD!$CB$3:$CB$629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2599648</c:v>
                      </c:pt>
                      <c:pt idx="1">
                        <c:v>2634000</c:v>
                      </c:pt>
                      <c:pt idx="2">
                        <c:v>2412143</c:v>
                      </c:pt>
                      <c:pt idx="3">
                        <c:v>2538736</c:v>
                      </c:pt>
                      <c:pt idx="4">
                        <c:v>2488277</c:v>
                      </c:pt>
                      <c:pt idx="5">
                        <c:v>2408240</c:v>
                      </c:pt>
                      <c:pt idx="6">
                        <c:v>1718453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C7-4E49-8642-143A865D8EE0}"/>
                  </c:ext>
                </c:extLst>
              </c15:ser>
            </c15:filteredLineSeries>
          </c:ext>
        </c:extLst>
      </c:lineChart>
      <c:dateAx>
        <c:axId val="46986001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6416"/>
        <c:crosses val="autoZero"/>
        <c:auto val="1"/>
        <c:lblOffset val="100"/>
        <c:baseTimeUnit val="days"/>
      </c:dateAx>
      <c:valAx>
        <c:axId val="4698464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SMS Peak 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Dash</a:t>
            </a:r>
            <a:r>
              <a:rPr lang="en-US" baseline="0"/>
              <a:t> &amp; Star Report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SMPP'!$AX$3</c:f>
              <c:strCache>
                <c:ptCount val="1"/>
                <c:pt idx="0">
                  <c:v>Date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SMPP'!$AX$4:$AX$489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43B5-4751-A150-D893A1553EA0}"/>
            </c:ext>
          </c:extLst>
        </c:ser>
        <c:ser>
          <c:idx val="1"/>
          <c:order val="1"/>
          <c:tx>
            <c:strRef>
              <c:f>'TOP SMPP'!$AY$3</c:f>
              <c:strCache>
                <c:ptCount val="1"/>
                <c:pt idx="0">
                  <c:v>Charging Hits 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SMPP'!$AY$4:$AY$489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43B5-4751-A150-D893A1553EA0}"/>
            </c:ext>
          </c:extLst>
        </c:ser>
        <c:ser>
          <c:idx val="2"/>
          <c:order val="2"/>
          <c:tx>
            <c:strRef>
              <c:f>'TOP SMPP'!$AZ$3</c:f>
              <c:strCache>
                <c:ptCount val="1"/>
                <c:pt idx="0">
                  <c:v>Failures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SMPP'!$AZ$4:$AZ$489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3B5-4751-A150-D893A1553EA0}"/>
            </c:ext>
          </c:extLst>
        </c:ser>
        <c:ser>
          <c:idx val="3"/>
          <c:order val="3"/>
          <c:tx>
            <c:strRef>
              <c:f>'TOP SMPP'!$BA$3</c:f>
              <c:strCache>
                <c:ptCount val="1"/>
                <c:pt idx="0">
                  <c:v>Total traffic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SMPP'!$BA$4:$BA$489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4720-4AF6-A463-164F02B42346}"/>
            </c:ext>
          </c:extLst>
        </c:ser>
        <c:ser>
          <c:idx val="4"/>
          <c:order val="4"/>
          <c:tx>
            <c:strRef>
              <c:f>'TOP SMPP'!$BB$3</c:f>
              <c:strCache>
                <c:ptCount val="1"/>
                <c:pt idx="0">
                  <c:v>Success_per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SMPP'!$BB$4:$BB$489</c:f>
            </c:numRef>
          </c:val>
          <c:extLst>
            <c:ext xmlns:c16="http://schemas.microsoft.com/office/drawing/2014/chart" uri="{C3380CC4-5D6E-409C-BE32-E72D297353CC}">
              <c16:uniqueId val="{00000001-4720-4AF6-A463-164F02B42346}"/>
            </c:ext>
          </c:extLst>
        </c:ser>
        <c:ser>
          <c:idx val="5"/>
          <c:order val="5"/>
          <c:tx>
            <c:strRef>
              <c:f>'TOP SMPP'!$BC$3</c:f>
              <c:strCache>
                <c:ptCount val="1"/>
                <c:pt idx="0">
                  <c:v>Avg. hits per day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'TOP SMPP'!$BC$4:$BC$489</c:f>
            </c:numRef>
          </c:val>
          <c:extLst>
            <c:ext xmlns:c16="http://schemas.microsoft.com/office/drawing/2014/chart" uri="{C3380CC4-5D6E-409C-BE32-E72D297353CC}">
              <c16:uniqueId val="{00000002-4720-4AF6-A463-164F02B42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94378848"/>
        <c:axId val="1594382592"/>
        <c:extLst/>
      </c:barChart>
      <c:catAx>
        <c:axId val="159437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82592"/>
        <c:crosses val="autoZero"/>
        <c:auto val="1"/>
        <c:lblAlgn val="ctr"/>
        <c:lblOffset val="100"/>
        <c:noMultiLvlLbl val="1"/>
      </c:catAx>
      <c:valAx>
        <c:axId val="1594382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3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USSD SC 155(Xtratime)Sucess Rate &amp; Volume</a:t>
            </a:r>
            <a:endParaRPr lang="en-IN" sz="14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USSD!$R$2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USSD!$O$3:$O$629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USSD!$R$3:$R$629</c:f>
              <c:numCache>
                <c:formatCode>General</c:formatCode>
                <c:ptCount val="7"/>
                <c:pt idx="0">
                  <c:v>388755</c:v>
                </c:pt>
                <c:pt idx="1">
                  <c:v>438163</c:v>
                </c:pt>
                <c:pt idx="2">
                  <c:v>348477</c:v>
                </c:pt>
                <c:pt idx="3">
                  <c:v>374398</c:v>
                </c:pt>
                <c:pt idx="4">
                  <c:v>360612</c:v>
                </c:pt>
                <c:pt idx="5">
                  <c:v>359656</c:v>
                </c:pt>
                <c:pt idx="6">
                  <c:v>349818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93F-4D5A-9065-2D0482A9C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06700383"/>
        <c:axId val="170670121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USSD!$P$2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USSD!$O$3:$O$629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USSD!$P$3:$P$629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388740</c:v>
                      </c:pt>
                      <c:pt idx="1">
                        <c:v>438143</c:v>
                      </c:pt>
                      <c:pt idx="2">
                        <c:v>348287</c:v>
                      </c:pt>
                      <c:pt idx="3">
                        <c:v>374388</c:v>
                      </c:pt>
                      <c:pt idx="4">
                        <c:v>360601</c:v>
                      </c:pt>
                      <c:pt idx="5">
                        <c:v>359645</c:v>
                      </c:pt>
                      <c:pt idx="6">
                        <c:v>349806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93F-4D5A-9065-2D0482A9CC6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USSD!$Q$2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USSD!$O$3:$O$629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USSD!$Q$3:$Q$629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190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3F-4D5A-9065-2D0482A9CC6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USSD!$S$2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USSD!$O$3:$O$629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USSD!$S$3:$S$629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99.95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F-4D5A-9065-2D0482A9C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698719"/>
        <c:axId val="1706701631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USSD!$T$2</c15:sqref>
                        </c15:formulaRef>
                      </c:ext>
                    </c:extLst>
                    <c:strCache>
                      <c:ptCount val="1"/>
                      <c:pt idx="0">
                        <c:v>Total(Mn)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USSD!$O$3:$O$629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USSD!$T$3:$T$629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0.38875500000000002</c:v>
                      </c:pt>
                      <c:pt idx="1">
                        <c:v>0.43816300000000002</c:v>
                      </c:pt>
                      <c:pt idx="2">
                        <c:v>0.34847699999999998</c:v>
                      </c:pt>
                      <c:pt idx="3">
                        <c:v>0.37439800000000001</c:v>
                      </c:pt>
                      <c:pt idx="4">
                        <c:v>0.36061199999999999</c:v>
                      </c:pt>
                      <c:pt idx="5">
                        <c:v>0.35965599999999998</c:v>
                      </c:pt>
                      <c:pt idx="6">
                        <c:v>0.34981800000000002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AE-40A5-900F-169EFAA976F8}"/>
                  </c:ext>
                </c:extLst>
              </c15:ser>
            </c15:filteredLineSeries>
          </c:ext>
        </c:extLst>
      </c:lineChart>
      <c:dateAx>
        <c:axId val="1706700383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1215"/>
        <c:crosses val="autoZero"/>
        <c:auto val="1"/>
        <c:lblOffset val="100"/>
        <c:baseTimeUnit val="days"/>
      </c:dateAx>
      <c:valAx>
        <c:axId val="170670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0383"/>
        <c:crosses val="autoZero"/>
        <c:crossBetween val="between"/>
        <c:dispUnits>
          <c:builtInUnit val="hundredThousands"/>
        </c:dispUnits>
      </c:valAx>
      <c:valAx>
        <c:axId val="1706701631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698719"/>
        <c:crosses val="max"/>
        <c:crossBetween val="between"/>
      </c:valAx>
      <c:dateAx>
        <c:axId val="1706698719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7067016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USSD SC 170*3 Success Rate &amp;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USSD!$BA$2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USSD!$AX$3:$AX$629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USSD!$BA$3:$BA$629</c:f>
              <c:numCache>
                <c:formatCode>General</c:formatCode>
                <c:ptCount val="7"/>
                <c:pt idx="0">
                  <c:v>17</c:v>
                </c:pt>
                <c:pt idx="1">
                  <c:v>31</c:v>
                </c:pt>
                <c:pt idx="2">
                  <c:v>12</c:v>
                </c:pt>
                <c:pt idx="3">
                  <c:v>9</c:v>
                </c:pt>
                <c:pt idx="4">
                  <c:v>15</c:v>
                </c:pt>
                <c:pt idx="5">
                  <c:v>9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2-4777-A606-781CDBFFB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7447951"/>
        <c:axId val="161745294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USSD!$AY$2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USSD!$AX$3:$AX$629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USSD!$AY$3:$AY$629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17</c:v>
                      </c:pt>
                      <c:pt idx="1">
                        <c:v>31</c:v>
                      </c:pt>
                      <c:pt idx="2">
                        <c:v>12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9</c:v>
                      </c:pt>
                      <c:pt idx="6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52-4777-A606-781CDBFFBD4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USSD!$AZ$2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USSD!$AX$3:$AX$629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USSD!$AZ$3:$AZ$629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52-4777-A606-781CDBFFBD4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USSD!$BB$2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USSD!$AX$3:$AX$629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USSD!$BB$3:$BB$629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2-4777-A606-781CDBFFB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360591"/>
        <c:axId val="1617367247"/>
        <c:extLst/>
      </c:lineChart>
      <c:dateAx>
        <c:axId val="161744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52943"/>
        <c:crosses val="autoZero"/>
        <c:auto val="1"/>
        <c:lblOffset val="100"/>
        <c:baseTimeUnit val="days"/>
      </c:dateAx>
      <c:valAx>
        <c:axId val="16174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47951"/>
        <c:crosses val="autoZero"/>
        <c:crossBetween val="between"/>
      </c:valAx>
      <c:valAx>
        <c:axId val="1617367247"/>
        <c:scaling>
          <c:orientation val="minMax"/>
          <c:max val="100"/>
          <c:min val="1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60591"/>
        <c:crosses val="max"/>
        <c:crossBetween val="between"/>
        <c:minorUnit val="0.2"/>
      </c:valAx>
      <c:dateAx>
        <c:axId val="1617360591"/>
        <c:scaling>
          <c:orientation val="minMax"/>
        </c:scaling>
        <c:delete val="1"/>
        <c:axPos val="t"/>
        <c:numFmt formatCode="d\-mmm" sourceLinked="1"/>
        <c:majorTickMark val="out"/>
        <c:minorTickMark val="none"/>
        <c:tickLblPos val="nextTo"/>
        <c:crossAx val="1617367247"/>
        <c:crosses val="max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USSD SC 422 Success Rate &amp;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USSD!$BV$2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USSD!$BS$3:$BS$629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USSD!$BV$3:$BV$629</c:f>
              <c:numCache>
                <c:formatCode>General</c:formatCode>
                <c:ptCount val="7"/>
                <c:pt idx="0">
                  <c:v>8049</c:v>
                </c:pt>
                <c:pt idx="1">
                  <c:v>10592</c:v>
                </c:pt>
                <c:pt idx="2">
                  <c:v>11322</c:v>
                </c:pt>
                <c:pt idx="3">
                  <c:v>10244</c:v>
                </c:pt>
                <c:pt idx="4">
                  <c:v>10466</c:v>
                </c:pt>
                <c:pt idx="5">
                  <c:v>14182</c:v>
                </c:pt>
                <c:pt idx="6">
                  <c:v>11089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7-4C4D-A2D7-7F15E753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8751679"/>
        <c:axId val="11987529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USSD!$BT$2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USSD!$BS$3:$BS$629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USSD!$BT$3:$BT$629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8049</c:v>
                      </c:pt>
                      <c:pt idx="1">
                        <c:v>10592</c:v>
                      </c:pt>
                      <c:pt idx="2">
                        <c:v>11321</c:v>
                      </c:pt>
                      <c:pt idx="3">
                        <c:v>10244</c:v>
                      </c:pt>
                      <c:pt idx="4">
                        <c:v>10466</c:v>
                      </c:pt>
                      <c:pt idx="5">
                        <c:v>14176</c:v>
                      </c:pt>
                      <c:pt idx="6">
                        <c:v>11089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757-4C4D-A2D7-7F15E7530D3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USSD!$BU$2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USSD!$BS$3:$BS$629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USSD!$BU$3:$BU$629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757-4C4D-A2D7-7F15E7530D3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USSD!$BW$2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USSD!$BS$3:$BS$629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USSD!$BW$3:$BW$629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99.99</c:v>
                </c:pt>
                <c:pt idx="3">
                  <c:v>100</c:v>
                </c:pt>
                <c:pt idx="4">
                  <c:v>100</c:v>
                </c:pt>
                <c:pt idx="5">
                  <c:v>99.96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7-4C4D-A2D7-7F15E753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156639"/>
        <c:axId val="1715155807"/>
        <c:extLst/>
      </c:lineChart>
      <c:dateAx>
        <c:axId val="119875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2927"/>
        <c:crosses val="autoZero"/>
        <c:auto val="1"/>
        <c:lblOffset val="100"/>
        <c:baseTimeUnit val="days"/>
      </c:dateAx>
      <c:valAx>
        <c:axId val="11987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51679"/>
        <c:crosses val="autoZero"/>
        <c:crossBetween val="between"/>
      </c:valAx>
      <c:valAx>
        <c:axId val="1715155807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56639"/>
        <c:crosses val="max"/>
        <c:crossBetween val="between"/>
      </c:valAx>
      <c:dateAx>
        <c:axId val="1715156639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71515580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USSD SC 296 Success Rate &amp; Volume</a:t>
            </a:r>
          </a:p>
        </c:rich>
      </c:tx>
      <c:layout>
        <c:manualLayout>
          <c:xMode val="edge"/>
          <c:yMode val="edge"/>
          <c:x val="0.102116747951128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USSD!$AT$2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USSD!$AQ$3:$AQ$629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USSD!$AT$3:$AT$629</c:f>
              <c:numCache>
                <c:formatCode>General</c:formatCode>
                <c:ptCount val="7"/>
                <c:pt idx="0">
                  <c:v>3</c:v>
                </c:pt>
                <c:pt idx="1">
                  <c:v>9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2-4AA7-8FB6-3FDB0DDF9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7447951"/>
        <c:axId val="161745294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USSD!$AR$2</c15:sqref>
                        </c15:formulaRef>
                      </c:ext>
                    </c:extLst>
                    <c:strCache>
                      <c:ptCount val="1"/>
                      <c:pt idx="0">
                        <c:v>Success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USSD!$AQ$3:$AQ$629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USSD!$AR$3:$AR$629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2E2-4AA7-8FB6-3FDB0DDF95F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USSD!$AS$2</c15:sqref>
                        </c15:formulaRef>
                      </c:ext>
                    </c:extLst>
                    <c:strCache>
                      <c:ptCount val="1"/>
                      <c:pt idx="0">
                        <c:v>Failure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USSD!$AQ$3:$AQ$629</c15:sqref>
                        </c15:formulaRef>
                      </c:ext>
                    </c:extLst>
                    <c:numCache>
                      <c:formatCode>d\-mmm</c:formatCode>
                      <c:ptCount val="7"/>
                      <c:pt idx="0">
                        <c:v>45509</c:v>
                      </c:pt>
                      <c:pt idx="1">
                        <c:v>45510</c:v>
                      </c:pt>
                      <c:pt idx="2">
                        <c:v>45511</c:v>
                      </c:pt>
                      <c:pt idx="3">
                        <c:v>45512</c:v>
                      </c:pt>
                      <c:pt idx="4">
                        <c:v>45513</c:v>
                      </c:pt>
                      <c:pt idx="5">
                        <c:v>45514</c:v>
                      </c:pt>
                      <c:pt idx="6">
                        <c:v>45515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USSD!$AS$3:$AS$629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</c:v>
                      </c:pt>
                      <c:pt idx="1">
                        <c:v>9</c:v>
                      </c:pt>
                      <c:pt idx="2">
                        <c:v>6</c:v>
                      </c:pt>
                      <c:pt idx="3">
                        <c:v>10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E2-4AA7-8FB6-3FDB0DDF95F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USSD!$AU$2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USSD!$AQ$3:$AQ$629</c:f>
              <c:numCache>
                <c:formatCode>d\-mmm</c:formatCode>
                <c:ptCount val="7"/>
                <c:pt idx="0">
                  <c:v>45509</c:v>
                </c:pt>
                <c:pt idx="1">
                  <c:v>45510</c:v>
                </c:pt>
                <c:pt idx="2">
                  <c:v>45511</c:v>
                </c:pt>
                <c:pt idx="3">
                  <c:v>45512</c:v>
                </c:pt>
                <c:pt idx="4">
                  <c:v>45513</c:v>
                </c:pt>
                <c:pt idx="5">
                  <c:v>45514</c:v>
                </c:pt>
                <c:pt idx="6">
                  <c:v>45515</c:v>
                </c:pt>
              </c:numCache>
            </c:numRef>
          </c:cat>
          <c:val>
            <c:numRef>
              <c:f>USSD!$AU$3:$AU$629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2-4AA7-8FB6-3FDB0DDF9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360591"/>
        <c:axId val="1617367247"/>
        <c:extLst/>
      </c:lineChart>
      <c:dateAx>
        <c:axId val="161744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52943"/>
        <c:crosses val="autoZero"/>
        <c:auto val="1"/>
        <c:lblOffset val="100"/>
        <c:baseTimeUnit val="days"/>
      </c:dateAx>
      <c:valAx>
        <c:axId val="16174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47951"/>
        <c:crosses val="autoZero"/>
        <c:crossBetween val="between"/>
      </c:valAx>
      <c:valAx>
        <c:axId val="1617367247"/>
        <c:scaling>
          <c:orientation val="minMax"/>
          <c:max val="100"/>
          <c:min val="1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60591"/>
        <c:crosses val="max"/>
        <c:crossBetween val="between"/>
        <c:minorUnit val="0.2"/>
      </c:valAx>
      <c:dateAx>
        <c:axId val="1617360591"/>
        <c:scaling>
          <c:orientation val="minMax"/>
        </c:scaling>
        <c:delete val="1"/>
        <c:axPos val="t"/>
        <c:numFmt formatCode="d\-mmm" sourceLinked="1"/>
        <c:majorTickMark val="out"/>
        <c:minorTickMark val="none"/>
        <c:tickLblPos val="nextTo"/>
        <c:crossAx val="1617367247"/>
        <c:crosses val="max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3" Type="http://schemas.openxmlformats.org/officeDocument/2006/relationships/chart" Target="../charts/chart6.xml"/><Relationship Id="rId21" Type="http://schemas.openxmlformats.org/officeDocument/2006/relationships/chart" Target="../charts/chart24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20637</xdr:colOff>
      <xdr:row>0</xdr:row>
      <xdr:rowOff>9526</xdr:rowOff>
    </xdr:from>
    <xdr:to>
      <xdr:col>1</xdr:col>
      <xdr:colOff>1049337</xdr:colOff>
      <xdr:row>2</xdr:row>
      <xdr:rowOff>154782</xdr:rowOff>
    </xdr:to>
    <xdr:pic>
      <xdr:nvPicPr>
        <xdr:cNvPr id="2" name="Picture 1" descr="http://www.lionnelweb.com/blog/wp-content/uploads/2012/05/mtn-ghana-logo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9956" b="10394"/>
        <a:stretch>
          <a:fillRect/>
        </a:stretch>
      </xdr:blipFill>
      <xdr:spPr bwMode="auto">
        <a:xfrm>
          <a:off x="163512" y="9526"/>
          <a:ext cx="1028700" cy="526256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472285</xdr:colOff>
      <xdr:row>639</xdr:row>
      <xdr:rowOff>96576</xdr:rowOff>
    </xdr:from>
    <xdr:to>
      <xdr:col>15</xdr:col>
      <xdr:colOff>345285</xdr:colOff>
      <xdr:row>655</xdr:row>
      <xdr:rowOff>181242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A93D3B-6E44-44A6-9C5E-D2ED0EF7F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9525</xdr:rowOff>
    </xdr:from>
    <xdr:to>
      <xdr:col>8</xdr:col>
      <xdr:colOff>685800</xdr:colOff>
      <xdr:row>20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C942AE-250C-4B16-B4FF-A3BAAF956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733425</xdr:colOff>
      <xdr:row>8</xdr:row>
      <xdr:rowOff>100012</xdr:rowOff>
    </xdr:from>
    <xdr:to>
      <xdr:col>16</xdr:col>
      <xdr:colOff>550333</xdr:colOff>
      <xdr:row>21</xdr:row>
      <xdr:rowOff>179917</xdr:rowOff>
    </xdr:to>
    <xdr:graphicFrame macro="">
      <xdr:nvGraphicFramePr>
        <xdr:cNvPr id="3" name="Graphique 3">
          <a:extLst>
            <a:ext uri="{FF2B5EF4-FFF2-40B4-BE49-F238E27FC236}">
              <a16:creationId xmlns:a16="http://schemas.microsoft.com/office/drawing/2014/main" id="{FC68B7F7-C5AF-40E5-81CE-0812F4F0A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5</xdr:row>
      <xdr:rowOff>182671</xdr:rowOff>
    </xdr:from>
    <xdr:to>
      <xdr:col>8</xdr:col>
      <xdr:colOff>195720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074A4-24E8-4997-A1ED-EC8A0BCC9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288471</xdr:colOff>
      <xdr:row>5</xdr:row>
      <xdr:rowOff>170090</xdr:rowOff>
    </xdr:from>
    <xdr:to>
      <xdr:col>15</xdr:col>
      <xdr:colOff>297996</xdr:colOff>
      <xdr:row>18</xdr:row>
      <xdr:rowOff>93890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AAD6C-970E-4438-800A-7AF62C68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341538</xdr:colOff>
      <xdr:row>5</xdr:row>
      <xdr:rowOff>170089</xdr:rowOff>
    </xdr:from>
    <xdr:to>
      <xdr:col>23</xdr:col>
      <xdr:colOff>0</xdr:colOff>
      <xdr:row>18</xdr:row>
      <xdr:rowOff>93889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02202-892B-4EFF-8220-BF9FFA38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153459</xdr:colOff>
      <xdr:row>35</xdr:row>
      <xdr:rowOff>67733</xdr:rowOff>
    </xdr:from>
    <xdr:to>
      <xdr:col>8</xdr:col>
      <xdr:colOff>169334</xdr:colOff>
      <xdr:row>48</xdr:row>
      <xdr:rowOff>67733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9C5FB0-D42D-4A69-870B-5900871BD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311151</xdr:colOff>
      <xdr:row>37</xdr:row>
      <xdr:rowOff>147411</xdr:rowOff>
    </xdr:from>
    <xdr:to>
      <xdr:col>8</xdr:col>
      <xdr:colOff>40218</xdr:colOff>
      <xdr:row>37</xdr:row>
      <xdr:rowOff>156936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CC9CB11-125D-443C-A30D-8F89CF4F7F5A}"/>
            </a:ext>
          </a:extLst>
        </xdr:cNvPr>
        <xdr:cNvCxnSpPr/>
      </xdr:nvCxnSpPr>
      <xdr:spPr>
        <a:xfrm flipV="1">
          <a:off x="1530351" y="7195911"/>
          <a:ext cx="3386667" cy="9525"/>
        </a:xfrm>
        <a:prstGeom prst="line">
          <a:avLst/>
        </a:prstGeom>
        <a:ln w="158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349854</xdr:colOff>
      <xdr:row>35</xdr:row>
      <xdr:rowOff>68037</xdr:rowOff>
    </xdr:from>
    <xdr:to>
      <xdr:col>23</xdr:col>
      <xdr:colOff>0</xdr:colOff>
      <xdr:row>48</xdr:row>
      <xdr:rowOff>54429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2542D8-B0BE-4B3B-A78D-B6C49FD69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137585</xdr:colOff>
      <xdr:row>18</xdr:row>
      <xdr:rowOff>108857</xdr:rowOff>
    </xdr:from>
    <xdr:to>
      <xdr:col>8</xdr:col>
      <xdr:colOff>204109</xdr:colOff>
      <xdr:row>35</xdr:row>
      <xdr:rowOff>21166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088ED6-38B4-4ABA-9E1A-4529A7EA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296333</xdr:colOff>
      <xdr:row>103</xdr:row>
      <xdr:rowOff>52917</xdr:rowOff>
    </xdr:from>
    <xdr:to>
      <xdr:col>18</xdr:col>
      <xdr:colOff>179916</xdr:colOff>
      <xdr:row>105</xdr:row>
      <xdr:rowOff>137583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8A35FA-F167-488E-B394-56C4224AC9A4}"/>
            </a:ext>
          </a:extLst>
        </xdr:cNvPr>
        <xdr:cNvSpPr txBox="1"/>
      </xdr:nvSpPr>
      <xdr:spPr>
        <a:xfrm>
          <a:off x="4563533" y="20245917"/>
          <a:ext cx="6589183" cy="4656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i="1" u="sng">
              <a:solidFill>
                <a:schemeClr val="bg1"/>
              </a:solidFill>
              <a:latin typeface="+mj-lt"/>
            </a:rPr>
            <a:t>Top</a:t>
          </a:r>
          <a:r>
            <a:rPr lang="en-US" sz="2800" i="1" u="sng" baseline="0">
              <a:solidFill>
                <a:schemeClr val="bg1"/>
              </a:solidFill>
              <a:latin typeface="+mj-lt"/>
            </a:rPr>
            <a:t> USSD Short Code Performance </a:t>
          </a:r>
          <a:endParaRPr lang="en-US" sz="2800" i="1" u="sng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4</xdr:col>
      <xdr:colOff>569988</xdr:colOff>
      <xdr:row>1</xdr:row>
      <xdr:rowOff>175382</xdr:rowOff>
    </xdr:from>
    <xdr:to>
      <xdr:col>20</xdr:col>
      <xdr:colOff>474738</xdr:colOff>
      <xdr:row>4</xdr:row>
      <xdr:rowOff>58965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6E57956-76D3-4E8A-83B7-0D1ECC812FD9}"/>
            </a:ext>
          </a:extLst>
        </xdr:cNvPr>
        <xdr:cNvSpPr txBox="1"/>
      </xdr:nvSpPr>
      <xdr:spPr>
        <a:xfrm>
          <a:off x="3008388" y="365882"/>
          <a:ext cx="9658350" cy="45508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i="1" u="sng">
              <a:solidFill>
                <a:schemeClr val="bg1"/>
              </a:solidFill>
              <a:latin typeface="+mj-lt"/>
            </a:rPr>
            <a:t>MTN CDI Service Performance</a:t>
          </a:r>
          <a:r>
            <a:rPr lang="en-US" sz="2800" i="1" u="sng" baseline="0">
              <a:solidFill>
                <a:schemeClr val="bg1"/>
              </a:solidFill>
              <a:latin typeface="+mj-lt"/>
            </a:rPr>
            <a:t> Dashboard</a:t>
          </a:r>
          <a:endParaRPr lang="en-US" sz="2800" i="1" u="sng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16</xdr:col>
      <xdr:colOff>487741</xdr:colOff>
      <xdr:row>38</xdr:row>
      <xdr:rowOff>98728</xdr:rowOff>
    </xdr:from>
    <xdr:to>
      <xdr:col>22</xdr:col>
      <xdr:colOff>216808</xdr:colOff>
      <xdr:row>38</xdr:row>
      <xdr:rowOff>108253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1E9B0A1-667D-49E3-B73D-3064E93AA2C7}"/>
            </a:ext>
          </a:extLst>
        </xdr:cNvPr>
        <xdr:cNvCxnSpPr/>
      </xdr:nvCxnSpPr>
      <xdr:spPr>
        <a:xfrm flipV="1">
          <a:off x="10241341" y="7337728"/>
          <a:ext cx="3386667" cy="9525"/>
        </a:xfrm>
        <a:prstGeom prst="line">
          <a:avLst/>
        </a:prstGeom>
        <a:ln w="158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158191</xdr:colOff>
      <xdr:row>107</xdr:row>
      <xdr:rowOff>5654</xdr:rowOff>
    </xdr:from>
    <xdr:to>
      <xdr:col>8</xdr:col>
      <xdr:colOff>179358</xdr:colOff>
      <xdr:row>120</xdr:row>
      <xdr:rowOff>182324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D5EE83F-B8CA-4A0A-98DF-5BD8C6D07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264583</xdr:colOff>
      <xdr:row>107</xdr:row>
      <xdr:rowOff>31750</xdr:rowOff>
    </xdr:from>
    <xdr:to>
      <xdr:col>15</xdr:col>
      <xdr:colOff>264582</xdr:colOff>
      <xdr:row>121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C7145BD-1863-4B4A-BE6F-241E69755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131536</xdr:colOff>
      <xdr:row>121</xdr:row>
      <xdr:rowOff>63498</xdr:rowOff>
    </xdr:from>
    <xdr:to>
      <xdr:col>8</xdr:col>
      <xdr:colOff>136072</xdr:colOff>
      <xdr:row>135</xdr:row>
      <xdr:rowOff>137581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394F223-A70F-407B-B1C8-D86B9992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263072</xdr:colOff>
      <xdr:row>35</xdr:row>
      <xdr:rowOff>77107</xdr:rowOff>
    </xdr:from>
    <xdr:to>
      <xdr:col>15</xdr:col>
      <xdr:colOff>278946</xdr:colOff>
      <xdr:row>48</xdr:row>
      <xdr:rowOff>77107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8B1E03-B2C8-4848-BD33-EBF4F5773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263072</xdr:colOff>
      <xdr:row>18</xdr:row>
      <xdr:rowOff>130023</xdr:rowOff>
    </xdr:from>
    <xdr:to>
      <xdr:col>15</xdr:col>
      <xdr:colOff>305404</xdr:colOff>
      <xdr:row>35</xdr:row>
      <xdr:rowOff>45357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EBACD31-C5CE-46B1-968B-D5C234767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231323</xdr:colOff>
      <xdr:row>121</xdr:row>
      <xdr:rowOff>74082</xdr:rowOff>
    </xdr:from>
    <xdr:to>
      <xdr:col>15</xdr:col>
      <xdr:colOff>299359</xdr:colOff>
      <xdr:row>135</xdr:row>
      <xdr:rowOff>148165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6601CF-7A91-4186-BE06-3EDF58F7E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582873</xdr:colOff>
      <xdr:row>85</xdr:row>
      <xdr:rowOff>156381</xdr:rowOff>
    </xdr:from>
    <xdr:to>
      <xdr:col>8</xdr:col>
      <xdr:colOff>585108</xdr:colOff>
      <xdr:row>101</xdr:row>
      <xdr:rowOff>176893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AB4F6BA-3630-418E-8102-DA29F2E30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31750</xdr:colOff>
      <xdr:row>85</xdr:row>
      <xdr:rowOff>90714</xdr:rowOff>
    </xdr:from>
    <xdr:to>
      <xdr:col>23</xdr:col>
      <xdr:colOff>0</xdr:colOff>
      <xdr:row>101</xdr:row>
      <xdr:rowOff>158750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FDB3A28-F663-4689-ABA2-A38FA6AAC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168088</xdr:colOff>
      <xdr:row>52</xdr:row>
      <xdr:rowOff>100853</xdr:rowOff>
    </xdr:from>
    <xdr:to>
      <xdr:col>8</xdr:col>
      <xdr:colOff>201705</xdr:colOff>
      <xdr:row>66</xdr:row>
      <xdr:rowOff>44824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E4C797D-988E-4995-B6A2-2EC20DBAB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246530</xdr:colOff>
      <xdr:row>52</xdr:row>
      <xdr:rowOff>89647</xdr:rowOff>
    </xdr:from>
    <xdr:to>
      <xdr:col>15</xdr:col>
      <xdr:colOff>336177</xdr:colOff>
      <xdr:row>66</xdr:row>
      <xdr:rowOff>44824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DC70BCF-768B-4E75-BFD4-2D7D2FFEC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268941</xdr:colOff>
      <xdr:row>49</xdr:row>
      <xdr:rowOff>22412</xdr:rowOff>
    </xdr:from>
    <xdr:to>
      <xdr:col>17</xdr:col>
      <xdr:colOff>152524</xdr:colOff>
      <xdr:row>51</xdr:row>
      <xdr:rowOff>107078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870ECE2-C010-4C39-A08A-98EEA99CC8A0}"/>
            </a:ext>
          </a:extLst>
        </xdr:cNvPr>
        <xdr:cNvSpPr txBox="1"/>
      </xdr:nvSpPr>
      <xdr:spPr>
        <a:xfrm>
          <a:off x="3926541" y="9356912"/>
          <a:ext cx="6589183" cy="4656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i="1" u="sng">
              <a:solidFill>
                <a:schemeClr val="bg1"/>
              </a:solidFill>
              <a:latin typeface="+mj-lt"/>
            </a:rPr>
            <a:t>Top</a:t>
          </a:r>
          <a:r>
            <a:rPr lang="en-US" sz="2800" i="1" u="sng" baseline="0">
              <a:solidFill>
                <a:schemeClr val="bg1"/>
              </a:solidFill>
              <a:latin typeface="+mj-lt"/>
            </a:rPr>
            <a:t> A2P SMPP Performance </a:t>
          </a:r>
          <a:endParaRPr lang="en-US" sz="2800" i="1" u="sng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7</xdr:col>
      <xdr:colOff>123265</xdr:colOff>
      <xdr:row>82</xdr:row>
      <xdr:rowOff>78442</xdr:rowOff>
    </xdr:from>
    <xdr:to>
      <xdr:col>18</xdr:col>
      <xdr:colOff>6848</xdr:colOff>
      <xdr:row>84</xdr:row>
      <xdr:rowOff>163108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B5BC726-C9B7-4A6A-A5CF-4D791A4E716E}"/>
            </a:ext>
          </a:extLst>
        </xdr:cNvPr>
        <xdr:cNvSpPr txBox="1"/>
      </xdr:nvSpPr>
      <xdr:spPr>
        <a:xfrm>
          <a:off x="4390465" y="16270942"/>
          <a:ext cx="6589183" cy="4656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i="1" u="sng" baseline="0">
              <a:solidFill>
                <a:schemeClr val="bg1"/>
              </a:solidFill>
              <a:latin typeface="+mj-lt"/>
            </a:rPr>
            <a:t>Overall USSD Performance </a:t>
          </a:r>
          <a:endParaRPr lang="en-US" sz="2800" i="1" u="sng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</xdr:col>
      <xdr:colOff>160885</xdr:colOff>
      <xdr:row>66</xdr:row>
      <xdr:rowOff>64834</xdr:rowOff>
    </xdr:from>
    <xdr:to>
      <xdr:col>8</xdr:col>
      <xdr:colOff>204108</xdr:colOff>
      <xdr:row>80</xdr:row>
      <xdr:rowOff>141034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5C330D8-78EC-4EED-AD64-3E30D9261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241727</xdr:colOff>
      <xdr:row>66</xdr:row>
      <xdr:rowOff>60031</xdr:rowOff>
    </xdr:from>
    <xdr:to>
      <xdr:col>15</xdr:col>
      <xdr:colOff>353787</xdr:colOff>
      <xdr:row>80</xdr:row>
      <xdr:rowOff>136231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276C26E-10C2-407D-BCB6-7927780E2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0</xdr:colOff>
      <xdr:row>1</xdr:row>
      <xdr:rowOff>136072</xdr:rowOff>
    </xdr:from>
    <xdr:to>
      <xdr:col>25</xdr:col>
      <xdr:colOff>37565</xdr:colOff>
      <xdr:row>4</xdr:row>
      <xdr:rowOff>68036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279F8E8-84C9-4398-879C-20FBB7B6B045}"/>
            </a:ext>
          </a:extLst>
        </xdr:cNvPr>
        <xdr:cNvSpPr/>
      </xdr:nvSpPr>
      <xdr:spPr bwMode="auto">
        <a:xfrm>
          <a:off x="14011275" y="326572"/>
          <a:ext cx="3895725" cy="503464"/>
        </a:xfrm>
        <a:prstGeom prst="rect">
          <a:avLst/>
        </a:prstGeom>
        <a:solidFill>
          <a:srgbClr val="002F5F">
            <a:alpha val="84000"/>
          </a:srgbClr>
        </a:solidFill>
        <a:ln w="127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algn="ctr" rtl="0" eaLnBrk="0" fontAlgn="base" hangingPunct="0">
            <a:lnSpc>
              <a:spcPct val="90000"/>
            </a:lnSpc>
            <a:spcBef>
              <a:spcPct val="30000"/>
            </a:spcBef>
            <a:spcAft>
              <a:spcPct val="10000"/>
            </a:spcAft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1pPr>
          <a:lvl2pPr marL="457200" algn="ctr" rtl="0" eaLnBrk="0" fontAlgn="base" hangingPunct="0">
            <a:lnSpc>
              <a:spcPct val="90000"/>
            </a:lnSpc>
            <a:spcBef>
              <a:spcPct val="30000"/>
            </a:spcBef>
            <a:spcAft>
              <a:spcPct val="10000"/>
            </a:spcAft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2pPr>
          <a:lvl3pPr marL="914400" algn="ctr" rtl="0" eaLnBrk="0" fontAlgn="base" hangingPunct="0">
            <a:lnSpc>
              <a:spcPct val="90000"/>
            </a:lnSpc>
            <a:spcBef>
              <a:spcPct val="30000"/>
            </a:spcBef>
            <a:spcAft>
              <a:spcPct val="10000"/>
            </a:spcAft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3pPr>
          <a:lvl4pPr marL="1371600" algn="ctr" rtl="0" eaLnBrk="0" fontAlgn="base" hangingPunct="0">
            <a:lnSpc>
              <a:spcPct val="90000"/>
            </a:lnSpc>
            <a:spcBef>
              <a:spcPct val="30000"/>
            </a:spcBef>
            <a:spcAft>
              <a:spcPct val="10000"/>
            </a:spcAft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4pPr>
          <a:lvl5pPr marL="1828800" algn="ctr" rtl="0" eaLnBrk="0" fontAlgn="base" hangingPunct="0">
            <a:lnSpc>
              <a:spcPct val="90000"/>
            </a:lnSpc>
            <a:spcBef>
              <a:spcPct val="30000"/>
            </a:spcBef>
            <a:spcAft>
              <a:spcPct val="10000"/>
            </a:spcAft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Arial" charset="0"/>
              <a:ea typeface="Arial Unicode MS" pitchFamily="34" charset="-128"/>
              <a:cs typeface="Arial Unicode MS" pitchFamily="34" charset="-128"/>
            </a:defRPr>
          </a:lvl9pPr>
        </a:lstStyle>
        <a:p>
          <a:pPr marL="0" marR="0" indent="0" algn="ctr" defTabSz="914400" rtl="0" eaLnBrk="0" fontAlgn="base" latinLnBrk="0" hangingPunct="0">
            <a:lnSpc>
              <a:spcPct val="100000"/>
            </a:lnSpc>
            <a:spcBef>
              <a:spcPct val="5000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ZA" sz="1800" b="0" i="1" u="sng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j-lt"/>
            </a:rPr>
            <a:t>Comments</a:t>
          </a:r>
        </a:p>
      </xdr:txBody>
    </xdr:sp>
    <xdr:clientData/>
  </xdr:twoCellAnchor>
  <xdr:twoCellAnchor>
    <xdr:from>
      <xdr:col>9</xdr:col>
      <xdr:colOff>368301</xdr:colOff>
      <xdr:row>37</xdr:row>
      <xdr:rowOff>163740</xdr:rowOff>
    </xdr:from>
    <xdr:to>
      <xdr:col>15</xdr:col>
      <xdr:colOff>97368</xdr:colOff>
      <xdr:row>37</xdr:row>
      <xdr:rowOff>173265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E300D425-0B31-43AE-8B22-15EF054FBA89}"/>
            </a:ext>
          </a:extLst>
        </xdr:cNvPr>
        <xdr:cNvCxnSpPr/>
      </xdr:nvCxnSpPr>
      <xdr:spPr>
        <a:xfrm flipV="1">
          <a:off x="5854701" y="7212240"/>
          <a:ext cx="3386667" cy="9525"/>
        </a:xfrm>
        <a:prstGeom prst="line">
          <a:avLst/>
        </a:prstGeom>
        <a:ln w="158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367394</xdr:colOff>
      <xdr:row>18</xdr:row>
      <xdr:rowOff>149678</xdr:rowOff>
    </xdr:from>
    <xdr:to>
      <xdr:col>23</xdr:col>
      <xdr:colOff>0</xdr:colOff>
      <xdr:row>35</xdr:row>
      <xdr:rowOff>24191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9559495-9316-44BF-9ABB-D7CFC079D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163286</xdr:colOff>
      <xdr:row>168</xdr:row>
      <xdr:rowOff>0</xdr:rowOff>
    </xdr:from>
    <xdr:to>
      <xdr:col>21</xdr:col>
      <xdr:colOff>598714</xdr:colOff>
      <xdr:row>170</xdr:row>
      <xdr:rowOff>84666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5816518-0708-42B7-BE9D-0546DCCDD053}"/>
            </a:ext>
          </a:extLst>
        </xdr:cNvPr>
        <xdr:cNvSpPr txBox="1"/>
      </xdr:nvSpPr>
      <xdr:spPr>
        <a:xfrm>
          <a:off x="772886" y="32575500"/>
          <a:ext cx="12627428" cy="4656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i="1" u="sng" baseline="0">
              <a:solidFill>
                <a:schemeClr val="bg1"/>
              </a:solidFill>
              <a:latin typeface="+mj-lt"/>
            </a:rPr>
            <a:t>Thales P2A Account  Performance </a:t>
          </a:r>
          <a:endParaRPr lang="en-US" sz="2800" i="1" u="sng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</xdr:col>
      <xdr:colOff>149678</xdr:colOff>
      <xdr:row>171</xdr:row>
      <xdr:rowOff>108857</xdr:rowOff>
    </xdr:from>
    <xdr:to>
      <xdr:col>11</xdr:col>
      <xdr:colOff>176892</xdr:colOff>
      <xdr:row>184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25405DA-4628-4C7C-9751-568B6C34B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502344</xdr:colOff>
      <xdr:row>171</xdr:row>
      <xdr:rowOff>91337</xdr:rowOff>
    </xdr:from>
    <xdr:to>
      <xdr:col>22</xdr:col>
      <xdr:colOff>11555</xdr:colOff>
      <xdr:row>184</xdr:row>
      <xdr:rowOff>127000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A7DFAA8-2F31-4BC6-9F57-C4E4806E8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353785</xdr:colOff>
      <xdr:row>121</xdr:row>
      <xdr:rowOff>40822</xdr:rowOff>
    </xdr:from>
    <xdr:to>
      <xdr:col>23</xdr:col>
      <xdr:colOff>0</xdr:colOff>
      <xdr:row>135</xdr:row>
      <xdr:rowOff>122464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9453459-AE46-416F-B1E6-A3BFC4293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421822</xdr:colOff>
      <xdr:row>136</xdr:row>
      <xdr:rowOff>81643</xdr:rowOff>
    </xdr:from>
    <xdr:to>
      <xdr:col>23</xdr:col>
      <xdr:colOff>0</xdr:colOff>
      <xdr:row>151</xdr:row>
      <xdr:rowOff>81643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94B69E4-3A47-4FF4-A7A6-A43E5E226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</xdr:col>
      <xdr:colOff>421567</xdr:colOff>
      <xdr:row>151</xdr:row>
      <xdr:rowOff>130210</xdr:rowOff>
    </xdr:from>
    <xdr:to>
      <xdr:col>18</xdr:col>
      <xdr:colOff>497315</xdr:colOff>
      <xdr:row>166</xdr:row>
      <xdr:rowOff>71232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C361D26A-FC60-4C72-A1D9-027E09FD5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521918</xdr:colOff>
      <xdr:row>66</xdr:row>
      <xdr:rowOff>117432</xdr:rowOff>
    </xdr:from>
    <xdr:to>
      <xdr:col>22</xdr:col>
      <xdr:colOff>555535</xdr:colOff>
      <xdr:row>80</xdr:row>
      <xdr:rowOff>61404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3A7E719-C625-4635-BF9F-58F0939FB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534966</xdr:colOff>
      <xdr:row>52</xdr:row>
      <xdr:rowOff>52192</xdr:rowOff>
    </xdr:from>
    <xdr:to>
      <xdr:col>23</xdr:col>
      <xdr:colOff>0</xdr:colOff>
      <xdr:row>66</xdr:row>
      <xdr:rowOff>7369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8FDC4F-CAB7-44C4-9756-2512F8DF6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13607</xdr:colOff>
      <xdr:row>85</xdr:row>
      <xdr:rowOff>108857</xdr:rowOff>
    </xdr:from>
    <xdr:to>
      <xdr:col>15</xdr:col>
      <xdr:colOff>544286</xdr:colOff>
      <xdr:row>101</xdr:row>
      <xdr:rowOff>176893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9E2808C-71D2-43B7-93A5-05B3C85D2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256267</xdr:colOff>
      <xdr:row>186</xdr:row>
      <xdr:rowOff>56698</xdr:rowOff>
    </xdr:from>
    <xdr:to>
      <xdr:col>18</xdr:col>
      <xdr:colOff>206374</xdr:colOff>
      <xdr:row>199</xdr:row>
      <xdr:rowOff>142876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F5ACCC-23F7-4F37-83F9-5EFB7C0AA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337039</xdr:colOff>
      <xdr:row>107</xdr:row>
      <xdr:rowOff>15092</xdr:rowOff>
    </xdr:from>
    <xdr:to>
      <xdr:col>22</xdr:col>
      <xdr:colOff>571500</xdr:colOff>
      <xdr:row>120</xdr:row>
      <xdr:rowOff>146976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7D82D87-0915-4B1D-803F-A0E7E5EE3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258536</xdr:colOff>
      <xdr:row>136</xdr:row>
      <xdr:rowOff>27214</xdr:rowOff>
    </xdr:from>
    <xdr:to>
      <xdr:col>15</xdr:col>
      <xdr:colOff>272143</xdr:colOff>
      <xdr:row>151</xdr:row>
      <xdr:rowOff>27214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0B0BC17-E636-4146-A971-5ED856225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142875</xdr:colOff>
      <xdr:row>151</xdr:row>
      <xdr:rowOff>142875</xdr:rowOff>
    </xdr:from>
    <xdr:to>
      <xdr:col>11</xdr:col>
      <xdr:colOff>218623</xdr:colOff>
      <xdr:row>166</xdr:row>
      <xdr:rowOff>83897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CBC6F9E-AF8A-483C-BB76-F3977301B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95250</xdr:colOff>
      <xdr:row>136</xdr:row>
      <xdr:rowOff>63500</xdr:rowOff>
    </xdr:from>
    <xdr:to>
      <xdr:col>8</xdr:col>
      <xdr:colOff>108857</xdr:colOff>
      <xdr:row>151</xdr:row>
      <xdr:rowOff>63500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18DC5C0-BE28-40D8-AE82-C0F58988C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comviva-my.sharepoint.com/personal/saurabh_chauhan2_comviva_com/Documents/CDI/MTN%20CDI%20Dashboard/27%20March/CDI_Report_MTN_28_Mar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S and TPS"/>
      <sheetName val="TOP SMPP"/>
      <sheetName val="USSD"/>
      <sheetName val="Sheet1"/>
      <sheetName val="ReviewUpdate"/>
      <sheetName val="Dashboard"/>
    </sheetNames>
    <sheetDataSet>
      <sheetData sheetId="0"/>
      <sheetData sheetId="1"/>
      <sheetData sheetId="2"/>
      <sheetData sheetId="3"/>
      <sheetData sheetId="4">
        <row r="3">
          <cell r="BH3" t="str">
            <v>In Trend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10.18.41.38:11100/omega/createHTMLFile.mis?__report=error_desc_main_stats_yearly.rptdesign&amp;__overwrite=true&amp;msg_type=%5B3%5D&amp;hour=%5B-%5D&amp;day=%5B2020-02-24%5D" TargetMode="External"/><Relationship Id="rId21" Type="http://schemas.openxmlformats.org/officeDocument/2006/relationships/hyperlink" Target="https://10.18.41.38:11100/omega/createHTMLFile.mis?__report=error_desc_main_stats_yearly.rptdesign&amp;__overwrite=true&amp;msg_type=%5B1%5D&amp;hour=%5B-%5D&amp;day=%5B2020-01-13%5D" TargetMode="External"/><Relationship Id="rId42" Type="http://schemas.openxmlformats.org/officeDocument/2006/relationships/hyperlink" Target="https://10.18.41.38:11100/omega/createHTMLFile.mis?__report=error_desc_main_stats_yearly.rptdesign&amp;__overwrite=true&amp;msg_type=%5B2%5D&amp;hour=%5B-%5D&amp;day=%5B2020-01-27%5D" TargetMode="External"/><Relationship Id="rId63" Type="http://schemas.openxmlformats.org/officeDocument/2006/relationships/hyperlink" Target="https://10.18.41.38:11100/omega/createHTMLFile.mis?__report=error_desc_main_stats_yearly.rptdesign&amp;__overwrite=true&amp;msg_type=%5B3%5D&amp;hour=%5B-%5D&amp;day=%5B2020-02-03%5D" TargetMode="External"/><Relationship Id="rId84" Type="http://schemas.openxmlformats.org/officeDocument/2006/relationships/hyperlink" Target="https://10.18.41.38:11100/omega/createHTMLFile.mis?__report=error_desc_main_stats_yearly.rptdesign&amp;__overwrite=true&amp;msg_type=%5B1%5D&amp;hour=%5B-%5D&amp;day=%5B2020-02-12%5D" TargetMode="External"/><Relationship Id="rId138" Type="http://schemas.openxmlformats.org/officeDocument/2006/relationships/hyperlink" Target="https://10.18.41.38:11100/omega/createHTMLFile.mis?__report=error_desc_main_stats_yearly.rptdesign&amp;__overwrite=true&amp;msg_type=%5B3%5D&amp;hour=%5B-%5D&amp;day=%5B2020-03-03%5D" TargetMode="External"/><Relationship Id="rId159" Type="http://schemas.openxmlformats.org/officeDocument/2006/relationships/printerSettings" Target="../printerSettings/printerSettings1.bin"/><Relationship Id="rId107" Type="http://schemas.openxmlformats.org/officeDocument/2006/relationships/hyperlink" Target="https://10.18.41.38:11100/omega/createHTMLFile.mis?__report=error_desc_main_stats_yearly.rptdesign&amp;__overwrite=true&amp;msg_type=%5B1%5D&amp;hour=%5B-%5D&amp;day=%5B2020-02-21%5D" TargetMode="External"/><Relationship Id="rId11" Type="http://schemas.openxmlformats.org/officeDocument/2006/relationships/hyperlink" Target="https://10.18.41.38:11100/omega/createHTMLFile.mis?__report=error_desc_main_stats_yearly.rptdesign&amp;__overwrite=true&amp;msg_type=%5B1%5D&amp;hour=%5B-%5D&amp;day=%5B2020-01-08%5D" TargetMode="External"/><Relationship Id="rId32" Type="http://schemas.openxmlformats.org/officeDocument/2006/relationships/hyperlink" Target="https://10.18.41.38:11100/omega/createHTMLFile.mis?__report=error_desc_main_stats_yearly.rptdesign&amp;__overwrite=true&amp;msg_type=%5B1%5D&amp;hour=%5B-%5D&amp;day=%5B2020-01-20%5D" TargetMode="External"/><Relationship Id="rId53" Type="http://schemas.openxmlformats.org/officeDocument/2006/relationships/hyperlink" Target="https://10.18.41.38:11100/omega/createHTMLFile.mis?__report=error_desc_main_stats_yearly.rptdesign&amp;__overwrite=true&amp;msg_type=%5B3%5D&amp;hour=%5B-%5D&amp;day=%5B2020-01-31%5D" TargetMode="External"/><Relationship Id="rId74" Type="http://schemas.openxmlformats.org/officeDocument/2006/relationships/hyperlink" Target="https://10.18.41.38:11100/omega/createHTMLFile.mis?__report=error_desc_main_stats_yearly.rptdesign&amp;__overwrite=true&amp;msg_type=%5B1%5D&amp;hour=%5B-%5D&amp;day=%5B2020-02-08%5D" TargetMode="External"/><Relationship Id="rId128" Type="http://schemas.openxmlformats.org/officeDocument/2006/relationships/hyperlink" Target="https://10.18.41.38:11100/omega/createHTMLFile.mis?__report=error_desc_main_stats_yearly.rptdesign&amp;__overwrite=true&amp;msg_type=%5B1%5D&amp;hour=%5B-%5D&amp;day=%5B2020-02-28%5D" TargetMode="External"/><Relationship Id="rId149" Type="http://schemas.openxmlformats.org/officeDocument/2006/relationships/hyperlink" Target="https://10.18.41.38:11100/omega/createHTMLFile.mis?__report=error_desc_main_stats_yearly.rptdesign&amp;__overwrite=true&amp;msg_type=%5B1%5D&amp;hour=%5B-%5D&amp;day=%5B2020-03-06%5D" TargetMode="External"/><Relationship Id="rId5" Type="http://schemas.openxmlformats.org/officeDocument/2006/relationships/hyperlink" Target="https://10.18.41.38:11100/omega/createHTMLFile.mis?__report=error_desc_main_stats_yearly.rptdesign&amp;__overwrite=true&amp;msg_type=%5B3%5D&amp;hour=%5B-%5D&amp;day=%5B2020-01-03%5D" TargetMode="External"/><Relationship Id="rId95" Type="http://schemas.openxmlformats.org/officeDocument/2006/relationships/hyperlink" Target="https://10.18.41.38:11100/omega/createHTMLFile.mis?__report=error_desc_main_stats_yearly.rptdesign&amp;__overwrite=true&amp;msg_type=%5B1%5D&amp;hour=%5B-%5D&amp;day=%5B2020-02-17%5D" TargetMode="External"/><Relationship Id="rId160" Type="http://schemas.openxmlformats.org/officeDocument/2006/relationships/drawing" Target="../drawings/drawing1.xml"/><Relationship Id="rId22" Type="http://schemas.openxmlformats.org/officeDocument/2006/relationships/hyperlink" Target="https://10.18.41.38:11100/omega/createHTMLFile.mis?__report=error_desc_main_stats_yearly.rptdesign&amp;__overwrite=true&amp;msg_type=%5B3%5D&amp;hour=%5B-%5D&amp;day=%5B2020-01-13%5D" TargetMode="External"/><Relationship Id="rId43" Type="http://schemas.openxmlformats.org/officeDocument/2006/relationships/hyperlink" Target="https://10.18.41.38:11100/omega/createHTMLFile.mis?__report=error_desc_main_stats_yearly.rptdesign&amp;__overwrite=true&amp;msg_type=%5B1%5D&amp;hour=%5B-%5D&amp;day=%5B2020-01-27%5D" TargetMode="External"/><Relationship Id="rId64" Type="http://schemas.openxmlformats.org/officeDocument/2006/relationships/hyperlink" Target="https://10.18.41.38:11100/omega/createHTMLFile.mis?__report=error_desc_main_stats_yearly.rptdesign&amp;__overwrite=true&amp;msg_type=%5B1%5D&amp;hour=%5B-%5D&amp;day=%5B2020-02-04%5D" TargetMode="External"/><Relationship Id="rId118" Type="http://schemas.openxmlformats.org/officeDocument/2006/relationships/hyperlink" Target="https://10.18.41.38:11100/omega/createHTMLFile.mis?__report=error_desc_main_stats_yearly.rptdesign&amp;__overwrite=true&amp;msg_type=%5B2%5D&amp;hour=%5B-%5D&amp;day=%5B2020-02-24%5D" TargetMode="External"/><Relationship Id="rId139" Type="http://schemas.openxmlformats.org/officeDocument/2006/relationships/hyperlink" Target="https://10.18.41.38:11100/omega/createHTMLFile.mis?__report=error_desc_main_stats_yearly.rptdesign&amp;__overwrite=true&amp;msg_type=%5B2%5D&amp;hour=%5B-%5D&amp;day=%5B2020-03-03%5D" TargetMode="External"/><Relationship Id="rId80" Type="http://schemas.openxmlformats.org/officeDocument/2006/relationships/hyperlink" Target="https://10.18.41.38:11100/omega/createHTMLFile.mis?__report=error_desc_main_stats_yearly.rptdesign&amp;__overwrite=true&amp;msg_type=%5B1%5D&amp;hour=%5B-%5D&amp;day=%5B2020-02-10%5D" TargetMode="External"/><Relationship Id="rId85" Type="http://schemas.openxmlformats.org/officeDocument/2006/relationships/hyperlink" Target="https://10.18.41.38:11100/omega/createHTMLFile.mis?__report=error_desc_main_stats_yearly.rptdesign&amp;__overwrite=true&amp;msg_type=%5B3%5D&amp;hour=%5B-%5D&amp;day=%5B2020-02-12%5D" TargetMode="External"/><Relationship Id="rId150" Type="http://schemas.openxmlformats.org/officeDocument/2006/relationships/hyperlink" Target="https://10.18.41.38:11100/omega/createHTMLFile.mis?__report=error_desc_main_stats_yearly.rptdesign&amp;__overwrite=true&amp;msg_type=%5B3%5D&amp;hour=%5B-%5D&amp;day=%5B2020-03-06%5D" TargetMode="External"/><Relationship Id="rId155" Type="http://schemas.openxmlformats.org/officeDocument/2006/relationships/hyperlink" Target="https://10.18.41.38:11100/omega/createHTMLFile.mis?__report=error_desc_main_stats_yearly.rptdesign&amp;__overwrite=true&amp;msg_type=%5B3%5D&amp;hour=%5B-%5D&amp;day=%5B2020-03-01%5D" TargetMode="External"/><Relationship Id="rId12" Type="http://schemas.openxmlformats.org/officeDocument/2006/relationships/hyperlink" Target="https://10.18.41.38:11100/omega/createHTMLFile.mis?__report=error_desc_main_stats_yearly.rptdesign&amp;__overwrite=true&amp;msg_type=%5B3%5D&amp;hour=%5B-%5D&amp;day=%5B2020-01-08%5D" TargetMode="External"/><Relationship Id="rId17" Type="http://schemas.openxmlformats.org/officeDocument/2006/relationships/hyperlink" Target="https://10.18.41.38:11100/omega/createHTMLFile.mis?__report=error_desc_main_stats_yearly.rptdesign&amp;__overwrite=true&amp;msg_type=%5B1%5D&amp;hour=%5B-%5D&amp;day=%5B2020-01-11%5D" TargetMode="External"/><Relationship Id="rId33" Type="http://schemas.openxmlformats.org/officeDocument/2006/relationships/hyperlink" Target="https://10.18.41.38:11100/omega/createHTMLFile.mis?__report=error_desc_main_stats_yearly.rptdesign&amp;__overwrite=true&amp;msg_type=%5B3%5D&amp;hour=%5B-%5D&amp;day=%5B2020-01-20%5D" TargetMode="External"/><Relationship Id="rId38" Type="http://schemas.openxmlformats.org/officeDocument/2006/relationships/hyperlink" Target="https://10.18.41.38:11100/omega/createHTMLFile.mis?__report=error_desc_main_stats_yearly.rptdesign&amp;__overwrite=true&amp;msg_type=%5B2%5D&amp;hour=%5B-%5D&amp;day=%5B2020-01-25%5D" TargetMode="External"/><Relationship Id="rId59" Type="http://schemas.openxmlformats.org/officeDocument/2006/relationships/hyperlink" Target="https://10.18.41.38:11100/omega/createHTMLFile.mis?__report=error_desc_main_stats_yearly.rptdesign&amp;__overwrite=true&amp;msg_type=%5B3%5D&amp;hour=%5B-%5D&amp;day=%5B2020-02-02%5D" TargetMode="External"/><Relationship Id="rId103" Type="http://schemas.openxmlformats.org/officeDocument/2006/relationships/hyperlink" Target="https://10.18.41.38:11100/omega/createHTMLFile.mis?__report=error_desc_main_stats_yearly.rptdesign&amp;__overwrite=true&amp;msg_type=%5B3%5D&amp;hour=%5B-%5D&amp;day=%5B2020-02-19%5D" TargetMode="External"/><Relationship Id="rId108" Type="http://schemas.openxmlformats.org/officeDocument/2006/relationships/hyperlink" Target="https://10.18.41.38:11100/omega/createHTMLFile.mis?__report=error_desc_main_stats_yearly.rptdesign&amp;__overwrite=true&amp;msg_type=%5B3%5D&amp;hour=%5B-%5D&amp;day=%5B2020-02-21%5D" TargetMode="External"/><Relationship Id="rId124" Type="http://schemas.openxmlformats.org/officeDocument/2006/relationships/hyperlink" Target="https://10.18.41.38:11100/omega/createHTMLFile.mis?__report=error_desc_main_stats_yearly.rptdesign&amp;__overwrite=true&amp;msg_type=%5B2%5D&amp;hour=%5B-%5D&amp;day=%5B2020-02-26%5D" TargetMode="External"/><Relationship Id="rId129" Type="http://schemas.openxmlformats.org/officeDocument/2006/relationships/hyperlink" Target="https://10.18.41.38:11100/omega/createHTMLFile.mis?__report=error_desc_main_stats_yearly.rptdesign&amp;__overwrite=true&amp;msg_type=%5B3%5D&amp;hour=%5B-%5D&amp;day=%5B2020-02-28%5D" TargetMode="External"/><Relationship Id="rId54" Type="http://schemas.openxmlformats.org/officeDocument/2006/relationships/hyperlink" Target="https://10.18.41.38:11100/omega/createHTMLFile.mis?__report=error_desc_main_stats_yearly.rptdesign&amp;__overwrite=true&amp;msg_type=%5B2%5D&amp;hour=%5B-%5D&amp;day=%5B2020-01-31%5D" TargetMode="External"/><Relationship Id="rId70" Type="http://schemas.openxmlformats.org/officeDocument/2006/relationships/hyperlink" Target="https://10.18.41.38:11100/omega/createHTMLFile.mis?__report=error_desc_main_stats_yearly.rptdesign&amp;__overwrite=true&amp;msg_type=%5B1%5D&amp;hour=%5B-%5D&amp;day=%5B2020-02-06%5D" TargetMode="External"/><Relationship Id="rId75" Type="http://schemas.openxmlformats.org/officeDocument/2006/relationships/hyperlink" Target="https://10.18.41.38:11100/omega/createHTMLFile.mis?__report=error_desc_main_stats_yearly.rptdesign&amp;__overwrite=true&amp;msg_type=%5B3%5D&amp;hour=%5B-%5D&amp;day=%5B2020-02-08%5D" TargetMode="External"/><Relationship Id="rId91" Type="http://schemas.openxmlformats.org/officeDocument/2006/relationships/hyperlink" Target="https://10.18.41.38:11100/omega/createHTMLFile.mis?__report=error_desc_main_stats_yearly.rptdesign&amp;__overwrite=true&amp;msg_type=%5B1%5D&amp;hour=%5B-%5D&amp;day=%5B2020-02-15%5D" TargetMode="External"/><Relationship Id="rId96" Type="http://schemas.openxmlformats.org/officeDocument/2006/relationships/hyperlink" Target="https://10.18.41.38:11100/omega/createHTMLFile.mis?__report=error_desc_main_stats_yearly.rptdesign&amp;__overwrite=true&amp;msg_type=%5B3%5D&amp;hour=%5B-%5D&amp;day=%5B2020-02-17%5D" TargetMode="External"/><Relationship Id="rId140" Type="http://schemas.openxmlformats.org/officeDocument/2006/relationships/hyperlink" Target="https://10.18.41.38:11100/omega/createHTMLFile.mis?__report=error_desc_main_stats_yearly.rptdesign&amp;__overwrite=true&amp;msg_type=%5B1%5D&amp;hour=%5B-%5D&amp;day=%5B2020-03-04%5D" TargetMode="External"/><Relationship Id="rId145" Type="http://schemas.openxmlformats.org/officeDocument/2006/relationships/hyperlink" Target="https://10.18.41.38:11100/omega/createHTMLFile.mis?__report=error_desc_main_stats_yearly.rptdesign&amp;__overwrite=true&amp;msg_type=%5B2%5D&amp;hour=%5B-%5D&amp;day=%5B2020-03-05%5D" TargetMode="External"/><Relationship Id="rId1" Type="http://schemas.openxmlformats.org/officeDocument/2006/relationships/hyperlink" Target="https://10.18.41.38:11100/omega/createHTMLFile.mis?__report=error_desc_main_stats_yearly.rptdesign&amp;__overwrite=true&amp;msg_type=%5B1%5D&amp;hour=%5B-%5D&amp;day=%5B2020-01-04%5D" TargetMode="External"/><Relationship Id="rId6" Type="http://schemas.openxmlformats.org/officeDocument/2006/relationships/hyperlink" Target="https://10.18.41.38:11100/omega/createHTMLFile.mis?__report=error_desc_main_stats_yearly.rptdesign&amp;__overwrite=true&amp;msg_type=%5B2%5D&amp;hour=%5B-%5D&amp;day=%5B2020-01-03%5D" TargetMode="External"/><Relationship Id="rId23" Type="http://schemas.openxmlformats.org/officeDocument/2006/relationships/hyperlink" Target="https://10.18.41.38:11100/omega/createHTMLFile.mis?__report=error_desc_main_stats_yearly.rptdesign&amp;__overwrite=true&amp;msg_type=%5B1%5D&amp;hour=%5B-%5D&amp;day=%5B2020-01-14%5D" TargetMode="External"/><Relationship Id="rId28" Type="http://schemas.openxmlformats.org/officeDocument/2006/relationships/hyperlink" Target="https://10.18.41.38:11100/omega/createHTMLFile.mis?__report=error_desc_main_stats_yearly.rptdesign&amp;__overwrite=true&amp;msg_type=%5B2%5D&amp;hour=%5B-%5D&amp;day=%5B2020-01-16%5D" TargetMode="External"/><Relationship Id="rId49" Type="http://schemas.openxmlformats.org/officeDocument/2006/relationships/hyperlink" Target="https://10.18.41.38:11100/omega/createHTMLFile.mis?__report=error_desc_main_stats_yearly.rptdesign&amp;__overwrite=true&amp;msg_type=%5B1%5D&amp;hour=%5B-%5D&amp;day=%5B2020-01-30%5D" TargetMode="External"/><Relationship Id="rId114" Type="http://schemas.openxmlformats.org/officeDocument/2006/relationships/hyperlink" Target="https://10.18.41.38:11100/omega/createHTMLFile.mis?__report=error_desc_main_stats_yearly.rptdesign&amp;__overwrite=true&amp;msg_type=%5B3%5D&amp;hour=%5B-%5D&amp;day=%5B2020-02-23%5D" TargetMode="External"/><Relationship Id="rId119" Type="http://schemas.openxmlformats.org/officeDocument/2006/relationships/hyperlink" Target="https://10.18.41.38:11100/omega/createHTMLFile.mis?__report=error_desc_main_stats_yearly.rptdesign&amp;__overwrite=true&amp;msg_type=%5B1%5D&amp;hour=%5B-%5D&amp;day=%5B2020-02-25%5D" TargetMode="External"/><Relationship Id="rId44" Type="http://schemas.openxmlformats.org/officeDocument/2006/relationships/hyperlink" Target="https://10.18.41.38:11100/omega/createHTMLFile.mis?__report=error_desc_main_stats_yearly.rptdesign&amp;__overwrite=true&amp;msg_type=%5B2%5D&amp;hour=%5B-%5D&amp;day=%5B2020-01-28%5D" TargetMode="External"/><Relationship Id="rId60" Type="http://schemas.openxmlformats.org/officeDocument/2006/relationships/hyperlink" Target="https://10.18.41.38:11100/omega/createHTMLFile.mis?__report=error_desc_main_stats_yearly.rptdesign&amp;__overwrite=true&amp;msg_type=%5B2%5D&amp;hour=%5B-%5D&amp;day=%5B2020-02-02%5D" TargetMode="External"/><Relationship Id="rId65" Type="http://schemas.openxmlformats.org/officeDocument/2006/relationships/hyperlink" Target="https://10.18.41.38:11100/omega/createHTMLFile.mis?__report=error_desc_main_stats_yearly.rptdesign&amp;__overwrite=true&amp;msg_type=%5B3%5D&amp;hour=%5B-%5D&amp;day=%5B2020-02-04%5D" TargetMode="External"/><Relationship Id="rId81" Type="http://schemas.openxmlformats.org/officeDocument/2006/relationships/hyperlink" Target="https://10.18.41.38:11100/omega/createHTMLFile.mis?__report=error_desc_main_stats_yearly.rptdesign&amp;__overwrite=true&amp;msg_type=%5B3%5D&amp;hour=%5B-%5D&amp;day=%5B2020-02-10%5D" TargetMode="External"/><Relationship Id="rId86" Type="http://schemas.openxmlformats.org/officeDocument/2006/relationships/hyperlink" Target="https://10.18.41.38:11100/omega/createHTMLFile.mis?__report=error_desc_main_stats_yearly.rptdesign&amp;__overwrite=true&amp;msg_type=%5B2%5D&amp;hour=%5B-%5D&amp;day=%5B2020-02-13%5D" TargetMode="External"/><Relationship Id="rId130" Type="http://schemas.openxmlformats.org/officeDocument/2006/relationships/hyperlink" Target="https://10.18.41.38:11100/omega/createHTMLFile.mis?__report=error_desc_main_stats_yearly.rptdesign&amp;__overwrite=true&amp;msg_type=%5B2%5D&amp;hour=%5B-%5D&amp;day=%5B2020-02-28%5D" TargetMode="External"/><Relationship Id="rId135" Type="http://schemas.openxmlformats.org/officeDocument/2006/relationships/hyperlink" Target="https://10.18.41.38:11100/omega/createHTMLFile.mis?__report=error_desc_main_stats_yearly.rptdesign&amp;__overwrite=true&amp;msg_type=%5B1%5D&amp;hour=%5B-%5D&amp;day=%5B2020-03-02%5D" TargetMode="External"/><Relationship Id="rId151" Type="http://schemas.openxmlformats.org/officeDocument/2006/relationships/hyperlink" Target="https://10.18.41.38:11100/omega/createHTMLFile.mis?__report=error_desc_main_stats_yearly.rptdesign&amp;__overwrite=true&amp;msg_type=%5B2%5D&amp;hour=%5B-%5D&amp;day=%5B2020-03-06%5D" TargetMode="External"/><Relationship Id="rId156" Type="http://schemas.openxmlformats.org/officeDocument/2006/relationships/hyperlink" Target="https://10.18.41.38:11100/omega/createHTMLFile.mis?__report=error_desc_main_stats_yearly.rptdesign&amp;__overwrite=true&amp;msg_type=%5B1%5D&amp;hour=%5B-%5D&amp;day=%5B2020-03-09%5D" TargetMode="External"/><Relationship Id="rId13" Type="http://schemas.openxmlformats.org/officeDocument/2006/relationships/hyperlink" Target="https://10.18.41.38:11100/omega/createHTMLFile.mis?__report=error_desc_main_stats_yearly.rptdesign&amp;__overwrite=true&amp;msg_type=%5B1%5D&amp;hour=%5B-%5D&amp;day=%5B2020-01-09%5D" TargetMode="External"/><Relationship Id="rId18" Type="http://schemas.openxmlformats.org/officeDocument/2006/relationships/hyperlink" Target="https://10.18.41.38:11100/omega/createHTMLFile.mis?__report=error_desc_main_stats_yearly.rptdesign&amp;__overwrite=true&amp;msg_type=%5B3%5D&amp;hour=%5B-%5D&amp;day=%5B2020-01-11%5D" TargetMode="External"/><Relationship Id="rId39" Type="http://schemas.openxmlformats.org/officeDocument/2006/relationships/hyperlink" Target="https://10.18.41.38:11100/omega/createHTMLFile.mis?__report=error_desc_main_stats_yearly.rptdesign&amp;__overwrite=true&amp;msg_type=%5B1%5D&amp;hour=%5B-%5D&amp;day=%5B2020-01-26%5D" TargetMode="External"/><Relationship Id="rId109" Type="http://schemas.openxmlformats.org/officeDocument/2006/relationships/hyperlink" Target="https://10.18.41.38:11100/omega/createHTMLFile.mis?__report=error_desc_main_stats_yearly.rptdesign&amp;__overwrite=true&amp;msg_type=%5B2%5D&amp;hour=%5B-%5D&amp;day=%5B2020-02-21%5D" TargetMode="External"/><Relationship Id="rId34" Type="http://schemas.openxmlformats.org/officeDocument/2006/relationships/hyperlink" Target="https://10.18.41.38:11100/omega/createHTMLFile.mis?__report=error_desc_main_stats_yearly.rptdesign&amp;__overwrite=true&amp;msg_type=%5B1%5D&amp;hour=%5B-%5D&amp;day=%5B2020-01-24%5D" TargetMode="External"/><Relationship Id="rId50" Type="http://schemas.openxmlformats.org/officeDocument/2006/relationships/hyperlink" Target="https://10.18.41.38:11100/omega/createHTMLFile.mis?__report=error_desc_main_stats_yearly.rptdesign&amp;__overwrite=true&amp;msg_type=%5B3%5D&amp;hour=%5B-%5D&amp;day=%5B2020-01-30%5D" TargetMode="External"/><Relationship Id="rId55" Type="http://schemas.openxmlformats.org/officeDocument/2006/relationships/hyperlink" Target="https://10.18.41.38:11100/omega/createHTMLFile.mis?__report=error_desc_main_stats_yearly.rptdesign&amp;__overwrite=true&amp;msg_type=%5B1%5D&amp;hour=%5B-%5D&amp;day=%5B2020-02-01%5D" TargetMode="External"/><Relationship Id="rId76" Type="http://schemas.openxmlformats.org/officeDocument/2006/relationships/hyperlink" Target="https://10.18.41.38:11100/omega/createHTMLFile.mis?__report=error_desc_main_stats_yearly.rptdesign&amp;__overwrite=true&amp;msg_type=%5B2%5D&amp;hour=%5B-%5D&amp;day=%5B2020-02-08%5D" TargetMode="External"/><Relationship Id="rId97" Type="http://schemas.openxmlformats.org/officeDocument/2006/relationships/hyperlink" Target="https://10.18.41.38:11100/omega/createHTMLFile.mis?__report=error_desc_main_stats_yearly.rptdesign&amp;__overwrite=true&amp;msg_type=%5B2%5D&amp;hour=%5B-%5D&amp;day=%5B2020-02-17%5D" TargetMode="External"/><Relationship Id="rId104" Type="http://schemas.openxmlformats.org/officeDocument/2006/relationships/hyperlink" Target="https://10.18.41.38:11100/omega/createHTMLFile.mis?__report=error_desc_main_stats_yearly.rptdesign&amp;__overwrite=true&amp;msg_type=%5B1%5D&amp;hour=%5B-%5D&amp;day=%5B2020-02-20%5D" TargetMode="External"/><Relationship Id="rId120" Type="http://schemas.openxmlformats.org/officeDocument/2006/relationships/hyperlink" Target="https://10.18.41.38:11100/omega/createHTMLFile.mis?__report=error_desc_main_stats_yearly.rptdesign&amp;__overwrite=true&amp;msg_type=%5B3%5D&amp;hour=%5B-%5D&amp;day=%5B2020-02-25%5D" TargetMode="External"/><Relationship Id="rId125" Type="http://schemas.openxmlformats.org/officeDocument/2006/relationships/hyperlink" Target="https://10.18.41.38:11100/omega/createHTMLFile.mis?__report=error_desc_main_stats_yearly.rptdesign&amp;__overwrite=true&amp;msg_type=%5B1%5D&amp;hour=%5B-%5D&amp;day=%5B2020-02-27%5D" TargetMode="External"/><Relationship Id="rId141" Type="http://schemas.openxmlformats.org/officeDocument/2006/relationships/hyperlink" Target="https://10.18.41.38:11100/omega/createHTMLFile.mis?__report=error_desc_main_stats_yearly.rptdesign&amp;__overwrite=true&amp;msg_type=%5B3%5D&amp;hour=%5B-%5D&amp;day=%5B2020-03-04%5D" TargetMode="External"/><Relationship Id="rId146" Type="http://schemas.openxmlformats.org/officeDocument/2006/relationships/hyperlink" Target="https://10.18.41.38:11100/omega/createHTMLFile.mis?__report=error_desc_main_stats_yearly.rptdesign&amp;__overwrite=true&amp;msg_type=%5B1%5D&amp;hour=%5B-%5D&amp;day=%5B2020-03-07%5D" TargetMode="External"/><Relationship Id="rId7" Type="http://schemas.openxmlformats.org/officeDocument/2006/relationships/hyperlink" Target="https://10.18.41.38:11100/omega/createHTMLFile.mis?__report=error_desc_main_stats_yearly.rptdesign&amp;__overwrite=true&amp;msg_type=%5B1%5D&amp;hour=%5B-%5D&amp;day=%5B2020-01-06%5D" TargetMode="External"/><Relationship Id="rId71" Type="http://schemas.openxmlformats.org/officeDocument/2006/relationships/hyperlink" Target="https://10.18.41.38:11100/omega/createHTMLFile.mis?__report=error_desc_main_stats_yearly.rptdesign&amp;__overwrite=true&amp;msg_type=%5B1%5D&amp;hour=%5B-%5D&amp;day=%5B2020-02-07%5D" TargetMode="External"/><Relationship Id="rId92" Type="http://schemas.openxmlformats.org/officeDocument/2006/relationships/hyperlink" Target="https://10.18.41.38:11100/omega/createHTMLFile.mis?__report=error_desc_main_stats_yearly.rptdesign&amp;__overwrite=true&amp;msg_type=%5B3%5D&amp;hour=%5B-%5D&amp;day=%5B2020-02-15%5D" TargetMode="External"/><Relationship Id="rId2" Type="http://schemas.openxmlformats.org/officeDocument/2006/relationships/hyperlink" Target="https://10.18.41.38:11100/omega/createHTMLFile.mis?__report=error_desc_main_stats_yearly.rptdesign&amp;__overwrite=true&amp;msg_type=%5B3%5D&amp;hour=%5B-%5D&amp;day=%5B2020-01-04%5D" TargetMode="External"/><Relationship Id="rId29" Type="http://schemas.openxmlformats.org/officeDocument/2006/relationships/hyperlink" Target="https://10.18.41.38:11100/omega/createHTMLFile.mis?__report=error_desc_main_stats_yearly.rptdesign&amp;__overwrite=true&amp;msg_type=%5B3%5D&amp;hour=%5B-%5D&amp;day=%5B2020-01-16%5D" TargetMode="External"/><Relationship Id="rId24" Type="http://schemas.openxmlformats.org/officeDocument/2006/relationships/hyperlink" Target="https://10.18.41.38:11100/omega/createHTMLFile.mis?__report=error_desc_main_stats_yearly.rptdesign&amp;__overwrite=true&amp;msg_type=%5B3%5D&amp;hour=%5B-%5D&amp;day=%5B2020-01-14%5D" TargetMode="External"/><Relationship Id="rId40" Type="http://schemas.openxmlformats.org/officeDocument/2006/relationships/hyperlink" Target="https://10.18.41.38:11100/omega/createHTMLFile.mis?__report=error_desc_main_stats_yearly.rptdesign&amp;__overwrite=true&amp;msg_type=%5B3%5D&amp;hour=%5B-%5D&amp;day=%5B2020-01-26%5D" TargetMode="External"/><Relationship Id="rId45" Type="http://schemas.openxmlformats.org/officeDocument/2006/relationships/hyperlink" Target="https://10.18.41.38:11100/omega/createHTMLFile.mis?__report=error_desc_main_stats_yearly.rptdesign&amp;__overwrite=true&amp;msg_type=%5B1%5D&amp;hour=%5B-%5D&amp;day=%5B2020-01-28%5D" TargetMode="External"/><Relationship Id="rId66" Type="http://schemas.openxmlformats.org/officeDocument/2006/relationships/hyperlink" Target="https://10.18.41.38:11100/omega/createHTMLFile.mis?__report=error_desc_main_stats_yearly.rptdesign&amp;__overwrite=true&amp;msg_type=%5B2%5D&amp;hour=%5B-%5D&amp;day=%5B2020-02-04%5D" TargetMode="External"/><Relationship Id="rId87" Type="http://schemas.openxmlformats.org/officeDocument/2006/relationships/hyperlink" Target="https://10.18.41.38:11100/omega/createHTMLFile.mis?__report=error_desc_main_stats_yearly.rptdesign&amp;__overwrite=true&amp;msg_type=%5B3%5D&amp;hour=%5B-%5D&amp;day=%5B2020-02-13%5D" TargetMode="External"/><Relationship Id="rId110" Type="http://schemas.openxmlformats.org/officeDocument/2006/relationships/hyperlink" Target="https://10.18.41.38:11100/omega/createHTMLFile.mis?__report=error_desc_main_stats_yearly.rptdesign&amp;__overwrite=true&amp;msg_type=%5B1%5D&amp;hour=%5B-%5D&amp;day=%5B2020-02-22%5D" TargetMode="External"/><Relationship Id="rId115" Type="http://schemas.openxmlformats.org/officeDocument/2006/relationships/hyperlink" Target="https://10.18.41.38:11100/omega/createHTMLFile.mis?__report=error_desc_main_stats_yearly.rptdesign&amp;__overwrite=true&amp;msg_type=%5B2%5D&amp;hour=%5B-%5D&amp;day=%5B2020-02-23%5D" TargetMode="External"/><Relationship Id="rId131" Type="http://schemas.openxmlformats.org/officeDocument/2006/relationships/hyperlink" Target="https://10.18.41.38:11100/omega/createHTMLFile.mis?__report=error_desc_main_stats_yearly.rptdesign&amp;__overwrite=true&amp;msg_type=%5B1%5D&amp;hour=%5B-%5D&amp;day=%5B2020-02-29%5D" TargetMode="External"/><Relationship Id="rId136" Type="http://schemas.openxmlformats.org/officeDocument/2006/relationships/hyperlink" Target="https://10.18.41.38:11100/omega/createHTMLFile.mis?__report=error_desc_main_stats_yearly.rptdesign&amp;__overwrite=true&amp;msg_type=%5B3%5D&amp;hour=%5B-%5D&amp;day=%5B2020-03-02%5D" TargetMode="External"/><Relationship Id="rId157" Type="http://schemas.openxmlformats.org/officeDocument/2006/relationships/hyperlink" Target="https://10.18.41.38:11100/omega/createHTMLFile.mis?__report=error_desc_main_stats_yearly.rptdesign&amp;__overwrite=true&amp;msg_type=%5B3%5D&amp;hour=%5B-%5D&amp;day=%5B2020-03-09%5D" TargetMode="External"/><Relationship Id="rId61" Type="http://schemas.openxmlformats.org/officeDocument/2006/relationships/hyperlink" Target="https://10.18.41.38:11100/omega/createHTMLFile.mis?__report=error_desc_main_stats_yearly.rptdesign&amp;__overwrite=true&amp;msg_type=%5B2%5D&amp;hour=%5B-%5D&amp;day=%5B2020-02-03%5D" TargetMode="External"/><Relationship Id="rId82" Type="http://schemas.openxmlformats.org/officeDocument/2006/relationships/hyperlink" Target="https://10.18.41.38:11100/omega/createHTMLFile.mis?__report=error_desc_main_stats_yearly.rptdesign&amp;__overwrite=true&amp;msg_type=%5B1%5D&amp;hour=%5B-%5D&amp;day=%5B2020-02-11%5D" TargetMode="External"/><Relationship Id="rId152" Type="http://schemas.openxmlformats.org/officeDocument/2006/relationships/hyperlink" Target="https://10.18.41.38:11100/omega/createHTMLFile.mis?__report=error_desc_main_stats_yearly.rptdesign&amp;__overwrite=true&amp;msg_type=%5B1%5D&amp;hour=%5B-%5D&amp;day=%5B2020-03-08%5D" TargetMode="External"/><Relationship Id="rId19" Type="http://schemas.openxmlformats.org/officeDocument/2006/relationships/hyperlink" Target="https://10.18.41.38:11100/omega/createHTMLFile.mis?__report=error_desc_main_stats_yearly.rptdesign&amp;__overwrite=true&amp;msg_type=%5B3%5D&amp;hour=%5B-%5D&amp;day=%5B2020-01-12%5D" TargetMode="External"/><Relationship Id="rId14" Type="http://schemas.openxmlformats.org/officeDocument/2006/relationships/hyperlink" Target="https://10.18.41.38:11100/omega/createHTMLFile.mis?__report=error_desc_main_stats_yearly.rptdesign&amp;__overwrite=true&amp;msg_type=%5B3%5D&amp;hour=%5B-%5D&amp;day=%5B2020-01-09%5D" TargetMode="External"/><Relationship Id="rId30" Type="http://schemas.openxmlformats.org/officeDocument/2006/relationships/hyperlink" Target="https://10.18.41.38:11100/omega/createHTMLFile.mis?__report=error_desc_main_stats_yearly.rptdesign&amp;__overwrite=true&amp;msg_type=%5B1%5D&amp;hour=%5B-%5D&amp;day=%5B2020-01-16%5D" TargetMode="External"/><Relationship Id="rId35" Type="http://schemas.openxmlformats.org/officeDocument/2006/relationships/hyperlink" Target="https://10.18.41.38:11100/omega/createHTMLFile.mis?__report=error_desc_main_stats_yearly.rptdesign&amp;__overwrite=true&amp;msg_type=%5B3%5D&amp;hour=%5B-%5D&amp;day=%5B2020-01-24%5D" TargetMode="External"/><Relationship Id="rId56" Type="http://schemas.openxmlformats.org/officeDocument/2006/relationships/hyperlink" Target="https://10.18.41.38:11100/omega/createHTMLFile.mis?__report=error_desc_main_stats_yearly.rptdesign&amp;__overwrite=true&amp;msg_type=%5B3%5D&amp;hour=%5B-%5D&amp;day=%5B2020-02-01%5D" TargetMode="External"/><Relationship Id="rId77" Type="http://schemas.openxmlformats.org/officeDocument/2006/relationships/hyperlink" Target="https://10.18.41.38:11100/omega/createHTMLFile.mis?__report=error_desc_main_stats_yearly.rptdesign&amp;__overwrite=true&amp;msg_type=%5B1%5D&amp;hour=%5B-%5D&amp;day=%5B2020-02-09%5D" TargetMode="External"/><Relationship Id="rId100" Type="http://schemas.openxmlformats.org/officeDocument/2006/relationships/hyperlink" Target="https://10.18.41.38:11100/omega/createHTMLFile.mis?__report=error_desc_main_stats_yearly.rptdesign&amp;__overwrite=true&amp;msg_type=%5B3%5D&amp;hour=%5B-%5D&amp;day=%5B2020-02-18%5D" TargetMode="External"/><Relationship Id="rId105" Type="http://schemas.openxmlformats.org/officeDocument/2006/relationships/hyperlink" Target="https://10.18.41.38:11100/omega/createHTMLFile.mis?__report=error_desc_main_stats_yearly.rptdesign&amp;__overwrite=true&amp;msg_type=%5B3%5D&amp;hour=%5B-%5D&amp;day=%5B2020-02-20%5D" TargetMode="External"/><Relationship Id="rId126" Type="http://schemas.openxmlformats.org/officeDocument/2006/relationships/hyperlink" Target="https://10.18.41.38:11100/omega/createHTMLFile.mis?__report=error_desc_main_stats_yearly.rptdesign&amp;__overwrite=true&amp;msg_type=%5B3%5D&amp;hour=%5B-%5D&amp;day=%5B2020-02-27%5D" TargetMode="External"/><Relationship Id="rId147" Type="http://schemas.openxmlformats.org/officeDocument/2006/relationships/hyperlink" Target="https://10.18.41.38:11100/omega/createHTMLFile.mis?__report=error_desc_main_stats_yearly.rptdesign&amp;__overwrite=true&amp;msg_type=%5B3%5D&amp;hour=%5B-%5D&amp;day=%5B2020-03-07%5D" TargetMode="External"/><Relationship Id="rId8" Type="http://schemas.openxmlformats.org/officeDocument/2006/relationships/hyperlink" Target="https://10.18.41.38:11100/omega/createHTMLFile.mis?__report=error_desc_main_stats_yearly.rptdesign&amp;__overwrite=true&amp;msg_type=%5B3%5D&amp;hour=%5B-%5D&amp;day=%5B2020-01-06%5D" TargetMode="External"/><Relationship Id="rId51" Type="http://schemas.openxmlformats.org/officeDocument/2006/relationships/hyperlink" Target="https://10.18.41.38:11100/omega/createHTMLFile.mis?__report=error_desc_main_stats_yearly.rptdesign&amp;__overwrite=true&amp;msg_type=%5B2%5D&amp;hour=%5B-%5D&amp;day=%5B2020-01-30%5D" TargetMode="External"/><Relationship Id="rId72" Type="http://schemas.openxmlformats.org/officeDocument/2006/relationships/hyperlink" Target="https://10.18.41.38:11100/omega/createHTMLFile.mis?__report=error_desc_main_stats_yearly.rptdesign&amp;__overwrite=true&amp;msg_type=%5B3%5D&amp;hour=%5B-%5D&amp;day=%5B2020-02-07%5D" TargetMode="External"/><Relationship Id="rId93" Type="http://schemas.openxmlformats.org/officeDocument/2006/relationships/hyperlink" Target="https://10.18.41.38:11100/omega/createHTMLFile.mis?__report=error_desc_main_stats_yearly.rptdesign&amp;__overwrite=true&amp;msg_type=%5B1%5D&amp;hour=%5B-%5D&amp;day=%5B2020-02-16%5D" TargetMode="External"/><Relationship Id="rId98" Type="http://schemas.openxmlformats.org/officeDocument/2006/relationships/hyperlink" Target="https://10.18.41.38:11100/omega/createHTMLFile.mis?__report=error_desc_main_stats_yearly.rptdesign&amp;__overwrite=true&amp;msg_type=%5B2%5D&amp;hour=%5B-%5D&amp;day=%5B2020-02-18%5D" TargetMode="External"/><Relationship Id="rId121" Type="http://schemas.openxmlformats.org/officeDocument/2006/relationships/hyperlink" Target="https://10.18.41.38:11100/omega/createHTMLFile.mis?__report=error_desc_main_stats_yearly.rptdesign&amp;__overwrite=true&amp;msg_type=%5B2%5D&amp;hour=%5B-%5D&amp;day=%5B2020-02-25%5D" TargetMode="External"/><Relationship Id="rId142" Type="http://schemas.openxmlformats.org/officeDocument/2006/relationships/hyperlink" Target="https://10.18.41.38:11100/omega/createHTMLFile.mis?__report=error_desc_main_stats_yearly.rptdesign&amp;__overwrite=true&amp;msg_type=%5B2%5D&amp;hour=%5B-%5D&amp;day=%5B2020-03-04%5D" TargetMode="External"/><Relationship Id="rId3" Type="http://schemas.openxmlformats.org/officeDocument/2006/relationships/hyperlink" Target="https://10.18.41.38:11100/omega/createHTMLFile.mis?__report=error_desc_main_stats_yearly.rptdesign&amp;__overwrite=true&amp;msg_type=%5B2%5D&amp;hour=%5B-%5D&amp;day=%5B2020-01-04%5D" TargetMode="External"/><Relationship Id="rId25" Type="http://schemas.openxmlformats.org/officeDocument/2006/relationships/hyperlink" Target="https://10.18.41.38:11100/omega/createHTMLFile.mis?__report=error_desc_main_stats_yearly.rptdesign&amp;__overwrite=true&amp;msg_type=%5B1%5D&amp;hour=%5B-%5D&amp;day=%5B2020-01-15%5D" TargetMode="External"/><Relationship Id="rId46" Type="http://schemas.openxmlformats.org/officeDocument/2006/relationships/hyperlink" Target="https://10.18.41.38:11100/omega/createHTMLFile.mis?__report=error_desc_main_stats_yearly.rptdesign&amp;__overwrite=true&amp;msg_type=%5B3%5D&amp;hour=%5B-%5D&amp;day=%5B2020-01-28%5D" TargetMode="External"/><Relationship Id="rId67" Type="http://schemas.openxmlformats.org/officeDocument/2006/relationships/hyperlink" Target="https://10.18.41.38:11100/omega/createHTMLFile.mis?__report=error_desc_main_stats_yearly.rptdesign&amp;__overwrite=true&amp;msg_type=%5B1%5D&amp;hour=%5B-%5D&amp;day=%5B2020-02-05%5D" TargetMode="External"/><Relationship Id="rId116" Type="http://schemas.openxmlformats.org/officeDocument/2006/relationships/hyperlink" Target="https://10.18.41.38:11100/omega/createHTMLFile.mis?__report=error_desc_main_stats_yearly.rptdesign&amp;__overwrite=true&amp;msg_type=%5B1%5D&amp;hour=%5B-%5D&amp;day=%5B2020-02-24%5D" TargetMode="External"/><Relationship Id="rId137" Type="http://schemas.openxmlformats.org/officeDocument/2006/relationships/hyperlink" Target="https://10.18.41.38:11100/omega/createHTMLFile.mis?__report=error_desc_main_stats_yearly.rptdesign&amp;__overwrite=true&amp;msg_type=%5B1%5D&amp;hour=%5B-%5D&amp;day=%5B2020-03-03%5D" TargetMode="External"/><Relationship Id="rId158" Type="http://schemas.openxmlformats.org/officeDocument/2006/relationships/hyperlink" Target="https://10.18.41.38:11100/omega/createHTMLFile.mis?__report=error_desc_main_stats_yearly.rptdesign&amp;__overwrite=true&amp;msg_type=%5B2%5D&amp;hour=%5B-%5D&amp;day=%5B2020-03-09%5D" TargetMode="External"/><Relationship Id="rId20" Type="http://schemas.openxmlformats.org/officeDocument/2006/relationships/hyperlink" Target="https://10.18.41.38:11100/omega/createHTMLFile.mis?__report=error_desc_main_stats_yearly.rptdesign&amp;__overwrite=true&amp;msg_type=%5B1%5D&amp;hour=%5B-%5D&amp;day=%5B2020-01-12%5D" TargetMode="External"/><Relationship Id="rId41" Type="http://schemas.openxmlformats.org/officeDocument/2006/relationships/hyperlink" Target="https://10.18.41.38:11100/omega/createHTMLFile.mis?__report=error_desc_main_stats_yearly.rptdesign&amp;__overwrite=true&amp;msg_type=%5B3%5D&amp;hour=%5B-%5D&amp;day=%5B2020-01-27%5D" TargetMode="External"/><Relationship Id="rId62" Type="http://schemas.openxmlformats.org/officeDocument/2006/relationships/hyperlink" Target="https://10.18.41.38:11100/omega/createHTMLFile.mis?__report=error_desc_main_stats_yearly.rptdesign&amp;__overwrite=true&amp;msg_type=%5B1%5D&amp;hour=%5B-%5D&amp;day=%5B2020-02-03%5D" TargetMode="External"/><Relationship Id="rId83" Type="http://schemas.openxmlformats.org/officeDocument/2006/relationships/hyperlink" Target="https://10.18.41.38:11100/omega/createHTMLFile.mis?__report=error_desc_main_stats_yearly.rptdesign&amp;__overwrite=true&amp;msg_type=%5B3%5D&amp;hour=%5B-%5D&amp;day=%5B2020-02-11%5D" TargetMode="External"/><Relationship Id="rId88" Type="http://schemas.openxmlformats.org/officeDocument/2006/relationships/hyperlink" Target="https://10.18.41.38:11100/omega/createHTMLFile.mis?__report=error_desc_main_stats_yearly.rptdesign&amp;__overwrite=true&amp;msg_type=%5B1%5D&amp;hour=%5B-%5D&amp;day=%5B2020-02-13%5D" TargetMode="External"/><Relationship Id="rId111" Type="http://schemas.openxmlformats.org/officeDocument/2006/relationships/hyperlink" Target="https://10.18.41.38:11100/omega/createHTMLFile.mis?__report=error_desc_main_stats_yearly.rptdesign&amp;__overwrite=true&amp;msg_type=%5B3%5D&amp;hour=%5B-%5D&amp;day=%5B2020-02-22%5D" TargetMode="External"/><Relationship Id="rId132" Type="http://schemas.openxmlformats.org/officeDocument/2006/relationships/hyperlink" Target="https://10.18.41.38:11100/omega/createHTMLFile.mis?__report=error_desc_main_stats_yearly.rptdesign&amp;__overwrite=true&amp;msg_type=%5B3%5D&amp;hour=%5B-%5D&amp;day=%5B2020-02-29%5D" TargetMode="External"/><Relationship Id="rId153" Type="http://schemas.openxmlformats.org/officeDocument/2006/relationships/hyperlink" Target="https://10.18.41.38:11100/omega/createHTMLFile.mis?__report=error_desc_main_stats_yearly.rptdesign&amp;__overwrite=true&amp;msg_type=%5B3%5D&amp;hour=%5B-%5D&amp;day=%5B2020-03-08%5D" TargetMode="External"/><Relationship Id="rId15" Type="http://schemas.openxmlformats.org/officeDocument/2006/relationships/hyperlink" Target="https://10.18.41.38:11100/omega/createHTMLFile.mis?__report=error_desc_main_stats_yearly.rptdesign&amp;__overwrite=true&amp;msg_type=%5B1%5D&amp;hour=%5B-%5D&amp;day=%5B2020-01-10%5D" TargetMode="External"/><Relationship Id="rId36" Type="http://schemas.openxmlformats.org/officeDocument/2006/relationships/hyperlink" Target="https://10.18.41.38:11100/omega/createHTMLFile.mis?__report=error_desc_main_stats_yearly.rptdesign&amp;__overwrite=true&amp;msg_type=%5B1%5D&amp;hour=%5B-%5D&amp;day=%5B2020-01-25%5D" TargetMode="External"/><Relationship Id="rId57" Type="http://schemas.openxmlformats.org/officeDocument/2006/relationships/hyperlink" Target="https://10.18.41.38:11100/omega/createHTMLFile.mis?__report=error_desc_main_stats_yearly.rptdesign&amp;__overwrite=true&amp;msg_type=%5B2%5D&amp;hour=%5B-%5D&amp;day=%5B2020-02-01%5D" TargetMode="External"/><Relationship Id="rId106" Type="http://schemas.openxmlformats.org/officeDocument/2006/relationships/hyperlink" Target="https://10.18.41.38:11100/omega/createHTMLFile.mis?__report=error_desc_main_stats_yearly.rptdesign&amp;__overwrite=true&amp;msg_type=%5B2%5D&amp;hour=%5B-%5D&amp;day=%5B2020-02-20%5D" TargetMode="External"/><Relationship Id="rId127" Type="http://schemas.openxmlformats.org/officeDocument/2006/relationships/hyperlink" Target="https://10.18.41.38:11100/omega/createHTMLFile.mis?__report=error_desc_main_stats_yearly.rptdesign&amp;__overwrite=true&amp;msg_type=%5B2%5D&amp;hour=%5B-%5D&amp;day=%5B2020-02-27%5D" TargetMode="External"/><Relationship Id="rId10" Type="http://schemas.openxmlformats.org/officeDocument/2006/relationships/hyperlink" Target="https://10.18.41.38:11100/omega/createHTMLFile.mis?__report=error_desc_main_stats_yearly.rptdesign&amp;__overwrite=true&amp;msg_type=%5B3%5D&amp;hour=%5B-%5D&amp;day=%5B2020-01-07%5D" TargetMode="External"/><Relationship Id="rId31" Type="http://schemas.openxmlformats.org/officeDocument/2006/relationships/hyperlink" Target="https://10.18.41.38:11100/omega/createHTMLFile.mis?__report=error_desc_main_stats_yearly.rptdesign&amp;__overwrite=true&amp;msg_type=%5B2%5D&amp;hour=%5B-%5D&amp;day=%5B2020-01-20%5D" TargetMode="External"/><Relationship Id="rId52" Type="http://schemas.openxmlformats.org/officeDocument/2006/relationships/hyperlink" Target="https://10.18.41.38:11100/omega/createHTMLFile.mis?__report=error_desc_main_stats_yearly.rptdesign&amp;__overwrite=true&amp;msg_type=%5B1%5D&amp;hour=%5B-%5D&amp;day=%5B2020-01-31%5D" TargetMode="External"/><Relationship Id="rId73" Type="http://schemas.openxmlformats.org/officeDocument/2006/relationships/hyperlink" Target="https://10.18.41.38:11100/omega/createHTMLFile.mis?__report=error_desc_main_stats_yearly.rptdesign&amp;__overwrite=true&amp;msg_type=%5B2%5D&amp;hour=%5B-%5D&amp;day=%5B2020-02-07%5D" TargetMode="External"/><Relationship Id="rId78" Type="http://schemas.openxmlformats.org/officeDocument/2006/relationships/hyperlink" Target="https://10.18.41.38:11100/omega/createHTMLFile.mis?__report=error_desc_main_stats_yearly.rptdesign&amp;__overwrite=true&amp;msg_type=%5B3%5D&amp;hour=%5B-%5D&amp;day=%5B2020-02-09%5D" TargetMode="External"/><Relationship Id="rId94" Type="http://schemas.openxmlformats.org/officeDocument/2006/relationships/hyperlink" Target="https://10.18.41.38:11100/omega/createHTMLFile.mis?__report=error_desc_main_stats_yearly.rptdesign&amp;__overwrite=true&amp;msg_type=%5B3%5D&amp;hour=%5B-%5D&amp;day=%5B2020-02-16%5D" TargetMode="External"/><Relationship Id="rId99" Type="http://schemas.openxmlformats.org/officeDocument/2006/relationships/hyperlink" Target="https://10.18.41.38:11100/omega/createHTMLFile.mis?__report=error_desc_main_stats_yearly.rptdesign&amp;__overwrite=true&amp;msg_type=%5B1%5D&amp;hour=%5B-%5D&amp;day=%5B2020-02-18%5D" TargetMode="External"/><Relationship Id="rId101" Type="http://schemas.openxmlformats.org/officeDocument/2006/relationships/hyperlink" Target="https://10.18.41.38:11100/omega/createHTMLFile.mis?__report=error_desc_main_stats_yearly.rptdesign&amp;__overwrite=true&amp;msg_type=%5B2%5D&amp;hour=%5B-%5D&amp;day=%5B2020-02-19%5D" TargetMode="External"/><Relationship Id="rId122" Type="http://schemas.openxmlformats.org/officeDocument/2006/relationships/hyperlink" Target="https://10.18.41.38:11100/omega/createHTMLFile.mis?__report=error_desc_main_stats_yearly.rptdesign&amp;__overwrite=true&amp;msg_type=%5B1%5D&amp;hour=%5B-%5D&amp;day=%5B2020-02-26%5D" TargetMode="External"/><Relationship Id="rId143" Type="http://schemas.openxmlformats.org/officeDocument/2006/relationships/hyperlink" Target="https://10.18.41.38:11100/omega/createHTMLFile.mis?__report=error_desc_main_stats_yearly.rptdesign&amp;__overwrite=true&amp;msg_type=%5B1%5D&amp;hour=%5B-%5D&amp;day=%5B2020-03-05%5D" TargetMode="External"/><Relationship Id="rId148" Type="http://schemas.openxmlformats.org/officeDocument/2006/relationships/hyperlink" Target="https://10.18.41.38:11100/omega/createHTMLFile.mis?__report=error_desc_main_stats_yearly.rptdesign&amp;__overwrite=true&amp;msg_type=%5B2%5D&amp;hour=%5B-%5D&amp;day=%5B2020-03-07%5D" TargetMode="External"/><Relationship Id="rId4" Type="http://schemas.openxmlformats.org/officeDocument/2006/relationships/hyperlink" Target="https://10.18.41.38:11100/omega/createHTMLFile.mis?__report=error_desc_main_stats_yearly.rptdesign&amp;__overwrite=true&amp;msg_type=%5B1%5D&amp;hour=%5B-%5D&amp;day=%5B2020-01-03%5D" TargetMode="External"/><Relationship Id="rId9" Type="http://schemas.openxmlformats.org/officeDocument/2006/relationships/hyperlink" Target="https://10.18.41.38:11100/omega/createHTMLFile.mis?__report=error_desc_main_stats_yearly.rptdesign&amp;__overwrite=true&amp;msg_type=%5B1%5D&amp;hour=%5B-%5D&amp;day=%5B2020-01-07%5D" TargetMode="External"/><Relationship Id="rId26" Type="http://schemas.openxmlformats.org/officeDocument/2006/relationships/hyperlink" Target="https://10.18.41.38:11100/omega/createHTMLFile.mis?__report=error_desc_main_stats_yearly.rptdesign&amp;__overwrite=true&amp;msg_type=%5B3%5D&amp;hour=%5B-%5D&amp;day=%5B2020-01-15%5D" TargetMode="External"/><Relationship Id="rId47" Type="http://schemas.openxmlformats.org/officeDocument/2006/relationships/hyperlink" Target="https://10.18.41.38:11100/omega/createHTMLFile.mis?__report=error_desc_main_stats_yearly.rptdesign&amp;__overwrite=true&amp;msg_type=%5B1%5D&amp;hour=%5B-%5D&amp;day=%5B2020-01-29%5D" TargetMode="External"/><Relationship Id="rId68" Type="http://schemas.openxmlformats.org/officeDocument/2006/relationships/hyperlink" Target="https://10.18.41.38:11100/omega/createHTMLFile.mis?__report=error_desc_main_stats_yearly.rptdesign&amp;__overwrite=true&amp;msg_type=%5B3%5D&amp;hour=%5B-%5D&amp;day=%5B2020-02-05%5D" TargetMode="External"/><Relationship Id="rId89" Type="http://schemas.openxmlformats.org/officeDocument/2006/relationships/hyperlink" Target="https://10.18.41.38:11100/omega/createHTMLFile.mis?__report=error_desc_main_stats_yearly.rptdesign&amp;__overwrite=true&amp;msg_type=%5B1%5D&amp;hour=%5B-%5D&amp;day=%5B2020-02-14%5D" TargetMode="External"/><Relationship Id="rId112" Type="http://schemas.openxmlformats.org/officeDocument/2006/relationships/hyperlink" Target="https://10.18.41.38:11100/omega/createHTMLFile.mis?__report=error_desc_main_stats_yearly.rptdesign&amp;__overwrite=true&amp;msg_type=%5B2%5D&amp;hour=%5B-%5D&amp;day=%5B2020-02-22%5D" TargetMode="External"/><Relationship Id="rId133" Type="http://schemas.openxmlformats.org/officeDocument/2006/relationships/hyperlink" Target="https://10.18.41.38:11100/omega/createHTMLFile.mis?__report=error_desc_main_stats_yearly.rptdesign&amp;__overwrite=true&amp;msg_type=%5B2%5D&amp;hour=%5B-%5D&amp;day=%5B2020-03-01%5D" TargetMode="External"/><Relationship Id="rId154" Type="http://schemas.openxmlformats.org/officeDocument/2006/relationships/hyperlink" Target="https://10.18.41.38:11100/omega/createHTMLFile.mis?__report=error_desc_main_stats_yearly.rptdesign&amp;__overwrite=true&amp;msg_type=%5B1%5D&amp;hour=%5B-%5D&amp;day=%5B2020-03-01%5D" TargetMode="External"/><Relationship Id="rId16" Type="http://schemas.openxmlformats.org/officeDocument/2006/relationships/hyperlink" Target="https://10.18.41.38:11100/omega/createHTMLFile.mis?__report=error_desc_main_stats_yearly.rptdesign&amp;__overwrite=true&amp;msg_type=%5B3%5D&amp;hour=%5B-%5D&amp;day=%5B2020-01-10%5D" TargetMode="External"/><Relationship Id="rId37" Type="http://schemas.openxmlformats.org/officeDocument/2006/relationships/hyperlink" Target="https://10.18.41.38:11100/omega/createHTMLFile.mis?__report=error_desc_main_stats_yearly.rptdesign&amp;__overwrite=true&amp;msg_type=%5B3%5D&amp;hour=%5B-%5D&amp;day=%5B2020-01-25%5D" TargetMode="External"/><Relationship Id="rId58" Type="http://schemas.openxmlformats.org/officeDocument/2006/relationships/hyperlink" Target="https://10.18.41.38:11100/omega/createHTMLFile.mis?__report=error_desc_main_stats_yearly.rptdesign&amp;__overwrite=true&amp;msg_type=%5B1%5D&amp;hour=%5B-%5D&amp;day=%5B2020-02-02%5D" TargetMode="External"/><Relationship Id="rId79" Type="http://schemas.openxmlformats.org/officeDocument/2006/relationships/hyperlink" Target="https://10.18.41.38:11100/omega/createHTMLFile.mis?__report=error_desc_main_stats_yearly.rptdesign&amp;__overwrite=true&amp;msg_type=%5B2%5D&amp;hour=%5B-%5D&amp;day=%5B2020-02-09%5D" TargetMode="External"/><Relationship Id="rId102" Type="http://schemas.openxmlformats.org/officeDocument/2006/relationships/hyperlink" Target="https://10.18.41.38:11100/omega/createHTMLFile.mis?__report=error_desc_main_stats_yearly.rptdesign&amp;__overwrite=true&amp;msg_type=%5B1%5D&amp;hour=%5B-%5D&amp;day=%5B2020-02-19%5D" TargetMode="External"/><Relationship Id="rId123" Type="http://schemas.openxmlformats.org/officeDocument/2006/relationships/hyperlink" Target="https://10.18.41.38:11100/omega/createHTMLFile.mis?__report=error_desc_main_stats_yearly.rptdesign&amp;__overwrite=true&amp;msg_type=%5B3%5D&amp;hour=%5B-%5D&amp;day=%5B2020-02-26%5D" TargetMode="External"/><Relationship Id="rId144" Type="http://schemas.openxmlformats.org/officeDocument/2006/relationships/hyperlink" Target="https://10.18.41.38:11100/omega/createHTMLFile.mis?__report=error_desc_main_stats_yearly.rptdesign&amp;__overwrite=true&amp;msg_type=%5B3%5D&amp;hour=%5B-%5D&amp;day=%5B2020-03-05%5D" TargetMode="External"/><Relationship Id="rId90" Type="http://schemas.openxmlformats.org/officeDocument/2006/relationships/hyperlink" Target="https://10.18.41.38:11100/omega/createHTMLFile.mis?__report=error_desc_main_stats_yearly.rptdesign&amp;__overwrite=true&amp;msg_type=%5B3%5D&amp;hour=%5B-%5D&amp;day=%5B2020-02-14%5D" TargetMode="External"/><Relationship Id="rId27" Type="http://schemas.openxmlformats.org/officeDocument/2006/relationships/hyperlink" Target="https://10.18.41.38:11100/omega/createHTMLFile.mis?__report=error_desc_main_stats_yearly.rptdesign&amp;__overwrite=true&amp;msg_type=%5B2%5D&amp;hour=%5B-%5D&amp;day=%5B2020-01-15%5D" TargetMode="External"/><Relationship Id="rId48" Type="http://schemas.openxmlformats.org/officeDocument/2006/relationships/hyperlink" Target="https://10.18.41.38:11100/omega/createHTMLFile.mis?__report=error_desc_main_stats_yearly.rptdesign&amp;__overwrite=true&amp;msg_type=%5B3%5D&amp;hour=%5B-%5D&amp;day=%5B2020-01-29%5D" TargetMode="External"/><Relationship Id="rId69" Type="http://schemas.openxmlformats.org/officeDocument/2006/relationships/hyperlink" Target="https://10.18.41.38:11100/omega/createHTMLFile.mis?__report=error_desc_main_stats_yearly.rptdesign&amp;__overwrite=true&amp;msg_type=%5B2%5D&amp;hour=%5B-%5D&amp;day=%5B2020-02-05%5D" TargetMode="External"/><Relationship Id="rId113" Type="http://schemas.openxmlformats.org/officeDocument/2006/relationships/hyperlink" Target="https://10.18.41.38:11100/omega/createHTMLFile.mis?__report=error_desc_main_stats_yearly.rptdesign&amp;__overwrite=true&amp;msg_type=%5B1%5D&amp;hour=%5B-%5D&amp;day=%5B2020-02-23%5D" TargetMode="External"/><Relationship Id="rId134" Type="http://schemas.openxmlformats.org/officeDocument/2006/relationships/hyperlink" Target="https://10.18.41.38:11100/omega/createHTMLFile.mis?__report=error_desc_main_stats_yearly.rptdesign&amp;__overwrite=true&amp;msg_type=%5B2%5D&amp;hour=%5B-%5D&amp;day=%5B2020-03-02%5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Q563"/>
  <sheetViews>
    <sheetView topLeftCell="B1" zoomScale="80" zoomScaleNormal="80" zoomScaleSheetLayoutView="50" workbookViewId="0">
      <selection activeCell="I23" sqref="I23"/>
    </sheetView>
  </sheetViews>
  <sheetFormatPr defaultColWidth="9.140625" defaultRowHeight="15" x14ac:dyDescent="0.25"/>
  <cols>
    <col min="1" max="1" width="2" customWidth="1"/>
    <col min="2" max="2" width="20" bestFit="1" customWidth="1"/>
    <col min="3" max="3" width="22" customWidth="1"/>
    <col min="4" max="4" width="16.42578125" customWidth="1"/>
    <col min="5" max="5" width="15.42578125" bestFit="1" customWidth="1"/>
    <col min="6" max="6" width="23.7109375" bestFit="1" customWidth="1"/>
    <col min="7" max="7" width="15" bestFit="1" customWidth="1"/>
    <col min="8" max="8" width="15.7109375" bestFit="1" customWidth="1"/>
    <col min="9" max="9" width="20.5703125" bestFit="1" customWidth="1"/>
    <col min="10" max="10" width="17.85546875" bestFit="1" customWidth="1"/>
    <col min="11" max="11" width="16.7109375" bestFit="1" customWidth="1"/>
    <col min="12" max="12" width="20" bestFit="1" customWidth="1"/>
    <col min="13" max="13" width="12.140625" bestFit="1" customWidth="1"/>
    <col min="14" max="14" width="17.85546875" bestFit="1" customWidth="1"/>
    <col min="16" max="16" width="10.5703125" bestFit="1" customWidth="1"/>
    <col min="17" max="17" width="10" bestFit="1" customWidth="1"/>
    <col min="18" max="18" width="12.42578125" bestFit="1" customWidth="1"/>
    <col min="19" max="19" width="12" bestFit="1" customWidth="1"/>
    <col min="20" max="20" width="17.7109375" bestFit="1" customWidth="1"/>
    <col min="21" max="21" width="10.140625" bestFit="1" customWidth="1"/>
    <col min="22" max="22" width="12.7109375" bestFit="1" customWidth="1"/>
    <col min="23" max="23" width="12.140625" bestFit="1" customWidth="1"/>
    <col min="24" max="24" width="17.85546875" bestFit="1" customWidth="1"/>
    <col min="25" max="25" width="10.140625" bestFit="1" customWidth="1"/>
    <col min="26" max="26" width="12.7109375" bestFit="1" customWidth="1"/>
    <col min="27" max="27" width="12.140625" bestFit="1" customWidth="1"/>
    <col min="28" max="28" width="17.85546875" bestFit="1" customWidth="1"/>
  </cols>
  <sheetData>
    <row r="1" spans="2:14" ht="15" customHeight="1" x14ac:dyDescent="0.25">
      <c r="B1" s="348" t="s">
        <v>302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50"/>
    </row>
    <row r="2" spans="2:14" ht="15" customHeight="1" x14ac:dyDescent="0.25">
      <c r="B2" s="351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3"/>
    </row>
    <row r="3" spans="2:14" ht="15.75" thickBot="1" x14ac:dyDescent="0.3">
      <c r="B3" s="354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6"/>
    </row>
    <row r="4" spans="2:14" ht="15.75" thickBot="1" x14ac:dyDescent="0.3">
      <c r="B4" s="357" t="s">
        <v>25</v>
      </c>
      <c r="C4" s="358"/>
      <c r="D4" s="358"/>
      <c r="E4" s="358"/>
      <c r="F4" s="358"/>
      <c r="G4" s="357" t="s">
        <v>26</v>
      </c>
      <c r="H4" s="358"/>
      <c r="I4" s="358"/>
      <c r="J4" s="358"/>
      <c r="K4" s="358"/>
      <c r="L4" s="358"/>
      <c r="M4" s="358"/>
      <c r="N4" s="359"/>
    </row>
    <row r="5" spans="2:14" ht="15.75" thickBot="1" x14ac:dyDescent="0.3">
      <c r="B5" s="22" t="s">
        <v>0</v>
      </c>
      <c r="C5" s="23" t="s">
        <v>1</v>
      </c>
      <c r="D5" s="23" t="s">
        <v>2</v>
      </c>
      <c r="E5" s="24" t="s">
        <v>3</v>
      </c>
      <c r="F5" s="29" t="s">
        <v>40</v>
      </c>
      <c r="G5" s="105" t="s">
        <v>23</v>
      </c>
      <c r="H5" s="148" t="s">
        <v>61</v>
      </c>
      <c r="I5" s="148" t="s">
        <v>44</v>
      </c>
      <c r="J5" s="148" t="s">
        <v>45</v>
      </c>
      <c r="K5" s="148" t="s">
        <v>47</v>
      </c>
      <c r="L5" s="149" t="s">
        <v>46</v>
      </c>
      <c r="M5" s="366" t="s">
        <v>40</v>
      </c>
      <c r="N5" s="367"/>
    </row>
    <row r="6" spans="2:14" x14ac:dyDescent="0.25">
      <c r="B6" s="19" t="s">
        <v>4</v>
      </c>
      <c r="C6" s="20" t="s">
        <v>12</v>
      </c>
      <c r="D6" s="20" t="s">
        <v>12</v>
      </c>
      <c r="E6" s="21" t="s">
        <v>12</v>
      </c>
      <c r="F6" s="180" t="s">
        <v>12</v>
      </c>
      <c r="G6" s="174">
        <v>45509</v>
      </c>
      <c r="H6" s="2" t="s">
        <v>76</v>
      </c>
      <c r="I6" s="2">
        <v>99.97</v>
      </c>
      <c r="J6" s="2">
        <v>100</v>
      </c>
      <c r="K6" s="2">
        <v>100</v>
      </c>
      <c r="L6" s="2">
        <v>99.97</v>
      </c>
      <c r="M6" s="360"/>
      <c r="N6" s="360"/>
    </row>
    <row r="7" spans="2:14" x14ac:dyDescent="0.25">
      <c r="B7" s="19" t="s">
        <v>5</v>
      </c>
      <c r="C7" s="20" t="s">
        <v>12</v>
      </c>
      <c r="D7" s="20" t="s">
        <v>12</v>
      </c>
      <c r="E7" s="21" t="s">
        <v>12</v>
      </c>
      <c r="F7" s="180" t="s">
        <v>12</v>
      </c>
      <c r="G7" s="174">
        <v>45510</v>
      </c>
      <c r="H7" s="2" t="s">
        <v>76</v>
      </c>
      <c r="I7" s="2">
        <v>99.96</v>
      </c>
      <c r="J7" s="2">
        <v>100</v>
      </c>
      <c r="K7" s="2">
        <v>100</v>
      </c>
      <c r="L7" s="2">
        <v>99.97</v>
      </c>
      <c r="M7" s="360"/>
      <c r="N7" s="360"/>
    </row>
    <row r="8" spans="2:14" x14ac:dyDescent="0.25">
      <c r="B8" s="19" t="s">
        <v>6</v>
      </c>
      <c r="C8" s="20" t="s">
        <v>12</v>
      </c>
      <c r="D8" s="20" t="s">
        <v>12</v>
      </c>
      <c r="E8" s="21" t="s">
        <v>12</v>
      </c>
      <c r="F8" s="180" t="s">
        <v>12</v>
      </c>
      <c r="G8" s="174">
        <v>45511</v>
      </c>
      <c r="H8" s="2" t="s">
        <v>76</v>
      </c>
      <c r="I8" s="2">
        <v>99.96</v>
      </c>
      <c r="J8" s="2">
        <v>99.95</v>
      </c>
      <c r="K8" s="2">
        <v>99.99</v>
      </c>
      <c r="L8" s="2">
        <v>99.97</v>
      </c>
      <c r="M8" s="360"/>
      <c r="N8" s="360"/>
    </row>
    <row r="9" spans="2:14" x14ac:dyDescent="0.25">
      <c r="B9" s="4" t="s">
        <v>7</v>
      </c>
      <c r="C9" s="5" t="s">
        <v>12</v>
      </c>
      <c r="D9" s="5" t="s">
        <v>12</v>
      </c>
      <c r="E9" s="9" t="s">
        <v>12</v>
      </c>
      <c r="F9" s="180" t="s">
        <v>12</v>
      </c>
      <c r="G9" s="174">
        <v>45512</v>
      </c>
      <c r="H9" s="2" t="s">
        <v>76</v>
      </c>
      <c r="I9" s="2">
        <v>99.96</v>
      </c>
      <c r="J9" s="2">
        <v>100</v>
      </c>
      <c r="K9" s="2">
        <v>100</v>
      </c>
      <c r="L9" s="2">
        <v>99.97</v>
      </c>
      <c r="M9" s="360"/>
      <c r="N9" s="360"/>
    </row>
    <row r="10" spans="2:14" x14ac:dyDescent="0.25">
      <c r="B10" s="4" t="s">
        <v>8</v>
      </c>
      <c r="C10" s="5" t="s">
        <v>12</v>
      </c>
      <c r="D10" s="5" t="s">
        <v>12</v>
      </c>
      <c r="E10" s="9" t="s">
        <v>12</v>
      </c>
      <c r="F10" s="180" t="s">
        <v>12</v>
      </c>
      <c r="G10" s="174">
        <v>45513</v>
      </c>
      <c r="H10" s="2" t="s">
        <v>76</v>
      </c>
      <c r="I10" s="2">
        <v>99.76</v>
      </c>
      <c r="J10" s="2">
        <v>100</v>
      </c>
      <c r="K10" s="2">
        <v>100</v>
      </c>
      <c r="L10" s="2">
        <v>99.97</v>
      </c>
      <c r="M10" s="360"/>
      <c r="N10" s="360"/>
    </row>
    <row r="11" spans="2:14" x14ac:dyDescent="0.25">
      <c r="B11" s="19" t="s">
        <v>9</v>
      </c>
      <c r="C11" s="20" t="s">
        <v>12</v>
      </c>
      <c r="D11" s="20" t="s">
        <v>12</v>
      </c>
      <c r="E11" s="21" t="s">
        <v>12</v>
      </c>
      <c r="F11" s="180" t="s">
        <v>12</v>
      </c>
      <c r="G11" s="174">
        <v>45514</v>
      </c>
      <c r="H11" s="2" t="s">
        <v>76</v>
      </c>
      <c r="I11" s="2">
        <v>99.16</v>
      </c>
      <c r="J11" s="2">
        <v>100</v>
      </c>
      <c r="K11" s="2">
        <v>99.96</v>
      </c>
      <c r="L11" s="2">
        <v>99.97</v>
      </c>
      <c r="M11" s="360"/>
      <c r="N11" s="360"/>
    </row>
    <row r="12" spans="2:14" x14ac:dyDescent="0.25">
      <c r="B12" s="4" t="s">
        <v>10</v>
      </c>
      <c r="C12" s="5" t="s">
        <v>12</v>
      </c>
      <c r="D12" s="5" t="s">
        <v>12</v>
      </c>
      <c r="E12" s="9" t="s">
        <v>12</v>
      </c>
      <c r="F12" s="180" t="s">
        <v>12</v>
      </c>
      <c r="G12" s="174">
        <v>45515</v>
      </c>
      <c r="H12" s="2" t="s">
        <v>76</v>
      </c>
      <c r="I12" s="2">
        <v>99.27</v>
      </c>
      <c r="J12" s="2">
        <v>100</v>
      </c>
      <c r="K12" s="2">
        <v>100</v>
      </c>
      <c r="L12" s="2">
        <v>99.97</v>
      </c>
      <c r="M12" s="360"/>
      <c r="N12" s="360"/>
    </row>
    <row r="13" spans="2:14" ht="15.75" thickBot="1" x14ac:dyDescent="0.3">
      <c r="B13" s="4" t="s">
        <v>11</v>
      </c>
      <c r="C13" s="5" t="s">
        <v>12</v>
      </c>
      <c r="D13" s="5" t="s">
        <v>12</v>
      </c>
      <c r="E13" s="9" t="s">
        <v>12</v>
      </c>
      <c r="F13" s="10" t="s">
        <v>12</v>
      </c>
      <c r="G13" s="372" t="s">
        <v>24</v>
      </c>
      <c r="H13" s="373"/>
      <c r="I13" s="373"/>
      <c r="J13" s="373"/>
      <c r="K13" s="373"/>
      <c r="L13" s="373"/>
      <c r="M13" s="373"/>
      <c r="N13" s="374"/>
    </row>
    <row r="14" spans="2:14" ht="15.75" thickBot="1" x14ac:dyDescent="0.3">
      <c r="B14" s="4" t="s">
        <v>13</v>
      </c>
      <c r="C14" s="5" t="s">
        <v>12</v>
      </c>
      <c r="D14" s="5" t="s">
        <v>12</v>
      </c>
      <c r="E14" s="9" t="s">
        <v>12</v>
      </c>
      <c r="F14" s="10" t="s">
        <v>12</v>
      </c>
      <c r="G14" s="364" t="s">
        <v>60</v>
      </c>
      <c r="H14" s="365"/>
      <c r="I14" s="365"/>
      <c r="J14" s="362" t="s">
        <v>85</v>
      </c>
      <c r="K14" s="363"/>
      <c r="L14" s="363"/>
      <c r="M14" s="368" t="s">
        <v>40</v>
      </c>
      <c r="N14" s="369"/>
    </row>
    <row r="15" spans="2:14" x14ac:dyDescent="0.25">
      <c r="B15" s="4" t="s">
        <v>14</v>
      </c>
      <c r="C15" s="5" t="s">
        <v>12</v>
      </c>
      <c r="D15" s="5" t="s">
        <v>12</v>
      </c>
      <c r="E15" s="9" t="s">
        <v>12</v>
      </c>
      <c r="F15" s="10" t="s">
        <v>12</v>
      </c>
      <c r="G15" s="3" t="s">
        <v>23</v>
      </c>
      <c r="H15" s="3" t="s">
        <v>41</v>
      </c>
      <c r="I15" s="15" t="s">
        <v>42</v>
      </c>
      <c r="J15" s="16" t="s">
        <v>41</v>
      </c>
      <c r="K15" s="17" t="s">
        <v>42</v>
      </c>
      <c r="L15" s="18" t="s">
        <v>43</v>
      </c>
      <c r="M15" s="370"/>
      <c r="N15" s="371"/>
    </row>
    <row r="16" spans="2:14" x14ac:dyDescent="0.25">
      <c r="B16" s="4" t="s">
        <v>15</v>
      </c>
      <c r="C16" s="5" t="s">
        <v>12</v>
      </c>
      <c r="D16" s="5" t="s">
        <v>12</v>
      </c>
      <c r="E16" s="9" t="s">
        <v>12</v>
      </c>
      <c r="F16" s="10" t="s">
        <v>12</v>
      </c>
      <c r="G16" s="135">
        <v>45501</v>
      </c>
      <c r="H16" s="170"/>
      <c r="I16" s="170"/>
      <c r="J16" s="48">
        <v>5309</v>
      </c>
      <c r="K16" s="48">
        <v>879</v>
      </c>
      <c r="L16" s="48">
        <v>5697</v>
      </c>
      <c r="M16" s="361"/>
      <c r="N16" s="360"/>
    </row>
    <row r="17" spans="2:14" x14ac:dyDescent="0.25">
      <c r="B17" s="4" t="s">
        <v>16</v>
      </c>
      <c r="C17" s="5" t="s">
        <v>12</v>
      </c>
      <c r="D17" s="5" t="s">
        <v>12</v>
      </c>
      <c r="E17" s="9" t="s">
        <v>12</v>
      </c>
      <c r="F17" s="10" t="s">
        <v>12</v>
      </c>
      <c r="G17" s="135">
        <v>45502</v>
      </c>
      <c r="H17" s="170"/>
      <c r="I17" s="170"/>
      <c r="J17" s="48">
        <v>9309</v>
      </c>
      <c r="K17" s="48">
        <v>1054</v>
      </c>
      <c r="L17" s="48">
        <v>9968</v>
      </c>
      <c r="M17" s="361"/>
      <c r="N17" s="360"/>
    </row>
    <row r="18" spans="2:14" x14ac:dyDescent="0.25">
      <c r="B18" s="4" t="s">
        <v>17</v>
      </c>
      <c r="C18" s="5" t="s">
        <v>12</v>
      </c>
      <c r="D18" s="5" t="s">
        <v>12</v>
      </c>
      <c r="E18" s="9" t="s">
        <v>12</v>
      </c>
      <c r="F18" s="10" t="s">
        <v>12</v>
      </c>
      <c r="G18" s="135">
        <v>45503</v>
      </c>
      <c r="H18" s="170"/>
      <c r="I18" s="170"/>
      <c r="J18" s="48">
        <v>9819</v>
      </c>
      <c r="K18" s="48">
        <v>1176</v>
      </c>
      <c r="L18" s="48">
        <v>10421</v>
      </c>
      <c r="M18" s="361"/>
      <c r="N18" s="360"/>
    </row>
    <row r="19" spans="2:14" x14ac:dyDescent="0.25">
      <c r="B19" s="4" t="s">
        <v>18</v>
      </c>
      <c r="C19" s="5" t="s">
        <v>12</v>
      </c>
      <c r="D19" s="5" t="s">
        <v>12</v>
      </c>
      <c r="E19" s="9" t="s">
        <v>12</v>
      </c>
      <c r="F19" s="10" t="s">
        <v>12</v>
      </c>
      <c r="G19" s="135">
        <v>45504</v>
      </c>
      <c r="H19" s="170"/>
      <c r="I19" s="170"/>
      <c r="J19" s="48">
        <v>11000</v>
      </c>
      <c r="K19" s="48">
        <v>1563</v>
      </c>
      <c r="L19" s="48">
        <v>12000</v>
      </c>
      <c r="M19" s="361"/>
      <c r="N19" s="360"/>
    </row>
    <row r="20" spans="2:14" x14ac:dyDescent="0.25">
      <c r="B20" s="4" t="s">
        <v>19</v>
      </c>
      <c r="C20" s="5" t="s">
        <v>12</v>
      </c>
      <c r="D20" s="5" t="s">
        <v>12</v>
      </c>
      <c r="E20" s="9" t="s">
        <v>12</v>
      </c>
      <c r="F20" s="10" t="s">
        <v>12</v>
      </c>
      <c r="G20" s="135">
        <v>45505</v>
      </c>
      <c r="H20" s="170"/>
      <c r="I20" s="170"/>
      <c r="J20" s="48">
        <v>11000</v>
      </c>
      <c r="K20" s="48">
        <v>1184</v>
      </c>
      <c r="L20" s="48">
        <v>11619</v>
      </c>
      <c r="M20" s="361"/>
      <c r="N20" s="360"/>
    </row>
    <row r="21" spans="2:14" x14ac:dyDescent="0.25">
      <c r="B21" s="4" t="s">
        <v>20</v>
      </c>
      <c r="C21" s="5" t="s">
        <v>12</v>
      </c>
      <c r="D21" s="5" t="s">
        <v>12</v>
      </c>
      <c r="E21" s="9" t="s">
        <v>12</v>
      </c>
      <c r="F21" s="10" t="s">
        <v>12</v>
      </c>
      <c r="G21" s="135">
        <v>45506</v>
      </c>
      <c r="H21" s="170"/>
      <c r="I21" s="170"/>
      <c r="J21" s="48">
        <v>8774</v>
      </c>
      <c r="K21" s="48">
        <v>1146</v>
      </c>
      <c r="L21" s="48">
        <v>9920</v>
      </c>
      <c r="M21" s="361"/>
      <c r="N21" s="360"/>
    </row>
    <row r="22" spans="2:14" x14ac:dyDescent="0.25">
      <c r="B22" s="4" t="s">
        <v>21</v>
      </c>
      <c r="C22" s="5" t="s">
        <v>12</v>
      </c>
      <c r="D22" s="5" t="s">
        <v>12</v>
      </c>
      <c r="E22" s="9" t="s">
        <v>12</v>
      </c>
      <c r="F22" s="10" t="s">
        <v>12</v>
      </c>
      <c r="G22" s="135">
        <v>45507</v>
      </c>
      <c r="H22" s="170"/>
      <c r="I22" s="170"/>
      <c r="J22" s="48">
        <v>9258</v>
      </c>
      <c r="K22" s="48">
        <v>1032</v>
      </c>
      <c r="L22" s="48">
        <v>10263</v>
      </c>
      <c r="M22" s="361"/>
      <c r="N22" s="360"/>
    </row>
    <row r="23" spans="2:14" x14ac:dyDescent="0.25">
      <c r="B23" s="4" t="s">
        <v>22</v>
      </c>
      <c r="C23" s="5" t="s">
        <v>12</v>
      </c>
      <c r="D23" s="5" t="s">
        <v>12</v>
      </c>
      <c r="E23" s="9" t="s">
        <v>12</v>
      </c>
      <c r="F23" s="10" t="s">
        <v>12</v>
      </c>
      <c r="G23" s="135">
        <v>45508</v>
      </c>
      <c r="H23" s="170"/>
      <c r="I23" s="170"/>
      <c r="J23" s="48">
        <v>8022</v>
      </c>
      <c r="K23" s="48">
        <v>871</v>
      </c>
      <c r="L23" s="48">
        <v>8517</v>
      </c>
      <c r="M23" s="361"/>
      <c r="N23" s="360"/>
    </row>
    <row r="24" spans="2:14" x14ac:dyDescent="0.25">
      <c r="B24" s="4" t="s">
        <v>29</v>
      </c>
      <c r="C24" s="5" t="s">
        <v>12</v>
      </c>
      <c r="D24" s="5" t="s">
        <v>12</v>
      </c>
      <c r="E24" s="9" t="s">
        <v>12</v>
      </c>
      <c r="F24" s="10" t="s">
        <v>12</v>
      </c>
      <c r="G24" s="135">
        <v>45509</v>
      </c>
      <c r="H24" s="170"/>
      <c r="I24" s="170"/>
      <c r="J24" s="48">
        <v>8600</v>
      </c>
      <c r="K24" s="48">
        <v>1051</v>
      </c>
      <c r="L24" s="48">
        <v>9127</v>
      </c>
      <c r="M24" s="361"/>
      <c r="N24" s="360"/>
    </row>
    <row r="25" spans="2:14" x14ac:dyDescent="0.25">
      <c r="B25" s="4" t="s">
        <v>73</v>
      </c>
      <c r="C25" s="5" t="s">
        <v>12</v>
      </c>
      <c r="D25" s="5" t="s">
        <v>12</v>
      </c>
      <c r="E25" s="9" t="s">
        <v>12</v>
      </c>
      <c r="F25" s="10" t="s">
        <v>12</v>
      </c>
      <c r="G25" s="135">
        <v>45510</v>
      </c>
      <c r="H25" s="170"/>
      <c r="I25" s="170"/>
      <c r="J25" s="48">
        <v>9477</v>
      </c>
      <c r="K25" s="48">
        <v>999</v>
      </c>
      <c r="L25" s="48">
        <v>10107</v>
      </c>
      <c r="M25" s="361"/>
      <c r="N25" s="360"/>
    </row>
    <row r="26" spans="2:14" x14ac:dyDescent="0.25">
      <c r="B26" s="4" t="s">
        <v>74</v>
      </c>
      <c r="C26" s="5" t="s">
        <v>12</v>
      </c>
      <c r="D26" s="5" t="s">
        <v>12</v>
      </c>
      <c r="E26" s="9" t="s">
        <v>12</v>
      </c>
      <c r="F26" s="10" t="s">
        <v>12</v>
      </c>
      <c r="G26" s="135">
        <v>45511</v>
      </c>
      <c r="H26" s="170"/>
      <c r="I26" s="170"/>
      <c r="J26" s="48">
        <v>11000</v>
      </c>
      <c r="K26" s="48">
        <v>1020</v>
      </c>
      <c r="L26" s="48">
        <v>11530</v>
      </c>
      <c r="M26" s="361"/>
      <c r="N26" s="360"/>
    </row>
    <row r="27" spans="2:14" x14ac:dyDescent="0.25">
      <c r="B27" s="4" t="s">
        <v>75</v>
      </c>
      <c r="C27" s="5" t="s">
        <v>12</v>
      </c>
      <c r="D27" s="5" t="s">
        <v>12</v>
      </c>
      <c r="E27" s="9" t="s">
        <v>12</v>
      </c>
      <c r="F27" s="10" t="s">
        <v>12</v>
      </c>
      <c r="G27" s="135">
        <v>45512</v>
      </c>
      <c r="H27" s="170"/>
      <c r="I27" s="170"/>
      <c r="J27" s="48">
        <v>11000</v>
      </c>
      <c r="K27" s="48">
        <v>1531</v>
      </c>
      <c r="L27" s="48">
        <v>11610</v>
      </c>
      <c r="M27" s="361"/>
      <c r="N27" s="360"/>
    </row>
    <row r="28" spans="2:14" x14ac:dyDescent="0.25">
      <c r="B28" s="4" t="s">
        <v>30</v>
      </c>
      <c r="C28" s="5" t="s">
        <v>12</v>
      </c>
      <c r="D28" s="5" t="s">
        <v>12</v>
      </c>
      <c r="E28" s="9" t="s">
        <v>12</v>
      </c>
      <c r="F28" s="10" t="s">
        <v>12</v>
      </c>
      <c r="G28" s="135">
        <v>45513</v>
      </c>
      <c r="H28" s="170"/>
      <c r="I28" s="170"/>
      <c r="J28" s="48">
        <v>10323</v>
      </c>
      <c r="K28" s="48">
        <v>984</v>
      </c>
      <c r="L28" s="48">
        <v>10904</v>
      </c>
      <c r="M28" s="361"/>
      <c r="N28" s="360"/>
    </row>
    <row r="29" spans="2:14" x14ac:dyDescent="0.25">
      <c r="B29" s="4" t="s">
        <v>31</v>
      </c>
      <c r="C29" s="5" t="s">
        <v>12</v>
      </c>
      <c r="D29" s="5" t="s">
        <v>12</v>
      </c>
      <c r="E29" s="9" t="s">
        <v>12</v>
      </c>
      <c r="F29" s="10" t="s">
        <v>12</v>
      </c>
      <c r="G29" s="135">
        <v>45514</v>
      </c>
      <c r="H29" s="170"/>
      <c r="I29" s="170"/>
      <c r="J29" s="48">
        <v>11000</v>
      </c>
      <c r="K29" s="48">
        <v>1091</v>
      </c>
      <c r="L29" s="48">
        <v>11592</v>
      </c>
      <c r="M29" s="361"/>
      <c r="N29" s="360"/>
    </row>
    <row r="30" spans="2:14" ht="15.75" thickBot="1" x14ac:dyDescent="0.3">
      <c r="B30" s="4" t="s">
        <v>31</v>
      </c>
      <c r="C30" s="5" t="s">
        <v>12</v>
      </c>
      <c r="D30" s="5" t="s">
        <v>12</v>
      </c>
      <c r="E30" s="9" t="s">
        <v>12</v>
      </c>
      <c r="F30" s="10" t="s">
        <v>12</v>
      </c>
      <c r="G30" s="135">
        <v>45515</v>
      </c>
      <c r="H30" s="170"/>
      <c r="I30" s="170"/>
      <c r="J30" s="48">
        <v>5161</v>
      </c>
      <c r="K30" s="48">
        <v>894</v>
      </c>
      <c r="L30" s="48">
        <v>5610</v>
      </c>
      <c r="M30" s="361"/>
      <c r="N30" s="360"/>
    </row>
    <row r="31" spans="2:14" x14ac:dyDescent="0.25">
      <c r="B31" s="336" t="s">
        <v>77</v>
      </c>
      <c r="C31" s="337"/>
      <c r="D31" s="137"/>
      <c r="E31" s="137"/>
      <c r="F31" s="137"/>
      <c r="G31" s="138"/>
      <c r="H31" s="138"/>
      <c r="I31" s="138"/>
      <c r="J31" s="138"/>
      <c r="K31" s="138"/>
      <c r="L31" s="138"/>
      <c r="M31" s="138"/>
      <c r="N31" s="139"/>
    </row>
    <row r="32" spans="2:14" x14ac:dyDescent="0.25">
      <c r="B32" s="120" t="s">
        <v>23</v>
      </c>
      <c r="C32" s="121" t="s">
        <v>48</v>
      </c>
      <c r="D32" s="121" t="s">
        <v>49</v>
      </c>
      <c r="E32" s="121" t="s">
        <v>50</v>
      </c>
      <c r="F32" s="121" t="s">
        <v>51</v>
      </c>
      <c r="G32" s="122" t="s">
        <v>52</v>
      </c>
      <c r="H32" s="122" t="s">
        <v>53</v>
      </c>
      <c r="I32" s="122" t="s">
        <v>54</v>
      </c>
      <c r="J32" s="122" t="s">
        <v>55</v>
      </c>
      <c r="K32" s="123" t="s">
        <v>56</v>
      </c>
      <c r="L32" s="123" t="s">
        <v>57</v>
      </c>
      <c r="M32" s="123" t="s">
        <v>58</v>
      </c>
      <c r="N32" s="123" t="s">
        <v>59</v>
      </c>
    </row>
    <row r="33" spans="2:14" hidden="1" x14ac:dyDescent="0.25">
      <c r="B33" s="13">
        <v>43821</v>
      </c>
      <c r="C33" s="2">
        <v>7917244</v>
      </c>
      <c r="D33" s="2">
        <v>7692656</v>
      </c>
      <c r="E33" s="2">
        <v>224588</v>
      </c>
      <c r="F33" s="14">
        <v>97.16</v>
      </c>
      <c r="G33" s="2">
        <v>54912399</v>
      </c>
      <c r="H33" s="2">
        <v>43960320</v>
      </c>
      <c r="I33" s="2">
        <v>10952079</v>
      </c>
      <c r="J33" s="14">
        <v>80.05</v>
      </c>
      <c r="K33" s="2">
        <v>3089765</v>
      </c>
      <c r="L33" s="2">
        <v>3089543</v>
      </c>
      <c r="M33" s="2">
        <v>222</v>
      </c>
      <c r="N33" s="14">
        <v>99.99</v>
      </c>
    </row>
    <row r="34" spans="2:14" hidden="1" x14ac:dyDescent="0.25">
      <c r="B34" s="13">
        <v>43822</v>
      </c>
      <c r="C34" s="2">
        <v>7939213</v>
      </c>
      <c r="D34" s="2">
        <v>7688880</v>
      </c>
      <c r="E34" s="2">
        <v>250333</v>
      </c>
      <c r="F34" s="14">
        <v>96.85</v>
      </c>
      <c r="G34" s="2">
        <v>73680230</v>
      </c>
      <c r="H34" s="2">
        <v>55504631</v>
      </c>
      <c r="I34" s="2">
        <v>18175599</v>
      </c>
      <c r="J34" s="14">
        <v>75.33</v>
      </c>
      <c r="K34" s="2">
        <v>3801523</v>
      </c>
      <c r="L34" s="2">
        <v>3801343</v>
      </c>
      <c r="M34" s="2">
        <v>180</v>
      </c>
      <c r="N34" s="14">
        <v>99.99</v>
      </c>
    </row>
    <row r="35" spans="2:14" hidden="1" x14ac:dyDescent="0.25">
      <c r="B35" s="13">
        <v>43823</v>
      </c>
      <c r="C35" s="2">
        <v>7799217</v>
      </c>
      <c r="D35" s="2">
        <v>7598962</v>
      </c>
      <c r="E35" s="2">
        <v>200255</v>
      </c>
      <c r="F35" s="14">
        <v>97.43</v>
      </c>
      <c r="G35" s="2">
        <v>53960404</v>
      </c>
      <c r="H35" s="2">
        <v>43044680</v>
      </c>
      <c r="I35" s="2">
        <v>10915724</v>
      </c>
      <c r="J35" s="14">
        <v>79.77</v>
      </c>
      <c r="K35" s="2">
        <v>2364036</v>
      </c>
      <c r="L35" s="2">
        <v>2362065</v>
      </c>
      <c r="M35" s="2">
        <v>1971</v>
      </c>
      <c r="N35" s="14">
        <v>99.92</v>
      </c>
    </row>
    <row r="36" spans="2:14" hidden="1" x14ac:dyDescent="0.25">
      <c r="B36" s="13">
        <v>43824</v>
      </c>
      <c r="C36" s="2">
        <v>9079091</v>
      </c>
      <c r="D36" s="2">
        <v>8827539</v>
      </c>
      <c r="E36" s="2">
        <v>251552</v>
      </c>
      <c r="F36" s="14">
        <v>97.23</v>
      </c>
      <c r="G36" s="2">
        <v>48371483</v>
      </c>
      <c r="H36" s="2">
        <v>39573647</v>
      </c>
      <c r="I36" s="2">
        <v>8797836</v>
      </c>
      <c r="J36" s="14">
        <v>81.81</v>
      </c>
      <c r="K36" s="2">
        <v>2728981</v>
      </c>
      <c r="L36" s="2">
        <v>2726423</v>
      </c>
      <c r="M36" s="2">
        <v>2558</v>
      </c>
      <c r="N36" s="14">
        <v>99.91</v>
      </c>
    </row>
    <row r="37" spans="2:14" hidden="1" x14ac:dyDescent="0.25">
      <c r="B37" s="13">
        <v>43825</v>
      </c>
      <c r="C37" s="2">
        <v>8049576</v>
      </c>
      <c r="D37" s="2">
        <v>7735233</v>
      </c>
      <c r="E37" s="2">
        <v>314343</v>
      </c>
      <c r="F37" s="14">
        <v>96.09</v>
      </c>
      <c r="G37" s="2">
        <v>64378028</v>
      </c>
      <c r="H37" s="2">
        <v>50792313</v>
      </c>
      <c r="I37" s="2">
        <v>13585715</v>
      </c>
      <c r="J37" s="14">
        <v>78.900000000000006</v>
      </c>
      <c r="K37" s="2">
        <v>3379645</v>
      </c>
      <c r="L37" s="2">
        <v>3377664</v>
      </c>
      <c r="M37" s="2">
        <v>1981</v>
      </c>
      <c r="N37" s="14">
        <v>99.94</v>
      </c>
    </row>
    <row r="38" spans="2:14" hidden="1" x14ac:dyDescent="0.25">
      <c r="B38" s="13">
        <v>43826</v>
      </c>
      <c r="C38" s="2">
        <v>7940094</v>
      </c>
      <c r="D38" s="2">
        <v>7719241</v>
      </c>
      <c r="E38" s="2">
        <v>220853</v>
      </c>
      <c r="F38" s="14">
        <v>97.22</v>
      </c>
      <c r="G38" s="2">
        <v>61244925</v>
      </c>
      <c r="H38" s="2">
        <v>46823748</v>
      </c>
      <c r="I38" s="2">
        <v>14421177</v>
      </c>
      <c r="J38" s="14">
        <v>76.45</v>
      </c>
      <c r="K38" s="2">
        <v>3460907</v>
      </c>
      <c r="L38" s="2">
        <v>3459908</v>
      </c>
      <c r="M38" s="2">
        <v>999</v>
      </c>
      <c r="N38" s="14">
        <v>99.97</v>
      </c>
    </row>
    <row r="39" spans="2:14" hidden="1" x14ac:dyDescent="0.25">
      <c r="B39" s="13">
        <v>43827</v>
      </c>
      <c r="C39" s="2">
        <v>7730130</v>
      </c>
      <c r="D39" s="2">
        <v>7503242</v>
      </c>
      <c r="E39" s="2">
        <v>226888</v>
      </c>
      <c r="F39" s="14">
        <v>97.06</v>
      </c>
      <c r="G39" s="2">
        <v>68575628</v>
      </c>
      <c r="H39" s="2">
        <v>50695173</v>
      </c>
      <c r="I39" s="2">
        <v>17880455</v>
      </c>
      <c r="J39" s="14">
        <v>73.930000000000007</v>
      </c>
      <c r="K39" s="2">
        <v>3725432</v>
      </c>
      <c r="L39" s="2">
        <v>3706347</v>
      </c>
      <c r="M39" s="2">
        <v>19085</v>
      </c>
      <c r="N39" s="14">
        <v>99.49</v>
      </c>
    </row>
    <row r="40" spans="2:14" hidden="1" x14ac:dyDescent="0.25">
      <c r="B40" s="13">
        <v>43828</v>
      </c>
      <c r="C40" s="2">
        <v>7619813</v>
      </c>
      <c r="D40" s="2">
        <v>7403023</v>
      </c>
      <c r="E40" s="2">
        <v>216790</v>
      </c>
      <c r="F40" s="14">
        <v>97.15</v>
      </c>
      <c r="G40" s="2">
        <v>48735402</v>
      </c>
      <c r="H40" s="2">
        <v>38932379</v>
      </c>
      <c r="I40" s="2">
        <v>9803023</v>
      </c>
      <c r="J40" s="14">
        <v>79.89</v>
      </c>
      <c r="K40" s="2">
        <v>2163829</v>
      </c>
      <c r="L40" s="2">
        <v>2163694</v>
      </c>
      <c r="M40" s="2">
        <v>135</v>
      </c>
      <c r="N40" s="14">
        <v>99.99</v>
      </c>
    </row>
    <row r="41" spans="2:14" hidden="1" x14ac:dyDescent="0.25">
      <c r="B41" s="13">
        <v>43829</v>
      </c>
      <c r="C41" s="2">
        <v>7802895</v>
      </c>
      <c r="D41" s="2">
        <v>7600326</v>
      </c>
      <c r="E41" s="2">
        <v>202569</v>
      </c>
      <c r="F41" s="14">
        <v>97.4</v>
      </c>
      <c r="G41" s="2">
        <v>61708789</v>
      </c>
      <c r="H41" s="2">
        <v>49397968</v>
      </c>
      <c r="I41" s="2">
        <v>12310821</v>
      </c>
      <c r="J41" s="14">
        <v>80.05</v>
      </c>
      <c r="K41" s="2">
        <v>2813440</v>
      </c>
      <c r="L41" s="2">
        <v>2802845</v>
      </c>
      <c r="M41" s="2">
        <v>10595</v>
      </c>
      <c r="N41" s="14">
        <v>99.62</v>
      </c>
    </row>
    <row r="42" spans="2:14" hidden="1" x14ac:dyDescent="0.25">
      <c r="B42" s="13">
        <v>43830</v>
      </c>
      <c r="C42" s="2">
        <v>7838280</v>
      </c>
      <c r="D42" s="2">
        <v>7614607</v>
      </c>
      <c r="E42" s="2">
        <v>223673</v>
      </c>
      <c r="F42" s="14">
        <v>97.15</v>
      </c>
      <c r="G42" s="2">
        <v>57678470</v>
      </c>
      <c r="H42" s="2">
        <v>46315486</v>
      </c>
      <c r="I42" s="2">
        <v>11362984</v>
      </c>
      <c r="J42" s="14">
        <v>80.3</v>
      </c>
      <c r="K42" s="2">
        <v>2524952</v>
      </c>
      <c r="L42" s="2">
        <v>2524558</v>
      </c>
      <c r="M42" s="2">
        <v>394</v>
      </c>
      <c r="N42" s="14">
        <v>99.98</v>
      </c>
    </row>
    <row r="43" spans="2:14" hidden="1" x14ac:dyDescent="0.25">
      <c r="B43" s="13">
        <v>43831</v>
      </c>
      <c r="C43" s="2">
        <v>12671302</v>
      </c>
      <c r="D43" s="2">
        <v>12278059</v>
      </c>
      <c r="E43" s="2">
        <v>393243</v>
      </c>
      <c r="F43" s="14">
        <v>96.9</v>
      </c>
      <c r="G43" s="2">
        <v>51298475</v>
      </c>
      <c r="H43" s="2">
        <v>42664166</v>
      </c>
      <c r="I43" s="2">
        <v>8634309</v>
      </c>
      <c r="J43" s="14">
        <v>83.17</v>
      </c>
      <c r="K43" s="2">
        <v>2655114</v>
      </c>
      <c r="L43" s="2">
        <v>2654932</v>
      </c>
      <c r="M43" s="2">
        <v>182</v>
      </c>
      <c r="N43" s="14">
        <v>99.99</v>
      </c>
    </row>
    <row r="44" spans="2:14" hidden="1" x14ac:dyDescent="0.25">
      <c r="B44" s="13">
        <v>43832</v>
      </c>
      <c r="C44" s="2">
        <v>8559985</v>
      </c>
      <c r="D44" s="2">
        <v>7886235</v>
      </c>
      <c r="E44" s="2">
        <v>673750</v>
      </c>
      <c r="F44" s="14">
        <v>92.13</v>
      </c>
      <c r="G44" s="2">
        <v>53090038</v>
      </c>
      <c r="H44" s="2">
        <v>39110123</v>
      </c>
      <c r="I44" s="2">
        <v>13979915</v>
      </c>
      <c r="J44" s="14">
        <v>73.67</v>
      </c>
      <c r="K44" s="2">
        <v>2794793</v>
      </c>
      <c r="L44" s="2">
        <v>2794579</v>
      </c>
      <c r="M44" s="2">
        <v>214</v>
      </c>
      <c r="N44" s="14">
        <v>99.99</v>
      </c>
    </row>
    <row r="45" spans="2:14" hidden="1" x14ac:dyDescent="0.25">
      <c r="B45" s="13">
        <v>43833</v>
      </c>
      <c r="C45" s="2">
        <v>8075219</v>
      </c>
      <c r="D45" s="2">
        <v>7802702</v>
      </c>
      <c r="E45" s="2">
        <v>272517</v>
      </c>
      <c r="F45" s="14">
        <v>96.63</v>
      </c>
      <c r="G45" s="2">
        <v>57215747</v>
      </c>
      <c r="H45" s="2">
        <v>42898992</v>
      </c>
      <c r="I45" s="2">
        <v>14316755</v>
      </c>
      <c r="J45" s="14">
        <v>74.98</v>
      </c>
      <c r="K45" s="2">
        <v>3022368</v>
      </c>
      <c r="L45" s="2">
        <v>3022239</v>
      </c>
      <c r="M45" s="2">
        <v>129</v>
      </c>
      <c r="N45" s="14">
        <v>99.99</v>
      </c>
    </row>
    <row r="46" spans="2:14" hidden="1" x14ac:dyDescent="0.25">
      <c r="B46" s="13">
        <v>43834</v>
      </c>
      <c r="C46" s="2">
        <v>7975158</v>
      </c>
      <c r="D46" s="2">
        <v>7757070</v>
      </c>
      <c r="E46" s="2">
        <v>218088</v>
      </c>
      <c r="F46" s="14">
        <v>97.27</v>
      </c>
      <c r="G46" s="2">
        <v>55827746</v>
      </c>
      <c r="H46" s="2">
        <v>42111486</v>
      </c>
      <c r="I46" s="2">
        <v>13716260</v>
      </c>
      <c r="J46" s="14">
        <v>75.430000000000007</v>
      </c>
      <c r="K46" s="2">
        <v>3097950</v>
      </c>
      <c r="L46" s="2">
        <v>3097665</v>
      </c>
      <c r="M46" s="2">
        <v>285</v>
      </c>
      <c r="N46" s="14">
        <v>99.99</v>
      </c>
    </row>
    <row r="47" spans="2:14" hidden="1" x14ac:dyDescent="0.25">
      <c r="B47" s="13">
        <v>43835</v>
      </c>
      <c r="C47" s="2">
        <v>8243330</v>
      </c>
      <c r="D47" s="2">
        <v>8044397</v>
      </c>
      <c r="E47" s="2">
        <v>198933</v>
      </c>
      <c r="F47" s="14">
        <v>97.59</v>
      </c>
      <c r="G47" s="2">
        <v>42429604</v>
      </c>
      <c r="H47" s="2">
        <v>33514789</v>
      </c>
      <c r="I47" s="2">
        <v>8914815</v>
      </c>
      <c r="J47" s="14">
        <v>78.989999999999995</v>
      </c>
      <c r="K47" s="2">
        <v>2243700</v>
      </c>
      <c r="L47" s="2">
        <v>2243184</v>
      </c>
      <c r="M47" s="2">
        <v>516</v>
      </c>
      <c r="N47" s="14">
        <v>99.98</v>
      </c>
    </row>
    <row r="48" spans="2:14" hidden="1" x14ac:dyDescent="0.25">
      <c r="B48" s="13">
        <v>43836</v>
      </c>
      <c r="C48" s="2">
        <v>8706965</v>
      </c>
      <c r="D48" s="2">
        <v>8511114</v>
      </c>
      <c r="E48" s="2">
        <v>195851</v>
      </c>
      <c r="F48" s="14">
        <v>97.75</v>
      </c>
      <c r="G48" s="2">
        <v>56848377</v>
      </c>
      <c r="H48" s="2">
        <v>45096784</v>
      </c>
      <c r="I48" s="2">
        <v>11751593</v>
      </c>
      <c r="J48" s="14">
        <v>79.33</v>
      </c>
      <c r="K48" s="2">
        <v>2765250</v>
      </c>
      <c r="L48" s="2">
        <v>2764972</v>
      </c>
      <c r="M48" s="2">
        <v>278</v>
      </c>
      <c r="N48" s="14">
        <v>99.99</v>
      </c>
    </row>
    <row r="49" spans="2:14" hidden="1" x14ac:dyDescent="0.25">
      <c r="B49" s="13">
        <v>43837</v>
      </c>
      <c r="C49" s="2">
        <v>8779169</v>
      </c>
      <c r="D49" s="2">
        <v>8565822</v>
      </c>
      <c r="E49" s="2">
        <v>213347</v>
      </c>
      <c r="F49" s="14">
        <v>97.57</v>
      </c>
      <c r="G49" s="2">
        <v>58302388</v>
      </c>
      <c r="H49" s="2">
        <v>44747099</v>
      </c>
      <c r="I49" s="2">
        <v>13555289</v>
      </c>
      <c r="J49" s="14">
        <v>76.75</v>
      </c>
      <c r="K49" s="2">
        <v>2356574</v>
      </c>
      <c r="L49" s="2">
        <v>2352845</v>
      </c>
      <c r="M49" s="2">
        <v>3729</v>
      </c>
      <c r="N49" s="14">
        <v>99.84</v>
      </c>
    </row>
    <row r="50" spans="2:14" hidden="1" x14ac:dyDescent="0.25">
      <c r="B50" s="13">
        <v>43838</v>
      </c>
      <c r="C50" s="2">
        <v>8853066</v>
      </c>
      <c r="D50" s="2">
        <v>8640722</v>
      </c>
      <c r="E50" s="2">
        <v>212344</v>
      </c>
      <c r="F50" s="14">
        <v>97.6</v>
      </c>
      <c r="G50" s="2">
        <v>59316977</v>
      </c>
      <c r="H50" s="2">
        <v>46227538</v>
      </c>
      <c r="I50" s="2">
        <v>13089439</v>
      </c>
      <c r="J50" s="14">
        <v>77.930000000000007</v>
      </c>
      <c r="K50" s="2">
        <v>3621524</v>
      </c>
      <c r="L50" s="2">
        <v>3621186</v>
      </c>
      <c r="M50" s="2">
        <v>338</v>
      </c>
      <c r="N50" s="14">
        <v>99.99</v>
      </c>
    </row>
    <row r="51" spans="2:14" hidden="1" x14ac:dyDescent="0.25">
      <c r="B51" s="13">
        <v>43839</v>
      </c>
      <c r="C51" s="2">
        <v>8508851</v>
      </c>
      <c r="D51" s="2">
        <v>8304093</v>
      </c>
      <c r="E51" s="2">
        <v>204758</v>
      </c>
      <c r="F51" s="14">
        <v>97.59</v>
      </c>
      <c r="G51" s="2">
        <v>59704528</v>
      </c>
      <c r="H51" s="2">
        <v>45878142</v>
      </c>
      <c r="I51" s="2">
        <v>13826386</v>
      </c>
      <c r="J51" s="14">
        <v>76.84</v>
      </c>
      <c r="K51" s="2">
        <v>4018466</v>
      </c>
      <c r="L51" s="2">
        <v>4018091</v>
      </c>
      <c r="M51" s="2">
        <v>375</v>
      </c>
      <c r="N51" s="14">
        <v>99.99</v>
      </c>
    </row>
    <row r="52" spans="2:14" hidden="1" x14ac:dyDescent="0.25">
      <c r="B52" s="13">
        <v>43840</v>
      </c>
      <c r="C52" s="2">
        <v>8691433</v>
      </c>
      <c r="D52" s="2">
        <v>8495597</v>
      </c>
      <c r="E52" s="2">
        <v>195836</v>
      </c>
      <c r="F52" s="14">
        <v>97.75</v>
      </c>
      <c r="G52" s="2">
        <v>60915793</v>
      </c>
      <c r="H52" s="2">
        <v>46611031</v>
      </c>
      <c r="I52" s="2">
        <v>14304762</v>
      </c>
      <c r="J52" s="14">
        <v>76.52</v>
      </c>
      <c r="K52" s="2">
        <v>3666594</v>
      </c>
      <c r="L52" s="2">
        <v>3662900</v>
      </c>
      <c r="M52" s="2">
        <v>3694</v>
      </c>
      <c r="N52" s="14">
        <v>99.9</v>
      </c>
    </row>
    <row r="53" spans="2:14" hidden="1" x14ac:dyDescent="0.25">
      <c r="B53" s="13">
        <v>43841</v>
      </c>
      <c r="C53" s="2">
        <v>8958897</v>
      </c>
      <c r="D53" s="2">
        <v>8758365</v>
      </c>
      <c r="E53" s="2">
        <v>200532</v>
      </c>
      <c r="F53" s="14">
        <v>97.76</v>
      </c>
      <c r="G53" s="2">
        <v>56239483</v>
      </c>
      <c r="H53" s="2">
        <v>42116014</v>
      </c>
      <c r="I53" s="2">
        <v>14123469</v>
      </c>
      <c r="J53" s="14">
        <v>74.89</v>
      </c>
      <c r="K53" s="2">
        <v>3852964</v>
      </c>
      <c r="L53" s="2">
        <v>3852443</v>
      </c>
      <c r="M53" s="2">
        <v>521</v>
      </c>
      <c r="N53" s="14">
        <v>99.99</v>
      </c>
    </row>
    <row r="54" spans="2:14" hidden="1" x14ac:dyDescent="0.25">
      <c r="B54" s="13">
        <v>43842</v>
      </c>
      <c r="C54" s="2">
        <v>8479718</v>
      </c>
      <c r="D54" s="2">
        <v>8286050</v>
      </c>
      <c r="E54" s="2">
        <v>193668</v>
      </c>
      <c r="F54" s="14">
        <v>97.72</v>
      </c>
      <c r="G54" s="2">
        <v>48407014</v>
      </c>
      <c r="H54" s="2">
        <v>39433511</v>
      </c>
      <c r="I54" s="2">
        <v>8973503</v>
      </c>
      <c r="J54" s="14">
        <v>81.459999999999994</v>
      </c>
      <c r="K54" s="2">
        <v>3098408</v>
      </c>
      <c r="L54" s="2">
        <v>3097955</v>
      </c>
      <c r="M54" s="2">
        <v>453</v>
      </c>
      <c r="N54" s="14">
        <v>99.99</v>
      </c>
    </row>
    <row r="55" spans="2:14" hidden="1" x14ac:dyDescent="0.25">
      <c r="B55" s="13">
        <v>43843</v>
      </c>
      <c r="C55" s="2">
        <v>8069689</v>
      </c>
      <c r="D55" s="2">
        <v>7891887</v>
      </c>
      <c r="E55" s="2">
        <v>177802</v>
      </c>
      <c r="F55" s="14">
        <v>97.8</v>
      </c>
      <c r="G55" s="2">
        <v>57275030</v>
      </c>
      <c r="H55" s="2">
        <v>44829545</v>
      </c>
      <c r="I55" s="2">
        <v>12445485</v>
      </c>
      <c r="J55" s="14">
        <v>78.27</v>
      </c>
      <c r="K55" s="2">
        <v>4284516</v>
      </c>
      <c r="L55" s="2">
        <v>4284118</v>
      </c>
      <c r="M55" s="2">
        <v>398</v>
      </c>
      <c r="N55" s="14">
        <v>99.99</v>
      </c>
    </row>
    <row r="56" spans="2:14" hidden="1" x14ac:dyDescent="0.25">
      <c r="B56" s="13">
        <v>43844</v>
      </c>
      <c r="C56" s="2">
        <v>7998562</v>
      </c>
      <c r="D56" s="2">
        <v>7808540</v>
      </c>
      <c r="E56" s="2">
        <v>190022</v>
      </c>
      <c r="F56" s="14">
        <v>97.62</v>
      </c>
      <c r="G56" s="2">
        <v>69500791</v>
      </c>
      <c r="H56" s="2">
        <v>52051650</v>
      </c>
      <c r="I56" s="2">
        <v>17449141</v>
      </c>
      <c r="J56" s="14">
        <v>74.89</v>
      </c>
      <c r="K56" s="2">
        <v>3220574</v>
      </c>
      <c r="L56" s="2">
        <v>3220288</v>
      </c>
      <c r="M56" s="2">
        <v>286</v>
      </c>
      <c r="N56" s="14">
        <v>99.99</v>
      </c>
    </row>
    <row r="57" spans="2:14" hidden="1" x14ac:dyDescent="0.25">
      <c r="B57" s="13">
        <v>43845</v>
      </c>
      <c r="C57" s="2">
        <v>8190704</v>
      </c>
      <c r="D57" s="2">
        <v>7993310</v>
      </c>
      <c r="E57" s="2">
        <v>197394</v>
      </c>
      <c r="F57" s="14">
        <v>97.59</v>
      </c>
      <c r="G57" s="2">
        <v>62505965</v>
      </c>
      <c r="H57" s="2">
        <v>49761618</v>
      </c>
      <c r="I57" s="2">
        <v>12744347</v>
      </c>
      <c r="J57" s="14">
        <v>79.61</v>
      </c>
      <c r="K57" s="2">
        <v>3211139</v>
      </c>
      <c r="L57" s="2">
        <v>3210633</v>
      </c>
      <c r="M57" s="2">
        <v>506</v>
      </c>
      <c r="N57" s="14">
        <v>99.98</v>
      </c>
    </row>
    <row r="58" spans="2:14" hidden="1" x14ac:dyDescent="0.25">
      <c r="B58" s="13">
        <v>43846</v>
      </c>
      <c r="C58" s="2">
        <v>8318061</v>
      </c>
      <c r="D58" s="2">
        <v>8099770</v>
      </c>
      <c r="E58" s="2">
        <v>218291</v>
      </c>
      <c r="F58" s="14">
        <v>97.38</v>
      </c>
      <c r="G58" s="2">
        <v>61232367</v>
      </c>
      <c r="H58" s="2">
        <v>49226407</v>
      </c>
      <c r="I58" s="2">
        <v>12005960</v>
      </c>
      <c r="J58" s="14">
        <v>80.39</v>
      </c>
      <c r="K58" s="2">
        <v>2601757</v>
      </c>
      <c r="L58" s="2">
        <v>2539970</v>
      </c>
      <c r="M58" s="2">
        <v>61787</v>
      </c>
      <c r="N58" s="14">
        <v>97.63</v>
      </c>
    </row>
    <row r="59" spans="2:14" hidden="1" x14ac:dyDescent="0.25">
      <c r="B59" s="13">
        <v>43847</v>
      </c>
      <c r="C59" s="2">
        <v>8226177</v>
      </c>
      <c r="D59" s="2">
        <v>8036455</v>
      </c>
      <c r="E59" s="2">
        <v>189722</v>
      </c>
      <c r="F59" s="14">
        <v>97.69</v>
      </c>
      <c r="G59" s="2">
        <v>54824879</v>
      </c>
      <c r="H59" s="2">
        <v>43196902</v>
      </c>
      <c r="I59" s="2">
        <v>11627977</v>
      </c>
      <c r="J59" s="14">
        <v>78.790000000000006</v>
      </c>
      <c r="K59" s="2">
        <v>2040726</v>
      </c>
      <c r="L59" s="2">
        <v>2003748</v>
      </c>
      <c r="M59" s="2">
        <v>36978</v>
      </c>
      <c r="N59" s="14">
        <v>98.19</v>
      </c>
    </row>
    <row r="60" spans="2:14" hidden="1" x14ac:dyDescent="0.25">
      <c r="B60" s="13">
        <v>43848</v>
      </c>
      <c r="C60" s="2">
        <v>8718023</v>
      </c>
      <c r="D60" s="2">
        <v>8517886</v>
      </c>
      <c r="E60" s="2">
        <v>200137</v>
      </c>
      <c r="F60" s="14">
        <v>97.7</v>
      </c>
      <c r="G60" s="2">
        <v>62706141</v>
      </c>
      <c r="H60" s="2">
        <v>48150814</v>
      </c>
      <c r="I60" s="2">
        <v>14555327</v>
      </c>
      <c r="J60" s="14">
        <v>76.790000000000006</v>
      </c>
      <c r="K60" s="2">
        <v>3520235</v>
      </c>
      <c r="L60" s="2">
        <v>3519705</v>
      </c>
      <c r="M60" s="2">
        <v>530</v>
      </c>
      <c r="N60" s="14">
        <v>99.98</v>
      </c>
    </row>
    <row r="61" spans="2:14" hidden="1" x14ac:dyDescent="0.25">
      <c r="B61" s="13">
        <v>43849</v>
      </c>
      <c r="C61" s="2">
        <v>8411530</v>
      </c>
      <c r="D61" s="2">
        <v>8212651</v>
      </c>
      <c r="E61" s="2">
        <v>198879</v>
      </c>
      <c r="F61" s="14">
        <v>97.64</v>
      </c>
      <c r="G61" s="2">
        <v>45226999</v>
      </c>
      <c r="H61" s="2">
        <v>198879</v>
      </c>
      <c r="I61" s="2">
        <v>8971432</v>
      </c>
      <c r="J61" s="14">
        <v>80.16</v>
      </c>
      <c r="K61" s="2">
        <v>2605573</v>
      </c>
      <c r="L61" s="2">
        <v>2605381</v>
      </c>
      <c r="M61" s="2">
        <v>192</v>
      </c>
      <c r="N61" s="14">
        <v>99.99</v>
      </c>
    </row>
    <row r="62" spans="2:14" hidden="1" x14ac:dyDescent="0.25">
      <c r="B62" s="13">
        <v>43850</v>
      </c>
      <c r="C62" s="2">
        <v>8131134</v>
      </c>
      <c r="D62" s="2">
        <v>7942723</v>
      </c>
      <c r="E62" s="2">
        <v>188411</v>
      </c>
      <c r="F62" s="14">
        <v>97.68</v>
      </c>
      <c r="G62" s="2">
        <v>56605249</v>
      </c>
      <c r="H62" s="2">
        <v>45397351</v>
      </c>
      <c r="I62" s="2">
        <v>11207898</v>
      </c>
      <c r="J62" s="14">
        <v>80.02</v>
      </c>
      <c r="K62" s="2">
        <v>3746749</v>
      </c>
      <c r="L62" s="2">
        <v>3741767</v>
      </c>
      <c r="M62" s="2">
        <v>4982</v>
      </c>
      <c r="N62" s="14">
        <v>99.87</v>
      </c>
    </row>
    <row r="63" spans="2:14" hidden="1" x14ac:dyDescent="0.25">
      <c r="B63" s="13">
        <v>43851</v>
      </c>
      <c r="C63" s="2">
        <v>8156084</v>
      </c>
      <c r="D63" s="2">
        <v>7958858</v>
      </c>
      <c r="E63" s="2">
        <v>197226</v>
      </c>
      <c r="F63" s="14">
        <v>97.58</v>
      </c>
      <c r="G63" s="2">
        <v>62472648</v>
      </c>
      <c r="H63" s="2">
        <v>46538429</v>
      </c>
      <c r="I63" s="2">
        <v>15934219</v>
      </c>
      <c r="J63" s="14">
        <v>74.489999999999995</v>
      </c>
      <c r="K63" s="2">
        <v>2902063</v>
      </c>
      <c r="L63" s="2">
        <v>2901607</v>
      </c>
      <c r="M63" s="2">
        <v>456</v>
      </c>
      <c r="N63" s="14">
        <v>99.98</v>
      </c>
    </row>
    <row r="64" spans="2:14" hidden="1" x14ac:dyDescent="0.25">
      <c r="B64" s="13">
        <v>43852</v>
      </c>
      <c r="C64" s="2">
        <v>8056081</v>
      </c>
      <c r="D64" s="2">
        <v>7863056</v>
      </c>
      <c r="E64" s="2">
        <v>193025</v>
      </c>
      <c r="F64" s="14">
        <v>97.6</v>
      </c>
      <c r="G64" s="2">
        <v>59811752</v>
      </c>
      <c r="H64" s="2">
        <v>46600413</v>
      </c>
      <c r="I64" s="2">
        <v>13211339</v>
      </c>
      <c r="J64" s="14">
        <v>77.91</v>
      </c>
      <c r="K64" s="2">
        <v>3478643</v>
      </c>
      <c r="L64" s="2">
        <v>3478295</v>
      </c>
      <c r="M64" s="2">
        <v>348</v>
      </c>
      <c r="N64" s="14">
        <v>99.99</v>
      </c>
    </row>
    <row r="65" spans="2:14" hidden="1" x14ac:dyDescent="0.25">
      <c r="B65" s="13">
        <v>43853</v>
      </c>
      <c r="C65" s="2">
        <v>7992516</v>
      </c>
      <c r="D65" s="2">
        <v>7797194</v>
      </c>
      <c r="E65" s="2">
        <v>195322</v>
      </c>
      <c r="F65" s="14">
        <v>97.56</v>
      </c>
      <c r="G65" s="2">
        <v>57705803</v>
      </c>
      <c r="H65" s="2">
        <v>44641232</v>
      </c>
      <c r="I65" s="2">
        <v>13064571</v>
      </c>
      <c r="J65" s="14">
        <v>77.36</v>
      </c>
      <c r="K65" s="2">
        <v>3705659</v>
      </c>
      <c r="L65" s="2">
        <v>3705416</v>
      </c>
      <c r="M65" s="2">
        <v>243</v>
      </c>
      <c r="N65" s="14">
        <v>99.99</v>
      </c>
    </row>
    <row r="66" spans="2:14" hidden="1" x14ac:dyDescent="0.25">
      <c r="B66" s="13">
        <v>43854</v>
      </c>
      <c r="C66" s="2">
        <v>8059347</v>
      </c>
      <c r="D66" s="2">
        <v>7866874</v>
      </c>
      <c r="E66" s="2">
        <v>192473</v>
      </c>
      <c r="F66" s="14">
        <v>97.61</v>
      </c>
      <c r="G66" s="2">
        <v>60755592</v>
      </c>
      <c r="H66" s="2">
        <v>45678517</v>
      </c>
      <c r="I66" s="2">
        <v>15077075</v>
      </c>
      <c r="J66" s="14">
        <v>75.180000000000007</v>
      </c>
      <c r="K66" s="2">
        <v>3512366</v>
      </c>
      <c r="L66" s="2">
        <v>3512081</v>
      </c>
      <c r="M66" s="2">
        <v>285</v>
      </c>
      <c r="N66" s="14">
        <v>99.99</v>
      </c>
    </row>
    <row r="67" spans="2:14" hidden="1" x14ac:dyDescent="0.25">
      <c r="B67" s="13">
        <v>43855</v>
      </c>
      <c r="C67" s="2">
        <v>8626662</v>
      </c>
      <c r="D67" s="2">
        <v>8434741</v>
      </c>
      <c r="E67" s="2">
        <v>191921</v>
      </c>
      <c r="F67" s="14">
        <v>97.78</v>
      </c>
      <c r="G67" s="2">
        <v>58349846</v>
      </c>
      <c r="H67" s="2">
        <v>47622260</v>
      </c>
      <c r="I67" s="2">
        <v>10727586</v>
      </c>
      <c r="J67" s="14">
        <v>81.62</v>
      </c>
      <c r="K67" s="2">
        <v>3225013</v>
      </c>
      <c r="L67" s="2">
        <v>3224493</v>
      </c>
      <c r="M67" s="2">
        <v>520</v>
      </c>
      <c r="N67" s="14">
        <v>99.98</v>
      </c>
    </row>
    <row r="68" spans="2:14" hidden="1" x14ac:dyDescent="0.25">
      <c r="B68" s="13">
        <v>43856</v>
      </c>
      <c r="C68" s="2">
        <v>8437785</v>
      </c>
      <c r="D68" s="2">
        <v>8239723</v>
      </c>
      <c r="E68" s="2">
        <v>198062</v>
      </c>
      <c r="F68" s="14">
        <v>97.65</v>
      </c>
      <c r="G68" s="2">
        <v>49884586</v>
      </c>
      <c r="H68" s="2">
        <v>40161280</v>
      </c>
      <c r="I68" s="2">
        <v>9723306</v>
      </c>
      <c r="J68" s="14">
        <v>80.510000000000005</v>
      </c>
      <c r="K68" s="2">
        <v>3205877</v>
      </c>
      <c r="L68" s="2">
        <v>3205545</v>
      </c>
      <c r="M68" s="2">
        <v>332</v>
      </c>
      <c r="N68" s="14">
        <v>99.99</v>
      </c>
    </row>
    <row r="69" spans="2:14" hidden="1" x14ac:dyDescent="0.25">
      <c r="B69" s="13">
        <v>43857</v>
      </c>
      <c r="C69" s="2">
        <v>7968506</v>
      </c>
      <c r="D69" s="2">
        <v>7776301</v>
      </c>
      <c r="E69" s="2">
        <v>192205</v>
      </c>
      <c r="F69" s="14">
        <v>97.59</v>
      </c>
      <c r="G69" s="2">
        <v>70083943</v>
      </c>
      <c r="H69" s="2">
        <v>53548795</v>
      </c>
      <c r="I69" s="2">
        <v>16535148</v>
      </c>
      <c r="J69" s="14">
        <v>76.41</v>
      </c>
      <c r="K69" s="2">
        <v>3964134</v>
      </c>
      <c r="L69" s="2">
        <v>3963932</v>
      </c>
      <c r="M69" s="2">
        <v>202</v>
      </c>
      <c r="N69" s="14">
        <v>99.99</v>
      </c>
    </row>
    <row r="70" spans="2:14" hidden="1" x14ac:dyDescent="0.25">
      <c r="B70" s="13">
        <v>43858</v>
      </c>
      <c r="C70" s="2">
        <v>8793586</v>
      </c>
      <c r="D70" s="2">
        <v>8591127</v>
      </c>
      <c r="E70" s="2">
        <v>202459</v>
      </c>
      <c r="F70" s="14">
        <v>97.7</v>
      </c>
      <c r="G70" s="2">
        <v>71975031</v>
      </c>
      <c r="H70" s="2">
        <v>58532035</v>
      </c>
      <c r="I70" s="2">
        <v>13442996</v>
      </c>
      <c r="J70" s="14">
        <v>81.319999999999993</v>
      </c>
      <c r="K70" s="2">
        <v>2409924</v>
      </c>
      <c r="L70" s="2">
        <v>2375330</v>
      </c>
      <c r="M70" s="2">
        <v>34594</v>
      </c>
      <c r="N70" s="14">
        <v>98.56</v>
      </c>
    </row>
    <row r="71" spans="2:14" hidden="1" x14ac:dyDescent="0.25">
      <c r="B71" s="13">
        <v>43859</v>
      </c>
      <c r="C71" s="2">
        <v>7894426</v>
      </c>
      <c r="D71" s="2">
        <v>7577878</v>
      </c>
      <c r="E71" s="2">
        <v>316548</v>
      </c>
      <c r="F71" s="14">
        <v>95.99</v>
      </c>
      <c r="G71" s="2">
        <v>58938156</v>
      </c>
      <c r="H71" s="2">
        <v>44078538</v>
      </c>
      <c r="I71" s="2">
        <v>14859618</v>
      </c>
      <c r="J71" s="14">
        <v>74.790000000000006</v>
      </c>
      <c r="K71" s="2">
        <v>2667251</v>
      </c>
      <c r="L71" s="2">
        <v>2666990</v>
      </c>
      <c r="M71" s="2">
        <v>261</v>
      </c>
      <c r="N71" s="14">
        <v>99.99</v>
      </c>
    </row>
    <row r="72" spans="2:14" hidden="1" x14ac:dyDescent="0.25">
      <c r="B72" s="13">
        <v>43860</v>
      </c>
      <c r="C72" s="2">
        <v>8022771</v>
      </c>
      <c r="D72" s="2">
        <v>7726905</v>
      </c>
      <c r="E72" s="2">
        <v>295866</v>
      </c>
      <c r="F72" s="14">
        <v>96.31</v>
      </c>
      <c r="G72" s="2">
        <v>66303152</v>
      </c>
      <c r="H72" s="2">
        <v>52264575</v>
      </c>
      <c r="I72" s="2">
        <v>14038577</v>
      </c>
      <c r="J72" s="14">
        <v>78.83</v>
      </c>
      <c r="K72" s="2">
        <v>3018947</v>
      </c>
      <c r="L72" s="2">
        <v>3018733</v>
      </c>
      <c r="M72" s="2">
        <v>214</v>
      </c>
      <c r="N72" s="14">
        <v>99.99</v>
      </c>
    </row>
    <row r="73" spans="2:14" hidden="1" x14ac:dyDescent="0.25">
      <c r="B73" s="13">
        <v>43861</v>
      </c>
      <c r="C73" s="2">
        <v>8364492</v>
      </c>
      <c r="D73" s="2">
        <v>8173456</v>
      </c>
      <c r="E73" s="2">
        <v>191036</v>
      </c>
      <c r="F73" s="14">
        <v>97.72</v>
      </c>
      <c r="G73" s="2">
        <v>56304788</v>
      </c>
      <c r="H73" s="2">
        <v>43885584</v>
      </c>
      <c r="I73" s="2">
        <v>12419204</v>
      </c>
      <c r="J73" s="14">
        <v>77.94</v>
      </c>
      <c r="K73" s="2">
        <v>3241652</v>
      </c>
      <c r="L73" s="2">
        <v>3241250</v>
      </c>
      <c r="M73" s="2">
        <v>402</v>
      </c>
      <c r="N73" s="14">
        <v>99.99</v>
      </c>
    </row>
    <row r="74" spans="2:14" hidden="1" x14ac:dyDescent="0.25">
      <c r="B74" s="13">
        <v>43862</v>
      </c>
      <c r="C74" s="2">
        <v>8548502</v>
      </c>
      <c r="D74" s="2">
        <v>8352333</v>
      </c>
      <c r="E74" s="2">
        <v>196169</v>
      </c>
      <c r="F74" s="14">
        <v>97.71</v>
      </c>
      <c r="G74" s="2">
        <v>55186013</v>
      </c>
      <c r="H74" s="2">
        <v>43137575</v>
      </c>
      <c r="I74" s="2">
        <v>12048438</v>
      </c>
      <c r="J74" s="14">
        <v>78.17</v>
      </c>
      <c r="K74" s="2">
        <v>4103576</v>
      </c>
      <c r="L74" s="2">
        <v>4103031</v>
      </c>
      <c r="M74" s="2">
        <v>545</v>
      </c>
      <c r="N74" s="14">
        <v>99.99</v>
      </c>
    </row>
    <row r="75" spans="2:14" hidden="1" x14ac:dyDescent="0.25">
      <c r="B75" s="13">
        <v>43863</v>
      </c>
      <c r="C75" s="2">
        <v>6286717</v>
      </c>
      <c r="D75" s="2">
        <v>6094612</v>
      </c>
      <c r="E75" s="2">
        <v>192105</v>
      </c>
      <c r="F75" s="14">
        <v>96.94</v>
      </c>
      <c r="G75" s="2">
        <v>39876180</v>
      </c>
      <c r="H75" s="2">
        <v>31843825</v>
      </c>
      <c r="I75" s="2">
        <v>8032355</v>
      </c>
      <c r="J75" s="14">
        <v>79.86</v>
      </c>
      <c r="K75" s="2">
        <v>2934276</v>
      </c>
      <c r="L75" s="2">
        <v>2933897</v>
      </c>
      <c r="M75" s="2">
        <v>379</v>
      </c>
      <c r="N75" s="14">
        <v>99.99</v>
      </c>
    </row>
    <row r="76" spans="2:14" hidden="1" x14ac:dyDescent="0.25">
      <c r="B76" s="13">
        <v>43864</v>
      </c>
      <c r="C76" s="2">
        <v>7894995</v>
      </c>
      <c r="D76" s="2">
        <v>7732741</v>
      </c>
      <c r="E76" s="2">
        <v>162254</v>
      </c>
      <c r="F76" s="14">
        <v>97.94</v>
      </c>
      <c r="G76" s="2">
        <v>59895641</v>
      </c>
      <c r="H76" s="2">
        <v>47110281</v>
      </c>
      <c r="I76" s="2">
        <v>12785360</v>
      </c>
      <c r="J76" s="14">
        <v>78.650000000000006</v>
      </c>
      <c r="K76" s="2">
        <v>4496849</v>
      </c>
      <c r="L76" s="2">
        <v>4496355</v>
      </c>
      <c r="M76" s="2">
        <v>494</v>
      </c>
      <c r="N76" s="14">
        <v>99.99</v>
      </c>
    </row>
    <row r="77" spans="2:14" hidden="1" x14ac:dyDescent="0.25">
      <c r="B77" s="13">
        <v>43865</v>
      </c>
      <c r="C77" s="2">
        <v>8129347</v>
      </c>
      <c r="D77" s="2">
        <v>7938310</v>
      </c>
      <c r="E77" s="2">
        <v>191037</v>
      </c>
      <c r="F77" s="14">
        <v>97.65</v>
      </c>
      <c r="G77" s="2">
        <v>58463786</v>
      </c>
      <c r="H77" s="2">
        <v>46428965</v>
      </c>
      <c r="I77" s="2">
        <v>12034821</v>
      </c>
      <c r="J77" s="14">
        <v>79.41</v>
      </c>
      <c r="K77" s="2">
        <v>3098745</v>
      </c>
      <c r="L77" s="2">
        <v>3098387</v>
      </c>
      <c r="M77" s="2">
        <v>358</v>
      </c>
      <c r="N77" s="14">
        <v>99.99</v>
      </c>
    </row>
    <row r="78" spans="2:14" hidden="1" x14ac:dyDescent="0.25">
      <c r="B78" s="13">
        <v>43866</v>
      </c>
      <c r="C78" s="2">
        <v>8337758</v>
      </c>
      <c r="D78" s="2">
        <v>8145815</v>
      </c>
      <c r="E78" s="2">
        <v>191943</v>
      </c>
      <c r="F78" s="14">
        <v>97.7</v>
      </c>
      <c r="G78" s="2">
        <v>72361865</v>
      </c>
      <c r="H78" s="2">
        <v>55659720</v>
      </c>
      <c r="I78" s="2">
        <v>16702145</v>
      </c>
      <c r="J78" s="14">
        <v>76.92</v>
      </c>
      <c r="K78" s="2">
        <v>3702853</v>
      </c>
      <c r="L78" s="2">
        <v>3702211</v>
      </c>
      <c r="M78" s="2">
        <v>642</v>
      </c>
      <c r="N78" s="14">
        <v>99.98</v>
      </c>
    </row>
    <row r="79" spans="2:14" hidden="1" x14ac:dyDescent="0.25">
      <c r="B79" s="13">
        <v>43867</v>
      </c>
      <c r="C79" s="2">
        <v>8132401</v>
      </c>
      <c r="D79" s="2">
        <v>7942605</v>
      </c>
      <c r="E79" s="2">
        <v>189796</v>
      </c>
      <c r="F79" s="14">
        <v>97.67</v>
      </c>
      <c r="G79" s="2">
        <v>60384616</v>
      </c>
      <c r="H79" s="2">
        <v>48543557</v>
      </c>
      <c r="I79" s="2">
        <v>11841059</v>
      </c>
      <c r="J79" s="14">
        <v>80.39</v>
      </c>
      <c r="K79" s="2">
        <v>3285453</v>
      </c>
      <c r="L79" s="2">
        <v>3280116</v>
      </c>
      <c r="M79" s="2">
        <v>5337</v>
      </c>
      <c r="N79" s="14">
        <v>99.84</v>
      </c>
    </row>
    <row r="80" spans="2:14" hidden="1" x14ac:dyDescent="0.25">
      <c r="B80" s="13">
        <v>43868</v>
      </c>
      <c r="C80" s="2">
        <v>8178923</v>
      </c>
      <c r="D80" s="2">
        <v>7996292</v>
      </c>
      <c r="E80" s="2">
        <v>182631</v>
      </c>
      <c r="F80" s="14">
        <v>97.77</v>
      </c>
      <c r="G80" s="2">
        <v>59150371</v>
      </c>
      <c r="H80" s="2">
        <v>45851072</v>
      </c>
      <c r="I80" s="2">
        <v>13299299</v>
      </c>
      <c r="J80" s="14">
        <v>77.52</v>
      </c>
      <c r="K80" s="2">
        <v>2985150</v>
      </c>
      <c r="L80" s="2">
        <v>59150371</v>
      </c>
      <c r="M80" s="2">
        <v>731</v>
      </c>
      <c r="N80" s="14">
        <v>99.98</v>
      </c>
    </row>
    <row r="81" spans="2:14" hidden="1" x14ac:dyDescent="0.25">
      <c r="B81" s="13">
        <v>43869</v>
      </c>
      <c r="C81" s="2">
        <v>8467825</v>
      </c>
      <c r="D81" s="2">
        <v>8280087</v>
      </c>
      <c r="E81" s="2">
        <v>187738</v>
      </c>
      <c r="F81" s="14">
        <v>97.78</v>
      </c>
      <c r="G81" s="2">
        <v>61254831</v>
      </c>
      <c r="H81" s="2">
        <v>47784555</v>
      </c>
      <c r="I81" s="2">
        <v>13470276</v>
      </c>
      <c r="J81" s="14">
        <v>78.010000000000005</v>
      </c>
      <c r="K81" s="2">
        <v>4104956</v>
      </c>
      <c r="L81" s="2">
        <v>4104477</v>
      </c>
      <c r="M81" s="2">
        <v>479</v>
      </c>
      <c r="N81" s="14">
        <v>99.99</v>
      </c>
    </row>
    <row r="82" spans="2:14" hidden="1" x14ac:dyDescent="0.25">
      <c r="B82" s="13">
        <v>43870</v>
      </c>
      <c r="C82" s="2">
        <v>8166083</v>
      </c>
      <c r="D82" s="2">
        <v>7979530</v>
      </c>
      <c r="E82" s="2">
        <v>186553</v>
      </c>
      <c r="F82" s="14">
        <v>97.72</v>
      </c>
      <c r="G82" s="2">
        <v>47454166</v>
      </c>
      <c r="H82" s="2">
        <v>38765163</v>
      </c>
      <c r="I82" s="2">
        <v>8689003</v>
      </c>
      <c r="J82" s="14">
        <v>81.69</v>
      </c>
      <c r="K82" s="2">
        <v>2957932</v>
      </c>
      <c r="L82" s="2">
        <v>2957508</v>
      </c>
      <c r="M82" s="2">
        <v>424</v>
      </c>
      <c r="N82" s="14">
        <v>99.99</v>
      </c>
    </row>
    <row r="83" spans="2:14" hidden="1" x14ac:dyDescent="0.25">
      <c r="B83" s="13">
        <v>43871</v>
      </c>
      <c r="C83" s="2">
        <v>7807642</v>
      </c>
      <c r="D83" s="2">
        <v>7634828</v>
      </c>
      <c r="E83" s="2">
        <v>172814</v>
      </c>
      <c r="F83" s="14">
        <v>97.79</v>
      </c>
      <c r="G83" s="2">
        <v>63064704</v>
      </c>
      <c r="H83" s="2">
        <v>47896564</v>
      </c>
      <c r="I83" s="2">
        <v>15168140</v>
      </c>
      <c r="J83" s="14">
        <v>75.95</v>
      </c>
      <c r="K83" s="2">
        <v>3632491</v>
      </c>
      <c r="L83" s="2">
        <v>3628848</v>
      </c>
      <c r="M83" s="2">
        <v>3643</v>
      </c>
      <c r="N83" s="14">
        <v>99.9</v>
      </c>
    </row>
    <row r="84" spans="2:14" hidden="1" x14ac:dyDescent="0.25">
      <c r="B84" s="13">
        <v>43872</v>
      </c>
      <c r="C84" s="2">
        <v>7561474</v>
      </c>
      <c r="D84" s="2">
        <v>7385073</v>
      </c>
      <c r="E84" s="2">
        <v>176401</v>
      </c>
      <c r="F84" s="14">
        <v>97.67</v>
      </c>
      <c r="G84" s="2">
        <v>64532681</v>
      </c>
      <c r="H84" s="2">
        <v>51061112</v>
      </c>
      <c r="I84" s="2">
        <v>13471569</v>
      </c>
      <c r="J84" s="14">
        <v>79.12</v>
      </c>
      <c r="K84" s="2">
        <v>2580330</v>
      </c>
      <c r="L84" s="2">
        <v>2579528</v>
      </c>
      <c r="M84" s="2">
        <v>802</v>
      </c>
      <c r="N84" s="14">
        <v>99.97</v>
      </c>
    </row>
    <row r="85" spans="2:14" hidden="1" x14ac:dyDescent="0.25">
      <c r="B85" s="13">
        <v>43873</v>
      </c>
      <c r="C85" s="2">
        <v>7682855</v>
      </c>
      <c r="D85" s="2">
        <v>7502502</v>
      </c>
      <c r="E85" s="2">
        <v>180353</v>
      </c>
      <c r="F85" s="14">
        <v>97.65</v>
      </c>
      <c r="G85" s="2">
        <v>65086901</v>
      </c>
      <c r="H85" s="2">
        <v>49010663</v>
      </c>
      <c r="I85" s="2">
        <v>16076238</v>
      </c>
      <c r="J85" s="14">
        <v>75.3</v>
      </c>
      <c r="K85" s="2">
        <v>2142066</v>
      </c>
      <c r="L85" s="2">
        <v>2141117</v>
      </c>
      <c r="M85" s="2">
        <v>949</v>
      </c>
      <c r="N85" s="14">
        <v>99.96</v>
      </c>
    </row>
    <row r="86" spans="2:14" hidden="1" x14ac:dyDescent="0.25">
      <c r="B86" s="13">
        <v>43874</v>
      </c>
      <c r="C86" s="2">
        <v>7891411</v>
      </c>
      <c r="D86" s="2">
        <v>7714895</v>
      </c>
      <c r="E86" s="2">
        <v>176516</v>
      </c>
      <c r="F86" s="14">
        <v>97.76</v>
      </c>
      <c r="G86" s="2">
        <v>61548358</v>
      </c>
      <c r="H86" s="2">
        <v>48442109</v>
      </c>
      <c r="I86" s="2">
        <v>13106249</v>
      </c>
      <c r="J86" s="14">
        <v>78.709999999999994</v>
      </c>
      <c r="K86" s="2">
        <v>2793750</v>
      </c>
      <c r="L86" s="2">
        <v>2793404</v>
      </c>
      <c r="M86" s="2">
        <v>346</v>
      </c>
      <c r="N86" s="14">
        <v>99.99</v>
      </c>
    </row>
    <row r="87" spans="2:14" hidden="1" x14ac:dyDescent="0.25">
      <c r="B87" s="13">
        <v>43875</v>
      </c>
      <c r="C87" s="2">
        <v>9602095</v>
      </c>
      <c r="D87" s="2">
        <v>9415585</v>
      </c>
      <c r="E87" s="2">
        <v>186510</v>
      </c>
      <c r="F87" s="14">
        <v>98.06</v>
      </c>
      <c r="G87" s="2">
        <v>73888068</v>
      </c>
      <c r="H87" s="2">
        <v>58357539</v>
      </c>
      <c r="I87" s="2">
        <v>15530529</v>
      </c>
      <c r="J87" s="14">
        <v>78.98</v>
      </c>
      <c r="K87" s="2">
        <v>3092773</v>
      </c>
      <c r="L87" s="2">
        <v>3092366</v>
      </c>
      <c r="M87" s="2">
        <v>407</v>
      </c>
      <c r="N87" s="14">
        <v>99.99</v>
      </c>
    </row>
    <row r="88" spans="2:14" hidden="1" x14ac:dyDescent="0.25">
      <c r="B88" s="13">
        <v>43876</v>
      </c>
      <c r="C88" s="2">
        <v>8571120</v>
      </c>
      <c r="D88" s="2">
        <v>8343085</v>
      </c>
      <c r="E88" s="2">
        <v>228035</v>
      </c>
      <c r="F88" s="14">
        <v>97.34</v>
      </c>
      <c r="G88" s="2">
        <v>59338842</v>
      </c>
      <c r="H88" s="2">
        <v>46734781</v>
      </c>
      <c r="I88" s="2">
        <v>12604061</v>
      </c>
      <c r="J88" s="14">
        <v>78.760000000000005</v>
      </c>
      <c r="K88" s="2">
        <v>3471192</v>
      </c>
      <c r="L88" s="2">
        <v>3470388</v>
      </c>
      <c r="M88" s="2">
        <v>804</v>
      </c>
      <c r="N88" s="14">
        <v>99.98</v>
      </c>
    </row>
    <row r="89" spans="2:14" hidden="1" x14ac:dyDescent="0.25">
      <c r="B89" s="13">
        <v>43877</v>
      </c>
      <c r="C89" s="2">
        <v>8614728</v>
      </c>
      <c r="D89" s="2">
        <v>8424648</v>
      </c>
      <c r="E89" s="2">
        <v>190080</v>
      </c>
      <c r="F89" s="14">
        <v>97.79</v>
      </c>
      <c r="G89" s="2">
        <v>50622371</v>
      </c>
      <c r="H89" s="2">
        <v>41455983</v>
      </c>
      <c r="I89" s="2">
        <v>9166388</v>
      </c>
      <c r="J89" s="14">
        <v>81.89</v>
      </c>
      <c r="K89" s="2">
        <v>2081023</v>
      </c>
      <c r="L89" s="2">
        <v>2080193</v>
      </c>
      <c r="M89" s="2">
        <v>830</v>
      </c>
      <c r="N89" s="14">
        <v>99.96</v>
      </c>
    </row>
    <row r="90" spans="2:14" hidden="1" x14ac:dyDescent="0.25">
      <c r="B90" s="13">
        <v>43878</v>
      </c>
      <c r="C90" s="2">
        <v>8394214</v>
      </c>
      <c r="D90" s="2">
        <v>8209950</v>
      </c>
      <c r="E90" s="2">
        <v>184264</v>
      </c>
      <c r="F90" s="14">
        <v>97.8</v>
      </c>
      <c r="G90" s="2">
        <v>59311511</v>
      </c>
      <c r="H90" s="2">
        <v>45716146</v>
      </c>
      <c r="I90" s="2">
        <v>13595365</v>
      </c>
      <c r="J90" s="14">
        <v>77.08</v>
      </c>
      <c r="K90" s="2">
        <v>2805793</v>
      </c>
      <c r="L90" s="2">
        <v>2805282</v>
      </c>
      <c r="M90" s="2">
        <v>511</v>
      </c>
      <c r="N90" s="14">
        <v>99.98</v>
      </c>
    </row>
    <row r="91" spans="2:14" hidden="1" x14ac:dyDescent="0.25">
      <c r="B91" s="13">
        <v>43879</v>
      </c>
      <c r="C91" s="2">
        <v>7819591</v>
      </c>
      <c r="D91" s="2">
        <v>7631449</v>
      </c>
      <c r="E91" s="2">
        <v>188142</v>
      </c>
      <c r="F91" s="14">
        <v>97.59</v>
      </c>
      <c r="G91" s="2">
        <v>61675636</v>
      </c>
      <c r="H91" s="2">
        <v>47933507</v>
      </c>
      <c r="I91" s="2">
        <v>13742129</v>
      </c>
      <c r="J91" s="14">
        <v>77.72</v>
      </c>
      <c r="K91" s="2">
        <v>2180156</v>
      </c>
      <c r="L91" s="2">
        <v>2179641</v>
      </c>
      <c r="M91" s="2">
        <v>515</v>
      </c>
      <c r="N91" s="14">
        <v>99.98</v>
      </c>
    </row>
    <row r="92" spans="2:14" hidden="1" x14ac:dyDescent="0.25">
      <c r="B92" s="13">
        <v>43880</v>
      </c>
      <c r="C92" s="2">
        <v>8349148</v>
      </c>
      <c r="D92" s="2">
        <v>8161043</v>
      </c>
      <c r="E92" s="2">
        <v>188105</v>
      </c>
      <c r="F92" s="14">
        <v>97.75</v>
      </c>
      <c r="G92" s="2">
        <v>70850390</v>
      </c>
      <c r="H92" s="2">
        <v>53510387</v>
      </c>
      <c r="I92" s="2">
        <v>17340003</v>
      </c>
      <c r="J92" s="14">
        <v>75.53</v>
      </c>
      <c r="K92" s="2">
        <v>2605734</v>
      </c>
      <c r="L92" s="2">
        <v>2604786</v>
      </c>
      <c r="M92" s="2">
        <v>948</v>
      </c>
      <c r="N92" s="14">
        <v>99.96</v>
      </c>
    </row>
    <row r="93" spans="2:14" hidden="1" x14ac:dyDescent="0.25">
      <c r="B93" s="13">
        <v>43881</v>
      </c>
      <c r="C93" s="2">
        <v>8219279</v>
      </c>
      <c r="D93" s="2">
        <v>8023294</v>
      </c>
      <c r="E93" s="2">
        <v>195985</v>
      </c>
      <c r="F93" s="14">
        <v>97.62</v>
      </c>
      <c r="G93" s="2">
        <v>83009627</v>
      </c>
      <c r="H93" s="2">
        <v>60833535</v>
      </c>
      <c r="I93" s="2">
        <v>22176092</v>
      </c>
      <c r="J93" s="14">
        <v>73.28</v>
      </c>
      <c r="K93" s="2">
        <v>2657796</v>
      </c>
      <c r="L93" s="2">
        <v>2656854</v>
      </c>
      <c r="M93" s="2">
        <v>942</v>
      </c>
      <c r="N93" s="14">
        <v>99.96</v>
      </c>
    </row>
    <row r="94" spans="2:14" hidden="1" x14ac:dyDescent="0.25">
      <c r="B94" s="13">
        <v>43882</v>
      </c>
      <c r="C94" s="2">
        <v>8471014</v>
      </c>
      <c r="D94" s="2">
        <v>8274888</v>
      </c>
      <c r="E94" s="2">
        <v>196126</v>
      </c>
      <c r="F94" s="14">
        <v>97.68</v>
      </c>
      <c r="G94" s="2">
        <v>76584897</v>
      </c>
      <c r="H94" s="2">
        <v>57221989</v>
      </c>
      <c r="I94" s="2">
        <v>19362908</v>
      </c>
      <c r="J94" s="14">
        <v>74.72</v>
      </c>
      <c r="K94" s="2">
        <v>2956154</v>
      </c>
      <c r="L94" s="2">
        <v>2955686</v>
      </c>
      <c r="M94" s="2">
        <v>468</v>
      </c>
      <c r="N94" s="14">
        <v>99.98</v>
      </c>
    </row>
    <row r="95" spans="2:14" hidden="1" x14ac:dyDescent="0.25">
      <c r="B95" s="13">
        <v>43883</v>
      </c>
      <c r="C95" s="2">
        <v>8253185</v>
      </c>
      <c r="D95" s="2">
        <v>8059819</v>
      </c>
      <c r="E95" s="2">
        <v>193366</v>
      </c>
      <c r="F95" s="14">
        <v>97.66</v>
      </c>
      <c r="G95" s="2">
        <v>76358987</v>
      </c>
      <c r="H95" s="2">
        <v>56144147</v>
      </c>
      <c r="I95" s="2">
        <v>20214840</v>
      </c>
      <c r="J95" s="14">
        <v>73.53</v>
      </c>
      <c r="K95" s="2">
        <v>2985195</v>
      </c>
      <c r="L95" s="2">
        <v>2984442</v>
      </c>
      <c r="M95" s="2">
        <v>753</v>
      </c>
      <c r="N95" s="14">
        <v>99.97</v>
      </c>
    </row>
    <row r="96" spans="2:14" hidden="1" x14ac:dyDescent="0.25">
      <c r="B96" s="13">
        <v>43884</v>
      </c>
      <c r="C96" s="2">
        <v>8255994</v>
      </c>
      <c r="D96" s="2">
        <v>8070972</v>
      </c>
      <c r="E96" s="2">
        <v>185022</v>
      </c>
      <c r="F96" s="14">
        <v>97.76</v>
      </c>
      <c r="G96" s="2">
        <v>51524278</v>
      </c>
      <c r="H96" s="2">
        <v>42031550</v>
      </c>
      <c r="I96" s="2">
        <v>9492728</v>
      </c>
      <c r="J96" s="14">
        <v>81.58</v>
      </c>
      <c r="K96" s="2">
        <v>2944367</v>
      </c>
      <c r="L96" s="2">
        <v>2943926</v>
      </c>
      <c r="M96" s="2">
        <v>441</v>
      </c>
      <c r="N96" s="14">
        <v>99.99</v>
      </c>
    </row>
    <row r="97" spans="2:14" hidden="1" x14ac:dyDescent="0.25">
      <c r="B97" s="13">
        <v>43885</v>
      </c>
      <c r="C97" s="2">
        <v>8062035</v>
      </c>
      <c r="D97" s="2">
        <v>7875667</v>
      </c>
      <c r="E97" s="2">
        <v>186368</v>
      </c>
      <c r="F97" s="14">
        <v>97.69</v>
      </c>
      <c r="G97" s="2">
        <v>72667451</v>
      </c>
      <c r="H97" s="2">
        <v>55397595</v>
      </c>
      <c r="I97" s="2">
        <v>17269856</v>
      </c>
      <c r="J97" s="14">
        <v>76.23</v>
      </c>
      <c r="K97" s="2">
        <v>2484318</v>
      </c>
      <c r="L97" s="2">
        <v>2483431</v>
      </c>
      <c r="M97" s="2">
        <v>887</v>
      </c>
      <c r="N97" s="14">
        <v>99.96</v>
      </c>
    </row>
    <row r="98" spans="2:14" hidden="1" x14ac:dyDescent="0.25">
      <c r="B98" s="13">
        <v>43886</v>
      </c>
      <c r="C98" s="2">
        <v>7685920</v>
      </c>
      <c r="D98" s="2">
        <v>7494799</v>
      </c>
      <c r="E98" s="2">
        <v>191121</v>
      </c>
      <c r="F98" s="14">
        <v>97.51</v>
      </c>
      <c r="G98" s="2">
        <v>76834539</v>
      </c>
      <c r="H98" s="2">
        <v>58350992</v>
      </c>
      <c r="I98" s="2">
        <v>18483547</v>
      </c>
      <c r="J98" s="14">
        <v>75.94</v>
      </c>
      <c r="K98" s="2">
        <v>2645226</v>
      </c>
      <c r="L98" s="2">
        <v>2644397</v>
      </c>
      <c r="M98" s="2">
        <v>829</v>
      </c>
      <c r="N98" s="14">
        <v>99.97</v>
      </c>
    </row>
    <row r="99" spans="2:14" hidden="1" x14ac:dyDescent="0.25">
      <c r="B99" s="13">
        <v>43887</v>
      </c>
      <c r="C99" s="2">
        <v>7525645</v>
      </c>
      <c r="D99" s="2">
        <v>7481607</v>
      </c>
      <c r="E99" s="2">
        <v>44038</v>
      </c>
      <c r="F99" s="14">
        <v>99.41</v>
      </c>
      <c r="G99" s="2">
        <v>75748307</v>
      </c>
      <c r="H99" s="2">
        <v>57773153</v>
      </c>
      <c r="I99" s="2">
        <v>17975154</v>
      </c>
      <c r="J99" s="14">
        <v>76.27</v>
      </c>
      <c r="K99" s="2">
        <v>3199748</v>
      </c>
      <c r="L99" s="2">
        <v>3197861</v>
      </c>
      <c r="M99" s="2">
        <v>1887</v>
      </c>
      <c r="N99" s="14">
        <v>99.94</v>
      </c>
    </row>
    <row r="100" spans="2:14" hidden="1" x14ac:dyDescent="0.25">
      <c r="B100" s="13">
        <v>43888</v>
      </c>
      <c r="C100" s="2">
        <v>7828285</v>
      </c>
      <c r="D100" s="2">
        <v>7650893</v>
      </c>
      <c r="E100" s="2">
        <v>177392</v>
      </c>
      <c r="F100" s="14">
        <v>97.73</v>
      </c>
      <c r="G100" s="2">
        <v>80085497</v>
      </c>
      <c r="H100" s="2">
        <v>57647689</v>
      </c>
      <c r="I100" s="2">
        <v>22437808</v>
      </c>
      <c r="J100" s="14">
        <v>71.98</v>
      </c>
      <c r="K100" s="2">
        <v>2773951</v>
      </c>
      <c r="L100" s="2">
        <v>2773313</v>
      </c>
      <c r="M100" s="2">
        <v>638</v>
      </c>
      <c r="N100" s="14">
        <v>99.99</v>
      </c>
    </row>
    <row r="101" spans="2:14" hidden="1" x14ac:dyDescent="0.25">
      <c r="B101" s="13">
        <v>43889</v>
      </c>
      <c r="C101" s="2">
        <v>8199737</v>
      </c>
      <c r="D101" s="2">
        <v>8011413</v>
      </c>
      <c r="E101" s="2">
        <v>188324</v>
      </c>
      <c r="F101" s="14">
        <v>97.7</v>
      </c>
      <c r="G101" s="2">
        <v>83682843</v>
      </c>
      <c r="H101" s="2">
        <v>62592660</v>
      </c>
      <c r="I101" s="2">
        <v>21090183</v>
      </c>
      <c r="J101" s="14">
        <v>74.8</v>
      </c>
      <c r="K101" s="2">
        <v>3070422</v>
      </c>
      <c r="L101" s="2">
        <v>3066631</v>
      </c>
      <c r="M101" s="2">
        <v>3791</v>
      </c>
      <c r="N101" s="14">
        <v>99.88</v>
      </c>
    </row>
    <row r="102" spans="2:14" hidden="1" x14ac:dyDescent="0.25">
      <c r="B102" s="13">
        <v>43890</v>
      </c>
      <c r="C102" s="2">
        <v>7969816</v>
      </c>
      <c r="D102" s="2">
        <v>7777235</v>
      </c>
      <c r="E102" s="2">
        <v>192581</v>
      </c>
      <c r="F102" s="14">
        <v>97.58</v>
      </c>
      <c r="G102" s="2">
        <v>64565557</v>
      </c>
      <c r="H102" s="2">
        <v>50028880</v>
      </c>
      <c r="I102" s="2">
        <v>14536677</v>
      </c>
      <c r="J102" s="14">
        <v>77.489999999999995</v>
      </c>
      <c r="K102" s="2">
        <v>2400345</v>
      </c>
      <c r="L102" s="2">
        <v>2399927</v>
      </c>
      <c r="M102" s="2">
        <v>418</v>
      </c>
      <c r="N102" s="14">
        <v>99.98</v>
      </c>
    </row>
    <row r="103" spans="2:14" hidden="1" x14ac:dyDescent="0.25">
      <c r="B103" s="13">
        <v>43891</v>
      </c>
      <c r="C103" s="2">
        <v>7885743</v>
      </c>
      <c r="D103" s="2">
        <v>7703031</v>
      </c>
      <c r="E103" s="2">
        <v>182712</v>
      </c>
      <c r="F103" s="14">
        <v>97.68</v>
      </c>
      <c r="G103" s="2">
        <v>42061673</v>
      </c>
      <c r="H103" s="2">
        <v>35317712</v>
      </c>
      <c r="I103" s="2">
        <v>6743961</v>
      </c>
      <c r="J103" s="14">
        <v>83.97</v>
      </c>
      <c r="K103" s="2">
        <v>2404504</v>
      </c>
      <c r="L103" s="2">
        <v>2404185</v>
      </c>
      <c r="M103" s="2">
        <v>319</v>
      </c>
      <c r="N103" s="14">
        <v>99.99</v>
      </c>
    </row>
    <row r="104" spans="2:14" hidden="1" x14ac:dyDescent="0.25">
      <c r="B104" s="13">
        <v>43892</v>
      </c>
      <c r="C104" s="2">
        <v>8502658</v>
      </c>
      <c r="D104" s="2">
        <v>8321951</v>
      </c>
      <c r="E104" s="2">
        <v>180707</v>
      </c>
      <c r="F104" s="14">
        <v>97.87</v>
      </c>
      <c r="G104" s="2">
        <v>65602935</v>
      </c>
      <c r="H104" s="2">
        <v>52965382</v>
      </c>
      <c r="I104" s="2">
        <v>12637553</v>
      </c>
      <c r="J104" s="14">
        <v>80.739999999999995</v>
      </c>
      <c r="K104" s="2">
        <v>3041229</v>
      </c>
      <c r="L104" s="2">
        <v>3040363</v>
      </c>
      <c r="M104" s="2">
        <v>866</v>
      </c>
      <c r="N104" s="14">
        <v>99.97</v>
      </c>
    </row>
    <row r="105" spans="2:14" hidden="1" x14ac:dyDescent="0.25">
      <c r="B105" s="13">
        <v>43893</v>
      </c>
      <c r="C105" s="2">
        <v>8124126</v>
      </c>
      <c r="D105" s="2">
        <v>7933163</v>
      </c>
      <c r="E105" s="2">
        <v>190963</v>
      </c>
      <c r="F105" s="14">
        <v>97.65</v>
      </c>
      <c r="G105" s="2">
        <v>80460513</v>
      </c>
      <c r="H105" s="2">
        <v>60398159</v>
      </c>
      <c r="I105" s="2">
        <v>20062354</v>
      </c>
      <c r="J105" s="14">
        <v>75.069999999999993</v>
      </c>
      <c r="K105" s="2">
        <v>2342167</v>
      </c>
      <c r="L105" s="2">
        <v>2338867</v>
      </c>
      <c r="M105" s="2">
        <v>3300</v>
      </c>
      <c r="N105" s="14">
        <v>99.86</v>
      </c>
    </row>
    <row r="106" spans="2:14" hidden="1" x14ac:dyDescent="0.25">
      <c r="B106" s="13">
        <v>43894</v>
      </c>
      <c r="C106" s="2">
        <v>7261275</v>
      </c>
      <c r="D106" s="2">
        <v>7065458</v>
      </c>
      <c r="E106" s="2">
        <v>195817</v>
      </c>
      <c r="F106" s="14">
        <v>97.3</v>
      </c>
      <c r="G106" s="2">
        <v>74509094</v>
      </c>
      <c r="H106" s="2">
        <v>56566530</v>
      </c>
      <c r="I106" s="2">
        <v>17942564</v>
      </c>
      <c r="J106" s="14">
        <v>75.92</v>
      </c>
      <c r="K106" s="2">
        <v>2280826</v>
      </c>
      <c r="L106" s="2">
        <v>2278515</v>
      </c>
      <c r="M106" s="2">
        <v>2311</v>
      </c>
      <c r="N106" s="14">
        <v>99.9</v>
      </c>
    </row>
    <row r="107" spans="2:14" hidden="1" x14ac:dyDescent="0.25">
      <c r="B107" s="13">
        <v>43895</v>
      </c>
      <c r="C107" s="2">
        <v>8413862</v>
      </c>
      <c r="D107" s="2">
        <v>8230686</v>
      </c>
      <c r="E107" s="2">
        <v>183176</v>
      </c>
      <c r="F107" s="14">
        <v>97.82</v>
      </c>
      <c r="G107" s="2">
        <v>82608006</v>
      </c>
      <c r="H107" s="2">
        <v>64244160</v>
      </c>
      <c r="I107" s="2">
        <v>18363846</v>
      </c>
      <c r="J107" s="14">
        <v>77.77</v>
      </c>
      <c r="K107" s="2">
        <v>3042070</v>
      </c>
      <c r="L107" s="2">
        <v>3041520</v>
      </c>
      <c r="M107" s="2">
        <v>550</v>
      </c>
      <c r="N107" s="14">
        <v>99.98</v>
      </c>
    </row>
    <row r="108" spans="2:14" hidden="1" x14ac:dyDescent="0.25">
      <c r="B108" s="13">
        <v>43896</v>
      </c>
      <c r="C108" s="2">
        <v>8273812</v>
      </c>
      <c r="D108" s="2">
        <v>8077345</v>
      </c>
      <c r="E108" s="2">
        <v>196467</v>
      </c>
      <c r="F108" s="14">
        <v>97.63</v>
      </c>
      <c r="G108" s="2">
        <v>101867245</v>
      </c>
      <c r="H108" s="2">
        <v>74550346</v>
      </c>
      <c r="I108" s="2">
        <v>27316899</v>
      </c>
      <c r="J108" s="14">
        <v>73.180000000000007</v>
      </c>
      <c r="K108" s="2">
        <v>3292105</v>
      </c>
      <c r="L108" s="2">
        <v>3286556</v>
      </c>
      <c r="M108" s="2">
        <v>5549</v>
      </c>
      <c r="N108" s="14">
        <v>99.83</v>
      </c>
    </row>
    <row r="109" spans="2:14" hidden="1" x14ac:dyDescent="0.25">
      <c r="B109" s="13">
        <v>43897</v>
      </c>
      <c r="C109" s="2">
        <v>8430103</v>
      </c>
      <c r="D109" s="2">
        <v>8230192</v>
      </c>
      <c r="E109" s="2">
        <v>199911</v>
      </c>
      <c r="F109" s="14">
        <v>97.63</v>
      </c>
      <c r="G109" s="2">
        <v>78875178</v>
      </c>
      <c r="H109" s="2">
        <v>56959929</v>
      </c>
      <c r="I109" s="2">
        <v>21915249</v>
      </c>
      <c r="J109" s="14">
        <v>72.22</v>
      </c>
      <c r="K109" s="2">
        <v>3521943</v>
      </c>
      <c r="L109" s="2">
        <v>3521687</v>
      </c>
      <c r="M109" s="2">
        <v>256</v>
      </c>
      <c r="N109" s="14">
        <v>99.99</v>
      </c>
    </row>
    <row r="110" spans="2:14" hidden="1" x14ac:dyDescent="0.25">
      <c r="B110" s="13">
        <v>43898</v>
      </c>
      <c r="C110" s="2">
        <v>7791723</v>
      </c>
      <c r="D110" s="2">
        <v>7747761</v>
      </c>
      <c r="E110" s="2">
        <v>43962</v>
      </c>
      <c r="F110" s="14">
        <v>99.44</v>
      </c>
      <c r="G110" s="2">
        <v>57416685</v>
      </c>
      <c r="H110" s="2">
        <v>43874676</v>
      </c>
      <c r="I110" s="2">
        <v>13542009</v>
      </c>
      <c r="J110" s="14">
        <v>76.41</v>
      </c>
      <c r="K110" s="2">
        <v>2787406</v>
      </c>
      <c r="L110" s="2">
        <v>2786825</v>
      </c>
      <c r="M110" s="2">
        <v>581</v>
      </c>
      <c r="N110" s="14">
        <v>99.98</v>
      </c>
    </row>
    <row r="111" spans="2:14" hidden="1" x14ac:dyDescent="0.25">
      <c r="B111" s="13">
        <v>43899</v>
      </c>
      <c r="C111" s="2">
        <v>7739489</v>
      </c>
      <c r="D111" s="2">
        <v>7658116</v>
      </c>
      <c r="E111" s="2">
        <v>81373</v>
      </c>
      <c r="F111" s="14">
        <v>98.95</v>
      </c>
      <c r="G111" s="2">
        <v>85365326</v>
      </c>
      <c r="H111" s="2">
        <v>61972152</v>
      </c>
      <c r="I111" s="2">
        <v>23393174</v>
      </c>
      <c r="J111" s="14">
        <v>72.599999999999994</v>
      </c>
      <c r="K111" s="2">
        <v>2846342</v>
      </c>
      <c r="L111" s="2">
        <v>85365326</v>
      </c>
      <c r="M111" s="2">
        <v>432</v>
      </c>
      <c r="N111" s="14">
        <v>99.98</v>
      </c>
    </row>
    <row r="112" spans="2:14" hidden="1" x14ac:dyDescent="0.25">
      <c r="B112" s="13">
        <v>45020</v>
      </c>
      <c r="C112" s="61">
        <v>8278759</v>
      </c>
      <c r="D112" s="61">
        <v>7795959</v>
      </c>
      <c r="E112" s="61">
        <v>482800</v>
      </c>
      <c r="F112" s="68" t="s">
        <v>92</v>
      </c>
      <c r="G112" s="62">
        <v>93404498</v>
      </c>
      <c r="H112" s="61">
        <v>68023885</v>
      </c>
      <c r="I112" s="61">
        <v>25380613</v>
      </c>
      <c r="J112" s="68" t="s">
        <v>94</v>
      </c>
      <c r="K112" s="61">
        <v>2067710</v>
      </c>
      <c r="L112" s="61">
        <v>2067038</v>
      </c>
      <c r="M112" s="48">
        <v>672</v>
      </c>
      <c r="N112" s="68" t="s">
        <v>87</v>
      </c>
    </row>
    <row r="113" spans="2:14" hidden="1" x14ac:dyDescent="0.25">
      <c r="B113" s="13">
        <v>45021</v>
      </c>
      <c r="C113" s="61">
        <v>8232257</v>
      </c>
      <c r="D113" s="61">
        <v>7837024</v>
      </c>
      <c r="E113" s="61">
        <v>395233</v>
      </c>
      <c r="F113" s="68" t="s">
        <v>90</v>
      </c>
      <c r="G113" s="63">
        <v>80177413</v>
      </c>
      <c r="H113" s="61">
        <v>60186591</v>
      </c>
      <c r="I113" s="61">
        <v>19990822</v>
      </c>
      <c r="J113" s="68" t="s">
        <v>95</v>
      </c>
      <c r="K113" s="61">
        <v>1669429</v>
      </c>
      <c r="L113" s="61">
        <v>1668805</v>
      </c>
      <c r="M113" s="48">
        <v>624</v>
      </c>
      <c r="N113" s="68" t="s">
        <v>88</v>
      </c>
    </row>
    <row r="114" spans="2:14" hidden="1" x14ac:dyDescent="0.25">
      <c r="B114" s="13">
        <v>45022</v>
      </c>
      <c r="C114" s="61">
        <v>8803551</v>
      </c>
      <c r="D114" s="61">
        <v>8411464</v>
      </c>
      <c r="E114" s="61">
        <v>392087</v>
      </c>
      <c r="F114" s="68" t="s">
        <v>93</v>
      </c>
      <c r="G114" s="62">
        <v>76469078</v>
      </c>
      <c r="H114" s="61">
        <v>59516145</v>
      </c>
      <c r="I114" s="61">
        <v>16952933</v>
      </c>
      <c r="J114" s="68" t="s">
        <v>96</v>
      </c>
      <c r="K114" s="61">
        <v>1744290</v>
      </c>
      <c r="L114" s="61">
        <v>1743689</v>
      </c>
      <c r="M114" s="48">
        <v>601</v>
      </c>
      <c r="N114" s="68" t="s">
        <v>87</v>
      </c>
    </row>
    <row r="115" spans="2:14" hidden="1" x14ac:dyDescent="0.25">
      <c r="B115" s="13">
        <v>45023</v>
      </c>
      <c r="C115" s="61">
        <v>9104065</v>
      </c>
      <c r="D115" s="61">
        <v>8698922</v>
      </c>
      <c r="E115" s="61">
        <v>405143</v>
      </c>
      <c r="F115" s="68" t="s">
        <v>93</v>
      </c>
      <c r="G115" s="63">
        <v>100033464</v>
      </c>
      <c r="H115" s="61">
        <v>75000230</v>
      </c>
      <c r="I115" s="61">
        <v>25033234</v>
      </c>
      <c r="J115" s="68" t="s">
        <v>104</v>
      </c>
      <c r="K115" s="61">
        <v>3151247</v>
      </c>
      <c r="L115" s="61">
        <v>3150087</v>
      </c>
      <c r="M115" s="48">
        <v>1160</v>
      </c>
      <c r="N115" s="68" t="s">
        <v>88</v>
      </c>
    </row>
    <row r="116" spans="2:14" hidden="1" x14ac:dyDescent="0.25">
      <c r="B116" s="13">
        <v>45024</v>
      </c>
      <c r="C116" s="61">
        <v>8685910</v>
      </c>
      <c r="D116" s="61">
        <v>8311947</v>
      </c>
      <c r="E116" s="61">
        <v>373963</v>
      </c>
      <c r="F116" s="68" t="s">
        <v>98</v>
      </c>
      <c r="G116" s="62">
        <v>88744988</v>
      </c>
      <c r="H116" s="61">
        <v>66503620</v>
      </c>
      <c r="I116" s="61">
        <v>22241368</v>
      </c>
      <c r="J116" s="68" t="s">
        <v>105</v>
      </c>
      <c r="K116" s="61">
        <v>1703755</v>
      </c>
      <c r="L116" s="61">
        <v>1703137</v>
      </c>
      <c r="M116" s="48">
        <v>618</v>
      </c>
      <c r="N116" s="68" t="s">
        <v>88</v>
      </c>
    </row>
    <row r="117" spans="2:14" hidden="1" x14ac:dyDescent="0.25">
      <c r="B117" s="13">
        <v>45025</v>
      </c>
      <c r="C117" s="61">
        <v>8707596</v>
      </c>
      <c r="D117" s="61">
        <v>8370906</v>
      </c>
      <c r="E117" s="61">
        <v>336690</v>
      </c>
      <c r="F117" s="68" t="s">
        <v>99</v>
      </c>
      <c r="G117" s="63">
        <v>69909319</v>
      </c>
      <c r="H117" s="61">
        <v>55297060</v>
      </c>
      <c r="I117" s="61">
        <v>14612259</v>
      </c>
      <c r="J117" s="68" t="s">
        <v>106</v>
      </c>
      <c r="K117" s="61">
        <v>1637397</v>
      </c>
      <c r="L117" s="61">
        <v>1636611</v>
      </c>
      <c r="M117" s="48">
        <v>786</v>
      </c>
      <c r="N117" s="68" t="s">
        <v>110</v>
      </c>
    </row>
    <row r="118" spans="2:14" hidden="1" x14ac:dyDescent="0.25">
      <c r="B118" s="13">
        <v>45026</v>
      </c>
      <c r="C118" s="61">
        <v>8811667</v>
      </c>
      <c r="D118" s="61">
        <v>8566001</v>
      </c>
      <c r="E118" s="61">
        <v>245666</v>
      </c>
      <c r="F118" s="68" t="s">
        <v>100</v>
      </c>
      <c r="G118" s="162">
        <v>59688894</v>
      </c>
      <c r="H118" s="61">
        <v>50005790</v>
      </c>
      <c r="I118" s="61">
        <v>9683104</v>
      </c>
      <c r="J118" s="68" t="s">
        <v>107</v>
      </c>
      <c r="K118" s="61">
        <v>1900113</v>
      </c>
      <c r="L118" s="61">
        <v>1899002</v>
      </c>
      <c r="M118" s="48">
        <v>1111</v>
      </c>
      <c r="N118" s="68" t="s">
        <v>91</v>
      </c>
    </row>
    <row r="119" spans="2:14" hidden="1" x14ac:dyDescent="0.25">
      <c r="B119" s="13">
        <v>45027</v>
      </c>
      <c r="C119" s="61">
        <v>9680163</v>
      </c>
      <c r="D119" s="61">
        <v>9410991</v>
      </c>
      <c r="E119" s="61">
        <v>269172</v>
      </c>
      <c r="F119" s="68" t="s">
        <v>101</v>
      </c>
      <c r="G119" s="163">
        <v>108658660</v>
      </c>
      <c r="H119" s="61">
        <v>80966402</v>
      </c>
      <c r="I119" s="61">
        <v>27692258</v>
      </c>
      <c r="J119" s="68" t="s">
        <v>97</v>
      </c>
      <c r="K119" s="61">
        <v>6582054</v>
      </c>
      <c r="L119" s="61">
        <v>6579563</v>
      </c>
      <c r="M119" s="48">
        <v>2491</v>
      </c>
      <c r="N119" s="68" t="s">
        <v>88</v>
      </c>
    </row>
    <row r="120" spans="2:14" hidden="1" x14ac:dyDescent="0.25">
      <c r="B120" s="13">
        <v>45028</v>
      </c>
      <c r="C120" s="61">
        <v>9918032</v>
      </c>
      <c r="D120" s="61">
        <v>9506059</v>
      </c>
      <c r="E120" s="61">
        <v>411973</v>
      </c>
      <c r="F120" s="68" t="s">
        <v>102</v>
      </c>
      <c r="G120" s="61">
        <v>93690858</v>
      </c>
      <c r="H120" s="61">
        <v>69230848</v>
      </c>
      <c r="I120" s="61">
        <v>24460010</v>
      </c>
      <c r="J120" s="68" t="s">
        <v>108</v>
      </c>
      <c r="K120" s="61">
        <v>3057027</v>
      </c>
      <c r="L120" s="61">
        <v>3056451</v>
      </c>
      <c r="M120" s="48">
        <v>576</v>
      </c>
      <c r="N120" s="68" t="s">
        <v>111</v>
      </c>
    </row>
    <row r="121" spans="2:14" hidden="1" x14ac:dyDescent="0.25">
      <c r="B121" s="13">
        <v>45029</v>
      </c>
      <c r="C121" s="61">
        <v>10046024</v>
      </c>
      <c r="D121" s="61">
        <v>9675140</v>
      </c>
      <c r="E121" s="61">
        <v>370884</v>
      </c>
      <c r="F121" s="68" t="s">
        <v>103</v>
      </c>
      <c r="G121" s="61">
        <v>90137202</v>
      </c>
      <c r="H121" s="61">
        <v>68441752</v>
      </c>
      <c r="I121" s="61">
        <v>21695450</v>
      </c>
      <c r="J121" s="68" t="s">
        <v>109</v>
      </c>
      <c r="K121" s="61">
        <v>3465827</v>
      </c>
      <c r="L121" s="61">
        <v>3465414</v>
      </c>
      <c r="M121" s="48">
        <v>413</v>
      </c>
      <c r="N121" s="68" t="s">
        <v>86</v>
      </c>
    </row>
    <row r="122" spans="2:14" hidden="1" x14ac:dyDescent="0.25">
      <c r="B122" s="13">
        <v>45030</v>
      </c>
      <c r="C122" s="61">
        <v>10312821</v>
      </c>
      <c r="D122" s="61">
        <v>9921857</v>
      </c>
      <c r="E122" s="61">
        <v>390964</v>
      </c>
      <c r="F122" s="164">
        <v>96.21</v>
      </c>
      <c r="G122" s="61">
        <v>86067390</v>
      </c>
      <c r="H122" s="61">
        <v>63979390</v>
      </c>
      <c r="I122" s="61">
        <v>22088000</v>
      </c>
      <c r="J122" s="164">
        <v>74.34</v>
      </c>
      <c r="K122" s="61">
        <v>2669492</v>
      </c>
      <c r="L122" s="61">
        <v>2667060</v>
      </c>
      <c r="M122" s="161">
        <v>2432</v>
      </c>
      <c r="N122" s="164">
        <v>99.91</v>
      </c>
    </row>
    <row r="123" spans="2:14" hidden="1" x14ac:dyDescent="0.25">
      <c r="B123" s="13">
        <v>45031</v>
      </c>
      <c r="C123" s="61">
        <v>10198733</v>
      </c>
      <c r="D123" s="61">
        <v>9774706</v>
      </c>
      <c r="E123" s="61">
        <v>424027</v>
      </c>
      <c r="F123" s="164">
        <v>95.84</v>
      </c>
      <c r="G123" s="61">
        <v>82089849</v>
      </c>
      <c r="H123" s="61">
        <v>61269891</v>
      </c>
      <c r="I123" s="61">
        <v>20819958</v>
      </c>
      <c r="J123" s="164">
        <v>74.64</v>
      </c>
      <c r="K123" s="61">
        <v>2853659</v>
      </c>
      <c r="L123" s="61">
        <v>2853063</v>
      </c>
      <c r="M123" s="161">
        <v>596</v>
      </c>
      <c r="N123" s="164">
        <v>99.98</v>
      </c>
    </row>
    <row r="124" spans="2:14" hidden="1" x14ac:dyDescent="0.25">
      <c r="B124" s="13">
        <v>45032</v>
      </c>
      <c r="C124" s="61">
        <v>10017402</v>
      </c>
      <c r="D124" s="61">
        <v>9664266</v>
      </c>
      <c r="E124" s="61">
        <v>353136</v>
      </c>
      <c r="F124" s="164">
        <v>96.47</v>
      </c>
      <c r="G124" s="61">
        <v>55582537</v>
      </c>
      <c r="H124" s="61">
        <v>46355632</v>
      </c>
      <c r="I124" s="61">
        <v>9226905</v>
      </c>
      <c r="J124" s="164">
        <v>83.4</v>
      </c>
      <c r="K124" s="61">
        <v>2185081</v>
      </c>
      <c r="L124" s="61">
        <v>2184440</v>
      </c>
      <c r="M124" s="161">
        <v>641</v>
      </c>
      <c r="N124" s="164">
        <v>99.97</v>
      </c>
    </row>
    <row r="125" spans="2:14" hidden="1" x14ac:dyDescent="0.25">
      <c r="B125" s="13">
        <v>45033</v>
      </c>
      <c r="C125" s="61">
        <v>10203464</v>
      </c>
      <c r="D125" s="61">
        <v>9930313</v>
      </c>
      <c r="E125" s="61">
        <v>273151</v>
      </c>
      <c r="F125" s="165">
        <v>97.32</v>
      </c>
      <c r="G125" s="61">
        <v>85984768</v>
      </c>
      <c r="H125" s="61">
        <v>65462730</v>
      </c>
      <c r="I125" s="61">
        <v>20522038</v>
      </c>
      <c r="J125" s="164">
        <v>76.13</v>
      </c>
      <c r="K125" s="61">
        <v>2753318</v>
      </c>
      <c r="L125" s="61">
        <v>2752876</v>
      </c>
      <c r="M125" s="161">
        <v>442</v>
      </c>
      <c r="N125" s="164">
        <v>99.98</v>
      </c>
    </row>
    <row r="126" spans="2:14" hidden="1" x14ac:dyDescent="0.25">
      <c r="B126" s="13">
        <v>45034</v>
      </c>
      <c r="C126" s="61">
        <v>10343373</v>
      </c>
      <c r="D126" s="61">
        <v>9933092</v>
      </c>
      <c r="E126" s="61">
        <v>410281</v>
      </c>
      <c r="F126" s="128">
        <v>96.03</v>
      </c>
      <c r="G126" s="61">
        <v>88339429</v>
      </c>
      <c r="H126" s="61">
        <v>65178759</v>
      </c>
      <c r="I126" s="61">
        <v>23160670</v>
      </c>
      <c r="J126" s="128">
        <v>73.78</v>
      </c>
      <c r="K126" s="61">
        <v>3347765</v>
      </c>
      <c r="L126" s="61">
        <v>3347242</v>
      </c>
      <c r="M126" s="104">
        <v>523</v>
      </c>
      <c r="N126" s="128">
        <v>99.98</v>
      </c>
    </row>
    <row r="127" spans="2:14" hidden="1" x14ac:dyDescent="0.25">
      <c r="B127" s="13">
        <v>45035</v>
      </c>
      <c r="C127" s="61">
        <v>10181775</v>
      </c>
      <c r="D127" s="61">
        <v>9828455</v>
      </c>
      <c r="E127" s="61">
        <v>353320</v>
      </c>
      <c r="F127" s="128">
        <v>96.53</v>
      </c>
      <c r="G127" s="61">
        <v>95780479</v>
      </c>
      <c r="H127" s="61">
        <v>69193105</v>
      </c>
      <c r="I127" s="61">
        <v>26587374</v>
      </c>
      <c r="J127" s="68">
        <v>72.239999999999995</v>
      </c>
      <c r="K127" s="61">
        <v>3520916</v>
      </c>
      <c r="L127" s="61">
        <v>3520457</v>
      </c>
      <c r="M127" s="48">
        <v>459</v>
      </c>
      <c r="N127" s="68">
        <v>99.99</v>
      </c>
    </row>
    <row r="128" spans="2:14" hidden="1" x14ac:dyDescent="0.25">
      <c r="B128" s="13">
        <v>45036</v>
      </c>
      <c r="C128" s="61">
        <v>10062822</v>
      </c>
      <c r="D128" s="61">
        <v>9625936</v>
      </c>
      <c r="E128" s="61">
        <v>436886</v>
      </c>
      <c r="F128" s="128">
        <v>95.66</v>
      </c>
      <c r="G128" s="61">
        <v>113262300</v>
      </c>
      <c r="H128" s="61">
        <v>83003544</v>
      </c>
      <c r="I128" s="61">
        <v>30258756</v>
      </c>
      <c r="J128" s="68">
        <v>73.28</v>
      </c>
      <c r="K128" s="61">
        <v>5820032</v>
      </c>
      <c r="L128" s="61">
        <v>5816371</v>
      </c>
      <c r="M128" s="48">
        <v>3661</v>
      </c>
      <c r="N128" s="68">
        <v>99.94</v>
      </c>
    </row>
    <row r="129" spans="1:14" hidden="1" x14ac:dyDescent="0.25">
      <c r="B129" s="13">
        <v>45037</v>
      </c>
      <c r="C129" s="61">
        <v>11664975</v>
      </c>
      <c r="D129" s="61">
        <v>11276080</v>
      </c>
      <c r="E129" s="61">
        <v>388895</v>
      </c>
      <c r="F129" s="128">
        <v>96.665999999999997</v>
      </c>
      <c r="G129" s="61">
        <v>72010005</v>
      </c>
      <c r="H129" s="61">
        <v>59762325</v>
      </c>
      <c r="I129" s="61">
        <v>12247680</v>
      </c>
      <c r="J129" s="68">
        <v>82.99</v>
      </c>
      <c r="K129" s="61">
        <v>4651464</v>
      </c>
      <c r="L129" s="61">
        <v>4650649</v>
      </c>
      <c r="M129" s="61">
        <v>815</v>
      </c>
      <c r="N129" s="68">
        <v>99.982399999999998</v>
      </c>
    </row>
    <row r="130" spans="1:14" hidden="1" x14ac:dyDescent="0.25">
      <c r="B130" s="13">
        <v>45038</v>
      </c>
      <c r="C130" s="61">
        <v>11013213</v>
      </c>
      <c r="D130" s="61">
        <v>10724342</v>
      </c>
      <c r="E130" s="61">
        <v>288871</v>
      </c>
      <c r="F130" s="128">
        <v>97.376999999999995</v>
      </c>
      <c r="G130" s="61">
        <v>88140224</v>
      </c>
      <c r="H130" s="61">
        <v>66400676</v>
      </c>
      <c r="I130" s="61">
        <v>21739548</v>
      </c>
      <c r="J130" s="68">
        <v>75.33</v>
      </c>
      <c r="K130" s="61">
        <v>2564321</v>
      </c>
      <c r="L130" s="61">
        <v>2563707</v>
      </c>
      <c r="M130" s="61">
        <v>614</v>
      </c>
      <c r="N130" s="68">
        <v>99.975999999999999</v>
      </c>
    </row>
    <row r="131" spans="1:14" hidden="1" x14ac:dyDescent="0.25">
      <c r="B131" s="13">
        <v>45039</v>
      </c>
      <c r="C131" s="61">
        <v>11148664</v>
      </c>
      <c r="D131" s="61">
        <v>10811342</v>
      </c>
      <c r="E131" s="61">
        <v>337322</v>
      </c>
      <c r="F131" s="128">
        <v>96.97</v>
      </c>
      <c r="G131" s="61">
        <v>50605948</v>
      </c>
      <c r="H131" s="61">
        <v>43203684</v>
      </c>
      <c r="I131" s="61">
        <v>7402264</v>
      </c>
      <c r="J131" s="68">
        <v>85.37</v>
      </c>
      <c r="K131" s="61">
        <v>2213785</v>
      </c>
      <c r="L131" s="61">
        <v>2213094</v>
      </c>
      <c r="M131" s="61">
        <v>691</v>
      </c>
      <c r="N131" s="68">
        <v>99.968699999999998</v>
      </c>
    </row>
    <row r="132" spans="1:14" hidden="1" x14ac:dyDescent="0.25">
      <c r="B132" s="13">
        <v>45040</v>
      </c>
      <c r="C132" s="61">
        <v>11195950</v>
      </c>
      <c r="D132" s="61">
        <v>11185216</v>
      </c>
      <c r="E132" s="61">
        <v>10734</v>
      </c>
      <c r="F132" s="128">
        <v>97.58</v>
      </c>
      <c r="G132" s="61">
        <v>102215399</v>
      </c>
      <c r="H132" s="61">
        <v>101359890</v>
      </c>
      <c r="I132" s="61">
        <v>855509</v>
      </c>
      <c r="J132" s="128">
        <v>75.319999999999993</v>
      </c>
      <c r="K132" s="61">
        <v>2701445</v>
      </c>
      <c r="L132" s="61">
        <v>2700883</v>
      </c>
      <c r="M132" s="61">
        <v>562</v>
      </c>
      <c r="N132" s="68">
        <v>99.98</v>
      </c>
    </row>
    <row r="133" spans="1:14" hidden="1" x14ac:dyDescent="0.25">
      <c r="A133" s="108"/>
      <c r="B133" s="13">
        <v>45041</v>
      </c>
      <c r="C133" s="104">
        <f>3884352+3024793</f>
        <v>6909145</v>
      </c>
      <c r="D133" s="104">
        <f>3743828+2999590</f>
        <v>6743418</v>
      </c>
      <c r="E133" s="104">
        <f>140524+25203</f>
        <v>165727</v>
      </c>
      <c r="F133" s="166">
        <v>97.6</v>
      </c>
      <c r="G133" s="104">
        <f>58245208+37236310</f>
        <v>95481518</v>
      </c>
      <c r="H133" s="104">
        <f>39491730+30497735</f>
        <v>69989465</v>
      </c>
      <c r="I133" s="104">
        <f>18753478+6738575</f>
        <v>25492053</v>
      </c>
      <c r="J133" s="166">
        <v>73.3</v>
      </c>
      <c r="K133" s="104">
        <f>2574994+1002805</f>
        <v>3577799</v>
      </c>
      <c r="L133" s="104">
        <f>2574908+1002768</f>
        <v>3577676</v>
      </c>
      <c r="M133" s="104">
        <f>86+37</f>
        <v>123</v>
      </c>
      <c r="N133" s="166">
        <v>100</v>
      </c>
    </row>
    <row r="134" spans="1:14" hidden="1" x14ac:dyDescent="0.25">
      <c r="A134" s="108"/>
      <c r="B134" s="13">
        <v>45042</v>
      </c>
      <c r="C134" s="104">
        <f>10703947+412700</f>
        <v>11116647</v>
      </c>
      <c r="D134" s="104">
        <f>10647730+295174</f>
        <v>10942904</v>
      </c>
      <c r="E134" s="104">
        <f>56217+117526</f>
        <v>173743</v>
      </c>
      <c r="F134" s="166">
        <v>98.44</v>
      </c>
      <c r="G134" s="104">
        <f>58685211+33073625</f>
        <v>91758836</v>
      </c>
      <c r="H134" s="104">
        <f>37353735+20309767</f>
        <v>57663502</v>
      </c>
      <c r="I134" s="104">
        <f>21331476+12763858</f>
        <v>34095334</v>
      </c>
      <c r="J134" s="166">
        <v>62.84</v>
      </c>
      <c r="K134" s="104">
        <f>1382715+58992</f>
        <v>1441707</v>
      </c>
      <c r="L134" s="104">
        <f>1379289+57858</f>
        <v>1437147</v>
      </c>
      <c r="M134" s="104">
        <f>3426+1134</f>
        <v>4560</v>
      </c>
      <c r="N134" s="166">
        <v>99.68</v>
      </c>
    </row>
    <row r="135" spans="1:14" hidden="1" x14ac:dyDescent="0.25">
      <c r="A135" s="108"/>
      <c r="B135" s="13">
        <v>45043</v>
      </c>
      <c r="C135" s="104">
        <v>9691168</v>
      </c>
      <c r="D135" s="104">
        <v>9304664</v>
      </c>
      <c r="E135" s="104">
        <v>386504</v>
      </c>
      <c r="F135" s="166">
        <v>96.01</v>
      </c>
      <c r="G135" s="104">
        <v>96643372</v>
      </c>
      <c r="H135" s="104">
        <v>68237043</v>
      </c>
      <c r="I135" s="104">
        <v>28406329</v>
      </c>
      <c r="J135" s="166">
        <v>70.61</v>
      </c>
      <c r="K135" s="104">
        <v>3229822</v>
      </c>
      <c r="L135" s="104">
        <v>3229807</v>
      </c>
      <c r="M135" s="104">
        <v>15</v>
      </c>
      <c r="N135" s="166">
        <v>100</v>
      </c>
    </row>
    <row r="136" spans="1:14" hidden="1" x14ac:dyDescent="0.25">
      <c r="B136" s="13">
        <v>45044</v>
      </c>
      <c r="C136" s="67">
        <v>10956188</v>
      </c>
      <c r="D136" s="67">
        <v>10936019</v>
      </c>
      <c r="E136" s="67">
        <v>20169</v>
      </c>
      <c r="F136" s="128">
        <v>97.32</v>
      </c>
      <c r="G136" s="67">
        <v>106611269</v>
      </c>
      <c r="H136" s="67">
        <v>105745221</v>
      </c>
      <c r="I136" s="67">
        <v>866048</v>
      </c>
      <c r="J136" s="128">
        <v>70.87</v>
      </c>
      <c r="K136" s="67">
        <v>3819327</v>
      </c>
      <c r="L136" s="67">
        <v>3819302</v>
      </c>
      <c r="M136" s="67">
        <v>25</v>
      </c>
      <c r="N136" s="128">
        <v>99.99</v>
      </c>
    </row>
    <row r="137" spans="1:14" hidden="1" x14ac:dyDescent="0.25">
      <c r="B137" s="13">
        <v>45045</v>
      </c>
      <c r="C137" s="67">
        <v>10925269</v>
      </c>
      <c r="D137" s="67">
        <v>10903816</v>
      </c>
      <c r="E137" s="67">
        <v>21453</v>
      </c>
      <c r="F137" s="128">
        <v>96.75</v>
      </c>
      <c r="G137" s="67">
        <v>105960235</v>
      </c>
      <c r="H137" s="67">
        <v>104865547</v>
      </c>
      <c r="I137" s="67">
        <v>1094688</v>
      </c>
      <c r="J137" s="128">
        <v>73.05</v>
      </c>
      <c r="K137" s="67">
        <v>4493120</v>
      </c>
      <c r="L137" s="67">
        <v>4492352</v>
      </c>
      <c r="M137" s="67">
        <v>768</v>
      </c>
      <c r="N137" s="128">
        <v>99.98</v>
      </c>
    </row>
    <row r="138" spans="1:14" hidden="1" x14ac:dyDescent="0.25">
      <c r="B138" s="13">
        <v>45046</v>
      </c>
      <c r="C138" s="67">
        <v>11031488</v>
      </c>
      <c r="D138" s="67">
        <v>11010475</v>
      </c>
      <c r="E138" s="67">
        <v>21013</v>
      </c>
      <c r="F138" s="128">
        <v>97.02</v>
      </c>
      <c r="G138" s="67">
        <v>67464550</v>
      </c>
      <c r="H138" s="67">
        <v>67042324</v>
      </c>
      <c r="I138" s="67">
        <v>422226</v>
      </c>
      <c r="J138" s="128">
        <v>78.69</v>
      </c>
      <c r="K138" s="67">
        <v>3685806</v>
      </c>
      <c r="L138" s="67">
        <v>3685100</v>
      </c>
      <c r="M138" s="67">
        <v>706</v>
      </c>
      <c r="N138" s="128">
        <v>99.98</v>
      </c>
    </row>
    <row r="139" spans="1:14" hidden="1" x14ac:dyDescent="0.25">
      <c r="B139" s="13">
        <v>45047</v>
      </c>
      <c r="C139" s="67">
        <v>11227624</v>
      </c>
      <c r="D139" s="67">
        <v>10942279</v>
      </c>
      <c r="E139" s="67">
        <v>285345</v>
      </c>
      <c r="F139" s="128">
        <v>97.46</v>
      </c>
      <c r="G139" s="67">
        <v>78458368</v>
      </c>
      <c r="H139" s="67">
        <v>60811846</v>
      </c>
      <c r="I139" s="67">
        <v>17646522</v>
      </c>
      <c r="J139" s="128">
        <v>77.510000000000005</v>
      </c>
      <c r="K139" s="67">
        <v>2586700</v>
      </c>
      <c r="L139" s="67">
        <v>2585960</v>
      </c>
      <c r="M139" s="67">
        <v>740</v>
      </c>
      <c r="N139" s="128">
        <v>99.97</v>
      </c>
    </row>
    <row r="140" spans="1:14" hidden="1" x14ac:dyDescent="0.25">
      <c r="B140" s="13">
        <v>45048</v>
      </c>
      <c r="C140" s="67">
        <v>10381788</v>
      </c>
      <c r="D140" s="67">
        <v>10055324</v>
      </c>
      <c r="E140" s="67">
        <v>326464</v>
      </c>
      <c r="F140" s="128">
        <v>96.86</v>
      </c>
      <c r="G140" s="67">
        <v>95430177</v>
      </c>
      <c r="H140" s="67">
        <v>69102550</v>
      </c>
      <c r="I140" s="67">
        <v>26327627</v>
      </c>
      <c r="J140" s="128">
        <v>72.41</v>
      </c>
      <c r="K140" s="67">
        <v>3347797</v>
      </c>
      <c r="L140" s="67">
        <v>3347034</v>
      </c>
      <c r="M140" s="67">
        <v>763</v>
      </c>
      <c r="N140" s="128">
        <v>99.98</v>
      </c>
    </row>
    <row r="141" spans="1:14" hidden="1" x14ac:dyDescent="0.25">
      <c r="B141" s="13">
        <v>45049</v>
      </c>
      <c r="C141" s="67">
        <v>10672826</v>
      </c>
      <c r="D141" s="67">
        <v>10318439</v>
      </c>
      <c r="E141" s="67">
        <v>354387</v>
      </c>
      <c r="F141" s="128">
        <v>96.68</v>
      </c>
      <c r="G141" s="67">
        <v>86794526</v>
      </c>
      <c r="H141" s="67">
        <v>65550640</v>
      </c>
      <c r="I141" s="67">
        <v>21243886</v>
      </c>
      <c r="J141" s="128">
        <v>75.52</v>
      </c>
      <c r="K141" s="67">
        <v>3263401</v>
      </c>
      <c r="L141" s="67">
        <v>3262676</v>
      </c>
      <c r="M141" s="67">
        <v>725</v>
      </c>
      <c r="N141" s="128">
        <v>99.98</v>
      </c>
    </row>
    <row r="142" spans="1:14" hidden="1" x14ac:dyDescent="0.25">
      <c r="B142" s="13">
        <v>45050</v>
      </c>
      <c r="C142" s="67">
        <v>10217000</v>
      </c>
      <c r="D142" s="67">
        <v>9858224</v>
      </c>
      <c r="E142" s="67">
        <v>358776</v>
      </c>
      <c r="F142" s="128">
        <v>96.49</v>
      </c>
      <c r="G142" s="67">
        <v>104442306</v>
      </c>
      <c r="H142" s="67">
        <v>75266520</v>
      </c>
      <c r="I142" s="67">
        <v>29175786</v>
      </c>
      <c r="J142" s="128">
        <v>72.069999999999993</v>
      </c>
      <c r="K142" s="67">
        <v>2925021</v>
      </c>
      <c r="L142" s="67">
        <v>2922749</v>
      </c>
      <c r="M142" s="67">
        <v>2272</v>
      </c>
      <c r="N142" s="128">
        <v>99.92</v>
      </c>
    </row>
    <row r="143" spans="1:14" hidden="1" x14ac:dyDescent="0.25">
      <c r="B143" s="13">
        <v>45051</v>
      </c>
      <c r="C143" s="67">
        <v>9947150</v>
      </c>
      <c r="D143" s="67">
        <v>9596375</v>
      </c>
      <c r="E143" s="67">
        <v>350775</v>
      </c>
      <c r="F143" s="128">
        <v>96.47</v>
      </c>
      <c r="G143" s="67">
        <v>92560275</v>
      </c>
      <c r="H143" s="67">
        <v>65698571</v>
      </c>
      <c r="I143" s="67">
        <v>26861704</v>
      </c>
      <c r="J143" s="128">
        <v>70.97</v>
      </c>
      <c r="K143" s="67">
        <v>4382965</v>
      </c>
      <c r="L143" s="67">
        <v>4382789</v>
      </c>
      <c r="M143" s="67">
        <v>176</v>
      </c>
      <c r="N143" s="128">
        <v>99.99</v>
      </c>
    </row>
    <row r="144" spans="1:14" hidden="1" x14ac:dyDescent="0.25">
      <c r="B144" s="13">
        <v>45052</v>
      </c>
      <c r="C144" s="67">
        <v>10331704</v>
      </c>
      <c r="D144" s="67">
        <v>10006848</v>
      </c>
      <c r="E144" s="67">
        <v>324856</v>
      </c>
      <c r="F144" s="128">
        <v>96.86</v>
      </c>
      <c r="G144" s="67">
        <v>78316191</v>
      </c>
      <c r="H144" s="67">
        <v>61682321</v>
      </c>
      <c r="I144" s="67">
        <v>16633870</v>
      </c>
      <c r="J144" s="128">
        <v>78.760000000000005</v>
      </c>
      <c r="K144" s="67">
        <v>3883431</v>
      </c>
      <c r="L144" s="67">
        <v>3883333</v>
      </c>
      <c r="M144" s="67">
        <v>98</v>
      </c>
      <c r="N144" s="128">
        <v>99.99</v>
      </c>
    </row>
    <row r="145" spans="2:14" hidden="1" x14ac:dyDescent="0.25">
      <c r="B145" s="13">
        <v>45053</v>
      </c>
      <c r="C145" s="67">
        <v>9978699</v>
      </c>
      <c r="D145" s="67">
        <v>9689332</v>
      </c>
      <c r="E145" s="67">
        <v>289367</v>
      </c>
      <c r="F145" s="128">
        <v>97.1</v>
      </c>
      <c r="G145" s="67">
        <v>66047833</v>
      </c>
      <c r="H145" s="67">
        <v>51136060</v>
      </c>
      <c r="I145" s="67">
        <v>14911773</v>
      </c>
      <c r="J145" s="128">
        <v>77.42</v>
      </c>
      <c r="K145" s="67">
        <v>2951601</v>
      </c>
      <c r="L145" s="67">
        <v>2951525</v>
      </c>
      <c r="M145" s="67">
        <v>76</v>
      </c>
      <c r="N145" s="128">
        <v>99.99</v>
      </c>
    </row>
    <row r="146" spans="2:14" hidden="1" x14ac:dyDescent="0.25">
      <c r="B146" s="13">
        <v>45054</v>
      </c>
      <c r="C146" s="67">
        <v>10127239</v>
      </c>
      <c r="D146" s="67">
        <v>9827068</v>
      </c>
      <c r="E146" s="67">
        <v>300171</v>
      </c>
      <c r="F146" s="128">
        <v>97.04</v>
      </c>
      <c r="G146" s="67">
        <v>96029942</v>
      </c>
      <c r="H146" s="67">
        <v>70603892</v>
      </c>
      <c r="I146" s="67">
        <v>25426050</v>
      </c>
      <c r="J146" s="128">
        <v>73.52</v>
      </c>
      <c r="K146" s="67">
        <v>3411999</v>
      </c>
      <c r="L146" s="67">
        <v>3411938</v>
      </c>
      <c r="M146" s="67">
        <v>61</v>
      </c>
      <c r="N146" s="128">
        <v>100</v>
      </c>
    </row>
    <row r="147" spans="2:14" hidden="1" x14ac:dyDescent="0.25">
      <c r="B147" s="13">
        <v>45055</v>
      </c>
      <c r="C147" s="67">
        <v>9831775</v>
      </c>
      <c r="D147" s="67">
        <v>9440555</v>
      </c>
      <c r="E147" s="67">
        <v>391220</v>
      </c>
      <c r="F147" s="128">
        <v>96.02</v>
      </c>
      <c r="G147" s="67">
        <v>110647117</v>
      </c>
      <c r="H147" s="67">
        <v>77415094</v>
      </c>
      <c r="I147" s="67">
        <v>33232023</v>
      </c>
      <c r="J147" s="128">
        <v>69.97</v>
      </c>
      <c r="K147" s="67">
        <v>4531371</v>
      </c>
      <c r="L147" s="67">
        <v>4531090</v>
      </c>
      <c r="M147" s="67">
        <v>281</v>
      </c>
      <c r="N147" s="128">
        <v>99.99</v>
      </c>
    </row>
    <row r="148" spans="2:14" hidden="1" x14ac:dyDescent="0.25">
      <c r="B148" s="13">
        <v>45056</v>
      </c>
      <c r="C148" s="67">
        <v>10031147</v>
      </c>
      <c r="D148" s="67">
        <v>9626490</v>
      </c>
      <c r="E148" s="67">
        <v>404657</v>
      </c>
      <c r="F148" s="128">
        <v>95.97</v>
      </c>
      <c r="G148" s="67">
        <v>98076393</v>
      </c>
      <c r="H148" s="67">
        <v>71585176</v>
      </c>
      <c r="I148" s="67">
        <v>26491217</v>
      </c>
      <c r="J148" s="128">
        <v>72.989999999999995</v>
      </c>
      <c r="K148" s="67">
        <v>4393765</v>
      </c>
      <c r="L148" s="67">
        <v>4392560</v>
      </c>
      <c r="M148" s="67">
        <v>1205</v>
      </c>
      <c r="N148" s="128">
        <v>99.97</v>
      </c>
    </row>
    <row r="149" spans="2:14" hidden="1" x14ac:dyDescent="0.25">
      <c r="B149" s="13">
        <v>45057</v>
      </c>
      <c r="C149" s="67">
        <v>10330768</v>
      </c>
      <c r="D149" s="67">
        <v>9923041</v>
      </c>
      <c r="E149" s="67">
        <v>407727</v>
      </c>
      <c r="F149" s="128">
        <v>96.05</v>
      </c>
      <c r="G149" s="67">
        <v>106948687</v>
      </c>
      <c r="H149" s="67">
        <v>78854366</v>
      </c>
      <c r="I149" s="67">
        <v>28094321</v>
      </c>
      <c r="J149" s="128">
        <v>73.73</v>
      </c>
      <c r="K149" s="67">
        <v>4307661</v>
      </c>
      <c r="L149" s="67">
        <v>4307499</v>
      </c>
      <c r="M149" s="67">
        <v>162</v>
      </c>
      <c r="N149" s="128">
        <v>100</v>
      </c>
    </row>
    <row r="150" spans="2:14" hidden="1" x14ac:dyDescent="0.25">
      <c r="B150" s="13">
        <v>45058</v>
      </c>
      <c r="C150" s="67">
        <v>10555264</v>
      </c>
      <c r="D150" s="67">
        <v>10143914</v>
      </c>
      <c r="E150" s="67">
        <v>411350</v>
      </c>
      <c r="F150" s="128">
        <v>96.1</v>
      </c>
      <c r="G150" s="67">
        <v>115950676</v>
      </c>
      <c r="H150" s="67">
        <v>79690960</v>
      </c>
      <c r="I150" s="67">
        <v>36259716</v>
      </c>
      <c r="J150" s="128">
        <v>68.72</v>
      </c>
      <c r="K150" s="67">
        <v>4613303</v>
      </c>
      <c r="L150" s="67">
        <v>4613179</v>
      </c>
      <c r="M150" s="67">
        <v>124</v>
      </c>
      <c r="N150" s="128">
        <v>99.99</v>
      </c>
    </row>
    <row r="151" spans="2:14" hidden="1" x14ac:dyDescent="0.25">
      <c r="B151" s="13">
        <v>45059</v>
      </c>
      <c r="C151" s="67">
        <v>10633123</v>
      </c>
      <c r="D151" s="67">
        <v>10229528</v>
      </c>
      <c r="E151" s="67">
        <v>403595</v>
      </c>
      <c r="F151" s="128">
        <v>96.2</v>
      </c>
      <c r="G151" s="67">
        <v>110991046</v>
      </c>
      <c r="H151" s="67">
        <v>79215355</v>
      </c>
      <c r="I151" s="67">
        <v>31775691</v>
      </c>
      <c r="J151" s="128">
        <v>71.37</v>
      </c>
      <c r="K151" s="67">
        <v>6896560</v>
      </c>
      <c r="L151" s="67">
        <v>6896432</v>
      </c>
      <c r="M151" s="67">
        <v>128</v>
      </c>
      <c r="N151" s="128">
        <v>99.99</v>
      </c>
    </row>
    <row r="152" spans="2:14" hidden="1" x14ac:dyDescent="0.25">
      <c r="B152" s="13">
        <v>45060</v>
      </c>
      <c r="C152" s="67">
        <v>10900167</v>
      </c>
      <c r="D152" s="67">
        <v>10502735</v>
      </c>
      <c r="E152" s="67">
        <v>397432</v>
      </c>
      <c r="F152" s="128">
        <v>96.35</v>
      </c>
      <c r="G152" s="67">
        <v>63440516</v>
      </c>
      <c r="H152" s="67">
        <v>50647958</v>
      </c>
      <c r="I152" s="67">
        <v>12792558</v>
      </c>
      <c r="J152" s="128">
        <v>79.83</v>
      </c>
      <c r="K152" s="67">
        <v>3524100</v>
      </c>
      <c r="L152" s="67">
        <v>3523985</v>
      </c>
      <c r="M152" s="67">
        <v>115</v>
      </c>
      <c r="N152" s="128">
        <v>99.99</v>
      </c>
    </row>
    <row r="153" spans="2:14" hidden="1" x14ac:dyDescent="0.25">
      <c r="B153" s="13">
        <v>45061</v>
      </c>
      <c r="C153" s="67">
        <v>10121442</v>
      </c>
      <c r="D153" s="67">
        <v>9645192</v>
      </c>
      <c r="E153" s="67">
        <v>476250</v>
      </c>
      <c r="F153" s="128">
        <v>95.29</v>
      </c>
      <c r="G153" s="67">
        <v>117342094</v>
      </c>
      <c r="H153" s="67">
        <v>83698173</v>
      </c>
      <c r="I153" s="67">
        <v>33643921</v>
      </c>
      <c r="J153" s="128">
        <v>71.33</v>
      </c>
      <c r="K153" s="67">
        <v>6502679</v>
      </c>
      <c r="L153" s="67">
        <v>6500068</v>
      </c>
      <c r="M153" s="67">
        <v>2611</v>
      </c>
      <c r="N153" s="128">
        <v>99.96</v>
      </c>
    </row>
    <row r="154" spans="2:14" hidden="1" x14ac:dyDescent="0.25">
      <c r="B154" s="13">
        <v>45062</v>
      </c>
      <c r="C154" s="67">
        <v>10944064</v>
      </c>
      <c r="D154" s="67">
        <v>10562967</v>
      </c>
      <c r="E154" s="67">
        <v>381097</v>
      </c>
      <c r="F154" s="128">
        <v>96.52</v>
      </c>
      <c r="G154" s="67">
        <v>118634149</v>
      </c>
      <c r="H154" s="67">
        <v>84160804</v>
      </c>
      <c r="I154" s="67">
        <v>34473345</v>
      </c>
      <c r="J154" s="128">
        <v>70.94</v>
      </c>
      <c r="K154" s="67">
        <v>6231886</v>
      </c>
      <c r="L154" s="67">
        <v>6231719</v>
      </c>
      <c r="M154" s="67">
        <v>167</v>
      </c>
      <c r="N154" s="128">
        <v>100</v>
      </c>
    </row>
    <row r="155" spans="2:14" hidden="1" x14ac:dyDescent="0.25">
      <c r="B155" s="13">
        <v>45063</v>
      </c>
      <c r="C155" s="67">
        <v>10974469</v>
      </c>
      <c r="D155" s="67">
        <v>10554018</v>
      </c>
      <c r="E155" s="67">
        <v>420451</v>
      </c>
      <c r="F155" s="128">
        <v>96.17</v>
      </c>
      <c r="G155" s="67">
        <v>116402709</v>
      </c>
      <c r="H155" s="67">
        <v>82569053</v>
      </c>
      <c r="I155" s="67">
        <v>33833656</v>
      </c>
      <c r="J155" s="128">
        <v>70.930000000000007</v>
      </c>
      <c r="K155" s="67">
        <v>6445015</v>
      </c>
      <c r="L155" s="67">
        <v>6440725</v>
      </c>
      <c r="M155" s="67">
        <v>4290</v>
      </c>
      <c r="N155" s="128">
        <v>99.93</v>
      </c>
    </row>
    <row r="156" spans="2:14" hidden="1" x14ac:dyDescent="0.25">
      <c r="B156" s="13">
        <v>45064</v>
      </c>
      <c r="C156" s="67">
        <v>11751947</v>
      </c>
      <c r="D156" s="67">
        <v>11343650</v>
      </c>
      <c r="E156" s="67">
        <v>408297</v>
      </c>
      <c r="F156" s="128">
        <v>96.53</v>
      </c>
      <c r="G156" s="67">
        <v>96929993</v>
      </c>
      <c r="H156" s="67">
        <v>69222217</v>
      </c>
      <c r="I156" s="67">
        <v>27707776</v>
      </c>
      <c r="J156" s="128">
        <v>71.41</v>
      </c>
      <c r="K156" s="67">
        <v>4649211</v>
      </c>
      <c r="L156" s="67">
        <v>4649127</v>
      </c>
      <c r="M156" s="67">
        <v>84</v>
      </c>
      <c r="N156" s="128">
        <v>100</v>
      </c>
    </row>
    <row r="157" spans="2:14" hidden="1" x14ac:dyDescent="0.25">
      <c r="B157" s="13">
        <v>45065</v>
      </c>
      <c r="C157" s="67">
        <v>11401373</v>
      </c>
      <c r="D157" s="67">
        <v>11018889</v>
      </c>
      <c r="E157" s="67">
        <v>382484</v>
      </c>
      <c r="F157" s="128">
        <v>96.64</v>
      </c>
      <c r="G157" s="67">
        <v>111692468</v>
      </c>
      <c r="H157" s="67">
        <v>79105327</v>
      </c>
      <c r="I157" s="67">
        <v>32587141</v>
      </c>
      <c r="J157" s="128">
        <v>70.819999999999993</v>
      </c>
      <c r="K157" s="67">
        <v>3826224</v>
      </c>
      <c r="L157" s="67">
        <v>3825926</v>
      </c>
      <c r="M157" s="67">
        <v>298</v>
      </c>
      <c r="N157" s="128">
        <v>99.99</v>
      </c>
    </row>
    <row r="158" spans="2:14" hidden="1" x14ac:dyDescent="0.25">
      <c r="B158" s="13">
        <v>45066</v>
      </c>
      <c r="C158" s="67">
        <v>11861055</v>
      </c>
      <c r="D158" s="67">
        <v>11453214</v>
      </c>
      <c r="E158" s="67">
        <v>407841</v>
      </c>
      <c r="F158" s="128">
        <v>96.56</v>
      </c>
      <c r="G158" s="67">
        <v>103532764</v>
      </c>
      <c r="H158" s="67">
        <v>76665801</v>
      </c>
      <c r="I158" s="67">
        <v>26866963</v>
      </c>
      <c r="J158" s="128">
        <v>74.040000000000006</v>
      </c>
      <c r="K158" s="67">
        <v>6558830</v>
      </c>
      <c r="L158" s="67">
        <v>6558695</v>
      </c>
      <c r="M158" s="67">
        <v>135</v>
      </c>
      <c r="N158" s="128">
        <v>99.99</v>
      </c>
    </row>
    <row r="159" spans="2:14" hidden="1" x14ac:dyDescent="0.25">
      <c r="B159" s="13">
        <v>45067</v>
      </c>
      <c r="C159" s="67">
        <v>11747942</v>
      </c>
      <c r="D159" s="67">
        <v>11371686</v>
      </c>
      <c r="E159" s="67">
        <v>376256</v>
      </c>
      <c r="F159" s="128">
        <v>96.79</v>
      </c>
      <c r="G159" s="67">
        <v>69778205</v>
      </c>
      <c r="H159" s="67">
        <v>55470943</v>
      </c>
      <c r="I159" s="67">
        <v>14307262</v>
      </c>
      <c r="J159" s="128">
        <v>79.489999999999995</v>
      </c>
      <c r="K159" s="67">
        <v>2267335</v>
      </c>
      <c r="L159" s="67">
        <v>2267239</v>
      </c>
      <c r="M159" s="67">
        <v>96</v>
      </c>
      <c r="N159" s="128">
        <v>100</v>
      </c>
    </row>
    <row r="160" spans="2:14" hidden="1" x14ac:dyDescent="0.25">
      <c r="B160" s="13">
        <v>45068</v>
      </c>
      <c r="C160" s="67">
        <v>11562340</v>
      </c>
      <c r="D160" s="67">
        <v>11252662</v>
      </c>
      <c r="E160" s="67">
        <v>309678</v>
      </c>
      <c r="F160" s="128">
        <v>97.32</v>
      </c>
      <c r="G160" s="67">
        <v>110598510</v>
      </c>
      <c r="H160" s="67">
        <v>82218784</v>
      </c>
      <c r="I160" s="67">
        <v>28379726</v>
      </c>
      <c r="J160" s="128">
        <v>74.34</v>
      </c>
      <c r="K160" s="67">
        <v>6421663</v>
      </c>
      <c r="L160" s="67">
        <v>6421624</v>
      </c>
      <c r="M160" s="67">
        <v>39</v>
      </c>
      <c r="N160" s="128">
        <v>100</v>
      </c>
    </row>
    <row r="161" spans="2:14" hidden="1" x14ac:dyDescent="0.25">
      <c r="B161" s="13">
        <v>45069</v>
      </c>
      <c r="C161" s="67">
        <v>11962347</v>
      </c>
      <c r="D161" s="67">
        <v>11532583</v>
      </c>
      <c r="E161" s="67">
        <v>429764</v>
      </c>
      <c r="F161" s="128">
        <v>96.41</v>
      </c>
      <c r="G161" s="67">
        <v>114310528</v>
      </c>
      <c r="H161" s="67">
        <v>80485494</v>
      </c>
      <c r="I161" s="67">
        <v>33825034</v>
      </c>
      <c r="J161" s="128">
        <v>70.41</v>
      </c>
      <c r="K161" s="67">
        <v>6461491</v>
      </c>
      <c r="L161" s="67">
        <v>6461427</v>
      </c>
      <c r="M161" s="67">
        <v>64</v>
      </c>
      <c r="N161" s="128">
        <v>100</v>
      </c>
    </row>
    <row r="162" spans="2:14" hidden="1" x14ac:dyDescent="0.25">
      <c r="B162" s="13">
        <v>45070</v>
      </c>
      <c r="C162" s="67">
        <v>11737983</v>
      </c>
      <c r="D162" s="67">
        <v>11294444</v>
      </c>
      <c r="E162" s="67">
        <v>443539</v>
      </c>
      <c r="F162" s="128">
        <v>96.22</v>
      </c>
      <c r="G162" s="67">
        <v>103665803</v>
      </c>
      <c r="H162" s="67">
        <v>73388996</v>
      </c>
      <c r="I162" s="67">
        <v>30276807</v>
      </c>
      <c r="J162" s="128">
        <v>70.790000000000006</v>
      </c>
      <c r="K162" s="67">
        <v>6237845</v>
      </c>
      <c r="L162" s="67">
        <v>6237726</v>
      </c>
      <c r="M162" s="67">
        <v>119</v>
      </c>
      <c r="N162" s="128">
        <v>100</v>
      </c>
    </row>
    <row r="163" spans="2:14" hidden="1" x14ac:dyDescent="0.25">
      <c r="B163" s="13">
        <v>45071</v>
      </c>
      <c r="C163" s="67">
        <v>11826807</v>
      </c>
      <c r="D163" s="67">
        <v>11377271</v>
      </c>
      <c r="E163" s="67">
        <v>449536</v>
      </c>
      <c r="F163" s="128">
        <v>96.2</v>
      </c>
      <c r="G163" s="67">
        <v>102981087</v>
      </c>
      <c r="H163" s="67">
        <v>71794713</v>
      </c>
      <c r="I163" s="67">
        <v>31186374</v>
      </c>
      <c r="J163" s="128">
        <v>69.72</v>
      </c>
      <c r="K163" s="67">
        <v>3675593</v>
      </c>
      <c r="L163" s="67">
        <v>3675503</v>
      </c>
      <c r="M163" s="67">
        <v>90</v>
      </c>
      <c r="N163" s="128">
        <v>100</v>
      </c>
    </row>
    <row r="164" spans="2:14" hidden="1" x14ac:dyDescent="0.25">
      <c r="B164" s="13">
        <v>45072</v>
      </c>
      <c r="C164" s="67">
        <v>11583943</v>
      </c>
      <c r="D164" s="67">
        <v>11176009</v>
      </c>
      <c r="E164" s="67">
        <v>407934</v>
      </c>
      <c r="F164" s="128">
        <v>96.47</v>
      </c>
      <c r="G164" s="67">
        <v>112467098</v>
      </c>
      <c r="H164" s="67">
        <v>77436492</v>
      </c>
      <c r="I164" s="67">
        <v>35030606</v>
      </c>
      <c r="J164" s="128">
        <v>68.849999999999994</v>
      </c>
      <c r="K164" s="67">
        <v>3424383</v>
      </c>
      <c r="L164" s="67">
        <v>3423609</v>
      </c>
      <c r="M164" s="67">
        <v>774</v>
      </c>
      <c r="N164" s="128">
        <v>99.97</v>
      </c>
    </row>
    <row r="165" spans="2:14" hidden="1" x14ac:dyDescent="0.25">
      <c r="B165" s="13">
        <v>45073</v>
      </c>
      <c r="C165" s="67">
        <v>11304851</v>
      </c>
      <c r="D165" s="67">
        <v>10874218</v>
      </c>
      <c r="E165" s="67">
        <v>430633</v>
      </c>
      <c r="F165" s="128">
        <v>96.19</v>
      </c>
      <c r="G165" s="67">
        <v>125259859</v>
      </c>
      <c r="H165" s="67">
        <v>87504330</v>
      </c>
      <c r="I165" s="67">
        <v>37755529</v>
      </c>
      <c r="J165" s="128">
        <v>69.849999999999994</v>
      </c>
      <c r="K165" s="67">
        <v>6524267</v>
      </c>
      <c r="L165" s="67">
        <v>6524234</v>
      </c>
      <c r="M165" s="67">
        <v>33</v>
      </c>
      <c r="N165" s="128">
        <v>99.99</v>
      </c>
    </row>
    <row r="166" spans="2:14" hidden="1" x14ac:dyDescent="0.25">
      <c r="B166" s="13">
        <v>45074</v>
      </c>
      <c r="C166" s="67">
        <v>11247463</v>
      </c>
      <c r="D166" s="67">
        <v>10860669</v>
      </c>
      <c r="E166" s="67">
        <v>386794</v>
      </c>
      <c r="F166" s="128">
        <v>96.56</v>
      </c>
      <c r="G166" s="67">
        <v>89431699</v>
      </c>
      <c r="H166" s="67">
        <v>66797364</v>
      </c>
      <c r="I166" s="67">
        <v>22634335</v>
      </c>
      <c r="J166" s="128">
        <v>74.69</v>
      </c>
      <c r="K166" s="67">
        <v>3493728</v>
      </c>
      <c r="L166" s="67">
        <v>3493582</v>
      </c>
      <c r="M166" s="67">
        <v>146</v>
      </c>
      <c r="N166" s="128">
        <v>99.99</v>
      </c>
    </row>
    <row r="167" spans="2:14" hidden="1" x14ac:dyDescent="0.25">
      <c r="B167" s="13">
        <v>45075</v>
      </c>
      <c r="C167" s="67">
        <v>11134164</v>
      </c>
      <c r="D167" s="67">
        <v>10813082</v>
      </c>
      <c r="E167" s="67">
        <v>321082</v>
      </c>
      <c r="F167" s="128">
        <v>97.11</v>
      </c>
      <c r="G167" s="67">
        <v>106606876</v>
      </c>
      <c r="H167" s="67">
        <v>76625746</v>
      </c>
      <c r="I167" s="67">
        <v>29981130</v>
      </c>
      <c r="J167" s="128">
        <v>71.87</v>
      </c>
      <c r="K167" s="67">
        <v>6334834</v>
      </c>
      <c r="L167" s="67">
        <v>6332595</v>
      </c>
      <c r="M167" s="67">
        <v>2239</v>
      </c>
      <c r="N167" s="128">
        <v>99.96</v>
      </c>
    </row>
    <row r="168" spans="2:14" hidden="1" x14ac:dyDescent="0.25">
      <c r="B168" s="13">
        <v>45076</v>
      </c>
      <c r="C168" s="67">
        <v>11410333</v>
      </c>
      <c r="D168" s="67">
        <v>11047624</v>
      </c>
      <c r="E168" s="67">
        <v>362709</v>
      </c>
      <c r="F168" s="128">
        <v>96.82</v>
      </c>
      <c r="G168" s="67">
        <v>110543094</v>
      </c>
      <c r="H168" s="67">
        <v>77466675</v>
      </c>
      <c r="I168" s="67">
        <v>33076419</v>
      </c>
      <c r="J168" s="128">
        <v>70.08</v>
      </c>
      <c r="K168" s="67">
        <v>6471202</v>
      </c>
      <c r="L168" s="67">
        <v>6456104</v>
      </c>
      <c r="M168" s="67">
        <v>15098</v>
      </c>
      <c r="N168" s="128">
        <v>99.77</v>
      </c>
    </row>
    <row r="169" spans="2:14" hidden="1" x14ac:dyDescent="0.25">
      <c r="B169" s="13">
        <v>45077</v>
      </c>
      <c r="C169" s="67">
        <v>11148745</v>
      </c>
      <c r="D169" s="67">
        <v>10717311</v>
      </c>
      <c r="E169" s="67">
        <v>431434</v>
      </c>
      <c r="F169" s="128">
        <v>96.13</v>
      </c>
      <c r="G169" s="67">
        <v>101350315</v>
      </c>
      <c r="H169" s="67">
        <v>74609239</v>
      </c>
      <c r="I169" s="67">
        <v>26741076</v>
      </c>
      <c r="J169" s="128">
        <v>73.62</v>
      </c>
      <c r="K169" s="67">
        <v>5688069</v>
      </c>
      <c r="L169" s="67">
        <v>5687406</v>
      </c>
      <c r="M169" s="67">
        <v>663</v>
      </c>
      <c r="N169" s="128">
        <v>99.99</v>
      </c>
    </row>
    <row r="170" spans="2:14" hidden="1" x14ac:dyDescent="0.25">
      <c r="B170" s="13">
        <v>45078</v>
      </c>
      <c r="C170" s="67">
        <v>11139592</v>
      </c>
      <c r="D170" s="67">
        <v>10301655</v>
      </c>
      <c r="E170" s="67">
        <v>837937</v>
      </c>
      <c r="F170" s="128">
        <v>92.48</v>
      </c>
      <c r="G170" s="67">
        <v>89722835</v>
      </c>
      <c r="H170" s="67">
        <v>67931259</v>
      </c>
      <c r="I170" s="67">
        <v>21791576</v>
      </c>
      <c r="J170" s="128">
        <v>75.709999999999994</v>
      </c>
      <c r="K170" s="67">
        <v>2028596</v>
      </c>
      <c r="L170" s="67">
        <v>2028500</v>
      </c>
      <c r="M170" s="67">
        <v>96</v>
      </c>
      <c r="N170" s="128">
        <v>100</v>
      </c>
    </row>
    <row r="171" spans="2:14" hidden="1" x14ac:dyDescent="0.25">
      <c r="B171" s="13">
        <v>45079</v>
      </c>
      <c r="C171" s="67">
        <v>10200309</v>
      </c>
      <c r="D171" s="67">
        <v>9673026</v>
      </c>
      <c r="E171" s="67">
        <v>527283</v>
      </c>
      <c r="F171" s="128">
        <v>94.83</v>
      </c>
      <c r="G171" s="67">
        <v>91886772</v>
      </c>
      <c r="H171" s="67">
        <v>65946234</v>
      </c>
      <c r="I171" s="67">
        <v>25940538</v>
      </c>
      <c r="J171" s="128">
        <v>71.760000000000005</v>
      </c>
      <c r="K171" s="67">
        <v>2362209</v>
      </c>
      <c r="L171" s="67">
        <v>2362166</v>
      </c>
      <c r="M171" s="67">
        <v>43</v>
      </c>
      <c r="N171" s="128">
        <v>99.99</v>
      </c>
    </row>
    <row r="172" spans="2:14" hidden="1" x14ac:dyDescent="0.25">
      <c r="B172" s="13">
        <v>45080</v>
      </c>
      <c r="C172" s="67">
        <v>10113456</v>
      </c>
      <c r="D172" s="67">
        <v>9254535</v>
      </c>
      <c r="E172" s="67">
        <v>858921</v>
      </c>
      <c r="F172" s="128">
        <v>91.5</v>
      </c>
      <c r="G172" s="67">
        <v>108803935</v>
      </c>
      <c r="H172" s="67">
        <v>79137185</v>
      </c>
      <c r="I172" s="67">
        <v>29666750</v>
      </c>
      <c r="J172" s="128">
        <v>72.73</v>
      </c>
      <c r="K172" s="67">
        <v>6473069</v>
      </c>
      <c r="L172" s="67">
        <v>6472909</v>
      </c>
      <c r="M172" s="67">
        <v>160</v>
      </c>
      <c r="N172" s="128">
        <v>99.99</v>
      </c>
    </row>
    <row r="173" spans="2:14" hidden="1" x14ac:dyDescent="0.25">
      <c r="B173" s="13">
        <v>45081</v>
      </c>
      <c r="C173" s="67">
        <v>12476922</v>
      </c>
      <c r="D173" s="67">
        <v>11815521</v>
      </c>
      <c r="E173" s="67">
        <v>661401</v>
      </c>
      <c r="F173" s="128">
        <v>94.69</v>
      </c>
      <c r="G173" s="67">
        <v>84738153</v>
      </c>
      <c r="H173" s="67">
        <v>63786260</v>
      </c>
      <c r="I173" s="67">
        <v>20951893</v>
      </c>
      <c r="J173" s="128">
        <v>75.27</v>
      </c>
      <c r="K173" s="67">
        <v>2288557</v>
      </c>
      <c r="L173" s="67">
        <v>2288440</v>
      </c>
      <c r="M173" s="67">
        <v>117</v>
      </c>
      <c r="N173" s="128">
        <v>99.99</v>
      </c>
    </row>
    <row r="174" spans="2:14" hidden="1" x14ac:dyDescent="0.25">
      <c r="B174" s="13">
        <v>45082</v>
      </c>
      <c r="C174" s="67">
        <v>11430911</v>
      </c>
      <c r="D174" s="67">
        <v>11047243</v>
      </c>
      <c r="E174" s="67">
        <v>383668</v>
      </c>
      <c r="F174" s="128">
        <v>96.64</v>
      </c>
      <c r="G174" s="67">
        <v>114971281</v>
      </c>
      <c r="H174" s="67">
        <v>83390179</v>
      </c>
      <c r="I174" s="67">
        <v>31581102</v>
      </c>
      <c r="J174" s="128">
        <v>72.53</v>
      </c>
      <c r="K174" s="67">
        <v>6276842</v>
      </c>
      <c r="L174" s="67">
        <v>6276594</v>
      </c>
      <c r="M174" s="67">
        <v>248</v>
      </c>
      <c r="N174" s="128">
        <v>100</v>
      </c>
    </row>
    <row r="175" spans="2:14" hidden="1" x14ac:dyDescent="0.25">
      <c r="B175" s="13">
        <v>45083</v>
      </c>
      <c r="C175" s="67">
        <v>11371032</v>
      </c>
      <c r="D175" s="67">
        <v>10899988</v>
      </c>
      <c r="E175" s="67">
        <v>471044</v>
      </c>
      <c r="F175" s="128">
        <v>95.86</v>
      </c>
      <c r="G175" s="67">
        <v>101588148</v>
      </c>
      <c r="H175" s="67">
        <v>72881902</v>
      </c>
      <c r="I175" s="67">
        <v>28706246</v>
      </c>
      <c r="J175" s="128">
        <v>71.739999999999995</v>
      </c>
      <c r="K175" s="67">
        <v>4464001</v>
      </c>
      <c r="L175" s="67">
        <v>4463894</v>
      </c>
      <c r="M175" s="67">
        <v>107</v>
      </c>
      <c r="N175" s="128">
        <v>100</v>
      </c>
    </row>
    <row r="176" spans="2:14" hidden="1" x14ac:dyDescent="0.25">
      <c r="B176" s="13">
        <v>45084</v>
      </c>
      <c r="C176" s="67">
        <v>11141935</v>
      </c>
      <c r="D176" s="67">
        <v>10667766</v>
      </c>
      <c r="E176" s="67">
        <v>474169</v>
      </c>
      <c r="F176" s="128">
        <v>95.74</v>
      </c>
      <c r="G176" s="67">
        <v>108905069</v>
      </c>
      <c r="H176" s="67">
        <v>75829607</v>
      </c>
      <c r="I176" s="67">
        <v>33075462</v>
      </c>
      <c r="J176" s="128">
        <v>69.63</v>
      </c>
      <c r="K176" s="67">
        <v>3677420</v>
      </c>
      <c r="L176" s="67">
        <v>3677292</v>
      </c>
      <c r="M176" s="67">
        <v>128</v>
      </c>
      <c r="N176" s="128">
        <v>100</v>
      </c>
    </row>
    <row r="177" spans="2:14" hidden="1" x14ac:dyDescent="0.25">
      <c r="B177" s="13">
        <v>45085</v>
      </c>
      <c r="C177" s="67">
        <v>11174780</v>
      </c>
      <c r="D177" s="67">
        <v>10688871</v>
      </c>
      <c r="E177" s="67">
        <v>485909</v>
      </c>
      <c r="F177" s="128">
        <v>95.65</v>
      </c>
      <c r="G177" s="67">
        <v>103136123</v>
      </c>
      <c r="H177" s="67">
        <v>74979851</v>
      </c>
      <c r="I177" s="67">
        <v>28156272</v>
      </c>
      <c r="J177" s="128">
        <v>72.7</v>
      </c>
      <c r="K177" s="67">
        <v>3202675</v>
      </c>
      <c r="L177" s="67">
        <v>3202607</v>
      </c>
      <c r="M177" s="67">
        <v>68</v>
      </c>
      <c r="N177" s="128">
        <v>100</v>
      </c>
    </row>
    <row r="178" spans="2:14" hidden="1" x14ac:dyDescent="0.25">
      <c r="B178" s="13">
        <v>45086</v>
      </c>
      <c r="C178" s="67">
        <v>11331244</v>
      </c>
      <c r="D178" s="67">
        <v>10889602</v>
      </c>
      <c r="E178" s="67">
        <v>441642</v>
      </c>
      <c r="F178" s="128">
        <v>96.1</v>
      </c>
      <c r="G178" s="67">
        <v>109610820</v>
      </c>
      <c r="H178" s="67">
        <v>77535411</v>
      </c>
      <c r="I178" s="67">
        <v>32075409</v>
      </c>
      <c r="J178" s="128">
        <v>70.73</v>
      </c>
      <c r="K178" s="67">
        <v>3622516</v>
      </c>
      <c r="L178" s="67">
        <v>3622396</v>
      </c>
      <c r="M178" s="67">
        <v>120</v>
      </c>
      <c r="N178" s="128">
        <v>99.99</v>
      </c>
    </row>
    <row r="179" spans="2:14" hidden="1" x14ac:dyDescent="0.25">
      <c r="B179" s="13">
        <v>45087</v>
      </c>
      <c r="C179" s="67">
        <v>11370748</v>
      </c>
      <c r="D179" s="67">
        <v>10898181</v>
      </c>
      <c r="E179" s="67">
        <v>472567</v>
      </c>
      <c r="F179" s="128">
        <v>95.84</v>
      </c>
      <c r="G179" s="67">
        <v>95672969</v>
      </c>
      <c r="H179" s="67">
        <v>68591769</v>
      </c>
      <c r="I179" s="67">
        <v>27081200</v>
      </c>
      <c r="J179" s="128">
        <v>71.69</v>
      </c>
      <c r="K179" s="67">
        <v>2679618</v>
      </c>
      <c r="L179" s="67">
        <v>2679472</v>
      </c>
      <c r="M179" s="67">
        <v>146</v>
      </c>
      <c r="N179" s="128">
        <v>99.99</v>
      </c>
    </row>
    <row r="180" spans="2:14" hidden="1" x14ac:dyDescent="0.25">
      <c r="B180" s="13">
        <v>45088</v>
      </c>
      <c r="C180" s="67">
        <v>11184885</v>
      </c>
      <c r="D180" s="67">
        <v>10763400</v>
      </c>
      <c r="E180" s="67">
        <v>421485</v>
      </c>
      <c r="F180" s="128">
        <v>96.23</v>
      </c>
      <c r="G180" s="67">
        <v>72133338</v>
      </c>
      <c r="H180" s="67">
        <v>56121753</v>
      </c>
      <c r="I180" s="67">
        <v>16011585</v>
      </c>
      <c r="J180" s="128">
        <v>77.8</v>
      </c>
      <c r="K180" s="67">
        <v>1806562</v>
      </c>
      <c r="L180" s="67">
        <v>1806481</v>
      </c>
      <c r="M180" s="67">
        <v>81</v>
      </c>
      <c r="N180" s="128">
        <v>99.99</v>
      </c>
    </row>
    <row r="181" spans="2:14" hidden="1" x14ac:dyDescent="0.25">
      <c r="B181" s="13">
        <v>45089</v>
      </c>
      <c r="C181" s="67">
        <v>10849910</v>
      </c>
      <c r="D181" s="67">
        <v>10506622</v>
      </c>
      <c r="E181" s="67">
        <v>343288</v>
      </c>
      <c r="F181" s="128">
        <v>96.84</v>
      </c>
      <c r="G181" s="67">
        <v>99380358</v>
      </c>
      <c r="H181" s="67">
        <v>73712990</v>
      </c>
      <c r="I181" s="67">
        <v>25667368</v>
      </c>
      <c r="J181" s="128">
        <v>74.17</v>
      </c>
      <c r="K181" s="67">
        <v>3296988</v>
      </c>
      <c r="L181" s="67">
        <v>3296882</v>
      </c>
      <c r="M181" s="67">
        <v>106</v>
      </c>
      <c r="N181" s="128">
        <v>100</v>
      </c>
    </row>
    <row r="182" spans="2:14" hidden="1" x14ac:dyDescent="0.25">
      <c r="B182" s="13">
        <v>45090</v>
      </c>
      <c r="C182" s="67">
        <v>10781046</v>
      </c>
      <c r="D182" s="67">
        <v>10335949</v>
      </c>
      <c r="E182" s="67">
        <v>445097</v>
      </c>
      <c r="F182" s="128">
        <v>95.87</v>
      </c>
      <c r="G182" s="67">
        <v>108227630</v>
      </c>
      <c r="H182" s="67">
        <v>76928231</v>
      </c>
      <c r="I182" s="67">
        <v>31299399</v>
      </c>
      <c r="J182" s="128">
        <v>71.08</v>
      </c>
      <c r="K182" s="67">
        <v>3938850</v>
      </c>
      <c r="L182" s="67">
        <v>3938185</v>
      </c>
      <c r="M182" s="67">
        <v>665</v>
      </c>
      <c r="N182" s="128">
        <v>99.98</v>
      </c>
    </row>
    <row r="183" spans="2:14" hidden="1" x14ac:dyDescent="0.25">
      <c r="B183" s="13">
        <v>45091</v>
      </c>
      <c r="C183" s="67">
        <v>10667701</v>
      </c>
      <c r="D183" s="67">
        <v>10230240</v>
      </c>
      <c r="E183" s="67">
        <v>437461</v>
      </c>
      <c r="F183" s="128">
        <v>95.9</v>
      </c>
      <c r="G183" s="67">
        <v>97902776</v>
      </c>
      <c r="H183" s="67">
        <v>70618538</v>
      </c>
      <c r="I183" s="67">
        <v>27284238</v>
      </c>
      <c r="J183" s="128">
        <v>72.13</v>
      </c>
      <c r="K183" s="67">
        <v>2814583</v>
      </c>
      <c r="L183" s="67">
        <v>2814401</v>
      </c>
      <c r="M183" s="67">
        <v>182</v>
      </c>
      <c r="N183" s="128">
        <v>99.99</v>
      </c>
    </row>
    <row r="184" spans="2:14" hidden="1" x14ac:dyDescent="0.25">
      <c r="B184" s="13">
        <v>45092</v>
      </c>
      <c r="C184" s="67">
        <v>10390832</v>
      </c>
      <c r="D184" s="67">
        <v>9570098</v>
      </c>
      <c r="E184" s="67">
        <v>820734</v>
      </c>
      <c r="F184" s="128">
        <v>92.1</v>
      </c>
      <c r="G184" s="67">
        <v>89364731</v>
      </c>
      <c r="H184" s="67">
        <v>68178720</v>
      </c>
      <c r="I184" s="67">
        <v>21186011</v>
      </c>
      <c r="J184" s="128">
        <v>76.290000000000006</v>
      </c>
      <c r="K184" s="67">
        <v>3079539</v>
      </c>
      <c r="L184" s="67">
        <v>3079157</v>
      </c>
      <c r="M184" s="67">
        <v>382</v>
      </c>
      <c r="N184" s="128">
        <v>99.99</v>
      </c>
    </row>
    <row r="185" spans="2:14" hidden="1" x14ac:dyDescent="0.25">
      <c r="B185" s="13">
        <v>45093</v>
      </c>
      <c r="C185" s="67">
        <v>10914521</v>
      </c>
      <c r="D185" s="67">
        <v>9932710</v>
      </c>
      <c r="E185" s="67">
        <v>981811</v>
      </c>
      <c r="F185" s="128">
        <v>91</v>
      </c>
      <c r="G185" s="67">
        <v>110945823</v>
      </c>
      <c r="H185" s="67">
        <v>78898135</v>
      </c>
      <c r="I185" s="67">
        <v>32047688</v>
      </c>
      <c r="J185" s="128">
        <v>71.11</v>
      </c>
      <c r="K185" s="67">
        <v>3497841</v>
      </c>
      <c r="L185" s="67">
        <v>3497680</v>
      </c>
      <c r="M185" s="67">
        <v>161</v>
      </c>
      <c r="N185" s="128">
        <v>99.99</v>
      </c>
    </row>
    <row r="186" spans="2:14" hidden="1" x14ac:dyDescent="0.25">
      <c r="B186" s="13">
        <v>45094</v>
      </c>
      <c r="C186" s="67">
        <v>11367763</v>
      </c>
      <c r="D186" s="67">
        <v>10965548</v>
      </c>
      <c r="E186" s="67">
        <v>402215</v>
      </c>
      <c r="F186" s="128">
        <v>96.46</v>
      </c>
      <c r="G186" s="67">
        <v>100631825</v>
      </c>
      <c r="H186" s="67">
        <v>69478230</v>
      </c>
      <c r="I186" s="67">
        <v>31153595</v>
      </c>
      <c r="J186" s="128">
        <v>69.040000000000006</v>
      </c>
      <c r="K186" s="67">
        <v>2649152</v>
      </c>
      <c r="L186" s="67">
        <v>2649017</v>
      </c>
      <c r="M186" s="67">
        <v>135</v>
      </c>
      <c r="N186" s="128">
        <v>99.99</v>
      </c>
    </row>
    <row r="187" spans="2:14" hidden="1" x14ac:dyDescent="0.25">
      <c r="B187" s="13">
        <v>45095</v>
      </c>
      <c r="C187" s="67">
        <v>12745887</v>
      </c>
      <c r="D187" s="67">
        <v>12327890</v>
      </c>
      <c r="E187" s="67">
        <v>417997</v>
      </c>
      <c r="F187" s="128">
        <v>96.72</v>
      </c>
      <c r="G187" s="67">
        <v>79511559</v>
      </c>
      <c r="H187" s="67">
        <v>56716014</v>
      </c>
      <c r="I187" s="67">
        <v>22795545</v>
      </c>
      <c r="J187" s="128">
        <v>71.33</v>
      </c>
      <c r="K187" s="67">
        <v>1585152</v>
      </c>
      <c r="L187" s="67">
        <v>1584428</v>
      </c>
      <c r="M187" s="67">
        <v>724</v>
      </c>
      <c r="N187" s="128">
        <v>99.95</v>
      </c>
    </row>
    <row r="188" spans="2:14" hidden="1" x14ac:dyDescent="0.25">
      <c r="B188" s="13">
        <v>45096</v>
      </c>
      <c r="C188" s="67">
        <v>12537683</v>
      </c>
      <c r="D188" s="67">
        <v>12153429</v>
      </c>
      <c r="E188" s="67">
        <v>384254</v>
      </c>
      <c r="F188" s="128">
        <v>96.94</v>
      </c>
      <c r="G188" s="67">
        <v>101285230</v>
      </c>
      <c r="H188" s="67">
        <v>74040404</v>
      </c>
      <c r="I188" s="67">
        <v>27244826</v>
      </c>
      <c r="J188" s="128">
        <v>73.099999999999994</v>
      </c>
      <c r="K188" s="67">
        <v>2646206</v>
      </c>
      <c r="L188" s="67">
        <v>2603408</v>
      </c>
      <c r="M188" s="67">
        <v>42798</v>
      </c>
      <c r="N188" s="128">
        <v>98.38</v>
      </c>
    </row>
    <row r="189" spans="2:14" hidden="1" x14ac:dyDescent="0.25">
      <c r="B189" s="13">
        <v>45097</v>
      </c>
      <c r="C189" s="67">
        <v>12200589</v>
      </c>
      <c r="D189" s="67">
        <v>11778471</v>
      </c>
      <c r="E189" s="67">
        <v>422118</v>
      </c>
      <c r="F189" s="128">
        <v>96.54</v>
      </c>
      <c r="G189" s="67">
        <v>117490490</v>
      </c>
      <c r="H189" s="67">
        <v>79481207</v>
      </c>
      <c r="I189" s="67">
        <v>38009283</v>
      </c>
      <c r="J189" s="128">
        <v>67.650000000000006</v>
      </c>
      <c r="K189" s="67">
        <v>2838795</v>
      </c>
      <c r="L189" s="67">
        <v>2796120</v>
      </c>
      <c r="M189" s="67">
        <v>42675</v>
      </c>
      <c r="N189" s="128">
        <v>98.5</v>
      </c>
    </row>
    <row r="190" spans="2:14" hidden="1" x14ac:dyDescent="0.25">
      <c r="B190" s="13">
        <v>45098</v>
      </c>
      <c r="C190" s="67">
        <v>12341848</v>
      </c>
      <c r="D190" s="67">
        <v>11877976</v>
      </c>
      <c r="E190" s="67">
        <v>463872</v>
      </c>
      <c r="F190" s="128">
        <v>96.24</v>
      </c>
      <c r="G190" s="67">
        <v>102585878</v>
      </c>
      <c r="H190" s="67">
        <v>70463614</v>
      </c>
      <c r="I190" s="67">
        <v>32122264</v>
      </c>
      <c r="J190" s="128">
        <v>68.69</v>
      </c>
      <c r="K190" s="67">
        <v>2167078</v>
      </c>
      <c r="L190" s="67">
        <v>2164232</v>
      </c>
      <c r="M190" s="67">
        <v>2846</v>
      </c>
      <c r="N190" s="128">
        <v>99.87</v>
      </c>
    </row>
    <row r="191" spans="2:14" hidden="1" x14ac:dyDescent="0.25">
      <c r="B191" s="13">
        <v>45099</v>
      </c>
      <c r="C191" s="67">
        <v>12482540</v>
      </c>
      <c r="D191" s="67">
        <v>12019112</v>
      </c>
      <c r="E191" s="67">
        <v>463428</v>
      </c>
      <c r="F191" s="128">
        <v>96.29</v>
      </c>
      <c r="G191" s="67">
        <v>107524130</v>
      </c>
      <c r="H191" s="67">
        <v>74427158</v>
      </c>
      <c r="I191" s="67">
        <v>33096972</v>
      </c>
      <c r="J191" s="128">
        <v>69.22</v>
      </c>
      <c r="K191" s="67">
        <v>2147296</v>
      </c>
      <c r="L191" s="67">
        <v>2146739</v>
      </c>
      <c r="M191" s="67">
        <v>557</v>
      </c>
      <c r="N191" s="128">
        <v>99.97</v>
      </c>
    </row>
    <row r="192" spans="2:14" hidden="1" x14ac:dyDescent="0.25">
      <c r="B192" s="13">
        <v>45100</v>
      </c>
      <c r="C192" s="67">
        <v>12848568</v>
      </c>
      <c r="D192" s="67">
        <v>12402578</v>
      </c>
      <c r="E192" s="67">
        <v>445990</v>
      </c>
      <c r="F192" s="128">
        <v>96.52</v>
      </c>
      <c r="G192" s="67">
        <v>115337374</v>
      </c>
      <c r="H192" s="67">
        <v>80687391</v>
      </c>
      <c r="I192" s="67">
        <v>34649983</v>
      </c>
      <c r="J192" s="128">
        <v>69.95</v>
      </c>
      <c r="K192" s="67">
        <v>5426067</v>
      </c>
      <c r="L192" s="67">
        <v>5425551</v>
      </c>
      <c r="M192" s="67">
        <v>516</v>
      </c>
      <c r="N192" s="128">
        <v>99.99</v>
      </c>
    </row>
    <row r="193" spans="2:14" hidden="1" x14ac:dyDescent="0.25">
      <c r="B193" s="13">
        <v>45101</v>
      </c>
      <c r="C193" s="67">
        <v>12017394</v>
      </c>
      <c r="D193" s="67">
        <v>11578143</v>
      </c>
      <c r="E193" s="67">
        <v>439251</v>
      </c>
      <c r="F193" s="128">
        <v>96.34</v>
      </c>
      <c r="G193" s="67">
        <v>97254487</v>
      </c>
      <c r="H193" s="67">
        <v>70822505</v>
      </c>
      <c r="I193" s="67">
        <v>26431982</v>
      </c>
      <c r="J193" s="128">
        <v>72.819999999999993</v>
      </c>
      <c r="K193" s="67">
        <v>6245797</v>
      </c>
      <c r="L193" s="67">
        <v>6235897</v>
      </c>
      <c r="M193" s="67">
        <v>9900</v>
      </c>
      <c r="N193" s="128">
        <v>99.84</v>
      </c>
    </row>
    <row r="194" spans="2:14" hidden="1" x14ac:dyDescent="0.25">
      <c r="B194" s="13">
        <v>45102</v>
      </c>
      <c r="C194" s="67">
        <v>11746513</v>
      </c>
      <c r="D194" s="67">
        <v>11355688</v>
      </c>
      <c r="E194" s="67">
        <v>390825</v>
      </c>
      <c r="F194" s="128">
        <v>96.67</v>
      </c>
      <c r="G194" s="67">
        <v>88087747</v>
      </c>
      <c r="H194" s="67">
        <v>61301220</v>
      </c>
      <c r="I194" s="67">
        <v>26786527</v>
      </c>
      <c r="J194" s="128">
        <v>69.59</v>
      </c>
      <c r="K194" s="67">
        <v>1768843</v>
      </c>
      <c r="L194" s="67">
        <v>1768207</v>
      </c>
      <c r="M194" s="67">
        <v>636</v>
      </c>
      <c r="N194" s="128">
        <v>99.96</v>
      </c>
    </row>
    <row r="195" spans="2:14" hidden="1" x14ac:dyDescent="0.25">
      <c r="B195" s="13">
        <v>45103</v>
      </c>
      <c r="C195" s="67">
        <v>11995244</v>
      </c>
      <c r="D195" s="67">
        <v>11660450</v>
      </c>
      <c r="E195" s="67">
        <v>334794</v>
      </c>
      <c r="F195" s="128">
        <v>97.21</v>
      </c>
      <c r="G195" s="67">
        <v>121235268</v>
      </c>
      <c r="H195" s="67">
        <v>86397020</v>
      </c>
      <c r="I195" s="67">
        <v>34838248</v>
      </c>
      <c r="J195" s="128">
        <v>71.260000000000005</v>
      </c>
      <c r="K195" s="67">
        <v>6298171</v>
      </c>
      <c r="L195" s="67">
        <v>6297218</v>
      </c>
      <c r="M195" s="67">
        <v>953</v>
      </c>
      <c r="N195" s="128">
        <v>99.98</v>
      </c>
    </row>
    <row r="196" spans="2:14" hidden="1" x14ac:dyDescent="0.25">
      <c r="B196" s="13">
        <v>45104</v>
      </c>
      <c r="C196" s="67">
        <v>11262734</v>
      </c>
      <c r="D196" s="67">
        <v>10822057</v>
      </c>
      <c r="E196" s="67">
        <v>440677</v>
      </c>
      <c r="F196" s="128">
        <v>96.09</v>
      </c>
      <c r="G196" s="67">
        <v>129970874</v>
      </c>
      <c r="H196" s="67">
        <v>90794741</v>
      </c>
      <c r="I196" s="67">
        <v>39176133</v>
      </c>
      <c r="J196" s="128">
        <v>69.86</v>
      </c>
      <c r="K196" s="67">
        <v>6120308</v>
      </c>
      <c r="L196" s="67">
        <v>5847928</v>
      </c>
      <c r="M196" s="67">
        <v>272380</v>
      </c>
      <c r="N196" s="128">
        <v>95.55</v>
      </c>
    </row>
    <row r="197" spans="2:14" hidden="1" x14ac:dyDescent="0.25">
      <c r="B197" s="13">
        <v>45105</v>
      </c>
      <c r="C197" s="67">
        <v>11651190</v>
      </c>
      <c r="D197" s="67">
        <v>11240736</v>
      </c>
      <c r="E197" s="67">
        <v>410454</v>
      </c>
      <c r="F197" s="128">
        <v>96.48</v>
      </c>
      <c r="G197" s="67">
        <v>96465513</v>
      </c>
      <c r="H197" s="67">
        <v>73439765</v>
      </c>
      <c r="I197" s="67">
        <v>23025748</v>
      </c>
      <c r="J197" s="128">
        <v>76.13</v>
      </c>
      <c r="K197" s="67">
        <v>6156137</v>
      </c>
      <c r="L197" s="67">
        <v>6155077</v>
      </c>
      <c r="M197" s="67">
        <v>1060</v>
      </c>
      <c r="N197" s="128">
        <v>99.98</v>
      </c>
    </row>
    <row r="198" spans="2:14" hidden="1" x14ac:dyDescent="0.25">
      <c r="B198" s="13">
        <v>45106</v>
      </c>
      <c r="C198" s="67">
        <v>11940325</v>
      </c>
      <c r="D198" s="67">
        <v>11593625</v>
      </c>
      <c r="E198" s="67">
        <v>346700</v>
      </c>
      <c r="F198" s="128">
        <v>97.1</v>
      </c>
      <c r="G198" s="67">
        <v>119291063</v>
      </c>
      <c r="H198" s="67">
        <v>83548586</v>
      </c>
      <c r="I198" s="67">
        <v>35742477</v>
      </c>
      <c r="J198" s="128">
        <v>70.040000000000006</v>
      </c>
      <c r="K198" s="67">
        <v>5666235</v>
      </c>
      <c r="L198" s="67">
        <v>5665134</v>
      </c>
      <c r="M198" s="67">
        <v>1101</v>
      </c>
      <c r="N198" s="128">
        <v>99.98</v>
      </c>
    </row>
    <row r="199" spans="2:14" hidden="1" x14ac:dyDescent="0.25">
      <c r="B199" s="13">
        <v>45107</v>
      </c>
      <c r="C199" s="67">
        <v>11977512</v>
      </c>
      <c r="D199" s="67">
        <v>11606106</v>
      </c>
      <c r="E199" s="67">
        <v>371406</v>
      </c>
      <c r="F199" s="128">
        <v>96.89</v>
      </c>
      <c r="G199" s="67">
        <v>110831993</v>
      </c>
      <c r="H199" s="67">
        <v>75986078</v>
      </c>
      <c r="I199" s="67">
        <v>34845915</v>
      </c>
      <c r="J199" s="128">
        <v>68.55</v>
      </c>
      <c r="K199" s="67">
        <v>2343239</v>
      </c>
      <c r="L199" s="67">
        <v>2342266</v>
      </c>
      <c r="M199" s="67">
        <v>973</v>
      </c>
      <c r="N199" s="128">
        <v>99.95</v>
      </c>
    </row>
    <row r="200" spans="2:14" hidden="1" x14ac:dyDescent="0.25">
      <c r="B200" s="13">
        <v>45108</v>
      </c>
      <c r="C200" s="67">
        <v>11627975</v>
      </c>
      <c r="D200" s="67">
        <v>11224583</v>
      </c>
      <c r="E200" s="67">
        <v>403392</v>
      </c>
      <c r="F200" s="128">
        <v>96.53</v>
      </c>
      <c r="G200" s="67">
        <v>108674591</v>
      </c>
      <c r="H200" s="67">
        <v>77000537</v>
      </c>
      <c r="I200" s="67">
        <v>31674054</v>
      </c>
      <c r="J200" s="128">
        <v>70.849999999999994</v>
      </c>
      <c r="K200" s="67">
        <v>1868685</v>
      </c>
      <c r="L200" s="67">
        <v>1868446</v>
      </c>
      <c r="M200" s="67">
        <v>239</v>
      </c>
      <c r="N200" s="128">
        <v>99.98</v>
      </c>
    </row>
    <row r="201" spans="2:14" hidden="1" x14ac:dyDescent="0.25">
      <c r="B201" s="13">
        <v>45109</v>
      </c>
      <c r="C201" s="67">
        <v>12016111</v>
      </c>
      <c r="D201" s="67">
        <v>11617837</v>
      </c>
      <c r="E201" s="67">
        <v>398274</v>
      </c>
      <c r="F201" s="128">
        <v>96.68</v>
      </c>
      <c r="G201" s="67">
        <v>84107826</v>
      </c>
      <c r="H201" s="67">
        <v>58683062</v>
      </c>
      <c r="I201" s="67">
        <v>25424764</v>
      </c>
      <c r="J201" s="128">
        <v>69.77</v>
      </c>
      <c r="K201" s="67">
        <v>1681610</v>
      </c>
      <c r="L201" s="67">
        <v>1681415</v>
      </c>
      <c r="M201" s="67">
        <v>195</v>
      </c>
      <c r="N201" s="128">
        <v>99.98</v>
      </c>
    </row>
    <row r="202" spans="2:14" hidden="1" x14ac:dyDescent="0.25">
      <c r="B202" s="13">
        <v>45110</v>
      </c>
      <c r="C202" s="67">
        <v>11205464</v>
      </c>
      <c r="D202" s="67">
        <v>10840804</v>
      </c>
      <c r="E202" s="67">
        <v>364660</v>
      </c>
      <c r="F202" s="128">
        <v>96.75</v>
      </c>
      <c r="G202" s="67">
        <v>99007299</v>
      </c>
      <c r="H202" s="67">
        <v>68760018</v>
      </c>
      <c r="I202" s="67">
        <v>30247281</v>
      </c>
      <c r="J202" s="128">
        <v>69.45</v>
      </c>
      <c r="K202" s="67">
        <v>1560295</v>
      </c>
      <c r="L202" s="67">
        <v>1560139</v>
      </c>
      <c r="M202" s="67">
        <v>156</v>
      </c>
      <c r="N202" s="128">
        <v>99.99</v>
      </c>
    </row>
    <row r="203" spans="2:14" hidden="1" x14ac:dyDescent="0.25">
      <c r="B203" s="13">
        <v>45111</v>
      </c>
      <c r="C203" s="67">
        <v>11428790</v>
      </c>
      <c r="D203" s="67">
        <v>10994143</v>
      </c>
      <c r="E203" s="67">
        <v>434647</v>
      </c>
      <c r="F203" s="128">
        <v>96.2</v>
      </c>
      <c r="G203" s="67">
        <v>102389519</v>
      </c>
      <c r="H203" s="67">
        <v>73052162</v>
      </c>
      <c r="I203" s="67">
        <v>29337357</v>
      </c>
      <c r="J203" s="128">
        <v>71.349999999999994</v>
      </c>
      <c r="K203" s="67">
        <v>1634822</v>
      </c>
      <c r="L203" s="67">
        <v>1634636</v>
      </c>
      <c r="M203" s="67">
        <v>186</v>
      </c>
      <c r="N203" s="128">
        <v>99.99</v>
      </c>
    </row>
    <row r="204" spans="2:14" hidden="1" x14ac:dyDescent="0.25">
      <c r="B204" s="13">
        <v>45112</v>
      </c>
      <c r="C204" s="67">
        <v>11996982</v>
      </c>
      <c r="D204" s="67">
        <v>11551748</v>
      </c>
      <c r="E204" s="67">
        <v>445234</v>
      </c>
      <c r="F204" s="128">
        <v>96.29</v>
      </c>
      <c r="G204" s="67">
        <v>109608079</v>
      </c>
      <c r="H204" s="67">
        <v>76341499</v>
      </c>
      <c r="I204" s="67">
        <v>33266580</v>
      </c>
      <c r="J204" s="128">
        <v>69.650000000000006</v>
      </c>
      <c r="K204" s="67">
        <v>1619712</v>
      </c>
      <c r="L204" s="67">
        <v>1619582</v>
      </c>
      <c r="M204" s="67">
        <v>130</v>
      </c>
      <c r="N204" s="128">
        <v>99.99</v>
      </c>
    </row>
    <row r="205" spans="2:14" hidden="1" x14ac:dyDescent="0.25">
      <c r="B205" s="13">
        <v>45113</v>
      </c>
      <c r="C205" s="67">
        <v>11743898</v>
      </c>
      <c r="D205" s="67">
        <v>11280819</v>
      </c>
      <c r="E205" s="67">
        <v>463079</v>
      </c>
      <c r="F205" s="128">
        <v>96.06</v>
      </c>
      <c r="G205" s="67">
        <v>115838317</v>
      </c>
      <c r="H205" s="67">
        <v>79807879</v>
      </c>
      <c r="I205" s="67">
        <v>36030438</v>
      </c>
      <c r="J205" s="128">
        <v>68.900000000000006</v>
      </c>
      <c r="K205" s="67">
        <v>2103873</v>
      </c>
      <c r="L205" s="67">
        <v>2103725</v>
      </c>
      <c r="M205" s="67">
        <v>148</v>
      </c>
      <c r="N205" s="128">
        <v>99.99</v>
      </c>
    </row>
    <row r="206" spans="2:14" hidden="1" x14ac:dyDescent="0.25">
      <c r="B206" s="13">
        <v>45114</v>
      </c>
      <c r="C206" s="67">
        <v>11442768</v>
      </c>
      <c r="D206" s="67">
        <v>10937060</v>
      </c>
      <c r="E206" s="67">
        <v>505708</v>
      </c>
      <c r="F206" s="128">
        <v>95.58</v>
      </c>
      <c r="G206" s="67">
        <v>111530284</v>
      </c>
      <c r="H206" s="67">
        <v>76623637</v>
      </c>
      <c r="I206" s="67">
        <v>34906647</v>
      </c>
      <c r="J206" s="128">
        <v>68.7</v>
      </c>
      <c r="K206" s="67">
        <v>2079576</v>
      </c>
      <c r="L206" s="67">
        <v>2079482</v>
      </c>
      <c r="M206" s="67">
        <v>94</v>
      </c>
      <c r="N206" s="128">
        <v>100</v>
      </c>
    </row>
    <row r="207" spans="2:14" hidden="1" x14ac:dyDescent="0.25">
      <c r="B207" s="13">
        <v>45115</v>
      </c>
      <c r="C207" s="67">
        <v>11896836</v>
      </c>
      <c r="D207" s="67">
        <v>11428748</v>
      </c>
      <c r="E207" s="67">
        <v>468088</v>
      </c>
      <c r="F207" s="128">
        <v>96.07</v>
      </c>
      <c r="G207" s="67">
        <v>115278954</v>
      </c>
      <c r="H207" s="67">
        <v>77458546</v>
      </c>
      <c r="I207" s="67">
        <v>37820408</v>
      </c>
      <c r="J207" s="128">
        <v>67.19</v>
      </c>
      <c r="K207" s="67">
        <v>2577050</v>
      </c>
      <c r="L207" s="67">
        <v>2576925</v>
      </c>
      <c r="M207" s="67">
        <v>125</v>
      </c>
      <c r="N207" s="128">
        <v>100</v>
      </c>
    </row>
    <row r="208" spans="2:14" hidden="1" x14ac:dyDescent="0.25">
      <c r="B208" s="13">
        <v>45116</v>
      </c>
      <c r="C208" s="67">
        <v>10947165</v>
      </c>
      <c r="D208" s="67">
        <v>10534360</v>
      </c>
      <c r="E208" s="67">
        <v>412805</v>
      </c>
      <c r="F208" s="128">
        <v>96.23</v>
      </c>
      <c r="G208" s="67">
        <v>76783329</v>
      </c>
      <c r="H208" s="67">
        <f>3697511+53226370</f>
        <v>56923881</v>
      </c>
      <c r="I208" s="67">
        <f>4033466+15825982</f>
        <v>19859448</v>
      </c>
      <c r="J208" s="128">
        <v>74.14</v>
      </c>
      <c r="K208" s="67">
        <f>32206+1817120</f>
        <v>1849326</v>
      </c>
      <c r="L208" s="67">
        <f>30762+1817108</f>
        <v>1847870</v>
      </c>
      <c r="M208" s="67">
        <f>1444+12</f>
        <v>1456</v>
      </c>
      <c r="N208" s="128">
        <v>99.92</v>
      </c>
    </row>
    <row r="209" spans="2:14" hidden="1" x14ac:dyDescent="0.25">
      <c r="B209" s="13">
        <v>45117</v>
      </c>
      <c r="C209" s="67">
        <v>12228242</v>
      </c>
      <c r="D209" s="67">
        <v>11877481</v>
      </c>
      <c r="E209" s="67">
        <v>350761</v>
      </c>
      <c r="F209" s="128">
        <v>97.13</v>
      </c>
      <c r="G209" s="67">
        <v>100871030</v>
      </c>
      <c r="H209" s="67">
        <v>70659967</v>
      </c>
      <c r="I209" s="67">
        <v>30211063</v>
      </c>
      <c r="J209" s="128">
        <v>70.05</v>
      </c>
      <c r="K209" s="67">
        <v>2739967</v>
      </c>
      <c r="L209" s="67">
        <v>2724881</v>
      </c>
      <c r="M209" s="67">
        <v>15086</v>
      </c>
      <c r="N209" s="128">
        <v>99.45</v>
      </c>
    </row>
    <row r="210" spans="2:14" hidden="1" x14ac:dyDescent="0.25">
      <c r="B210" s="13">
        <v>45118</v>
      </c>
      <c r="C210" s="67">
        <v>12141688</v>
      </c>
      <c r="D210" s="67">
        <v>11635705</v>
      </c>
      <c r="E210" s="67">
        <v>505983</v>
      </c>
      <c r="F210" s="128">
        <v>95.83</v>
      </c>
      <c r="G210" s="67">
        <v>105670152</v>
      </c>
      <c r="H210" s="67">
        <v>72355096</v>
      </c>
      <c r="I210" s="67">
        <v>33315056</v>
      </c>
      <c r="J210" s="128">
        <v>68.47</v>
      </c>
      <c r="K210" s="67">
        <v>2504685</v>
      </c>
      <c r="L210" s="67">
        <v>2504079</v>
      </c>
      <c r="M210" s="67">
        <v>606</v>
      </c>
      <c r="N210" s="128">
        <v>99.98</v>
      </c>
    </row>
    <row r="211" spans="2:14" hidden="1" x14ac:dyDescent="0.25">
      <c r="B211" s="13">
        <v>45119</v>
      </c>
      <c r="C211" s="67">
        <v>11936480</v>
      </c>
      <c r="D211" s="67">
        <v>11432406</v>
      </c>
      <c r="E211" s="67">
        <v>504074</v>
      </c>
      <c r="F211" s="128">
        <v>95.78</v>
      </c>
      <c r="G211" s="67">
        <v>90357107</v>
      </c>
      <c r="H211" s="67">
        <v>64972889</v>
      </c>
      <c r="I211" s="67">
        <v>25384218</v>
      </c>
      <c r="J211" s="128">
        <v>71.91</v>
      </c>
      <c r="K211" s="67">
        <v>2566696</v>
      </c>
      <c r="L211" s="67">
        <v>2566106</v>
      </c>
      <c r="M211" s="67">
        <v>590</v>
      </c>
      <c r="N211" s="128">
        <v>99.98</v>
      </c>
    </row>
    <row r="212" spans="2:14" hidden="1" x14ac:dyDescent="0.25">
      <c r="B212" s="13">
        <v>45120</v>
      </c>
      <c r="C212" s="67">
        <v>11685980</v>
      </c>
      <c r="D212" s="67">
        <v>11446162</v>
      </c>
      <c r="E212" s="67">
        <v>239818</v>
      </c>
      <c r="F212" s="128">
        <v>97.95</v>
      </c>
      <c r="G212" s="67">
        <v>112383911</v>
      </c>
      <c r="H212" s="67">
        <v>78983985</v>
      </c>
      <c r="I212" s="67">
        <v>33399926</v>
      </c>
      <c r="J212" s="128">
        <v>70.28</v>
      </c>
      <c r="K212" s="67">
        <v>5208584</v>
      </c>
      <c r="L212" s="67">
        <v>5208487</v>
      </c>
      <c r="M212" s="67">
        <v>97</v>
      </c>
      <c r="N212" s="128">
        <v>100</v>
      </c>
    </row>
    <row r="213" spans="2:14" hidden="1" x14ac:dyDescent="0.25">
      <c r="B213" s="13">
        <v>45121</v>
      </c>
      <c r="C213" s="67">
        <v>12419368</v>
      </c>
      <c r="D213" s="67">
        <v>11990319</v>
      </c>
      <c r="E213" s="67">
        <v>429049</v>
      </c>
      <c r="F213" s="128">
        <v>96.55</v>
      </c>
      <c r="G213" s="67">
        <v>100125705</v>
      </c>
      <c r="H213" s="67">
        <v>72895869</v>
      </c>
      <c r="I213" s="67">
        <v>27229836</v>
      </c>
      <c r="J213" s="128">
        <v>72.8</v>
      </c>
      <c r="K213" s="67">
        <v>3441578</v>
      </c>
      <c r="L213" s="67">
        <v>3441229</v>
      </c>
      <c r="M213" s="67">
        <v>349</v>
      </c>
      <c r="N213" s="128">
        <v>99.99</v>
      </c>
    </row>
    <row r="214" spans="2:14" hidden="1" x14ac:dyDescent="0.25">
      <c r="B214" s="13">
        <v>45122</v>
      </c>
      <c r="C214" s="67">
        <v>12650273</v>
      </c>
      <c r="D214" s="67">
        <v>12172260</v>
      </c>
      <c r="E214" s="67">
        <v>478013</v>
      </c>
      <c r="F214" s="128">
        <v>96.22</v>
      </c>
      <c r="G214" s="67">
        <v>109176560</v>
      </c>
      <c r="H214" s="67">
        <v>74504847</v>
      </c>
      <c r="I214" s="67">
        <v>34671713</v>
      </c>
      <c r="J214" s="128">
        <v>68.239999999999995</v>
      </c>
      <c r="K214" s="67">
        <v>5707589</v>
      </c>
      <c r="L214" s="67">
        <v>5707406</v>
      </c>
      <c r="M214" s="67">
        <v>183</v>
      </c>
      <c r="N214" s="128">
        <v>100</v>
      </c>
    </row>
    <row r="215" spans="2:14" hidden="1" x14ac:dyDescent="0.25">
      <c r="B215" s="13">
        <v>45123</v>
      </c>
      <c r="C215" s="67">
        <v>12601850</v>
      </c>
      <c r="D215" s="67">
        <v>12189303</v>
      </c>
      <c r="E215" s="67">
        <v>412547</v>
      </c>
      <c r="F215" s="128">
        <v>96.73</v>
      </c>
      <c r="G215" s="67">
        <v>74488146</v>
      </c>
      <c r="H215" s="67">
        <v>56164906</v>
      </c>
      <c r="I215" s="67">
        <v>18323240</v>
      </c>
      <c r="J215" s="128">
        <v>75.400000000000006</v>
      </c>
      <c r="K215" s="67">
        <v>2535923</v>
      </c>
      <c r="L215" s="67">
        <v>2535786</v>
      </c>
      <c r="M215" s="67">
        <v>137</v>
      </c>
      <c r="N215" s="128">
        <v>99.99</v>
      </c>
    </row>
    <row r="216" spans="2:14" hidden="1" x14ac:dyDescent="0.25">
      <c r="B216" s="13">
        <v>45124</v>
      </c>
      <c r="C216" s="67">
        <v>13263405</v>
      </c>
      <c r="D216" s="67">
        <v>12922299</v>
      </c>
      <c r="E216" s="67">
        <v>341106</v>
      </c>
      <c r="F216" s="128">
        <v>97.43</v>
      </c>
      <c r="G216" s="67">
        <v>109708767</v>
      </c>
      <c r="H216" s="67">
        <v>77723123</v>
      </c>
      <c r="I216" s="67">
        <v>31985644</v>
      </c>
      <c r="J216" s="128">
        <v>70.84</v>
      </c>
      <c r="K216" s="67">
        <v>5801586</v>
      </c>
      <c r="L216" s="67">
        <v>5801396</v>
      </c>
      <c r="M216" s="67">
        <v>190</v>
      </c>
      <c r="N216" s="128">
        <v>100</v>
      </c>
    </row>
    <row r="217" spans="2:14" hidden="1" x14ac:dyDescent="0.25">
      <c r="B217" s="13">
        <v>45125</v>
      </c>
      <c r="C217" s="67">
        <v>13157284</v>
      </c>
      <c r="D217" s="67">
        <v>12707392</v>
      </c>
      <c r="E217" s="67">
        <v>449892</v>
      </c>
      <c r="F217" s="128">
        <v>96.58</v>
      </c>
      <c r="G217" s="67">
        <v>111340044</v>
      </c>
      <c r="H217" s="67">
        <v>78144921</v>
      </c>
      <c r="I217" s="67">
        <v>33195123</v>
      </c>
      <c r="J217" s="128">
        <v>70.19</v>
      </c>
      <c r="K217" s="104">
        <v>4759632</v>
      </c>
      <c r="L217" s="104">
        <v>4759370</v>
      </c>
      <c r="M217" s="104">
        <v>262</v>
      </c>
      <c r="N217" s="128">
        <v>99.99</v>
      </c>
    </row>
    <row r="218" spans="2:14" hidden="1" x14ac:dyDescent="0.25">
      <c r="B218" s="13">
        <v>45126</v>
      </c>
      <c r="C218" s="67">
        <v>12510524</v>
      </c>
      <c r="D218" s="67">
        <v>12068586</v>
      </c>
      <c r="E218" s="67">
        <v>441938</v>
      </c>
      <c r="F218" s="128">
        <v>96.47</v>
      </c>
      <c r="G218" s="67">
        <v>104273283</v>
      </c>
      <c r="H218" s="67">
        <v>74109035</v>
      </c>
      <c r="I218" s="67">
        <v>30164248</v>
      </c>
      <c r="J218" s="128">
        <v>71.069999999999993</v>
      </c>
      <c r="K218" s="104">
        <v>4377586</v>
      </c>
      <c r="L218" s="104">
        <v>4376898</v>
      </c>
      <c r="M218" s="104">
        <v>688</v>
      </c>
      <c r="N218" s="128">
        <v>99.98</v>
      </c>
    </row>
    <row r="219" spans="2:14" hidden="1" x14ac:dyDescent="0.25">
      <c r="B219" s="13">
        <v>45127</v>
      </c>
      <c r="C219" s="67">
        <v>12595933</v>
      </c>
      <c r="D219" s="67">
        <v>12161233</v>
      </c>
      <c r="E219" s="67">
        <v>434700</v>
      </c>
      <c r="F219" s="128">
        <v>96.55</v>
      </c>
      <c r="G219" s="67">
        <v>103399648</v>
      </c>
      <c r="H219" s="67">
        <v>71165743</v>
      </c>
      <c r="I219" s="67">
        <v>32233905</v>
      </c>
      <c r="J219" s="128">
        <v>68.83</v>
      </c>
      <c r="K219" s="67">
        <v>4681693</v>
      </c>
      <c r="L219" s="67">
        <v>4681322</v>
      </c>
      <c r="M219" s="67">
        <v>371</v>
      </c>
      <c r="N219" s="128">
        <v>99.99</v>
      </c>
    </row>
    <row r="220" spans="2:14" hidden="1" x14ac:dyDescent="0.25">
      <c r="B220" s="13">
        <v>45128</v>
      </c>
      <c r="C220" s="67">
        <v>12292500</v>
      </c>
      <c r="D220" s="67">
        <v>11857276</v>
      </c>
      <c r="E220" s="67">
        <v>435224</v>
      </c>
      <c r="F220" s="128">
        <v>96.46</v>
      </c>
      <c r="G220" s="67">
        <v>103871018</v>
      </c>
      <c r="H220" s="67">
        <v>74449852</v>
      </c>
      <c r="I220" s="67">
        <v>29421166</v>
      </c>
      <c r="J220" s="128">
        <v>71.680000000000007</v>
      </c>
      <c r="K220" s="67">
        <v>4463981</v>
      </c>
      <c r="L220" s="67">
        <v>4463670</v>
      </c>
      <c r="M220" s="67">
        <v>311</v>
      </c>
      <c r="N220" s="128">
        <v>99.99</v>
      </c>
    </row>
    <row r="221" spans="2:14" hidden="1" x14ac:dyDescent="0.25">
      <c r="B221" s="13">
        <v>45129</v>
      </c>
      <c r="C221" s="67">
        <v>12581540</v>
      </c>
      <c r="D221" s="67">
        <v>12155294</v>
      </c>
      <c r="E221" s="67">
        <v>426246</v>
      </c>
      <c r="F221" s="128">
        <v>96.61</v>
      </c>
      <c r="G221" s="67">
        <v>114812167</v>
      </c>
      <c r="H221" s="67">
        <v>79351349</v>
      </c>
      <c r="I221" s="67">
        <v>35460818</v>
      </c>
      <c r="J221" s="128">
        <v>69.11</v>
      </c>
      <c r="K221" s="67">
        <v>4663051</v>
      </c>
      <c r="L221" s="67">
        <v>4662889</v>
      </c>
      <c r="M221" s="67">
        <v>162</v>
      </c>
      <c r="N221" s="128">
        <v>100</v>
      </c>
    </row>
    <row r="222" spans="2:14" hidden="1" x14ac:dyDescent="0.25">
      <c r="B222" s="13">
        <v>45130</v>
      </c>
      <c r="C222" s="67">
        <v>12411402</v>
      </c>
      <c r="D222" s="67">
        <v>11996828</v>
      </c>
      <c r="E222" s="67">
        <v>414574</v>
      </c>
      <c r="F222" s="128">
        <v>96.66</v>
      </c>
      <c r="G222" s="67">
        <v>87359670</v>
      </c>
      <c r="H222" s="67">
        <v>61999709</v>
      </c>
      <c r="I222" s="67">
        <v>25359961</v>
      </c>
      <c r="J222" s="128">
        <v>70.97</v>
      </c>
      <c r="K222" s="67">
        <v>2141174</v>
      </c>
      <c r="L222" s="67">
        <v>2141078</v>
      </c>
      <c r="M222" s="67">
        <v>96</v>
      </c>
      <c r="N222" s="128">
        <v>100</v>
      </c>
    </row>
    <row r="223" spans="2:14" hidden="1" x14ac:dyDescent="0.25">
      <c r="B223" s="13">
        <v>45131</v>
      </c>
      <c r="C223" s="48">
        <v>14118747</v>
      </c>
      <c r="D223" s="48">
        <v>13747033</v>
      </c>
      <c r="E223" s="48">
        <v>371714</v>
      </c>
      <c r="F223" s="128">
        <v>97.37</v>
      </c>
      <c r="G223" s="48">
        <v>100309273</v>
      </c>
      <c r="H223" s="48">
        <v>72295341</v>
      </c>
      <c r="I223" s="48">
        <v>28013932</v>
      </c>
      <c r="J223" s="128">
        <v>72.069999999999993</v>
      </c>
      <c r="K223" s="48">
        <v>4689573</v>
      </c>
      <c r="L223" s="48">
        <v>4688895</v>
      </c>
      <c r="M223" s="48">
        <v>678</v>
      </c>
      <c r="N223" s="128">
        <v>99.99</v>
      </c>
    </row>
    <row r="224" spans="2:14" hidden="1" x14ac:dyDescent="0.25">
      <c r="B224" s="13">
        <v>45132</v>
      </c>
      <c r="C224" s="48">
        <v>13722151</v>
      </c>
      <c r="D224" s="48">
        <v>13285790</v>
      </c>
      <c r="E224" s="48">
        <v>436361</v>
      </c>
      <c r="F224" s="128">
        <v>96.82</v>
      </c>
      <c r="G224" s="48">
        <v>99195459</v>
      </c>
      <c r="H224" s="48">
        <v>73239475</v>
      </c>
      <c r="I224" s="48">
        <v>25955984</v>
      </c>
      <c r="J224" s="128">
        <v>73.83</v>
      </c>
      <c r="K224" s="48">
        <v>5013002</v>
      </c>
      <c r="L224" s="48">
        <v>5012841</v>
      </c>
      <c r="M224" s="48">
        <v>161</v>
      </c>
      <c r="N224" s="128">
        <v>100</v>
      </c>
    </row>
    <row r="225" spans="2:14" hidden="1" x14ac:dyDescent="0.25">
      <c r="B225" s="13">
        <v>45133</v>
      </c>
      <c r="C225" s="48">
        <v>12798824</v>
      </c>
      <c r="D225" s="48">
        <v>12394056</v>
      </c>
      <c r="E225" s="48">
        <v>404768</v>
      </c>
      <c r="F225" s="128">
        <v>96.84</v>
      </c>
      <c r="G225" s="48">
        <v>81633712</v>
      </c>
      <c r="H225" s="48">
        <v>62904921</v>
      </c>
      <c r="I225" s="48">
        <v>18728791</v>
      </c>
      <c r="J225" s="128">
        <v>77.06</v>
      </c>
      <c r="K225" s="48">
        <v>4989740</v>
      </c>
      <c r="L225" s="48">
        <v>4989599</v>
      </c>
      <c r="M225" s="48">
        <v>141</v>
      </c>
      <c r="N225" s="128">
        <v>100</v>
      </c>
    </row>
    <row r="226" spans="2:14" hidden="1" x14ac:dyDescent="0.25">
      <c r="B226" s="13">
        <v>45134</v>
      </c>
      <c r="C226" s="48">
        <v>12669794</v>
      </c>
      <c r="D226" s="48">
        <v>12304450</v>
      </c>
      <c r="E226" s="48">
        <v>365344</v>
      </c>
      <c r="F226" s="128">
        <v>97.12</v>
      </c>
      <c r="G226" s="48">
        <v>87184464</v>
      </c>
      <c r="H226" s="48">
        <v>67314958</v>
      </c>
      <c r="I226" s="48">
        <v>19869506</v>
      </c>
      <c r="J226" s="128">
        <v>77.209999999999994</v>
      </c>
      <c r="K226" s="48">
        <v>3221263</v>
      </c>
      <c r="L226" s="48">
        <v>3221132</v>
      </c>
      <c r="M226" s="48">
        <v>131</v>
      </c>
      <c r="N226" s="128">
        <v>100</v>
      </c>
    </row>
    <row r="227" spans="2:14" hidden="1" x14ac:dyDescent="0.25">
      <c r="B227" s="13">
        <v>45135</v>
      </c>
      <c r="C227" s="48">
        <v>12446593</v>
      </c>
      <c r="D227" s="48">
        <v>12070995</v>
      </c>
      <c r="E227" s="48">
        <v>375598</v>
      </c>
      <c r="F227" s="128">
        <v>96.98</v>
      </c>
      <c r="G227" s="48">
        <v>92299725</v>
      </c>
      <c r="H227" s="48">
        <v>68985147</v>
      </c>
      <c r="I227" s="48">
        <v>23314578</v>
      </c>
      <c r="J227" s="128">
        <v>74.739999999999995</v>
      </c>
      <c r="K227" s="48">
        <v>5610652</v>
      </c>
      <c r="L227" s="48">
        <v>5610517</v>
      </c>
      <c r="M227" s="48">
        <v>135</v>
      </c>
      <c r="N227" s="128">
        <v>100</v>
      </c>
    </row>
    <row r="228" spans="2:14" hidden="1" x14ac:dyDescent="0.25">
      <c r="B228" s="13">
        <v>45136</v>
      </c>
      <c r="C228" s="48">
        <v>12239587</v>
      </c>
      <c r="D228" s="48">
        <v>11872040</v>
      </c>
      <c r="E228" s="48">
        <v>367547</v>
      </c>
      <c r="F228" s="128">
        <v>97</v>
      </c>
      <c r="G228" s="48">
        <v>104591660</v>
      </c>
      <c r="H228" s="48">
        <v>73363078</v>
      </c>
      <c r="I228" s="48">
        <v>31228582</v>
      </c>
      <c r="J228" s="128">
        <v>70.14</v>
      </c>
      <c r="K228" s="48">
        <v>3441054</v>
      </c>
      <c r="L228" s="48">
        <v>3440886</v>
      </c>
      <c r="M228" s="48">
        <v>168</v>
      </c>
      <c r="N228" s="128">
        <v>100</v>
      </c>
    </row>
    <row r="229" spans="2:14" hidden="1" x14ac:dyDescent="0.25">
      <c r="B229" s="13">
        <v>45137</v>
      </c>
      <c r="C229" s="48">
        <v>12258742</v>
      </c>
      <c r="D229" s="48">
        <v>11871018</v>
      </c>
      <c r="E229" s="48">
        <v>387724</v>
      </c>
      <c r="F229" s="128">
        <v>96.84</v>
      </c>
      <c r="G229" s="48">
        <v>75148183</v>
      </c>
      <c r="H229" s="48">
        <v>55642059</v>
      </c>
      <c r="I229" s="48">
        <v>19506124</v>
      </c>
      <c r="J229" s="128">
        <v>74.040000000000006</v>
      </c>
      <c r="K229" s="48">
        <v>3175984</v>
      </c>
      <c r="L229" s="48">
        <v>3175823</v>
      </c>
      <c r="M229" s="48">
        <v>161</v>
      </c>
      <c r="N229" s="128">
        <v>99.99</v>
      </c>
    </row>
    <row r="230" spans="2:14" hidden="1" x14ac:dyDescent="0.25">
      <c r="B230" s="13">
        <v>45138</v>
      </c>
      <c r="C230" s="48">
        <v>12691751</v>
      </c>
      <c r="D230" s="48">
        <v>12359553</v>
      </c>
      <c r="E230" s="48">
        <v>332198</v>
      </c>
      <c r="F230" s="128">
        <v>97.38</v>
      </c>
      <c r="G230" s="48">
        <v>110142656</v>
      </c>
      <c r="H230" s="48">
        <v>79073882</v>
      </c>
      <c r="I230" s="48">
        <v>31068774</v>
      </c>
      <c r="J230" s="128">
        <v>71.790000000000006</v>
      </c>
      <c r="K230" s="48">
        <v>3458430</v>
      </c>
      <c r="L230" s="48">
        <v>3458292</v>
      </c>
      <c r="M230" s="48">
        <v>138</v>
      </c>
      <c r="N230" s="128">
        <v>100</v>
      </c>
    </row>
    <row r="231" spans="2:14" hidden="1" x14ac:dyDescent="0.25">
      <c r="B231" s="13">
        <v>45139</v>
      </c>
      <c r="C231" s="48">
        <v>12582828</v>
      </c>
      <c r="D231" s="48">
        <v>12118877</v>
      </c>
      <c r="E231" s="48">
        <v>463951</v>
      </c>
      <c r="F231" s="128">
        <v>96.31</v>
      </c>
      <c r="G231" s="48">
        <v>112528767</v>
      </c>
      <c r="H231" s="48">
        <v>79517061</v>
      </c>
      <c r="I231" s="48">
        <v>33011706</v>
      </c>
      <c r="J231" s="128">
        <v>70.66</v>
      </c>
      <c r="K231" s="48">
        <v>3779764</v>
      </c>
      <c r="L231" s="48">
        <v>3779632</v>
      </c>
      <c r="M231" s="48">
        <v>132</v>
      </c>
      <c r="N231" s="128">
        <v>100</v>
      </c>
    </row>
    <row r="232" spans="2:14" hidden="1" x14ac:dyDescent="0.25">
      <c r="B232" s="13">
        <v>45140</v>
      </c>
      <c r="C232" s="48">
        <v>11930809</v>
      </c>
      <c r="D232" s="48">
        <v>11480540</v>
      </c>
      <c r="E232" s="48">
        <v>450269</v>
      </c>
      <c r="F232" s="128">
        <v>96.23</v>
      </c>
      <c r="G232" s="48">
        <v>97625417</v>
      </c>
      <c r="H232" s="48">
        <v>71218634</v>
      </c>
      <c r="I232" s="48">
        <v>26406783</v>
      </c>
      <c r="J232" s="128">
        <v>72.95</v>
      </c>
      <c r="K232" s="48">
        <v>4892155</v>
      </c>
      <c r="L232" s="48">
        <v>4891958</v>
      </c>
      <c r="M232" s="48">
        <v>197</v>
      </c>
      <c r="N232" s="128">
        <v>100</v>
      </c>
    </row>
    <row r="233" spans="2:14" hidden="1" x14ac:dyDescent="0.25">
      <c r="B233" s="13">
        <v>45141</v>
      </c>
      <c r="C233" s="48">
        <v>11514152</v>
      </c>
      <c r="D233" s="48">
        <v>10506751</v>
      </c>
      <c r="E233" s="48">
        <v>1007401</v>
      </c>
      <c r="F233" s="128">
        <v>91.25</v>
      </c>
      <c r="G233" s="48">
        <v>125106470</v>
      </c>
      <c r="H233" s="48">
        <v>85738577</v>
      </c>
      <c r="I233" s="48">
        <v>39367893</v>
      </c>
      <c r="J233" s="128">
        <v>68.53</v>
      </c>
      <c r="K233" s="48">
        <v>4803319</v>
      </c>
      <c r="L233" s="48">
        <v>4803100</v>
      </c>
      <c r="M233" s="48">
        <v>219</v>
      </c>
      <c r="N233" s="128">
        <v>100</v>
      </c>
    </row>
    <row r="234" spans="2:14" hidden="1" x14ac:dyDescent="0.25">
      <c r="B234" s="13">
        <v>45142</v>
      </c>
      <c r="C234" s="48">
        <v>11438671</v>
      </c>
      <c r="D234" s="48">
        <v>10594596</v>
      </c>
      <c r="E234" s="48">
        <v>844075</v>
      </c>
      <c r="F234" s="128">
        <v>92.62</v>
      </c>
      <c r="G234" s="48">
        <v>101170906</v>
      </c>
      <c r="H234" s="48">
        <v>71171232</v>
      </c>
      <c r="I234" s="48">
        <v>29999674</v>
      </c>
      <c r="J234" s="128">
        <v>70.349999999999994</v>
      </c>
      <c r="K234" s="48">
        <v>4745557</v>
      </c>
      <c r="L234" s="48">
        <v>4745331</v>
      </c>
      <c r="M234" s="48">
        <v>226</v>
      </c>
      <c r="N234" s="128">
        <v>100</v>
      </c>
    </row>
    <row r="235" spans="2:14" hidden="1" x14ac:dyDescent="0.25">
      <c r="B235" s="13">
        <v>45143</v>
      </c>
      <c r="C235" s="48">
        <v>11240765</v>
      </c>
      <c r="D235" s="48">
        <v>10848326</v>
      </c>
      <c r="E235" s="48">
        <v>392439</v>
      </c>
      <c r="F235" s="128">
        <v>96.51</v>
      </c>
      <c r="G235" s="48">
        <v>101939873</v>
      </c>
      <c r="H235" s="48">
        <v>69896798</v>
      </c>
      <c r="I235" s="48">
        <v>32043075</v>
      </c>
      <c r="J235" s="128">
        <v>68.569999999999993</v>
      </c>
      <c r="K235" s="48">
        <v>3771184</v>
      </c>
      <c r="L235" s="48">
        <v>3770918</v>
      </c>
      <c r="M235" s="48">
        <v>266</v>
      </c>
      <c r="N235" s="128">
        <v>99.99</v>
      </c>
    </row>
    <row r="236" spans="2:14" hidden="1" x14ac:dyDescent="0.25">
      <c r="B236" s="13">
        <v>45144</v>
      </c>
      <c r="C236" s="48">
        <v>11024462</v>
      </c>
      <c r="D236" s="48">
        <v>10654513</v>
      </c>
      <c r="E236" s="48">
        <v>369949</v>
      </c>
      <c r="F236" s="128">
        <v>96.64</v>
      </c>
      <c r="G236" s="48">
        <v>68680584</v>
      </c>
      <c r="H236" s="48">
        <v>51866107</v>
      </c>
      <c r="I236" s="48">
        <v>16814477</v>
      </c>
      <c r="J236" s="128">
        <v>75.52</v>
      </c>
      <c r="K236" s="48">
        <v>2708470</v>
      </c>
      <c r="L236" s="48">
        <v>2708111</v>
      </c>
      <c r="M236" s="48">
        <v>359</v>
      </c>
      <c r="N236" s="128">
        <v>99.99</v>
      </c>
    </row>
    <row r="237" spans="2:14" hidden="1" x14ac:dyDescent="0.25">
      <c r="B237" s="13">
        <v>45145</v>
      </c>
      <c r="C237" s="48">
        <v>11434384</v>
      </c>
      <c r="D237" s="48">
        <v>11139565</v>
      </c>
      <c r="E237" s="48">
        <v>294819</v>
      </c>
      <c r="F237" s="128">
        <v>97.42</v>
      </c>
      <c r="G237" s="48">
        <v>90837859</v>
      </c>
      <c r="H237" s="48">
        <v>67836858</v>
      </c>
      <c r="I237" s="48">
        <v>23001001</v>
      </c>
      <c r="J237" s="128">
        <v>74.680000000000007</v>
      </c>
      <c r="K237" s="48">
        <v>2664251</v>
      </c>
      <c r="L237" s="48">
        <v>2663865</v>
      </c>
      <c r="M237" s="48">
        <v>386</v>
      </c>
      <c r="N237" s="128">
        <v>99.99</v>
      </c>
    </row>
    <row r="238" spans="2:14" hidden="1" x14ac:dyDescent="0.25">
      <c r="B238" s="13">
        <v>45146</v>
      </c>
      <c r="C238" s="48">
        <v>11633032</v>
      </c>
      <c r="D238" s="48">
        <v>11272363</v>
      </c>
      <c r="E238" s="48">
        <v>360669</v>
      </c>
      <c r="F238" s="128">
        <v>96.9</v>
      </c>
      <c r="G238" s="48">
        <v>89613026</v>
      </c>
      <c r="H238" s="48">
        <v>68009755</v>
      </c>
      <c r="I238" s="48">
        <v>21603271</v>
      </c>
      <c r="J238" s="128">
        <v>75.89</v>
      </c>
      <c r="K238" s="48">
        <v>2624534</v>
      </c>
      <c r="L238" s="48">
        <v>2624131</v>
      </c>
      <c r="M238" s="48">
        <v>403</v>
      </c>
      <c r="N238" s="128">
        <v>99.98</v>
      </c>
    </row>
    <row r="239" spans="2:14" hidden="1" x14ac:dyDescent="0.25">
      <c r="B239" s="13">
        <v>45147</v>
      </c>
      <c r="C239" s="48">
        <v>11376482</v>
      </c>
      <c r="D239" s="48">
        <v>10992144</v>
      </c>
      <c r="E239" s="48">
        <v>384338</v>
      </c>
      <c r="F239" s="128">
        <v>96.62</v>
      </c>
      <c r="G239" s="48">
        <v>83824706</v>
      </c>
      <c r="H239" s="48">
        <v>62184832</v>
      </c>
      <c r="I239" s="48">
        <v>21639874</v>
      </c>
      <c r="J239" s="128">
        <v>74.180000000000007</v>
      </c>
      <c r="K239" s="48">
        <v>3178160</v>
      </c>
      <c r="L239" s="48">
        <v>3177350</v>
      </c>
      <c r="M239" s="48">
        <v>810</v>
      </c>
      <c r="N239" s="128">
        <v>99.97</v>
      </c>
    </row>
    <row r="240" spans="2:14" hidden="1" x14ac:dyDescent="0.25">
      <c r="B240" s="13">
        <v>45148</v>
      </c>
      <c r="C240" s="48">
        <v>11456089</v>
      </c>
      <c r="D240" s="48">
        <v>11059410</v>
      </c>
      <c r="E240" s="48">
        <v>396679</v>
      </c>
      <c r="F240" s="128">
        <v>96.54</v>
      </c>
      <c r="G240" s="48">
        <v>71511247</v>
      </c>
      <c r="H240" s="48">
        <v>32462814</v>
      </c>
      <c r="I240" s="48">
        <v>103974061</v>
      </c>
      <c r="J240" s="128">
        <v>68.78</v>
      </c>
      <c r="K240" s="48">
        <v>3586934</v>
      </c>
      <c r="L240" s="48">
        <v>3586619</v>
      </c>
      <c r="M240" s="48">
        <v>315</v>
      </c>
      <c r="N240" s="128">
        <v>99.99</v>
      </c>
    </row>
    <row r="241" spans="2:14" hidden="1" x14ac:dyDescent="0.25">
      <c r="B241" s="13">
        <v>45149</v>
      </c>
      <c r="C241" s="48">
        <v>10632090</v>
      </c>
      <c r="D241" s="48">
        <v>388020</v>
      </c>
      <c r="E241" s="48">
        <v>11020110</v>
      </c>
      <c r="F241" s="128">
        <v>96.48</v>
      </c>
      <c r="G241" s="48">
        <v>65969868</v>
      </c>
      <c r="H241" s="48">
        <v>27283100</v>
      </c>
      <c r="I241" s="48">
        <v>93252968</v>
      </c>
      <c r="J241" s="128">
        <v>70.739999999999995</v>
      </c>
      <c r="K241" s="48">
        <v>3684966</v>
      </c>
      <c r="L241" s="48">
        <v>282</v>
      </c>
      <c r="M241" s="48">
        <v>3685248</v>
      </c>
      <c r="N241" s="128">
        <v>99.99</v>
      </c>
    </row>
    <row r="242" spans="2:14" hidden="1" x14ac:dyDescent="0.25">
      <c r="B242" s="13">
        <v>45150</v>
      </c>
      <c r="C242" s="48">
        <v>10347715</v>
      </c>
      <c r="D242" s="48">
        <v>364249</v>
      </c>
      <c r="E242" s="48">
        <v>10711964</v>
      </c>
      <c r="F242" s="128">
        <v>96.6</v>
      </c>
      <c r="G242" s="48">
        <v>73835943</v>
      </c>
      <c r="H242" s="48">
        <v>35129094</v>
      </c>
      <c r="I242" s="48">
        <v>108965037</v>
      </c>
      <c r="J242" s="128">
        <v>67.760000000000005</v>
      </c>
      <c r="K242" s="48">
        <v>3742120</v>
      </c>
      <c r="L242" s="48">
        <v>238</v>
      </c>
      <c r="M242" s="48">
        <v>3742358</v>
      </c>
      <c r="N242" s="128">
        <v>99.99</v>
      </c>
    </row>
    <row r="243" spans="2:14" hidden="1" x14ac:dyDescent="0.25">
      <c r="B243" s="13">
        <v>45151</v>
      </c>
      <c r="C243" s="48">
        <v>10541042</v>
      </c>
      <c r="D243" s="48">
        <v>374643</v>
      </c>
      <c r="E243" s="48">
        <v>10915685</v>
      </c>
      <c r="F243" s="128">
        <v>96.57</v>
      </c>
      <c r="G243" s="48">
        <v>53883750</v>
      </c>
      <c r="H243" s="48">
        <v>23790613</v>
      </c>
      <c r="I243" s="48">
        <v>77674363</v>
      </c>
      <c r="J243" s="128">
        <v>69.37</v>
      </c>
      <c r="K243" s="48">
        <v>2620475</v>
      </c>
      <c r="L243" s="48">
        <v>258</v>
      </c>
      <c r="M243" s="48">
        <v>2620733</v>
      </c>
      <c r="N243" s="128">
        <v>99.99</v>
      </c>
    </row>
    <row r="244" spans="2:14" hidden="1" x14ac:dyDescent="0.25">
      <c r="B244" s="13">
        <v>45152</v>
      </c>
      <c r="C244" s="48">
        <v>11557034</v>
      </c>
      <c r="D244" s="48">
        <v>11234260</v>
      </c>
      <c r="E244" s="48">
        <v>322774</v>
      </c>
      <c r="F244" s="128">
        <v>97.21</v>
      </c>
      <c r="G244" s="48">
        <v>100298333</v>
      </c>
      <c r="H244" s="48">
        <v>72163013</v>
      </c>
      <c r="I244" s="48">
        <v>28135320</v>
      </c>
      <c r="J244" s="128">
        <v>71.95</v>
      </c>
      <c r="K244" s="48">
        <v>3867866</v>
      </c>
      <c r="L244" s="48">
        <v>3867559</v>
      </c>
      <c r="M244" s="48">
        <v>307</v>
      </c>
      <c r="N244" s="128">
        <v>99.99</v>
      </c>
    </row>
    <row r="245" spans="2:14" hidden="1" x14ac:dyDescent="0.25">
      <c r="B245" s="13">
        <v>45153</v>
      </c>
      <c r="C245" s="48">
        <v>11444170</v>
      </c>
      <c r="D245" s="48">
        <v>11066748</v>
      </c>
      <c r="E245" s="48">
        <v>377422</v>
      </c>
      <c r="F245" s="128">
        <v>96.7</v>
      </c>
      <c r="G245" s="48">
        <v>99092050</v>
      </c>
      <c r="H245" s="48">
        <v>71214950</v>
      </c>
      <c r="I245" s="48">
        <v>27877100</v>
      </c>
      <c r="J245" s="128">
        <v>71.87</v>
      </c>
      <c r="K245" s="48">
        <v>3553469</v>
      </c>
      <c r="L245" s="48">
        <v>3552762</v>
      </c>
      <c r="M245" s="48">
        <v>707</v>
      </c>
      <c r="N245" s="128">
        <v>99.98</v>
      </c>
    </row>
    <row r="246" spans="2:14" hidden="1" x14ac:dyDescent="0.25">
      <c r="B246" s="13">
        <v>45154</v>
      </c>
      <c r="C246" s="48">
        <v>11451652</v>
      </c>
      <c r="D246" s="48">
        <v>11063609</v>
      </c>
      <c r="E246" s="48">
        <v>388043</v>
      </c>
      <c r="F246" s="128">
        <v>96.61</v>
      </c>
      <c r="G246" s="48">
        <v>115124321</v>
      </c>
      <c r="H246" s="48">
        <v>77394181</v>
      </c>
      <c r="I246" s="48">
        <v>37730140</v>
      </c>
      <c r="J246" s="128">
        <v>67.23</v>
      </c>
      <c r="K246" s="48">
        <v>3828879</v>
      </c>
      <c r="L246" s="48">
        <v>3828673</v>
      </c>
      <c r="M246" s="48">
        <v>206</v>
      </c>
      <c r="N246" s="128">
        <v>99.99</v>
      </c>
    </row>
    <row r="247" spans="2:14" hidden="1" x14ac:dyDescent="0.25">
      <c r="B247" s="13">
        <v>45155</v>
      </c>
      <c r="C247" s="48">
        <v>11938029</v>
      </c>
      <c r="D247" s="48">
        <v>11527360</v>
      </c>
      <c r="E247" s="48">
        <v>410669</v>
      </c>
      <c r="F247" s="128">
        <v>96.56</v>
      </c>
      <c r="G247" s="48">
        <v>107452478</v>
      </c>
      <c r="H247" s="48">
        <v>72397218</v>
      </c>
      <c r="I247" s="48">
        <v>35055260</v>
      </c>
      <c r="J247" s="128">
        <v>67.38</v>
      </c>
      <c r="K247" s="48">
        <v>3407236</v>
      </c>
      <c r="L247" s="48">
        <v>3407050</v>
      </c>
      <c r="M247" s="48">
        <v>186</v>
      </c>
      <c r="N247" s="128">
        <v>99.99</v>
      </c>
    </row>
    <row r="248" spans="2:14" hidden="1" x14ac:dyDescent="0.25">
      <c r="B248" s="13">
        <v>45156</v>
      </c>
      <c r="C248" s="48">
        <v>11832996</v>
      </c>
      <c r="D248" s="48">
        <v>11413962</v>
      </c>
      <c r="E248" s="48">
        <v>419034</v>
      </c>
      <c r="F248" s="128">
        <v>96.46</v>
      </c>
      <c r="G248" s="48">
        <v>99324203</v>
      </c>
      <c r="H248" s="48">
        <v>72080034</v>
      </c>
      <c r="I248" s="48">
        <v>27244169</v>
      </c>
      <c r="J248" s="128">
        <v>72.569999999999993</v>
      </c>
      <c r="K248" s="48">
        <v>4786998</v>
      </c>
      <c r="L248" s="48">
        <v>4786774</v>
      </c>
      <c r="M248" s="48">
        <v>224</v>
      </c>
      <c r="N248" s="128">
        <v>100</v>
      </c>
    </row>
    <row r="249" spans="2:14" hidden="1" x14ac:dyDescent="0.25">
      <c r="B249" s="13">
        <v>45157</v>
      </c>
      <c r="C249" s="48">
        <v>11449418</v>
      </c>
      <c r="D249" s="48">
        <v>11030155</v>
      </c>
      <c r="E249" s="48">
        <v>419263</v>
      </c>
      <c r="F249" s="128">
        <v>96.34</v>
      </c>
      <c r="G249" s="48">
        <v>116867437</v>
      </c>
      <c r="H249" s="48">
        <v>80031209</v>
      </c>
      <c r="I249" s="48">
        <v>36836228</v>
      </c>
      <c r="J249" s="128">
        <v>68.48</v>
      </c>
      <c r="K249" s="48">
        <v>4902591</v>
      </c>
      <c r="L249" s="48">
        <v>4902422</v>
      </c>
      <c r="M249" s="48">
        <v>169</v>
      </c>
      <c r="N249" s="128">
        <v>100</v>
      </c>
    </row>
    <row r="250" spans="2:14" hidden="1" x14ac:dyDescent="0.25">
      <c r="B250" s="13">
        <v>45158</v>
      </c>
      <c r="C250" s="48">
        <v>11321331</v>
      </c>
      <c r="D250" s="48">
        <v>10942642</v>
      </c>
      <c r="E250" s="48">
        <v>378689</v>
      </c>
      <c r="F250" s="128">
        <v>96.66</v>
      </c>
      <c r="G250" s="48">
        <v>92946893</v>
      </c>
      <c r="H250" s="48">
        <v>63616771</v>
      </c>
      <c r="I250" s="48">
        <v>29330122</v>
      </c>
      <c r="J250" s="128">
        <v>68.44</v>
      </c>
      <c r="K250" s="48">
        <v>1995591</v>
      </c>
      <c r="L250" s="48">
        <v>1995429</v>
      </c>
      <c r="M250" s="48">
        <v>162</v>
      </c>
      <c r="N250" s="128">
        <v>99.99</v>
      </c>
    </row>
    <row r="251" spans="2:14" hidden="1" x14ac:dyDescent="0.25">
      <c r="B251" s="13">
        <v>45159</v>
      </c>
      <c r="C251" s="48">
        <v>11886248</v>
      </c>
      <c r="D251" s="48">
        <v>11554490</v>
      </c>
      <c r="E251" s="48">
        <v>331758</v>
      </c>
      <c r="F251" s="128">
        <v>97.21</v>
      </c>
      <c r="G251" s="48">
        <v>104030902</v>
      </c>
      <c r="H251" s="48">
        <v>73838706</v>
      </c>
      <c r="I251" s="48">
        <v>30192196</v>
      </c>
      <c r="J251" s="128">
        <v>70.98</v>
      </c>
      <c r="K251" s="48">
        <v>4785499</v>
      </c>
      <c r="L251" s="48">
        <v>4785220</v>
      </c>
      <c r="M251" s="48">
        <v>279</v>
      </c>
      <c r="N251" s="128">
        <v>99.99</v>
      </c>
    </row>
    <row r="252" spans="2:14" hidden="1" x14ac:dyDescent="0.25">
      <c r="B252" s="13">
        <v>45160</v>
      </c>
      <c r="C252" s="48">
        <v>11865131</v>
      </c>
      <c r="D252" s="48">
        <v>11431485</v>
      </c>
      <c r="E252" s="48">
        <v>433646</v>
      </c>
      <c r="F252" s="128">
        <v>96.35</v>
      </c>
      <c r="G252" s="48">
        <v>100853351</v>
      </c>
      <c r="H252" s="48">
        <v>72216518</v>
      </c>
      <c r="I252" s="48">
        <v>28636833</v>
      </c>
      <c r="J252" s="128">
        <v>71.61</v>
      </c>
      <c r="K252" s="48">
        <v>4854715</v>
      </c>
      <c r="L252" s="48">
        <v>4854435</v>
      </c>
      <c r="M252" s="48">
        <v>280</v>
      </c>
      <c r="N252" s="128">
        <v>99.99</v>
      </c>
    </row>
    <row r="253" spans="2:14" hidden="1" x14ac:dyDescent="0.25">
      <c r="B253" s="13">
        <v>45161</v>
      </c>
      <c r="C253" s="48">
        <v>11447590</v>
      </c>
      <c r="D253" s="48">
        <v>11000492</v>
      </c>
      <c r="E253" s="48">
        <v>447098</v>
      </c>
      <c r="F253" s="128">
        <v>96.09</v>
      </c>
      <c r="G253" s="48">
        <v>99881228</v>
      </c>
      <c r="H253" s="48">
        <v>67282997</v>
      </c>
      <c r="I253" s="48">
        <v>32598231</v>
      </c>
      <c r="J253" s="128">
        <v>67.36</v>
      </c>
      <c r="K253" s="48">
        <v>4805932</v>
      </c>
      <c r="L253" s="48">
        <v>4805698</v>
      </c>
      <c r="M253" s="48">
        <v>234</v>
      </c>
      <c r="N253" s="128">
        <v>100</v>
      </c>
    </row>
    <row r="254" spans="2:14" hidden="1" x14ac:dyDescent="0.25">
      <c r="B254" s="13">
        <v>45162</v>
      </c>
      <c r="C254" s="48">
        <v>11481683</v>
      </c>
      <c r="D254" s="48">
        <v>11059769</v>
      </c>
      <c r="E254" s="48">
        <v>421914</v>
      </c>
      <c r="F254" s="128">
        <v>96.33</v>
      </c>
      <c r="G254" s="48">
        <v>92568087</v>
      </c>
      <c r="H254" s="48">
        <v>64021876</v>
      </c>
      <c r="I254" s="48">
        <v>28546211</v>
      </c>
      <c r="J254" s="128">
        <v>69.16</v>
      </c>
      <c r="K254" s="48">
        <v>3939348</v>
      </c>
      <c r="L254" s="48">
        <v>3928625</v>
      </c>
      <c r="M254" s="48">
        <v>10723</v>
      </c>
      <c r="N254" s="128">
        <v>99.73</v>
      </c>
    </row>
    <row r="255" spans="2:14" hidden="1" x14ac:dyDescent="0.25">
      <c r="B255" s="13">
        <v>45163</v>
      </c>
      <c r="C255" s="48">
        <v>11112321</v>
      </c>
      <c r="D255" s="48">
        <v>10701429</v>
      </c>
      <c r="E255" s="48">
        <v>410892</v>
      </c>
      <c r="F255" s="128">
        <v>96.3</v>
      </c>
      <c r="G255" s="48">
        <v>112534618</v>
      </c>
      <c r="H255" s="48">
        <v>76689676</v>
      </c>
      <c r="I255" s="48">
        <v>35844942</v>
      </c>
      <c r="J255" s="128">
        <v>68.150000000000006</v>
      </c>
      <c r="K255" s="48">
        <v>4490919</v>
      </c>
      <c r="L255" s="48">
        <v>4480408</v>
      </c>
      <c r="M255" s="48">
        <v>10511</v>
      </c>
      <c r="N255" s="128">
        <v>99.77</v>
      </c>
    </row>
    <row r="256" spans="2:14" hidden="1" x14ac:dyDescent="0.25">
      <c r="B256" s="13">
        <v>45164</v>
      </c>
      <c r="C256" s="48">
        <v>10969478</v>
      </c>
      <c r="D256" s="48">
        <v>10567241</v>
      </c>
      <c r="E256" s="48">
        <v>402237</v>
      </c>
      <c r="F256" s="128">
        <v>96.33</v>
      </c>
      <c r="G256" s="48">
        <v>101702341</v>
      </c>
      <c r="H256" s="48">
        <v>71291212</v>
      </c>
      <c r="I256" s="48">
        <v>30411129</v>
      </c>
      <c r="J256" s="128">
        <v>70.099999999999994</v>
      </c>
      <c r="K256" s="48">
        <v>5771262</v>
      </c>
      <c r="L256" s="48">
        <v>5770679</v>
      </c>
      <c r="M256" s="48">
        <v>583</v>
      </c>
      <c r="N256" s="128">
        <v>99.99</v>
      </c>
    </row>
    <row r="257" spans="2:14" hidden="1" x14ac:dyDescent="0.25">
      <c r="B257" s="13">
        <v>45165</v>
      </c>
      <c r="C257" s="48">
        <v>10734352</v>
      </c>
      <c r="D257" s="48">
        <v>10342588</v>
      </c>
      <c r="E257" s="48">
        <v>391764</v>
      </c>
      <c r="F257" s="128">
        <v>96.35</v>
      </c>
      <c r="G257" s="48">
        <v>75403969</v>
      </c>
      <c r="H257" s="48">
        <v>52947087</v>
      </c>
      <c r="I257" s="48">
        <v>22456882</v>
      </c>
      <c r="J257" s="128">
        <v>70.22</v>
      </c>
      <c r="K257" s="48">
        <v>2290544</v>
      </c>
      <c r="L257" s="48">
        <v>2290349</v>
      </c>
      <c r="M257" s="48">
        <v>195</v>
      </c>
      <c r="N257" s="128">
        <v>99.99</v>
      </c>
    </row>
    <row r="258" spans="2:14" hidden="1" x14ac:dyDescent="0.25">
      <c r="B258" s="13">
        <v>45166</v>
      </c>
      <c r="C258" s="48">
        <v>11377777</v>
      </c>
      <c r="D258" s="48">
        <v>11059401</v>
      </c>
      <c r="E258" s="48">
        <v>318376</v>
      </c>
      <c r="F258" s="128">
        <v>97.2</v>
      </c>
      <c r="G258" s="48">
        <v>91390142</v>
      </c>
      <c r="H258" s="48">
        <v>69548587</v>
      </c>
      <c r="I258" s="48">
        <v>21841555</v>
      </c>
      <c r="J258" s="128">
        <v>76.099999999999994</v>
      </c>
      <c r="K258" s="48">
        <v>6518932</v>
      </c>
      <c r="L258" s="48">
        <v>6518020</v>
      </c>
      <c r="M258" s="48">
        <v>912</v>
      </c>
      <c r="N258" s="128">
        <v>99.99</v>
      </c>
    </row>
    <row r="259" spans="2:14" hidden="1" x14ac:dyDescent="0.25">
      <c r="B259" s="13">
        <v>45167</v>
      </c>
      <c r="C259" s="48">
        <v>11321231</v>
      </c>
      <c r="D259" s="48">
        <v>10915597</v>
      </c>
      <c r="E259" s="48">
        <v>405634</v>
      </c>
      <c r="F259" s="128">
        <v>96.42</v>
      </c>
      <c r="G259" s="48">
        <v>89293499</v>
      </c>
      <c r="H259" s="48">
        <v>65421683</v>
      </c>
      <c r="I259" s="48">
        <v>23871816</v>
      </c>
      <c r="J259" s="128">
        <v>73.27</v>
      </c>
      <c r="K259" s="48">
        <v>3856862</v>
      </c>
      <c r="L259" s="48">
        <v>3856464</v>
      </c>
      <c r="M259" s="48">
        <v>398</v>
      </c>
      <c r="N259" s="128">
        <v>99.99</v>
      </c>
    </row>
    <row r="260" spans="2:14" hidden="1" x14ac:dyDescent="0.25">
      <c r="B260" s="13">
        <v>45168</v>
      </c>
      <c r="C260" s="48">
        <v>10944525</v>
      </c>
      <c r="D260" s="48">
        <v>10538492</v>
      </c>
      <c r="E260" s="48">
        <v>406033</v>
      </c>
      <c r="F260" s="128">
        <v>96.29</v>
      </c>
      <c r="G260" s="48">
        <v>94505867</v>
      </c>
      <c r="H260" s="48">
        <v>63256674</v>
      </c>
      <c r="I260" s="48">
        <v>31249193</v>
      </c>
      <c r="J260" s="128">
        <v>66.930000000000007</v>
      </c>
      <c r="K260" s="48">
        <v>2214974</v>
      </c>
      <c r="L260" s="48">
        <v>2210036</v>
      </c>
      <c r="M260" s="48">
        <v>4938</v>
      </c>
      <c r="N260" s="128">
        <v>99.78</v>
      </c>
    </row>
    <row r="261" spans="2:14" hidden="1" x14ac:dyDescent="0.25">
      <c r="B261" s="13">
        <v>45169</v>
      </c>
      <c r="C261" s="48">
        <v>11103944</v>
      </c>
      <c r="D261" s="104">
        <v>10671666</v>
      </c>
      <c r="E261" s="104">
        <v>432278</v>
      </c>
      <c r="F261" s="128">
        <v>96.11</v>
      </c>
      <c r="G261" s="104">
        <v>84323385</v>
      </c>
      <c r="H261" s="104">
        <v>59523354</v>
      </c>
      <c r="I261" s="104">
        <v>24800031</v>
      </c>
      <c r="J261" s="128">
        <v>70.59</v>
      </c>
      <c r="K261" s="48">
        <v>2052132</v>
      </c>
      <c r="L261" s="104">
        <v>2004880</v>
      </c>
      <c r="M261" s="104">
        <v>47252</v>
      </c>
      <c r="N261" s="128">
        <v>97.7</v>
      </c>
    </row>
    <row r="262" spans="2:14" hidden="1" x14ac:dyDescent="0.25">
      <c r="B262" s="13">
        <v>45170</v>
      </c>
      <c r="C262" s="104">
        <v>11260653</v>
      </c>
      <c r="D262" s="104">
        <v>10827673</v>
      </c>
      <c r="E262" s="104">
        <v>432980</v>
      </c>
      <c r="F262" s="128">
        <v>96.15</v>
      </c>
      <c r="G262" s="104">
        <v>76916125</v>
      </c>
      <c r="H262" s="104">
        <v>56117340</v>
      </c>
      <c r="I262" s="104">
        <v>20798785</v>
      </c>
      <c r="J262" s="128">
        <v>72.959999999999994</v>
      </c>
      <c r="K262" s="104">
        <v>2320929</v>
      </c>
      <c r="L262" s="104">
        <v>2273826</v>
      </c>
      <c r="M262" s="104">
        <v>47103</v>
      </c>
      <c r="N262" s="128">
        <v>97.97</v>
      </c>
    </row>
    <row r="263" spans="2:14" hidden="1" x14ac:dyDescent="0.25">
      <c r="B263" s="13">
        <v>45171</v>
      </c>
      <c r="C263" s="104">
        <v>10953331</v>
      </c>
      <c r="D263" s="104">
        <v>10535314</v>
      </c>
      <c r="E263" s="104">
        <v>418017</v>
      </c>
      <c r="F263" s="128">
        <v>96.18</v>
      </c>
      <c r="G263" s="104">
        <v>83516615</v>
      </c>
      <c r="H263" s="104">
        <v>58733612</v>
      </c>
      <c r="I263" s="104">
        <v>24783003</v>
      </c>
      <c r="J263" s="128">
        <v>70.33</v>
      </c>
      <c r="K263" s="104">
        <v>2475970</v>
      </c>
      <c r="L263" s="104">
        <v>2475604</v>
      </c>
      <c r="M263" s="104">
        <v>366</v>
      </c>
      <c r="N263" s="128">
        <v>99.99</v>
      </c>
    </row>
    <row r="264" spans="2:14" hidden="1" x14ac:dyDescent="0.25">
      <c r="B264" s="13">
        <v>45172</v>
      </c>
      <c r="C264" s="104">
        <v>10847511</v>
      </c>
      <c r="D264" s="104">
        <v>10480448</v>
      </c>
      <c r="E264" s="104">
        <v>367063</v>
      </c>
      <c r="F264" s="128">
        <v>96.62</v>
      </c>
      <c r="G264" s="104">
        <v>62495168</v>
      </c>
      <c r="H264" s="104">
        <v>46596106</v>
      </c>
      <c r="I264" s="104">
        <v>15899062</v>
      </c>
      <c r="J264" s="128">
        <v>74.56</v>
      </c>
      <c r="K264" s="104">
        <v>1897439</v>
      </c>
      <c r="L264" s="104">
        <v>1897307</v>
      </c>
      <c r="M264" s="104">
        <v>132</v>
      </c>
      <c r="N264" s="128">
        <v>99.99</v>
      </c>
    </row>
    <row r="265" spans="2:14" hidden="1" x14ac:dyDescent="0.25">
      <c r="B265" s="13">
        <v>45173</v>
      </c>
      <c r="C265" s="104">
        <v>11168103</v>
      </c>
      <c r="D265" s="104">
        <v>10862049</v>
      </c>
      <c r="E265" s="104">
        <v>306054</v>
      </c>
      <c r="F265" s="128">
        <v>97.26</v>
      </c>
      <c r="G265" s="104">
        <v>82125480</v>
      </c>
      <c r="H265" s="104">
        <v>59598879</v>
      </c>
      <c r="I265" s="104">
        <v>22526601</v>
      </c>
      <c r="J265" s="128">
        <v>72.569999999999993</v>
      </c>
      <c r="K265" s="104">
        <v>2642043</v>
      </c>
      <c r="L265" s="104">
        <v>2641608</v>
      </c>
      <c r="M265" s="104">
        <v>435</v>
      </c>
      <c r="N265" s="128">
        <v>99.98</v>
      </c>
    </row>
    <row r="266" spans="2:14" hidden="1" x14ac:dyDescent="0.25">
      <c r="B266" s="13">
        <v>45174</v>
      </c>
      <c r="C266" s="104">
        <v>11295788</v>
      </c>
      <c r="D266" s="104">
        <v>10820636</v>
      </c>
      <c r="E266" s="104">
        <v>475152</v>
      </c>
      <c r="F266" s="128">
        <v>95.79</v>
      </c>
      <c r="G266" s="104">
        <v>89989820</v>
      </c>
      <c r="H266" s="104">
        <v>65158605</v>
      </c>
      <c r="I266" s="104">
        <v>24831215</v>
      </c>
      <c r="J266" s="128">
        <v>72.41</v>
      </c>
      <c r="K266" s="104">
        <v>4376904</v>
      </c>
      <c r="L266" s="104">
        <v>4376729</v>
      </c>
      <c r="M266" s="104">
        <v>175</v>
      </c>
      <c r="N266" s="128">
        <v>100</v>
      </c>
    </row>
    <row r="267" spans="2:14" hidden="1" x14ac:dyDescent="0.25">
      <c r="B267" s="13">
        <v>45175</v>
      </c>
      <c r="C267" s="104">
        <v>11251399</v>
      </c>
      <c r="D267" s="104">
        <v>10759579</v>
      </c>
      <c r="E267" s="104">
        <v>491820</v>
      </c>
      <c r="F267" s="128">
        <v>95.63</v>
      </c>
      <c r="G267" s="104">
        <v>93913726</v>
      </c>
      <c r="H267" s="104">
        <v>64765772</v>
      </c>
      <c r="I267" s="104">
        <v>29147954</v>
      </c>
      <c r="J267" s="128">
        <v>68.959999999999994</v>
      </c>
      <c r="K267" s="104">
        <v>4864563</v>
      </c>
      <c r="L267" s="104">
        <v>4864387</v>
      </c>
      <c r="M267" s="104">
        <v>176</v>
      </c>
      <c r="N267" s="128">
        <v>100</v>
      </c>
    </row>
    <row r="268" spans="2:14" hidden="1" x14ac:dyDescent="0.25">
      <c r="B268" s="13">
        <v>45176</v>
      </c>
      <c r="C268" s="104">
        <v>11295309</v>
      </c>
      <c r="D268" s="104">
        <v>10803611</v>
      </c>
      <c r="E268" s="104">
        <v>491698</v>
      </c>
      <c r="F268" s="128">
        <v>95.65</v>
      </c>
      <c r="G268" s="104">
        <v>82900450</v>
      </c>
      <c r="H268" s="104">
        <v>60902436</v>
      </c>
      <c r="I268" s="104">
        <v>21998014</v>
      </c>
      <c r="J268" s="128">
        <v>73.459999999999994</v>
      </c>
      <c r="K268" s="104">
        <v>4266360</v>
      </c>
      <c r="L268" s="104">
        <v>4265559</v>
      </c>
      <c r="M268" s="104">
        <v>801</v>
      </c>
      <c r="N268" s="128">
        <v>99.98</v>
      </c>
    </row>
    <row r="269" spans="2:14" hidden="1" x14ac:dyDescent="0.25">
      <c r="B269" s="13">
        <v>45177</v>
      </c>
      <c r="C269" s="104">
        <v>11184924</v>
      </c>
      <c r="D269" s="104">
        <v>10752049</v>
      </c>
      <c r="E269" s="104">
        <v>432875</v>
      </c>
      <c r="F269" s="128">
        <v>96.12</v>
      </c>
      <c r="G269" s="104">
        <v>81037545</v>
      </c>
      <c r="H269" s="104">
        <v>59438047</v>
      </c>
      <c r="I269" s="104">
        <v>21599498</v>
      </c>
      <c r="J269" s="128">
        <v>73.34</v>
      </c>
      <c r="K269" s="104">
        <v>2305460</v>
      </c>
      <c r="L269" s="104">
        <v>2305322</v>
      </c>
      <c r="M269" s="104">
        <v>138</v>
      </c>
      <c r="N269" s="128">
        <v>99.99</v>
      </c>
    </row>
    <row r="270" spans="2:14" hidden="1" x14ac:dyDescent="0.25">
      <c r="B270" s="13">
        <v>45178</v>
      </c>
      <c r="C270" s="104">
        <v>11054237</v>
      </c>
      <c r="D270" s="104">
        <v>10648487</v>
      </c>
      <c r="E270" s="104">
        <v>405750</v>
      </c>
      <c r="F270" s="128">
        <v>96.32</v>
      </c>
      <c r="G270" s="104">
        <v>71019574</v>
      </c>
      <c r="H270" s="104">
        <v>52341103</v>
      </c>
      <c r="I270" s="104">
        <v>18678471</v>
      </c>
      <c r="J270" s="128">
        <v>73.69</v>
      </c>
      <c r="K270" s="104">
        <v>2257803</v>
      </c>
      <c r="L270" s="104">
        <v>2257682</v>
      </c>
      <c r="M270" s="104">
        <v>121</v>
      </c>
      <c r="N270" s="128">
        <v>99.99</v>
      </c>
    </row>
    <row r="271" spans="2:14" hidden="1" x14ac:dyDescent="0.25">
      <c r="B271" s="13">
        <v>45179</v>
      </c>
      <c r="C271" s="104">
        <v>11183235</v>
      </c>
      <c r="D271" s="104">
        <v>10834384</v>
      </c>
      <c r="E271" s="104">
        <v>348851</v>
      </c>
      <c r="F271" s="128">
        <v>96.88</v>
      </c>
      <c r="G271" s="104">
        <v>52857355</v>
      </c>
      <c r="H271" s="104">
        <v>43568505</v>
      </c>
      <c r="I271" s="104">
        <v>9288850</v>
      </c>
      <c r="J271" s="128">
        <v>82.43</v>
      </c>
      <c r="K271" s="104">
        <v>1884174</v>
      </c>
      <c r="L271" s="104">
        <v>1884074</v>
      </c>
      <c r="M271" s="104">
        <v>100</v>
      </c>
      <c r="N271" s="128">
        <v>99.99</v>
      </c>
    </row>
    <row r="272" spans="2:14" hidden="1" x14ac:dyDescent="0.25">
      <c r="B272" s="13">
        <v>45180</v>
      </c>
      <c r="C272" s="104">
        <v>11849688</v>
      </c>
      <c r="D272" s="104">
        <v>11553595</v>
      </c>
      <c r="E272" s="104">
        <v>296093</v>
      </c>
      <c r="F272" s="128">
        <v>97.5</v>
      </c>
      <c r="G272" s="104">
        <v>80821935</v>
      </c>
      <c r="H272" s="104">
        <v>60616514</v>
      </c>
      <c r="I272" s="104">
        <v>20205421</v>
      </c>
      <c r="J272" s="128">
        <v>75</v>
      </c>
      <c r="K272" s="104">
        <v>4015544</v>
      </c>
      <c r="L272" s="104">
        <v>4015169</v>
      </c>
      <c r="M272" s="104">
        <v>375</v>
      </c>
      <c r="N272" s="128">
        <v>99.99</v>
      </c>
    </row>
    <row r="273" spans="2:17" hidden="1" x14ac:dyDescent="0.25">
      <c r="B273" s="13">
        <v>45181</v>
      </c>
      <c r="C273" s="104">
        <v>11647491</v>
      </c>
      <c r="D273" s="104">
        <v>11216774</v>
      </c>
      <c r="E273" s="104">
        <v>430717</v>
      </c>
      <c r="F273" s="128">
        <v>96.3</v>
      </c>
      <c r="G273" s="104">
        <v>82814371</v>
      </c>
      <c r="H273" s="104">
        <v>58974385</v>
      </c>
      <c r="I273" s="104">
        <v>23839986</v>
      </c>
      <c r="J273" s="128">
        <v>71.209999999999994</v>
      </c>
      <c r="K273" s="104">
        <v>4470266</v>
      </c>
      <c r="L273" s="104">
        <v>4470032</v>
      </c>
      <c r="M273" s="104">
        <v>234</v>
      </c>
      <c r="N273" s="128">
        <v>99.99</v>
      </c>
    </row>
    <row r="274" spans="2:17" hidden="1" x14ac:dyDescent="0.25">
      <c r="B274" s="13">
        <v>45182</v>
      </c>
      <c r="C274" s="104">
        <v>11431066</v>
      </c>
      <c r="D274" s="104">
        <v>11029387</v>
      </c>
      <c r="E274" s="104">
        <v>401679</v>
      </c>
      <c r="F274" s="128">
        <v>96.49</v>
      </c>
      <c r="G274" s="104">
        <v>75470957</v>
      </c>
      <c r="H274" s="104">
        <v>55215608</v>
      </c>
      <c r="I274" s="104">
        <v>20255349</v>
      </c>
      <c r="J274" s="128">
        <v>73.16</v>
      </c>
      <c r="K274" s="104">
        <v>4396655</v>
      </c>
      <c r="L274" s="104">
        <v>4396498</v>
      </c>
      <c r="M274" s="104">
        <v>157</v>
      </c>
      <c r="N274" s="128">
        <v>100</v>
      </c>
    </row>
    <row r="275" spans="2:17" hidden="1" x14ac:dyDescent="0.25">
      <c r="B275" s="13">
        <v>45183</v>
      </c>
      <c r="C275" s="104">
        <v>11613174</v>
      </c>
      <c r="D275" s="104">
        <v>11233393</v>
      </c>
      <c r="E275" s="104">
        <v>379781</v>
      </c>
      <c r="F275" s="128">
        <v>96.73</v>
      </c>
      <c r="G275" s="104">
        <v>83694157</v>
      </c>
      <c r="H275" s="104">
        <v>61028369</v>
      </c>
      <c r="I275" s="104">
        <v>22665788</v>
      </c>
      <c r="J275" s="128">
        <v>72.92</v>
      </c>
      <c r="K275" s="104">
        <v>4123668</v>
      </c>
      <c r="L275" s="104">
        <v>4123525</v>
      </c>
      <c r="M275" s="104">
        <v>143</v>
      </c>
      <c r="N275" s="128">
        <v>100</v>
      </c>
    </row>
    <row r="276" spans="2:17" hidden="1" x14ac:dyDescent="0.25">
      <c r="B276" s="13">
        <v>45184</v>
      </c>
      <c r="C276" s="104">
        <v>11674873</v>
      </c>
      <c r="D276" s="104">
        <v>11265422</v>
      </c>
      <c r="E276" s="104">
        <v>409451</v>
      </c>
      <c r="F276" s="128">
        <v>96.49</v>
      </c>
      <c r="G276" s="104">
        <v>75488133</v>
      </c>
      <c r="H276" s="104">
        <v>57574484</v>
      </c>
      <c r="I276" s="104">
        <v>17913649</v>
      </c>
      <c r="J276" s="128">
        <v>76.27</v>
      </c>
      <c r="K276" s="104">
        <v>4528679</v>
      </c>
      <c r="L276" s="104">
        <v>4472707</v>
      </c>
      <c r="M276" s="104">
        <v>55972</v>
      </c>
      <c r="N276" s="128">
        <v>98.76</v>
      </c>
    </row>
    <row r="277" spans="2:17" hidden="1" x14ac:dyDescent="0.25">
      <c r="B277" s="13">
        <v>45185</v>
      </c>
      <c r="C277" s="104">
        <v>11613072</v>
      </c>
      <c r="D277" s="104">
        <v>11212795</v>
      </c>
      <c r="E277" s="104">
        <v>400277</v>
      </c>
      <c r="F277" s="128">
        <v>96.55</v>
      </c>
      <c r="G277" s="104">
        <v>73804717</v>
      </c>
      <c r="H277" s="104">
        <v>57528802</v>
      </c>
      <c r="I277" s="104">
        <v>16275915</v>
      </c>
      <c r="J277" s="128">
        <v>77.95</v>
      </c>
      <c r="K277" s="104">
        <v>4339499</v>
      </c>
      <c r="L277" s="104">
        <v>4337199</v>
      </c>
      <c r="M277" s="104">
        <v>2300</v>
      </c>
      <c r="N277" s="128">
        <v>99.95</v>
      </c>
    </row>
    <row r="278" spans="2:17" hidden="1" x14ac:dyDescent="0.25">
      <c r="B278" s="13">
        <v>45186</v>
      </c>
      <c r="C278" s="104">
        <v>11295945</v>
      </c>
      <c r="D278" s="104">
        <v>10935202</v>
      </c>
      <c r="E278" s="104">
        <v>360743</v>
      </c>
      <c r="F278" s="128">
        <v>96.81</v>
      </c>
      <c r="G278" s="104">
        <v>58730420</v>
      </c>
      <c r="H278" s="104">
        <v>49327524</v>
      </c>
      <c r="I278" s="104">
        <v>9402896</v>
      </c>
      <c r="J278" s="128">
        <v>83.99</v>
      </c>
      <c r="K278" s="104">
        <v>4135771</v>
      </c>
      <c r="L278" s="104">
        <v>4135688</v>
      </c>
      <c r="M278" s="104">
        <v>83</v>
      </c>
      <c r="N278" s="128">
        <v>100</v>
      </c>
    </row>
    <row r="279" spans="2:17" hidden="1" x14ac:dyDescent="0.25">
      <c r="B279" s="13">
        <v>45187</v>
      </c>
      <c r="C279" s="104">
        <v>11801176</v>
      </c>
      <c r="D279" s="104">
        <v>11501402</v>
      </c>
      <c r="E279" s="104">
        <v>299774</v>
      </c>
      <c r="F279" s="128">
        <v>97.46</v>
      </c>
      <c r="G279" s="104">
        <v>91061859</v>
      </c>
      <c r="H279" s="104">
        <v>70148214</v>
      </c>
      <c r="I279" s="104">
        <v>20913645</v>
      </c>
      <c r="J279" s="128">
        <v>77.03</v>
      </c>
      <c r="K279" s="104">
        <v>5057711</v>
      </c>
      <c r="L279" s="104">
        <v>5057201</v>
      </c>
      <c r="M279" s="104">
        <v>510</v>
      </c>
      <c r="N279" s="128">
        <v>99.99</v>
      </c>
      <c r="Q279" s="104"/>
    </row>
    <row r="280" spans="2:17" hidden="1" x14ac:dyDescent="0.25">
      <c r="B280" s="13">
        <v>45188</v>
      </c>
      <c r="C280" s="104">
        <v>11612556</v>
      </c>
      <c r="D280" s="104">
        <v>11192376</v>
      </c>
      <c r="E280" s="104">
        <v>420180</v>
      </c>
      <c r="F280" s="128">
        <v>96.38</v>
      </c>
      <c r="G280" s="104">
        <v>91620748</v>
      </c>
      <c r="H280" s="104">
        <v>69116408</v>
      </c>
      <c r="I280" s="104">
        <v>22504340</v>
      </c>
      <c r="J280" s="128">
        <v>75.44</v>
      </c>
      <c r="K280" s="104">
        <v>3354701</v>
      </c>
      <c r="L280" s="104">
        <v>3337234</v>
      </c>
      <c r="M280" s="104">
        <v>17467</v>
      </c>
      <c r="N280" s="128">
        <v>99.48</v>
      </c>
    </row>
    <row r="281" spans="2:17" hidden="1" x14ac:dyDescent="0.25">
      <c r="B281" s="13">
        <v>45189</v>
      </c>
      <c r="C281" s="104">
        <v>11577793</v>
      </c>
      <c r="D281" s="104">
        <v>11156565</v>
      </c>
      <c r="E281" s="104">
        <v>421228</v>
      </c>
      <c r="F281" s="128">
        <v>96.36</v>
      </c>
      <c r="G281" s="104">
        <v>87669783</v>
      </c>
      <c r="H281" s="104">
        <v>63700782</v>
      </c>
      <c r="I281" s="104">
        <v>23969001</v>
      </c>
      <c r="J281" s="128">
        <v>72.66</v>
      </c>
      <c r="K281" s="104">
        <v>2793218</v>
      </c>
      <c r="L281" s="104">
        <v>2790701</v>
      </c>
      <c r="M281" s="104">
        <v>2517</v>
      </c>
      <c r="N281" s="128">
        <v>99.91</v>
      </c>
    </row>
    <row r="282" spans="2:17" hidden="1" x14ac:dyDescent="0.25">
      <c r="B282" s="13">
        <v>45190</v>
      </c>
      <c r="C282" s="48">
        <v>11643617</v>
      </c>
      <c r="D282" s="104">
        <v>11235057</v>
      </c>
      <c r="E282" s="104">
        <v>408560</v>
      </c>
      <c r="F282" s="128">
        <v>96.49</v>
      </c>
      <c r="G282" s="104">
        <v>81887750</v>
      </c>
      <c r="H282" s="104">
        <v>62300465</v>
      </c>
      <c r="I282" s="104">
        <v>19587285</v>
      </c>
      <c r="J282" s="128">
        <v>76.08</v>
      </c>
      <c r="K282" s="104">
        <v>1680984</v>
      </c>
      <c r="L282" s="104">
        <v>1679934</v>
      </c>
      <c r="M282" s="104">
        <v>1050</v>
      </c>
      <c r="N282" s="128">
        <v>99.94</v>
      </c>
    </row>
    <row r="283" spans="2:17" hidden="1" x14ac:dyDescent="0.25">
      <c r="B283" s="13">
        <v>45191</v>
      </c>
      <c r="C283" s="104">
        <v>11769423</v>
      </c>
      <c r="D283" s="104">
        <v>11352652</v>
      </c>
      <c r="E283" s="104">
        <v>416771</v>
      </c>
      <c r="F283" s="128">
        <v>96.46</v>
      </c>
      <c r="G283" s="104">
        <v>83503659</v>
      </c>
      <c r="H283" s="104">
        <v>62425843</v>
      </c>
      <c r="I283" s="104">
        <v>21077816</v>
      </c>
      <c r="J283" s="128">
        <v>74.760000000000005</v>
      </c>
      <c r="K283" s="104">
        <v>2021350</v>
      </c>
      <c r="L283" s="104">
        <v>2019555</v>
      </c>
      <c r="M283" s="104">
        <v>1795</v>
      </c>
      <c r="N283" s="128">
        <v>99.91</v>
      </c>
    </row>
    <row r="284" spans="2:17" hidden="1" x14ac:dyDescent="0.25">
      <c r="B284" s="13">
        <v>45192</v>
      </c>
      <c r="C284" s="104">
        <v>11387999</v>
      </c>
      <c r="D284" s="104">
        <v>10976496</v>
      </c>
      <c r="E284" s="104">
        <v>411503</v>
      </c>
      <c r="F284" s="128">
        <v>96.39</v>
      </c>
      <c r="G284" s="104">
        <v>74084612</v>
      </c>
      <c r="H284" s="104">
        <v>56490369</v>
      </c>
      <c r="I284" s="104">
        <v>17594243</v>
      </c>
      <c r="J284" s="128">
        <v>76.25</v>
      </c>
      <c r="K284" s="104">
        <v>2023643</v>
      </c>
      <c r="L284" s="104">
        <v>2023173</v>
      </c>
      <c r="M284" s="104">
        <v>470</v>
      </c>
      <c r="N284" s="128">
        <v>99.98</v>
      </c>
    </row>
    <row r="285" spans="2:17" hidden="1" x14ac:dyDescent="0.25">
      <c r="B285" s="13">
        <v>45193</v>
      </c>
      <c r="C285" s="104">
        <v>11105246</v>
      </c>
      <c r="D285" s="104">
        <v>10742006</v>
      </c>
      <c r="E285" s="104">
        <v>363240</v>
      </c>
      <c r="F285" s="128">
        <v>96.73</v>
      </c>
      <c r="G285" s="104">
        <v>55398365</v>
      </c>
      <c r="H285" s="104">
        <v>47452417</v>
      </c>
      <c r="I285" s="104">
        <v>7945948</v>
      </c>
      <c r="J285" s="128">
        <v>85.66</v>
      </c>
      <c r="K285" s="104">
        <v>1702873</v>
      </c>
      <c r="L285" s="104">
        <v>1702746</v>
      </c>
      <c r="M285" s="104">
        <v>127</v>
      </c>
      <c r="N285" s="128">
        <v>99.99</v>
      </c>
    </row>
    <row r="286" spans="2:17" hidden="1" x14ac:dyDescent="0.25">
      <c r="B286" s="13">
        <v>45194</v>
      </c>
      <c r="C286" s="104">
        <v>11248540</v>
      </c>
      <c r="D286" s="104">
        <v>10893935</v>
      </c>
      <c r="E286" s="104">
        <v>354605</v>
      </c>
      <c r="F286" s="128">
        <v>96.85</v>
      </c>
      <c r="G286" s="104">
        <v>77669880</v>
      </c>
      <c r="H286" s="104">
        <v>60582281</v>
      </c>
      <c r="I286" s="104">
        <v>17087599</v>
      </c>
      <c r="J286" s="128">
        <v>78</v>
      </c>
      <c r="K286" s="104">
        <v>2806939</v>
      </c>
      <c r="L286" s="104">
        <v>2802607</v>
      </c>
      <c r="M286" s="104">
        <v>4332</v>
      </c>
      <c r="N286" s="128">
        <v>99.85</v>
      </c>
    </row>
    <row r="287" spans="2:17" hidden="1" x14ac:dyDescent="0.25">
      <c r="B287" s="13">
        <v>45195</v>
      </c>
      <c r="C287" s="104">
        <v>11357143</v>
      </c>
      <c r="D287" s="104">
        <v>10921095</v>
      </c>
      <c r="E287" s="104">
        <v>436048</v>
      </c>
      <c r="F287" s="128">
        <v>96.16</v>
      </c>
      <c r="G287" s="104">
        <v>84072299</v>
      </c>
      <c r="H287" s="104">
        <v>65499212</v>
      </c>
      <c r="I287" s="104">
        <v>18573087</v>
      </c>
      <c r="J287" s="128">
        <v>77.91</v>
      </c>
      <c r="K287" s="104">
        <v>3034681</v>
      </c>
      <c r="L287" s="104">
        <v>3032485</v>
      </c>
      <c r="M287" s="104">
        <v>2196</v>
      </c>
      <c r="N287" s="128">
        <v>99.93</v>
      </c>
    </row>
    <row r="288" spans="2:17" hidden="1" x14ac:dyDescent="0.25">
      <c r="B288" s="13">
        <v>45196</v>
      </c>
      <c r="C288" s="104">
        <v>11515638</v>
      </c>
      <c r="D288" s="104">
        <v>11107141</v>
      </c>
      <c r="E288" s="104">
        <v>408497</v>
      </c>
      <c r="F288" s="128">
        <v>96.45</v>
      </c>
      <c r="G288" s="104">
        <v>82791840</v>
      </c>
      <c r="H288" s="104">
        <v>60049202</v>
      </c>
      <c r="I288" s="104">
        <v>22742638</v>
      </c>
      <c r="J288" s="128">
        <v>72.53</v>
      </c>
      <c r="K288" s="104">
        <v>2617163</v>
      </c>
      <c r="L288" s="104">
        <v>2615839</v>
      </c>
      <c r="M288" s="104">
        <v>1324</v>
      </c>
      <c r="N288" s="128">
        <v>99.95</v>
      </c>
    </row>
    <row r="289" spans="2:14" ht="16.5" hidden="1" x14ac:dyDescent="0.25">
      <c r="B289" s="13">
        <v>45197</v>
      </c>
      <c r="C289" s="160">
        <v>10995978</v>
      </c>
      <c r="D289" s="160">
        <v>10600092</v>
      </c>
      <c r="E289" s="160">
        <v>395886</v>
      </c>
      <c r="F289" s="128">
        <v>96.4</v>
      </c>
      <c r="G289" s="160">
        <v>74524525</v>
      </c>
      <c r="H289" s="160">
        <v>56468540</v>
      </c>
      <c r="I289" s="160">
        <v>18055985</v>
      </c>
      <c r="J289" s="128">
        <v>75.77</v>
      </c>
      <c r="K289" s="160">
        <v>2075775</v>
      </c>
      <c r="L289" s="160">
        <v>2074796</v>
      </c>
      <c r="M289" s="160">
        <v>979</v>
      </c>
      <c r="N289" s="128">
        <v>99.95</v>
      </c>
    </row>
    <row r="290" spans="2:14" hidden="1" x14ac:dyDescent="0.25">
      <c r="B290" s="13">
        <v>45198</v>
      </c>
      <c r="C290" s="104">
        <v>11123285</v>
      </c>
      <c r="D290" s="104">
        <v>10674557</v>
      </c>
      <c r="E290" s="104">
        <v>448728</v>
      </c>
      <c r="F290" s="128">
        <v>95.97</v>
      </c>
      <c r="G290" s="104">
        <v>83727305</v>
      </c>
      <c r="H290" s="104">
        <v>63946745</v>
      </c>
      <c r="I290" s="104">
        <v>19780560</v>
      </c>
      <c r="J290" s="128">
        <v>76.38</v>
      </c>
      <c r="K290" s="104">
        <v>4423279</v>
      </c>
      <c r="L290" s="104">
        <v>4423126</v>
      </c>
      <c r="M290" s="104">
        <v>153</v>
      </c>
      <c r="N290" s="128">
        <v>100</v>
      </c>
    </row>
    <row r="291" spans="2:14" hidden="1" x14ac:dyDescent="0.25">
      <c r="B291" s="13">
        <v>45199</v>
      </c>
      <c r="C291" s="104">
        <v>11420225</v>
      </c>
      <c r="D291" s="104">
        <v>10981321</v>
      </c>
      <c r="E291" s="104">
        <v>438904</v>
      </c>
      <c r="F291" s="128">
        <v>96.16</v>
      </c>
      <c r="G291" s="104">
        <v>78581812</v>
      </c>
      <c r="H291" s="104">
        <v>61401312</v>
      </c>
      <c r="I291" s="104">
        <v>17180500</v>
      </c>
      <c r="J291" s="128">
        <v>78.14</v>
      </c>
      <c r="K291" s="104">
        <v>4208998</v>
      </c>
      <c r="L291" s="104">
        <v>4208827</v>
      </c>
      <c r="M291" s="104">
        <v>171</v>
      </c>
      <c r="N291" s="128">
        <v>100</v>
      </c>
    </row>
    <row r="292" spans="2:14" hidden="1" x14ac:dyDescent="0.25">
      <c r="B292" s="13">
        <v>45200</v>
      </c>
      <c r="C292" s="104">
        <v>10925092</v>
      </c>
      <c r="D292" s="104">
        <v>10562753</v>
      </c>
      <c r="E292" s="104">
        <v>362339</v>
      </c>
      <c r="F292" s="155">
        <v>96.68</v>
      </c>
      <c r="G292" s="104">
        <v>52480577</v>
      </c>
      <c r="H292" s="104">
        <v>44783652</v>
      </c>
      <c r="I292" s="104">
        <v>7696925</v>
      </c>
      <c r="J292" s="155">
        <v>85.33</v>
      </c>
      <c r="K292" s="104">
        <v>906482</v>
      </c>
      <c r="L292" s="104">
        <v>904321</v>
      </c>
      <c r="M292" s="104">
        <v>2161</v>
      </c>
      <c r="N292" s="155">
        <v>99.76</v>
      </c>
    </row>
    <row r="293" spans="2:14" hidden="1" x14ac:dyDescent="0.25">
      <c r="B293" s="13">
        <v>45201</v>
      </c>
      <c r="C293" s="48">
        <v>10695684</v>
      </c>
      <c r="D293" s="104">
        <v>10385794</v>
      </c>
      <c r="E293" s="104">
        <v>309890</v>
      </c>
      <c r="F293" s="128">
        <v>97.1</v>
      </c>
      <c r="G293" s="104">
        <v>83498130</v>
      </c>
      <c r="H293" s="104">
        <v>63958751</v>
      </c>
      <c r="I293" s="104">
        <v>19539379</v>
      </c>
      <c r="J293" s="128">
        <v>76.599999999999994</v>
      </c>
      <c r="K293" s="104">
        <v>3606418</v>
      </c>
      <c r="L293" s="104">
        <v>3604155</v>
      </c>
      <c r="M293" s="104">
        <v>2263</v>
      </c>
      <c r="N293" s="128">
        <v>99.94</v>
      </c>
    </row>
    <row r="294" spans="2:14" hidden="1" x14ac:dyDescent="0.25">
      <c r="B294" s="13">
        <v>45202</v>
      </c>
      <c r="C294" s="104">
        <v>10848797</v>
      </c>
      <c r="D294" s="104">
        <v>10360337</v>
      </c>
      <c r="E294" s="104">
        <v>488460</v>
      </c>
      <c r="F294" s="159">
        <v>95.5</v>
      </c>
      <c r="G294" s="104">
        <v>91100459</v>
      </c>
      <c r="H294" s="104">
        <v>67349046</v>
      </c>
      <c r="I294" s="104">
        <v>23751413</v>
      </c>
      <c r="J294" s="159">
        <v>73.930000000000007</v>
      </c>
      <c r="K294" s="104">
        <v>4013710</v>
      </c>
      <c r="L294" s="104">
        <v>4013566</v>
      </c>
      <c r="M294" s="104">
        <v>144</v>
      </c>
      <c r="N294" s="128">
        <v>100</v>
      </c>
    </row>
    <row r="295" spans="2:14" hidden="1" x14ac:dyDescent="0.25">
      <c r="B295" s="13">
        <v>45203</v>
      </c>
      <c r="C295" s="104">
        <v>10841477</v>
      </c>
      <c r="D295" s="104">
        <v>10424249</v>
      </c>
      <c r="E295" s="104">
        <v>417228</v>
      </c>
      <c r="F295" s="155">
        <v>96.15</v>
      </c>
      <c r="G295" s="104">
        <v>93773999</v>
      </c>
      <c r="H295" s="104">
        <v>71408735</v>
      </c>
      <c r="I295" s="104">
        <v>22365264</v>
      </c>
      <c r="J295" s="155">
        <v>76.150000000000006</v>
      </c>
      <c r="K295" s="104">
        <v>4951673</v>
      </c>
      <c r="L295" s="104">
        <v>4951469</v>
      </c>
      <c r="M295" s="104">
        <v>204</v>
      </c>
      <c r="N295" s="128">
        <v>100</v>
      </c>
    </row>
    <row r="296" spans="2:14" hidden="1" x14ac:dyDescent="0.25">
      <c r="B296" s="13">
        <v>45204</v>
      </c>
      <c r="C296" s="104">
        <v>10858638</v>
      </c>
      <c r="D296" s="104">
        <v>10454359</v>
      </c>
      <c r="E296" s="104">
        <v>404279</v>
      </c>
      <c r="F296" s="155">
        <v>96.28</v>
      </c>
      <c r="G296" s="104">
        <v>100316339</v>
      </c>
      <c r="H296" s="104">
        <v>75591895</v>
      </c>
      <c r="I296" s="104">
        <v>24724444</v>
      </c>
      <c r="J296" s="155">
        <v>75.349999999999994</v>
      </c>
      <c r="K296" s="104">
        <v>4412500</v>
      </c>
      <c r="L296" s="104">
        <v>4410330</v>
      </c>
      <c r="M296" s="104">
        <v>2170</v>
      </c>
      <c r="N296" s="155">
        <v>99.95</v>
      </c>
    </row>
    <row r="297" spans="2:14" hidden="1" x14ac:dyDescent="0.25">
      <c r="B297" s="13">
        <v>45211</v>
      </c>
      <c r="C297" s="48">
        <v>10769730</v>
      </c>
      <c r="D297" s="48">
        <v>10324815</v>
      </c>
      <c r="E297" s="48">
        <v>444915</v>
      </c>
      <c r="F297" s="156">
        <v>95.87</v>
      </c>
      <c r="G297" s="48">
        <v>119629807</v>
      </c>
      <c r="H297" s="48">
        <v>78752608</v>
      </c>
      <c r="I297" s="48">
        <v>40877199</v>
      </c>
      <c r="J297" s="156">
        <v>65.83</v>
      </c>
      <c r="K297" s="48">
        <v>3424448</v>
      </c>
      <c r="L297" s="48">
        <v>3423149</v>
      </c>
      <c r="M297" s="48">
        <v>1299</v>
      </c>
      <c r="N297" s="156">
        <v>99.96</v>
      </c>
    </row>
    <row r="298" spans="2:14" hidden="1" x14ac:dyDescent="0.25">
      <c r="B298" s="13">
        <v>45212</v>
      </c>
      <c r="C298" s="48">
        <v>11544700</v>
      </c>
      <c r="D298" s="48">
        <v>11097863</v>
      </c>
      <c r="E298" s="48">
        <v>446837</v>
      </c>
      <c r="F298" s="156">
        <v>96.12</v>
      </c>
      <c r="G298" s="48">
        <v>119364364</v>
      </c>
      <c r="H298" s="48">
        <v>78617099</v>
      </c>
      <c r="I298" s="48">
        <v>40747265</v>
      </c>
      <c r="J298" s="156">
        <v>65.86</v>
      </c>
      <c r="K298" s="48">
        <v>3075209</v>
      </c>
      <c r="L298" s="48">
        <v>3075158</v>
      </c>
      <c r="M298" s="48">
        <v>51</v>
      </c>
      <c r="N298" s="156">
        <v>99.99</v>
      </c>
    </row>
    <row r="299" spans="2:14" hidden="1" x14ac:dyDescent="0.25">
      <c r="B299" s="13">
        <v>45213</v>
      </c>
      <c r="C299" s="48">
        <v>11702824</v>
      </c>
      <c r="D299" s="48">
        <v>11279157</v>
      </c>
      <c r="E299" s="48">
        <v>423667</v>
      </c>
      <c r="F299" s="156">
        <v>96.37</v>
      </c>
      <c r="G299" s="48">
        <v>112781132</v>
      </c>
      <c r="H299" s="48">
        <v>76190642</v>
      </c>
      <c r="I299" s="48">
        <v>36590490</v>
      </c>
      <c r="J299" s="156">
        <v>67.55</v>
      </c>
      <c r="K299" s="48">
        <v>2704269</v>
      </c>
      <c r="L299" s="48">
        <v>2704215</v>
      </c>
      <c r="M299" s="48">
        <v>54</v>
      </c>
      <c r="N299" s="156">
        <v>99.99</v>
      </c>
    </row>
    <row r="300" spans="2:14" hidden="1" x14ac:dyDescent="0.25">
      <c r="B300" s="13">
        <v>45214</v>
      </c>
      <c r="C300" s="48">
        <v>11331377</v>
      </c>
      <c r="D300" s="48">
        <v>10946278</v>
      </c>
      <c r="E300" s="48">
        <v>385099</v>
      </c>
      <c r="F300" s="156">
        <v>96.6</v>
      </c>
      <c r="G300" s="48">
        <v>85669553</v>
      </c>
      <c r="H300" s="48">
        <v>58750542</v>
      </c>
      <c r="I300" s="48">
        <v>26919011</v>
      </c>
      <c r="J300" s="156">
        <v>68.569999999999993</v>
      </c>
      <c r="K300" s="48">
        <v>2181984</v>
      </c>
      <c r="L300" s="48">
        <v>2181901</v>
      </c>
      <c r="M300" s="48">
        <v>83</v>
      </c>
      <c r="N300" s="156">
        <v>99.99</v>
      </c>
    </row>
    <row r="301" spans="2:14" hidden="1" x14ac:dyDescent="0.25">
      <c r="B301" s="13">
        <v>45215</v>
      </c>
      <c r="C301" s="48">
        <v>10887233</v>
      </c>
      <c r="D301" s="48">
        <v>10611402</v>
      </c>
      <c r="E301" s="48">
        <v>275831</v>
      </c>
      <c r="F301" s="156">
        <v>97.46</v>
      </c>
      <c r="G301" s="48">
        <v>117381478</v>
      </c>
      <c r="H301" s="48">
        <v>78269124</v>
      </c>
      <c r="I301" s="48">
        <v>39112354</v>
      </c>
      <c r="J301" s="156">
        <v>66.67</v>
      </c>
      <c r="K301" s="48">
        <v>3867900</v>
      </c>
      <c r="L301" s="48">
        <v>3865393</v>
      </c>
      <c r="M301" s="48">
        <v>2507</v>
      </c>
      <c r="N301" s="156">
        <v>99.93</v>
      </c>
    </row>
    <row r="302" spans="2:14" hidden="1" x14ac:dyDescent="0.25">
      <c r="B302" s="13">
        <v>45216</v>
      </c>
      <c r="C302" s="48">
        <v>10759380</v>
      </c>
      <c r="D302" s="48">
        <v>10353367</v>
      </c>
      <c r="E302" s="48">
        <v>406013</v>
      </c>
      <c r="F302" s="156">
        <v>96.22</v>
      </c>
      <c r="G302" s="48">
        <v>128004440</v>
      </c>
      <c r="H302" s="48">
        <v>85090961</v>
      </c>
      <c r="I302" s="48">
        <v>42913479</v>
      </c>
      <c r="J302" s="156">
        <v>66.47</v>
      </c>
      <c r="K302" s="48">
        <v>6029258</v>
      </c>
      <c r="L302" s="48">
        <v>6028458</v>
      </c>
      <c r="M302" s="48">
        <v>800</v>
      </c>
      <c r="N302" s="156">
        <v>99.98</v>
      </c>
    </row>
    <row r="303" spans="2:14" hidden="1" x14ac:dyDescent="0.25">
      <c r="B303" s="13">
        <v>45217</v>
      </c>
      <c r="C303" s="48">
        <v>11212104</v>
      </c>
      <c r="D303" s="48">
        <v>10810471</v>
      </c>
      <c r="E303" s="48">
        <v>401633</v>
      </c>
      <c r="F303" s="156">
        <v>96.41</v>
      </c>
      <c r="G303" s="48">
        <v>111606942</v>
      </c>
      <c r="H303" s="48">
        <v>76529910</v>
      </c>
      <c r="I303" s="48">
        <v>35077032</v>
      </c>
      <c r="J303" s="156">
        <v>68.569999999999993</v>
      </c>
      <c r="K303" s="48">
        <v>4081988</v>
      </c>
      <c r="L303" s="48">
        <v>4081194</v>
      </c>
      <c r="M303" s="48">
        <v>794</v>
      </c>
      <c r="N303" s="156">
        <v>99.98</v>
      </c>
    </row>
    <row r="304" spans="2:14" hidden="1" x14ac:dyDescent="0.25">
      <c r="B304" s="13">
        <v>45218</v>
      </c>
      <c r="C304" s="48">
        <v>10855928</v>
      </c>
      <c r="D304" s="48">
        <v>10481320</v>
      </c>
      <c r="E304" s="48">
        <v>374608</v>
      </c>
      <c r="F304" s="156">
        <v>96.54</v>
      </c>
      <c r="G304" s="48">
        <v>113453912</v>
      </c>
      <c r="H304" s="48">
        <v>73749269</v>
      </c>
      <c r="I304" s="48">
        <v>39704643</v>
      </c>
      <c r="J304" s="156">
        <v>65</v>
      </c>
      <c r="K304" s="48">
        <v>2333841</v>
      </c>
      <c r="L304" s="48">
        <v>2331899</v>
      </c>
      <c r="M304" s="48">
        <v>1942</v>
      </c>
      <c r="N304" s="156">
        <v>99.91</v>
      </c>
    </row>
    <row r="305" spans="2:14" hidden="1" x14ac:dyDescent="0.25">
      <c r="B305" s="13">
        <v>45219</v>
      </c>
      <c r="C305" s="48">
        <v>11278141</v>
      </c>
      <c r="D305" s="48">
        <v>10920406</v>
      </c>
      <c r="E305" s="48">
        <v>357735</v>
      </c>
      <c r="F305" s="156">
        <v>96.82</v>
      </c>
      <c r="G305" s="48">
        <v>111019106</v>
      </c>
      <c r="H305" s="48">
        <v>73893013</v>
      </c>
      <c r="I305" s="48">
        <v>37126093</v>
      </c>
      <c r="J305" s="156">
        <v>66.55</v>
      </c>
      <c r="K305" s="48">
        <v>2564779</v>
      </c>
      <c r="L305" s="48">
        <v>2551375</v>
      </c>
      <c r="M305" s="48">
        <v>13404</v>
      </c>
      <c r="N305" s="156">
        <v>99.47</v>
      </c>
    </row>
    <row r="306" spans="2:14" hidden="1" x14ac:dyDescent="0.25">
      <c r="B306" s="13">
        <v>45220</v>
      </c>
      <c r="C306" s="48">
        <v>11860633</v>
      </c>
      <c r="D306" s="48">
        <v>11496940</v>
      </c>
      <c r="E306" s="48">
        <v>363693</v>
      </c>
      <c r="F306" s="156">
        <v>96.93</v>
      </c>
      <c r="G306" s="48">
        <v>110221826</v>
      </c>
      <c r="H306" s="48">
        <v>77101511</v>
      </c>
      <c r="I306" s="48">
        <v>33120315</v>
      </c>
      <c r="J306" s="156">
        <v>69.95</v>
      </c>
      <c r="K306" s="48">
        <v>2579178</v>
      </c>
      <c r="L306" s="48">
        <v>2578944</v>
      </c>
      <c r="M306" s="48">
        <v>234</v>
      </c>
      <c r="N306" s="156">
        <v>99.99</v>
      </c>
    </row>
    <row r="307" spans="2:14" hidden="1" x14ac:dyDescent="0.25">
      <c r="B307" s="13">
        <v>45221</v>
      </c>
      <c r="C307" s="48">
        <v>11606346</v>
      </c>
      <c r="D307" s="48">
        <v>11251555</v>
      </c>
      <c r="E307" s="48">
        <v>354791</v>
      </c>
      <c r="F307" s="156">
        <v>96.94</v>
      </c>
      <c r="G307" s="48">
        <v>70908295</v>
      </c>
      <c r="H307" s="48">
        <v>52069310</v>
      </c>
      <c r="I307" s="48">
        <v>18838985</v>
      </c>
      <c r="J307" s="156">
        <v>73.430000000000007</v>
      </c>
      <c r="K307" s="48">
        <v>1883599</v>
      </c>
      <c r="L307" s="48">
        <v>1883409</v>
      </c>
      <c r="M307" s="48">
        <v>190</v>
      </c>
      <c r="N307" s="156">
        <v>99.98</v>
      </c>
    </row>
    <row r="308" spans="2:14" hidden="1" x14ac:dyDescent="0.25">
      <c r="B308" s="13">
        <v>45222</v>
      </c>
      <c r="C308" s="48">
        <v>11010033</v>
      </c>
      <c r="D308" s="48">
        <v>10761024</v>
      </c>
      <c r="E308" s="48">
        <v>249009</v>
      </c>
      <c r="F308" s="156">
        <v>97.73</v>
      </c>
      <c r="G308" s="48">
        <v>104546576</v>
      </c>
      <c r="H308" s="48">
        <v>73716030</v>
      </c>
      <c r="I308" s="48">
        <v>30830546</v>
      </c>
      <c r="J308" s="156">
        <v>70.510000000000005</v>
      </c>
      <c r="K308" s="48">
        <v>2792376</v>
      </c>
      <c r="L308" s="48">
        <v>2792222</v>
      </c>
      <c r="M308" s="48">
        <v>154</v>
      </c>
      <c r="N308" s="156">
        <v>99.99</v>
      </c>
    </row>
    <row r="309" spans="2:14" hidden="1" x14ac:dyDescent="0.25">
      <c r="B309" s="13">
        <v>45223</v>
      </c>
      <c r="C309" s="104">
        <v>10905881</v>
      </c>
      <c r="D309" s="104">
        <v>10556663</v>
      </c>
      <c r="E309" s="104">
        <v>349218</v>
      </c>
      <c r="F309" s="156">
        <v>96.8</v>
      </c>
      <c r="G309" s="104">
        <v>112223360</v>
      </c>
      <c r="H309" s="104">
        <v>78047491</v>
      </c>
      <c r="I309" s="104">
        <v>34175869</v>
      </c>
      <c r="J309" s="156">
        <v>69.55</v>
      </c>
      <c r="K309" s="104">
        <v>2846921</v>
      </c>
      <c r="L309" s="104">
        <v>2846542</v>
      </c>
      <c r="M309" s="104">
        <v>379</v>
      </c>
      <c r="N309" s="156">
        <v>99.99</v>
      </c>
    </row>
    <row r="310" spans="2:14" hidden="1" x14ac:dyDescent="0.25">
      <c r="B310" s="13">
        <v>45224</v>
      </c>
      <c r="C310" s="104">
        <v>10589711</v>
      </c>
      <c r="D310" s="104">
        <v>10224077</v>
      </c>
      <c r="E310" s="104">
        <v>365634</v>
      </c>
      <c r="F310" s="156">
        <v>96.55</v>
      </c>
      <c r="G310" s="104">
        <v>107117192</v>
      </c>
      <c r="H310" s="104">
        <v>72711431</v>
      </c>
      <c r="I310" s="104">
        <v>34405761</v>
      </c>
      <c r="J310" s="156">
        <v>67.88</v>
      </c>
      <c r="K310" s="104">
        <v>3053006</v>
      </c>
      <c r="L310" s="104">
        <v>3052740</v>
      </c>
      <c r="M310" s="104">
        <v>266</v>
      </c>
      <c r="N310" s="156">
        <v>99.99</v>
      </c>
    </row>
    <row r="311" spans="2:14" hidden="1" x14ac:dyDescent="0.25">
      <c r="B311" s="13">
        <v>45225</v>
      </c>
      <c r="C311" s="104">
        <v>10464302</v>
      </c>
      <c r="D311" s="104">
        <v>10090441</v>
      </c>
      <c r="E311" s="104">
        <v>373861</v>
      </c>
      <c r="F311" s="156">
        <v>96.43</v>
      </c>
      <c r="G311" s="104">
        <v>100361282</v>
      </c>
      <c r="H311" s="104">
        <v>73745480</v>
      </c>
      <c r="I311" s="104">
        <v>26615802</v>
      </c>
      <c r="J311" s="156">
        <v>73.48</v>
      </c>
      <c r="K311" s="104">
        <v>1756181</v>
      </c>
      <c r="L311" s="104">
        <v>1745349</v>
      </c>
      <c r="M311" s="104">
        <v>10832</v>
      </c>
      <c r="N311" s="156">
        <v>99.38</v>
      </c>
    </row>
    <row r="312" spans="2:14" hidden="1" x14ac:dyDescent="0.25">
      <c r="B312" s="13">
        <v>45226</v>
      </c>
      <c r="C312" s="104">
        <v>10793542</v>
      </c>
      <c r="D312" s="104">
        <v>10454218</v>
      </c>
      <c r="E312" s="104">
        <v>339324</v>
      </c>
      <c r="F312" s="156">
        <v>96.86</v>
      </c>
      <c r="G312" s="104">
        <v>115733069</v>
      </c>
      <c r="H312" s="104">
        <v>76474247</v>
      </c>
      <c r="I312" s="104">
        <v>39258822</v>
      </c>
      <c r="J312" s="156">
        <v>66.08</v>
      </c>
      <c r="K312" s="104">
        <v>1834647</v>
      </c>
      <c r="L312" s="104">
        <v>1828453</v>
      </c>
      <c r="M312" s="104">
        <v>6194</v>
      </c>
      <c r="N312" s="156">
        <v>99.66</v>
      </c>
    </row>
    <row r="313" spans="2:14" hidden="1" x14ac:dyDescent="0.25">
      <c r="B313" s="13">
        <v>45227</v>
      </c>
      <c r="C313" s="104">
        <v>11506388</v>
      </c>
      <c r="D313" s="104">
        <v>11150614</v>
      </c>
      <c r="E313" s="104">
        <v>355774</v>
      </c>
      <c r="F313" s="156">
        <v>96.91</v>
      </c>
      <c r="G313" s="104">
        <v>129088454</v>
      </c>
      <c r="H313" s="104">
        <v>88032803</v>
      </c>
      <c r="I313" s="104">
        <v>41055651</v>
      </c>
      <c r="J313" s="156">
        <v>68.2</v>
      </c>
      <c r="K313" s="104">
        <v>4722005</v>
      </c>
      <c r="L313" s="104">
        <v>4721582</v>
      </c>
      <c r="M313" s="104">
        <v>423</v>
      </c>
      <c r="N313" s="156">
        <v>99.99</v>
      </c>
    </row>
    <row r="314" spans="2:14" hidden="1" x14ac:dyDescent="0.25">
      <c r="B314" s="13">
        <v>45228</v>
      </c>
      <c r="C314" s="104">
        <v>11351726</v>
      </c>
      <c r="D314" s="104">
        <v>11001618</v>
      </c>
      <c r="E314" s="104">
        <v>350108</v>
      </c>
      <c r="F314" s="156">
        <v>96.92</v>
      </c>
      <c r="G314" s="104">
        <v>86467952</v>
      </c>
      <c r="H314" s="104">
        <v>61479715</v>
      </c>
      <c r="I314" s="104">
        <v>24988237</v>
      </c>
      <c r="J314" s="156">
        <v>71.099999999999994</v>
      </c>
      <c r="K314" s="104">
        <v>1808868</v>
      </c>
      <c r="L314" s="104">
        <v>1808655</v>
      </c>
      <c r="M314" s="104">
        <v>213</v>
      </c>
      <c r="N314" s="156">
        <v>99.99</v>
      </c>
    </row>
    <row r="315" spans="2:14" hidden="1" x14ac:dyDescent="0.25">
      <c r="B315" s="13">
        <v>45229</v>
      </c>
      <c r="C315" s="104">
        <v>10557995</v>
      </c>
      <c r="D315" s="104">
        <v>10311720</v>
      </c>
      <c r="E315" s="104">
        <v>246275</v>
      </c>
      <c r="F315" s="155">
        <v>97.67</v>
      </c>
      <c r="G315" s="104">
        <v>109218890</v>
      </c>
      <c r="H315" s="104">
        <v>78931899</v>
      </c>
      <c r="I315" s="104">
        <v>30286991</v>
      </c>
      <c r="J315" s="155">
        <v>72.27</v>
      </c>
      <c r="K315" s="104">
        <v>4897685</v>
      </c>
      <c r="L315" s="104">
        <v>4894751</v>
      </c>
      <c r="M315" s="104">
        <v>2934</v>
      </c>
      <c r="N315" s="155">
        <v>99.94</v>
      </c>
    </row>
    <row r="316" spans="2:14" hidden="1" x14ac:dyDescent="0.25">
      <c r="B316" s="13">
        <v>45230</v>
      </c>
      <c r="C316" s="104">
        <v>11034263</v>
      </c>
      <c r="D316" s="104">
        <v>10692324</v>
      </c>
      <c r="E316" s="104">
        <v>341939</v>
      </c>
      <c r="F316" s="155">
        <v>96.9</v>
      </c>
      <c r="G316" s="104">
        <v>126330279</v>
      </c>
      <c r="H316" s="104">
        <v>88789434</v>
      </c>
      <c r="I316" s="104">
        <v>37540845</v>
      </c>
      <c r="J316" s="155">
        <v>70.28</v>
      </c>
      <c r="K316" s="104">
        <v>4700623</v>
      </c>
      <c r="L316" s="104">
        <v>4699449</v>
      </c>
      <c r="M316" s="104">
        <v>1174</v>
      </c>
      <c r="N316" s="155">
        <v>99.98</v>
      </c>
    </row>
    <row r="317" spans="2:14" hidden="1" x14ac:dyDescent="0.25">
      <c r="B317" s="13">
        <v>45231</v>
      </c>
      <c r="C317" s="104">
        <v>11468197</v>
      </c>
      <c r="D317" s="104">
        <v>11115427</v>
      </c>
      <c r="E317" s="104">
        <v>352770</v>
      </c>
      <c r="F317" s="155">
        <v>96.92</v>
      </c>
      <c r="G317" s="104">
        <v>104324679</v>
      </c>
      <c r="H317" s="104">
        <v>72175548</v>
      </c>
      <c r="I317" s="104">
        <v>32149131</v>
      </c>
      <c r="J317" s="155">
        <v>69.180000000000007</v>
      </c>
      <c r="K317" s="104">
        <v>2022598</v>
      </c>
      <c r="L317" s="104">
        <v>2022312</v>
      </c>
      <c r="M317" s="104">
        <v>286</v>
      </c>
      <c r="N317" s="155">
        <v>99.99</v>
      </c>
    </row>
    <row r="318" spans="2:14" hidden="1" x14ac:dyDescent="0.25">
      <c r="B318" s="13">
        <v>45232</v>
      </c>
      <c r="C318" s="104">
        <v>11588568</v>
      </c>
      <c r="D318" s="104">
        <v>11289604</v>
      </c>
      <c r="E318" s="104">
        <v>298964</v>
      </c>
      <c r="F318" s="155">
        <v>97.42</v>
      </c>
      <c r="G318" s="104">
        <v>119817253</v>
      </c>
      <c r="H318" s="104">
        <v>83299113</v>
      </c>
      <c r="I318" s="104">
        <v>36518140</v>
      </c>
      <c r="J318" s="155">
        <v>69.52</v>
      </c>
      <c r="K318" s="104">
        <v>2891936</v>
      </c>
      <c r="L318" s="104">
        <v>2891641</v>
      </c>
      <c r="M318" s="104">
        <v>295</v>
      </c>
      <c r="N318" s="155">
        <v>99.99</v>
      </c>
    </row>
    <row r="319" spans="2:14" hidden="1" x14ac:dyDescent="0.25">
      <c r="B319" s="13">
        <v>45233</v>
      </c>
      <c r="C319" s="104">
        <v>11811095</v>
      </c>
      <c r="D319" s="104">
        <v>11442599</v>
      </c>
      <c r="E319" s="104">
        <v>368496</v>
      </c>
      <c r="F319" s="155">
        <v>96.88</v>
      </c>
      <c r="G319" s="104">
        <v>119016862</v>
      </c>
      <c r="H319" s="104">
        <v>80499820</v>
      </c>
      <c r="I319" s="104">
        <v>38517042</v>
      </c>
      <c r="J319" s="155">
        <v>67.64</v>
      </c>
      <c r="K319" s="104">
        <v>2065814</v>
      </c>
      <c r="L319" s="104">
        <v>2065540</v>
      </c>
      <c r="M319" s="104">
        <v>274</v>
      </c>
      <c r="N319" s="155">
        <v>99.99</v>
      </c>
    </row>
    <row r="320" spans="2:14" hidden="1" x14ac:dyDescent="0.25">
      <c r="B320" s="13">
        <v>45234</v>
      </c>
      <c r="C320" s="104">
        <v>11185405</v>
      </c>
      <c r="D320" s="104">
        <v>10793245</v>
      </c>
      <c r="E320" s="104">
        <v>392160</v>
      </c>
      <c r="F320" s="155">
        <v>96.49</v>
      </c>
      <c r="G320" s="104">
        <v>117419442</v>
      </c>
      <c r="H320" s="104">
        <v>80919963</v>
      </c>
      <c r="I320" s="104">
        <v>36499479</v>
      </c>
      <c r="J320" s="155">
        <v>68.92</v>
      </c>
      <c r="K320" s="104">
        <v>1939009</v>
      </c>
      <c r="L320" s="104">
        <v>1938779</v>
      </c>
      <c r="M320" s="104">
        <v>230</v>
      </c>
      <c r="N320" s="155">
        <v>99.99</v>
      </c>
    </row>
    <row r="321" spans="2:14" hidden="1" x14ac:dyDescent="0.25">
      <c r="B321" s="13">
        <v>45235</v>
      </c>
      <c r="C321" s="104">
        <v>11070790</v>
      </c>
      <c r="D321" s="104">
        <v>10687761</v>
      </c>
      <c r="E321" s="104">
        <v>383029</v>
      </c>
      <c r="F321" s="155">
        <v>96.54</v>
      </c>
      <c r="G321" s="104">
        <v>87806613</v>
      </c>
      <c r="H321" s="104">
        <v>64632057</v>
      </c>
      <c r="I321" s="104">
        <v>23174556</v>
      </c>
      <c r="J321" s="155">
        <v>73.61</v>
      </c>
      <c r="K321" s="104">
        <v>1730366</v>
      </c>
      <c r="L321" s="104">
        <v>1730050</v>
      </c>
      <c r="M321" s="104">
        <v>316</v>
      </c>
      <c r="N321" s="155">
        <v>99.98</v>
      </c>
    </row>
    <row r="322" spans="2:14" hidden="1" x14ac:dyDescent="0.25">
      <c r="B322" s="13">
        <v>45236</v>
      </c>
      <c r="C322" s="104">
        <v>8920182</v>
      </c>
      <c r="D322" s="104">
        <v>8644193</v>
      </c>
      <c r="E322" s="104">
        <v>275989</v>
      </c>
      <c r="F322" s="155">
        <v>96.91</v>
      </c>
      <c r="G322" s="104">
        <v>98543191</v>
      </c>
      <c r="H322" s="104">
        <v>71510623</v>
      </c>
      <c r="I322" s="104">
        <v>27032568</v>
      </c>
      <c r="J322" s="155">
        <v>72.569999999999993</v>
      </c>
      <c r="K322" s="104">
        <v>3263479</v>
      </c>
      <c r="L322" s="104">
        <v>3251347</v>
      </c>
      <c r="M322" s="104">
        <v>12132</v>
      </c>
      <c r="N322" s="155">
        <v>99.63</v>
      </c>
    </row>
    <row r="323" spans="2:14" hidden="1" x14ac:dyDescent="0.25">
      <c r="B323" s="13">
        <v>45237</v>
      </c>
      <c r="C323" s="104">
        <v>10616249</v>
      </c>
      <c r="D323" s="104">
        <v>10308962</v>
      </c>
      <c r="E323" s="104">
        <v>307287</v>
      </c>
      <c r="F323" s="155">
        <v>97.11</v>
      </c>
      <c r="G323" s="104">
        <v>114768861</v>
      </c>
      <c r="H323" s="104">
        <v>79390928</v>
      </c>
      <c r="I323" s="104">
        <v>35377933</v>
      </c>
      <c r="J323" s="155">
        <v>69.17</v>
      </c>
      <c r="K323" s="104">
        <v>2846599</v>
      </c>
      <c r="L323" s="104">
        <v>2845235</v>
      </c>
      <c r="M323" s="104">
        <v>1364</v>
      </c>
      <c r="N323" s="155">
        <v>99.95</v>
      </c>
    </row>
    <row r="324" spans="2:14" hidden="1" x14ac:dyDescent="0.25">
      <c r="B324" s="13">
        <v>45238</v>
      </c>
      <c r="C324" s="104">
        <v>10959078</v>
      </c>
      <c r="D324" s="104">
        <v>10637811</v>
      </c>
      <c r="E324" s="104">
        <v>321267</v>
      </c>
      <c r="F324" s="155">
        <v>97.07</v>
      </c>
      <c r="G324" s="104">
        <v>116380103</v>
      </c>
      <c r="H324" s="104">
        <v>84845187</v>
      </c>
      <c r="I324" s="104">
        <v>31534916</v>
      </c>
      <c r="J324" s="155">
        <v>72.900000000000006</v>
      </c>
      <c r="K324" s="104">
        <v>5580963</v>
      </c>
      <c r="L324" s="104">
        <v>5579898</v>
      </c>
      <c r="M324" s="104">
        <v>1065</v>
      </c>
      <c r="N324" s="155">
        <v>99.98</v>
      </c>
    </row>
    <row r="325" spans="2:14" hidden="1" x14ac:dyDescent="0.25">
      <c r="B325" s="13">
        <v>45239</v>
      </c>
      <c r="C325" s="104">
        <v>11095801</v>
      </c>
      <c r="D325" s="104">
        <v>10778712</v>
      </c>
      <c r="E325" s="104">
        <v>317089</v>
      </c>
      <c r="F325" s="155">
        <v>97.14</v>
      </c>
      <c r="G325" s="104">
        <v>103432630</v>
      </c>
      <c r="H325" s="104">
        <v>75438827</v>
      </c>
      <c r="I325" s="104">
        <v>27993803</v>
      </c>
      <c r="J325" s="155">
        <v>72.94</v>
      </c>
      <c r="K325" s="104">
        <v>3431303</v>
      </c>
      <c r="L325" s="104">
        <v>3430983</v>
      </c>
      <c r="M325" s="104">
        <v>320</v>
      </c>
      <c r="N325" s="155">
        <v>99.99</v>
      </c>
    </row>
    <row r="326" spans="2:14" hidden="1" x14ac:dyDescent="0.25">
      <c r="B326" s="13">
        <v>45240</v>
      </c>
      <c r="C326" s="104">
        <v>11312796</v>
      </c>
      <c r="D326" s="104">
        <v>10992620</v>
      </c>
      <c r="E326" s="104">
        <v>320176</v>
      </c>
      <c r="F326" s="155">
        <v>97.17</v>
      </c>
      <c r="G326" s="104">
        <v>117588075</v>
      </c>
      <c r="H326" s="104">
        <v>80194093</v>
      </c>
      <c r="I326" s="104">
        <v>37393982</v>
      </c>
      <c r="J326" s="155">
        <v>68.2</v>
      </c>
      <c r="K326" s="104">
        <v>2144811</v>
      </c>
      <c r="L326" s="104">
        <v>2144540</v>
      </c>
      <c r="M326" s="104">
        <v>271</v>
      </c>
      <c r="N326" s="155">
        <v>99.99</v>
      </c>
    </row>
    <row r="327" spans="2:14" hidden="1" x14ac:dyDescent="0.25">
      <c r="B327" s="13">
        <v>45241</v>
      </c>
      <c r="C327" s="104">
        <v>12573202</v>
      </c>
      <c r="D327" s="104">
        <v>12235077</v>
      </c>
      <c r="E327" s="104">
        <v>338125</v>
      </c>
      <c r="F327" s="155">
        <v>97.31</v>
      </c>
      <c r="G327" s="104">
        <v>112507198</v>
      </c>
      <c r="H327" s="104">
        <v>76584689</v>
      </c>
      <c r="I327" s="104">
        <v>35922509</v>
      </c>
      <c r="J327" s="155">
        <v>68.069999999999993</v>
      </c>
      <c r="K327" s="104">
        <v>3110277</v>
      </c>
      <c r="L327" s="104">
        <v>3109991</v>
      </c>
      <c r="M327" s="104">
        <v>286</v>
      </c>
      <c r="N327" s="155">
        <v>99.99</v>
      </c>
    </row>
    <row r="328" spans="2:14" hidden="1" x14ac:dyDescent="0.25">
      <c r="B328" s="13">
        <v>45242</v>
      </c>
      <c r="C328" s="104">
        <v>12555654</v>
      </c>
      <c r="D328" s="104">
        <v>12216019</v>
      </c>
      <c r="E328" s="104">
        <v>339635</v>
      </c>
      <c r="F328" s="155">
        <v>97.29</v>
      </c>
      <c r="G328" s="104">
        <v>81855430</v>
      </c>
      <c r="H328" s="104">
        <v>59030484</v>
      </c>
      <c r="I328" s="104">
        <v>22824946</v>
      </c>
      <c r="J328" s="155">
        <v>72.12</v>
      </c>
      <c r="K328" s="104">
        <v>1800987</v>
      </c>
      <c r="L328" s="104">
        <v>1800564</v>
      </c>
      <c r="M328" s="104">
        <v>423</v>
      </c>
      <c r="N328" s="155">
        <v>99.98</v>
      </c>
    </row>
    <row r="329" spans="2:14" hidden="1" x14ac:dyDescent="0.25">
      <c r="B329" s="13">
        <v>45243</v>
      </c>
      <c r="C329" s="104">
        <v>11706544</v>
      </c>
      <c r="D329" s="104">
        <v>11453886</v>
      </c>
      <c r="E329" s="104">
        <v>252658</v>
      </c>
      <c r="F329" s="155">
        <v>97.84</v>
      </c>
      <c r="G329" s="104">
        <v>110564008</v>
      </c>
      <c r="H329" s="104">
        <v>76004546</v>
      </c>
      <c r="I329" s="104">
        <v>34559462</v>
      </c>
      <c r="J329" s="155">
        <v>68.739999999999995</v>
      </c>
      <c r="K329" s="104">
        <v>3572586</v>
      </c>
      <c r="L329" s="104">
        <v>3570371</v>
      </c>
      <c r="M329" s="104">
        <v>2215</v>
      </c>
      <c r="N329" s="155">
        <v>99.94</v>
      </c>
    </row>
    <row r="330" spans="2:14" hidden="1" x14ac:dyDescent="0.25">
      <c r="B330" s="13">
        <v>45244</v>
      </c>
      <c r="C330" s="104">
        <v>12094373</v>
      </c>
      <c r="D330" s="104">
        <v>11790250</v>
      </c>
      <c r="E330" s="104">
        <v>304123</v>
      </c>
      <c r="F330" s="155">
        <v>97.49</v>
      </c>
      <c r="G330" s="104">
        <v>110579974</v>
      </c>
      <c r="H330" s="104">
        <v>74385432</v>
      </c>
      <c r="I330" s="104">
        <v>36194542</v>
      </c>
      <c r="J330" s="155">
        <v>67.27</v>
      </c>
      <c r="K330" s="104">
        <v>2489430</v>
      </c>
      <c r="L330" s="104">
        <v>2488192</v>
      </c>
      <c r="M330" s="104">
        <v>1238</v>
      </c>
      <c r="N330" s="155">
        <v>99.95</v>
      </c>
    </row>
    <row r="331" spans="2:14" hidden="1" x14ac:dyDescent="0.25">
      <c r="B331" s="13">
        <v>45245</v>
      </c>
      <c r="C331" s="104">
        <v>12903199</v>
      </c>
      <c r="D331" s="104">
        <v>12551219</v>
      </c>
      <c r="E331" s="104">
        <v>351980</v>
      </c>
      <c r="F331" s="155">
        <v>97.27</v>
      </c>
      <c r="G331" s="104">
        <v>103846501</v>
      </c>
      <c r="H331" s="104">
        <v>74862781</v>
      </c>
      <c r="I331" s="104">
        <v>28983720</v>
      </c>
      <c r="J331" s="155">
        <v>72.09</v>
      </c>
      <c r="K331" s="104">
        <v>4870681</v>
      </c>
      <c r="L331" s="104">
        <v>4860660</v>
      </c>
      <c r="M331" s="104">
        <v>10021</v>
      </c>
      <c r="N331" s="155">
        <v>99.79</v>
      </c>
    </row>
    <row r="332" spans="2:14" hidden="1" x14ac:dyDescent="0.25">
      <c r="B332" s="13">
        <v>45246</v>
      </c>
      <c r="C332" s="104">
        <v>11741808</v>
      </c>
      <c r="D332" s="104">
        <v>11435606</v>
      </c>
      <c r="E332" s="104">
        <v>306202</v>
      </c>
      <c r="F332" s="155">
        <v>97.39</v>
      </c>
      <c r="G332" s="104">
        <v>122062405</v>
      </c>
      <c r="H332" s="104">
        <v>82981411</v>
      </c>
      <c r="I332" s="104">
        <v>39080994</v>
      </c>
      <c r="J332" s="155">
        <v>67.98</v>
      </c>
      <c r="K332" s="104">
        <v>4608359</v>
      </c>
      <c r="L332" s="104">
        <v>4607988</v>
      </c>
      <c r="M332" s="104">
        <v>371</v>
      </c>
      <c r="N332" s="155">
        <v>99.99</v>
      </c>
    </row>
    <row r="333" spans="2:14" hidden="1" x14ac:dyDescent="0.25">
      <c r="B333" s="13">
        <v>45247</v>
      </c>
      <c r="C333" s="104">
        <v>11688712</v>
      </c>
      <c r="D333" s="104">
        <v>11335398</v>
      </c>
      <c r="E333" s="104">
        <v>353314</v>
      </c>
      <c r="F333" s="155">
        <v>96.98</v>
      </c>
      <c r="G333" s="104">
        <v>126546072</v>
      </c>
      <c r="H333" s="104">
        <v>84772238</v>
      </c>
      <c r="I333" s="104">
        <v>41773834</v>
      </c>
      <c r="J333" s="155">
        <v>66.989999999999995</v>
      </c>
      <c r="K333" s="104">
        <v>4776523</v>
      </c>
      <c r="L333" s="104">
        <v>4776046</v>
      </c>
      <c r="M333" s="104">
        <v>477</v>
      </c>
      <c r="N333" s="155">
        <v>99.99</v>
      </c>
    </row>
    <row r="334" spans="2:14" hidden="1" x14ac:dyDescent="0.25">
      <c r="B334" s="13">
        <v>45248</v>
      </c>
      <c r="C334" s="104">
        <v>12819406</v>
      </c>
      <c r="D334" s="104">
        <v>12482468</v>
      </c>
      <c r="E334" s="104">
        <v>336938</v>
      </c>
      <c r="F334" s="155">
        <v>97.37</v>
      </c>
      <c r="G334" s="104">
        <v>127683414</v>
      </c>
      <c r="H334" s="104">
        <v>85083187</v>
      </c>
      <c r="I334" s="104">
        <v>42600227</v>
      </c>
      <c r="J334" s="155">
        <v>66.64</v>
      </c>
      <c r="K334" s="104">
        <v>4525047</v>
      </c>
      <c r="L334" s="104">
        <v>4524672</v>
      </c>
      <c r="M334" s="104">
        <v>375</v>
      </c>
      <c r="N334" s="155">
        <v>99.99</v>
      </c>
    </row>
    <row r="335" spans="2:14" hidden="1" x14ac:dyDescent="0.25">
      <c r="B335" s="13">
        <v>45249</v>
      </c>
      <c r="C335" s="104">
        <v>12596780</v>
      </c>
      <c r="D335" s="104">
        <v>12285112</v>
      </c>
      <c r="E335" s="104">
        <v>311668</v>
      </c>
      <c r="F335" s="155">
        <v>97.53</v>
      </c>
      <c r="G335" s="104">
        <v>82432081</v>
      </c>
      <c r="H335" s="104">
        <v>58143926</v>
      </c>
      <c r="I335" s="104">
        <v>24288155</v>
      </c>
      <c r="J335" s="155">
        <v>70.540000000000006</v>
      </c>
      <c r="K335" s="104">
        <v>1592958</v>
      </c>
      <c r="L335" s="104">
        <v>1592656</v>
      </c>
      <c r="M335" s="104">
        <v>302</v>
      </c>
      <c r="N335" s="155">
        <v>99.98</v>
      </c>
    </row>
    <row r="336" spans="2:14" hidden="1" x14ac:dyDescent="0.25">
      <c r="B336" s="13">
        <v>45250</v>
      </c>
      <c r="C336" s="104">
        <v>11527654</v>
      </c>
      <c r="D336" s="104">
        <v>11274199</v>
      </c>
      <c r="E336" s="104">
        <v>253455</v>
      </c>
      <c r="F336" s="155">
        <v>97.8</v>
      </c>
      <c r="G336" s="104">
        <v>109775270</v>
      </c>
      <c r="H336" s="104">
        <v>73520740</v>
      </c>
      <c r="I336" s="104">
        <v>36254530</v>
      </c>
      <c r="J336" s="155">
        <v>66.97</v>
      </c>
      <c r="K336" s="104">
        <v>1654316</v>
      </c>
      <c r="L336" s="104">
        <v>1649667</v>
      </c>
      <c r="M336" s="104">
        <v>4649</v>
      </c>
      <c r="N336" s="155">
        <v>99.72</v>
      </c>
    </row>
    <row r="337" spans="2:14" hidden="1" x14ac:dyDescent="0.25">
      <c r="B337" s="13">
        <v>45251</v>
      </c>
      <c r="C337" s="104">
        <v>11672006</v>
      </c>
      <c r="D337" s="104">
        <v>11348396</v>
      </c>
      <c r="E337" s="104">
        <v>323610</v>
      </c>
      <c r="F337" s="155">
        <v>97.23</v>
      </c>
      <c r="G337" s="104">
        <v>114916865</v>
      </c>
      <c r="H337" s="104">
        <v>76550182</v>
      </c>
      <c r="I337" s="104">
        <v>38366683</v>
      </c>
      <c r="J337" s="155">
        <v>66.61</v>
      </c>
      <c r="K337" s="104">
        <v>4463408</v>
      </c>
      <c r="L337" s="104">
        <v>4463005</v>
      </c>
      <c r="M337" s="104">
        <v>403</v>
      </c>
      <c r="N337" s="155">
        <v>99.99</v>
      </c>
    </row>
    <row r="338" spans="2:14" hidden="1" x14ac:dyDescent="0.25">
      <c r="B338" s="13">
        <v>45252</v>
      </c>
      <c r="C338" s="104">
        <v>11391196</v>
      </c>
      <c r="D338" s="104">
        <v>11068848</v>
      </c>
      <c r="E338" s="104">
        <v>322348</v>
      </c>
      <c r="F338" s="155">
        <v>97.17</v>
      </c>
      <c r="G338" s="104">
        <v>118442839</v>
      </c>
      <c r="H338" s="104">
        <v>78194720</v>
      </c>
      <c r="I338" s="104">
        <v>40248119</v>
      </c>
      <c r="J338" s="155">
        <v>66.02</v>
      </c>
      <c r="K338" s="104">
        <v>4675823</v>
      </c>
      <c r="L338" s="104">
        <v>4675133</v>
      </c>
      <c r="M338" s="104">
        <v>690</v>
      </c>
      <c r="N338" s="155">
        <v>99.99</v>
      </c>
    </row>
    <row r="339" spans="2:14" hidden="1" x14ac:dyDescent="0.25">
      <c r="B339" s="13">
        <v>45253</v>
      </c>
      <c r="C339" s="104">
        <v>11246666</v>
      </c>
      <c r="D339" s="104">
        <v>10927730</v>
      </c>
      <c r="E339" s="104">
        <v>318936</v>
      </c>
      <c r="F339" s="155">
        <v>97.16</v>
      </c>
      <c r="G339" s="104">
        <v>113852947</v>
      </c>
      <c r="H339" s="104">
        <v>73909529</v>
      </c>
      <c r="I339" s="104">
        <v>39943418</v>
      </c>
      <c r="J339" s="155">
        <v>64.92</v>
      </c>
      <c r="K339" s="104">
        <v>5196053</v>
      </c>
      <c r="L339" s="104">
        <v>5193605</v>
      </c>
      <c r="M339" s="104">
        <v>2448</v>
      </c>
      <c r="N339" s="155">
        <v>99.95</v>
      </c>
    </row>
    <row r="340" spans="2:14" hidden="1" x14ac:dyDescent="0.25">
      <c r="B340" s="13">
        <v>45254</v>
      </c>
      <c r="C340" s="104">
        <v>11561435</v>
      </c>
      <c r="D340" s="104">
        <v>11262677</v>
      </c>
      <c r="E340" s="104">
        <v>298758</v>
      </c>
      <c r="F340" s="155">
        <v>97.42</v>
      </c>
      <c r="G340" s="104">
        <v>109691961</v>
      </c>
      <c r="H340" s="104">
        <v>75209489</v>
      </c>
      <c r="I340" s="104">
        <v>34482472</v>
      </c>
      <c r="J340" s="155">
        <v>68.56</v>
      </c>
      <c r="K340" s="104">
        <v>3709651</v>
      </c>
      <c r="L340" s="104">
        <v>3709503</v>
      </c>
      <c r="M340" s="104">
        <v>148</v>
      </c>
      <c r="N340" s="155">
        <v>100</v>
      </c>
    </row>
    <row r="341" spans="2:14" hidden="1" x14ac:dyDescent="0.25">
      <c r="B341" s="13">
        <v>45255</v>
      </c>
      <c r="C341" s="104">
        <v>12147684</v>
      </c>
      <c r="D341" s="104">
        <v>11853843</v>
      </c>
      <c r="E341" s="104">
        <v>293841</v>
      </c>
      <c r="F341" s="155">
        <v>97.58</v>
      </c>
      <c r="G341" s="104">
        <v>116236675</v>
      </c>
      <c r="H341" s="104">
        <v>78740676</v>
      </c>
      <c r="I341" s="104">
        <v>37495999</v>
      </c>
      <c r="J341" s="155">
        <v>67.739999999999995</v>
      </c>
      <c r="K341" s="104">
        <v>4815876</v>
      </c>
      <c r="L341" s="104">
        <v>4815755</v>
      </c>
      <c r="M341" s="104">
        <v>121</v>
      </c>
      <c r="N341" s="155">
        <v>100</v>
      </c>
    </row>
    <row r="342" spans="2:14" hidden="1" x14ac:dyDescent="0.25">
      <c r="B342" s="13">
        <v>45256</v>
      </c>
      <c r="C342" s="104">
        <v>11758754</v>
      </c>
      <c r="D342" s="104">
        <v>11471455</v>
      </c>
      <c r="E342" s="104">
        <v>287299</v>
      </c>
      <c r="F342" s="155">
        <v>97.56</v>
      </c>
      <c r="G342" s="104">
        <v>79393101</v>
      </c>
      <c r="H342" s="104">
        <v>57873237</v>
      </c>
      <c r="I342" s="104">
        <v>21519864</v>
      </c>
      <c r="J342" s="155">
        <v>72.89</v>
      </c>
      <c r="K342" s="104">
        <v>2297460</v>
      </c>
      <c r="L342" s="104">
        <v>2297321</v>
      </c>
      <c r="M342" s="104">
        <v>139</v>
      </c>
      <c r="N342" s="155">
        <v>99.99</v>
      </c>
    </row>
    <row r="343" spans="2:14" hidden="1" x14ac:dyDescent="0.25">
      <c r="B343" s="13">
        <v>45257</v>
      </c>
      <c r="C343" s="104">
        <v>10859434</v>
      </c>
      <c r="D343" s="104">
        <v>10635529</v>
      </c>
      <c r="E343" s="104">
        <v>223905</v>
      </c>
      <c r="F343" s="155">
        <v>97.94</v>
      </c>
      <c r="G343" s="104">
        <v>121206323</v>
      </c>
      <c r="H343" s="104">
        <v>80646437</v>
      </c>
      <c r="I343" s="104">
        <v>40559886</v>
      </c>
      <c r="J343" s="155">
        <v>66.540000000000006</v>
      </c>
      <c r="K343" s="104">
        <v>4681548</v>
      </c>
      <c r="L343" s="104">
        <v>4681345</v>
      </c>
      <c r="M343" s="104">
        <v>203</v>
      </c>
      <c r="N343" s="155">
        <v>100</v>
      </c>
    </row>
    <row r="344" spans="2:14" hidden="1" x14ac:dyDescent="0.25">
      <c r="B344" s="13">
        <v>45258</v>
      </c>
      <c r="C344" s="104">
        <v>10899232</v>
      </c>
      <c r="D344" s="104">
        <v>10583182</v>
      </c>
      <c r="E344" s="104">
        <v>316050</v>
      </c>
      <c r="F344" s="155">
        <v>97.1</v>
      </c>
      <c r="G344" s="104">
        <v>127218765</v>
      </c>
      <c r="H344" s="104">
        <v>85332098</v>
      </c>
      <c r="I344" s="104">
        <v>41886667</v>
      </c>
      <c r="J344" s="155">
        <v>67.08</v>
      </c>
      <c r="K344" s="104">
        <v>4234649</v>
      </c>
      <c r="L344" s="104">
        <v>4231135</v>
      </c>
      <c r="M344" s="104">
        <v>3514</v>
      </c>
      <c r="N344" s="155">
        <v>99.92</v>
      </c>
    </row>
    <row r="345" spans="2:14" hidden="1" x14ac:dyDescent="0.25">
      <c r="B345" s="13">
        <v>45259</v>
      </c>
      <c r="C345" s="104">
        <v>11023336</v>
      </c>
      <c r="D345" s="104">
        <v>10709044</v>
      </c>
      <c r="E345" s="104">
        <v>314292</v>
      </c>
      <c r="F345" s="155">
        <v>97.15</v>
      </c>
      <c r="G345" s="104">
        <v>118961047</v>
      </c>
      <c r="H345" s="104">
        <v>78897704</v>
      </c>
      <c r="I345" s="104">
        <v>40063343</v>
      </c>
      <c r="J345" s="155">
        <v>66.319999999999993</v>
      </c>
      <c r="K345" s="104">
        <v>5553573</v>
      </c>
      <c r="L345" s="104">
        <v>5552410</v>
      </c>
      <c r="M345" s="104">
        <v>1163</v>
      </c>
      <c r="N345" s="155">
        <v>99.98</v>
      </c>
    </row>
    <row r="346" spans="2:14" hidden="1" x14ac:dyDescent="0.25">
      <c r="B346" s="13">
        <v>45260</v>
      </c>
      <c r="C346" s="104">
        <v>10797034</v>
      </c>
      <c r="D346" s="104">
        <v>10500108</v>
      </c>
      <c r="E346" s="104">
        <v>296926</v>
      </c>
      <c r="F346" s="155">
        <v>97.25</v>
      </c>
      <c r="G346" s="104">
        <v>133163077</v>
      </c>
      <c r="H346" s="104">
        <v>87812549</v>
      </c>
      <c r="I346" s="104">
        <v>45350528</v>
      </c>
      <c r="J346" s="155">
        <v>65.94</v>
      </c>
      <c r="K346" s="104">
        <v>6140430</v>
      </c>
      <c r="L346" s="104">
        <v>6136462</v>
      </c>
      <c r="M346" s="104">
        <v>3968</v>
      </c>
      <c r="N346" s="155">
        <v>99.94</v>
      </c>
    </row>
    <row r="347" spans="2:14" hidden="1" x14ac:dyDescent="0.25">
      <c r="B347" s="13">
        <v>45261</v>
      </c>
      <c r="C347" s="104">
        <v>11307678</v>
      </c>
      <c r="D347" s="104">
        <v>10995206</v>
      </c>
      <c r="E347" s="104">
        <v>312472</v>
      </c>
      <c r="F347" s="155">
        <v>97.24</v>
      </c>
      <c r="G347" s="104">
        <v>129967098</v>
      </c>
      <c r="H347" s="104">
        <v>85385278</v>
      </c>
      <c r="I347" s="104">
        <v>44581820</v>
      </c>
      <c r="J347" s="155">
        <v>65.7</v>
      </c>
      <c r="K347" s="104">
        <v>3348364</v>
      </c>
      <c r="L347" s="104">
        <v>3348205</v>
      </c>
      <c r="M347" s="104">
        <v>159</v>
      </c>
      <c r="N347" s="155">
        <v>100</v>
      </c>
    </row>
    <row r="348" spans="2:14" hidden="1" x14ac:dyDescent="0.25">
      <c r="B348" s="13">
        <v>45262</v>
      </c>
      <c r="C348" s="104">
        <v>11742261</v>
      </c>
      <c r="D348" s="104">
        <v>11421572</v>
      </c>
      <c r="E348" s="104">
        <v>320689</v>
      </c>
      <c r="F348" s="155">
        <v>97.27</v>
      </c>
      <c r="G348" s="104">
        <v>106320076</v>
      </c>
      <c r="H348" s="104">
        <v>72388873</v>
      </c>
      <c r="I348" s="104">
        <v>33931203</v>
      </c>
      <c r="J348" s="155">
        <v>68.09</v>
      </c>
      <c r="K348" s="104">
        <v>1953300</v>
      </c>
      <c r="L348" s="104">
        <v>1953193</v>
      </c>
      <c r="M348" s="104">
        <v>107</v>
      </c>
      <c r="N348" s="155">
        <v>99.99</v>
      </c>
    </row>
    <row r="349" spans="2:14" hidden="1" x14ac:dyDescent="0.25">
      <c r="B349" s="13">
        <v>45263</v>
      </c>
      <c r="C349" s="104">
        <v>11273011</v>
      </c>
      <c r="D349" s="104">
        <v>10999486</v>
      </c>
      <c r="E349" s="104">
        <v>273525</v>
      </c>
      <c r="F349" s="155">
        <v>97.57</v>
      </c>
      <c r="G349" s="104">
        <v>84282459</v>
      </c>
      <c r="H349" s="104">
        <v>58807936</v>
      </c>
      <c r="I349" s="104">
        <v>25474523</v>
      </c>
      <c r="J349" s="155">
        <v>69.77</v>
      </c>
      <c r="K349" s="104">
        <v>2607944</v>
      </c>
      <c r="L349" s="104">
        <v>2607817</v>
      </c>
      <c r="M349" s="104">
        <v>127</v>
      </c>
      <c r="N349" s="155">
        <v>100</v>
      </c>
    </row>
    <row r="350" spans="2:14" hidden="1" x14ac:dyDescent="0.25">
      <c r="B350" s="13">
        <v>45264</v>
      </c>
      <c r="C350" s="104">
        <v>10647111</v>
      </c>
      <c r="D350" s="104">
        <v>10415003</v>
      </c>
      <c r="E350" s="104">
        <v>232108</v>
      </c>
      <c r="F350" s="155">
        <v>97.82</v>
      </c>
      <c r="G350" s="104">
        <v>117309052</v>
      </c>
      <c r="H350" s="104">
        <v>77543296</v>
      </c>
      <c r="I350" s="104">
        <v>39765756</v>
      </c>
      <c r="J350" s="155">
        <v>66.099999999999994</v>
      </c>
      <c r="K350" s="104">
        <v>2851599</v>
      </c>
      <c r="L350" s="104">
        <v>2851488</v>
      </c>
      <c r="M350" s="104">
        <v>111</v>
      </c>
      <c r="N350" s="155">
        <v>100</v>
      </c>
    </row>
    <row r="351" spans="2:14" hidden="1" x14ac:dyDescent="0.25">
      <c r="B351" s="13">
        <v>45265</v>
      </c>
      <c r="C351" s="104">
        <v>10800944</v>
      </c>
      <c r="D351" s="104">
        <v>10498214</v>
      </c>
      <c r="E351" s="104">
        <v>302730</v>
      </c>
      <c r="F351" s="155">
        <v>97.2</v>
      </c>
      <c r="G351" s="104">
        <v>119751771</v>
      </c>
      <c r="H351" s="104">
        <v>82051182</v>
      </c>
      <c r="I351" s="104">
        <v>37700589</v>
      </c>
      <c r="J351" s="155">
        <v>68.52</v>
      </c>
      <c r="K351" s="104">
        <v>5039543</v>
      </c>
      <c r="L351" s="104">
        <v>5037721</v>
      </c>
      <c r="M351" s="104">
        <v>1822</v>
      </c>
      <c r="N351" s="155">
        <v>99.96</v>
      </c>
    </row>
    <row r="352" spans="2:14" hidden="1" x14ac:dyDescent="0.25">
      <c r="B352" s="13">
        <v>45266</v>
      </c>
      <c r="C352" s="104">
        <v>10980834</v>
      </c>
      <c r="D352" s="104">
        <v>10678587</v>
      </c>
      <c r="E352" s="104">
        <v>302247</v>
      </c>
      <c r="F352" s="155">
        <v>97.25</v>
      </c>
      <c r="G352" s="104">
        <v>108733485</v>
      </c>
      <c r="H352" s="104">
        <v>72674121</v>
      </c>
      <c r="I352" s="104">
        <v>36059364</v>
      </c>
      <c r="J352" s="155">
        <v>66.84</v>
      </c>
      <c r="K352" s="104">
        <v>3358377</v>
      </c>
      <c r="L352" s="104">
        <v>3358240</v>
      </c>
      <c r="M352" s="104">
        <v>137</v>
      </c>
      <c r="N352" s="155">
        <v>100</v>
      </c>
    </row>
    <row r="353" spans="2:14" hidden="1" x14ac:dyDescent="0.25">
      <c r="B353" s="13">
        <v>45267</v>
      </c>
      <c r="C353" s="104">
        <v>10785048</v>
      </c>
      <c r="D353" s="104">
        <v>10492533</v>
      </c>
      <c r="E353" s="104">
        <v>292515</v>
      </c>
      <c r="F353" s="155">
        <v>97.29</v>
      </c>
      <c r="G353" s="104">
        <v>145444566</v>
      </c>
      <c r="H353" s="104">
        <v>98559860</v>
      </c>
      <c r="I353" s="104">
        <v>46884706</v>
      </c>
      <c r="J353" s="155">
        <v>76.95</v>
      </c>
      <c r="K353" s="104">
        <v>8167482</v>
      </c>
      <c r="L353" s="104">
        <v>8167299</v>
      </c>
      <c r="M353" s="104">
        <v>183</v>
      </c>
      <c r="N353" s="155">
        <v>100</v>
      </c>
    </row>
    <row r="354" spans="2:14" hidden="1" x14ac:dyDescent="0.25">
      <c r="B354" s="13">
        <v>45268</v>
      </c>
      <c r="C354" s="104">
        <v>11214297</v>
      </c>
      <c r="D354" s="104">
        <v>10892867</v>
      </c>
      <c r="E354" s="104">
        <v>321430</v>
      </c>
      <c r="F354" s="155">
        <v>97.13</v>
      </c>
      <c r="G354" s="104">
        <v>131206124</v>
      </c>
      <c r="H354" s="104">
        <v>93964194</v>
      </c>
      <c r="I354" s="104">
        <v>37241930</v>
      </c>
      <c r="J354" s="155">
        <v>71.62</v>
      </c>
      <c r="K354" s="104">
        <v>7579128</v>
      </c>
      <c r="L354" s="104">
        <v>7579000</v>
      </c>
      <c r="M354" s="104">
        <v>128</v>
      </c>
      <c r="N354" s="155">
        <v>100</v>
      </c>
    </row>
    <row r="355" spans="2:14" hidden="1" x14ac:dyDescent="0.25">
      <c r="B355" s="13">
        <v>45269</v>
      </c>
      <c r="C355" s="104">
        <v>11521245</v>
      </c>
      <c r="D355" s="104">
        <v>11186420</v>
      </c>
      <c r="E355" s="104">
        <v>334825</v>
      </c>
      <c r="F355" s="155">
        <v>97.09</v>
      </c>
      <c r="G355" s="104">
        <v>115390203</v>
      </c>
      <c r="H355" s="104">
        <v>81708217</v>
      </c>
      <c r="I355" s="104">
        <v>33681986</v>
      </c>
      <c r="J355" s="155">
        <v>70.81</v>
      </c>
      <c r="K355" s="104">
        <v>2890149</v>
      </c>
      <c r="L355" s="104">
        <v>2890055</v>
      </c>
      <c r="M355" s="104">
        <v>94</v>
      </c>
      <c r="N355" s="155">
        <v>100</v>
      </c>
    </row>
    <row r="356" spans="2:14" hidden="1" x14ac:dyDescent="0.25">
      <c r="B356" s="13">
        <v>45270</v>
      </c>
      <c r="C356" s="104">
        <v>10436532</v>
      </c>
      <c r="D356" s="104">
        <v>10401104</v>
      </c>
      <c r="E356" s="104">
        <v>35428</v>
      </c>
      <c r="F356" s="155">
        <v>99.66</v>
      </c>
      <c r="G356" s="104">
        <v>87555076</v>
      </c>
      <c r="H356" s="104">
        <v>53375898</v>
      </c>
      <c r="I356" s="104">
        <v>34179178</v>
      </c>
      <c r="J356" s="155">
        <v>60.96</v>
      </c>
      <c r="K356" s="104">
        <v>1394082</v>
      </c>
      <c r="L356" s="104">
        <v>1394054</v>
      </c>
      <c r="M356" s="104">
        <v>28</v>
      </c>
      <c r="N356" s="155">
        <v>100</v>
      </c>
    </row>
    <row r="357" spans="2:14" hidden="1" x14ac:dyDescent="0.25">
      <c r="B357" s="13">
        <v>45271</v>
      </c>
      <c r="C357" s="104">
        <v>10235717</v>
      </c>
      <c r="D357" s="104">
        <v>10012496</v>
      </c>
      <c r="E357" s="104">
        <v>223221</v>
      </c>
      <c r="F357" s="155">
        <v>97.81</v>
      </c>
      <c r="G357" s="104">
        <v>109533364</v>
      </c>
      <c r="H357" s="104">
        <v>71663120</v>
      </c>
      <c r="I357" s="104">
        <v>37870244</v>
      </c>
      <c r="J357" s="155">
        <v>65.42</v>
      </c>
      <c r="K357" s="104">
        <v>2968111</v>
      </c>
      <c r="L357" s="104">
        <v>2964618</v>
      </c>
      <c r="M357" s="104">
        <v>3493</v>
      </c>
      <c r="N357" s="155">
        <v>99.88</v>
      </c>
    </row>
    <row r="358" spans="2:14" hidden="1" x14ac:dyDescent="0.25">
      <c r="B358" s="13">
        <v>45272</v>
      </c>
      <c r="C358" s="104">
        <v>10218145</v>
      </c>
      <c r="D358" s="104">
        <v>9889854</v>
      </c>
      <c r="E358" s="104">
        <v>328291</v>
      </c>
      <c r="F358" s="155">
        <v>96.79</v>
      </c>
      <c r="G358" s="104">
        <v>111734936</v>
      </c>
      <c r="H358" s="104">
        <v>71693995</v>
      </c>
      <c r="I358" s="104">
        <v>40040941</v>
      </c>
      <c r="J358" s="155">
        <v>64.16</v>
      </c>
      <c r="K358" s="104">
        <v>2119889</v>
      </c>
      <c r="L358" s="104">
        <v>2110784</v>
      </c>
      <c r="M358" s="104">
        <v>9105</v>
      </c>
      <c r="N358" s="155">
        <v>99.57</v>
      </c>
    </row>
    <row r="359" spans="2:14" hidden="1" x14ac:dyDescent="0.25">
      <c r="B359" s="13">
        <v>45273</v>
      </c>
      <c r="C359" s="104">
        <v>10086315</v>
      </c>
      <c r="D359" s="104">
        <v>9760245</v>
      </c>
      <c r="E359" s="104">
        <v>326070</v>
      </c>
      <c r="F359" s="155">
        <v>96.77</v>
      </c>
      <c r="G359" s="104">
        <v>125724638</v>
      </c>
      <c r="H359" s="104">
        <v>83456867</v>
      </c>
      <c r="I359" s="104">
        <v>42267771</v>
      </c>
      <c r="J359" s="155">
        <v>66.38</v>
      </c>
      <c r="K359" s="104">
        <v>5482496</v>
      </c>
      <c r="L359" s="104">
        <v>5481281</v>
      </c>
      <c r="M359" s="104">
        <v>1215</v>
      </c>
      <c r="N359" s="155">
        <v>99.98</v>
      </c>
    </row>
    <row r="360" spans="2:14" hidden="1" x14ac:dyDescent="0.25">
      <c r="B360" s="13">
        <v>45274</v>
      </c>
      <c r="C360" s="104">
        <v>10211396</v>
      </c>
      <c r="D360" s="104">
        <v>9896864</v>
      </c>
      <c r="E360" s="104">
        <v>314532</v>
      </c>
      <c r="F360" s="155">
        <v>96.92</v>
      </c>
      <c r="G360" s="104">
        <v>136917771</v>
      </c>
      <c r="H360" s="104">
        <v>93986691</v>
      </c>
      <c r="I360" s="104">
        <v>42931080</v>
      </c>
      <c r="J360" s="155">
        <v>68.64</v>
      </c>
      <c r="K360" s="104">
        <v>6946807</v>
      </c>
      <c r="L360" s="104">
        <v>6944884</v>
      </c>
      <c r="M360" s="104">
        <v>1923</v>
      </c>
      <c r="N360" s="155">
        <v>99.97</v>
      </c>
    </row>
    <row r="361" spans="2:14" hidden="1" x14ac:dyDescent="0.25">
      <c r="B361" s="13">
        <v>45275</v>
      </c>
      <c r="C361" s="104">
        <v>10931741</v>
      </c>
      <c r="D361" s="104">
        <v>10629775</v>
      </c>
      <c r="E361" s="104">
        <v>301966</v>
      </c>
      <c r="F361" s="155">
        <v>97.24</v>
      </c>
      <c r="G361" s="104">
        <v>123356919</v>
      </c>
      <c r="H361" s="104">
        <v>84956753</v>
      </c>
      <c r="I361" s="104">
        <v>38400166</v>
      </c>
      <c r="J361" s="155">
        <v>68.87</v>
      </c>
      <c r="K361" s="104">
        <v>3900401</v>
      </c>
      <c r="L361" s="104">
        <v>3897257</v>
      </c>
      <c r="M361" s="104">
        <v>3144</v>
      </c>
      <c r="N361" s="155">
        <v>99.92</v>
      </c>
    </row>
    <row r="362" spans="2:14" hidden="1" x14ac:dyDescent="0.25">
      <c r="B362" s="13">
        <v>45276</v>
      </c>
      <c r="C362" s="104">
        <v>11411177</v>
      </c>
      <c r="D362" s="104">
        <v>11076554</v>
      </c>
      <c r="E362" s="104">
        <v>334623</v>
      </c>
      <c r="F362" s="155">
        <v>97.07</v>
      </c>
      <c r="G362" s="104">
        <v>132352740</v>
      </c>
      <c r="H362" s="104">
        <v>92855387</v>
      </c>
      <c r="I362" s="104">
        <v>39497353</v>
      </c>
      <c r="J362" s="155">
        <v>70.16</v>
      </c>
      <c r="K362" s="104">
        <v>7624661</v>
      </c>
      <c r="L362" s="104">
        <v>7624639</v>
      </c>
      <c r="M362" s="104">
        <v>22</v>
      </c>
      <c r="N362" s="155">
        <v>100</v>
      </c>
    </row>
    <row r="363" spans="2:14" hidden="1" x14ac:dyDescent="0.25">
      <c r="B363" s="13">
        <v>45277</v>
      </c>
      <c r="C363" s="104">
        <v>11202394</v>
      </c>
      <c r="D363" s="104">
        <v>10901967</v>
      </c>
      <c r="E363" s="104">
        <v>300427</v>
      </c>
      <c r="F363" s="155">
        <v>97.32</v>
      </c>
      <c r="G363" s="104">
        <v>83687754</v>
      </c>
      <c r="H363" s="104">
        <v>58871465</v>
      </c>
      <c r="I363" s="104">
        <v>24816289</v>
      </c>
      <c r="J363" s="155">
        <v>70.349999999999994</v>
      </c>
      <c r="K363" s="104">
        <v>1627616</v>
      </c>
      <c r="L363" s="104">
        <v>1627579</v>
      </c>
      <c r="M363" s="104">
        <v>37</v>
      </c>
      <c r="N363" s="155">
        <v>100</v>
      </c>
    </row>
    <row r="364" spans="2:14" hidden="1" x14ac:dyDescent="0.25">
      <c r="B364" s="13">
        <v>45278</v>
      </c>
      <c r="C364" s="104">
        <v>10850782</v>
      </c>
      <c r="D364" s="104">
        <v>10600938</v>
      </c>
      <c r="E364" s="104">
        <v>249844</v>
      </c>
      <c r="F364" s="155">
        <v>97.7</v>
      </c>
      <c r="G364" s="104">
        <v>123527400</v>
      </c>
      <c r="H364" s="104">
        <v>84991191</v>
      </c>
      <c r="I364" s="104">
        <v>38536209</v>
      </c>
      <c r="J364" s="155">
        <v>68.8</v>
      </c>
      <c r="K364" s="104">
        <v>4949577</v>
      </c>
      <c r="L364" s="104">
        <v>4946077</v>
      </c>
      <c r="M364" s="104">
        <v>3500</v>
      </c>
      <c r="N364" s="155">
        <v>99.93</v>
      </c>
    </row>
    <row r="365" spans="2:14" hidden="1" x14ac:dyDescent="0.25">
      <c r="B365" s="13">
        <v>45279</v>
      </c>
      <c r="C365" s="104">
        <v>10993955</v>
      </c>
      <c r="D365" s="104">
        <v>10660899</v>
      </c>
      <c r="E365" s="104">
        <v>333056</v>
      </c>
      <c r="F365" s="155">
        <v>96.97</v>
      </c>
      <c r="G365" s="104">
        <v>118045947</v>
      </c>
      <c r="H365" s="104">
        <v>82603660</v>
      </c>
      <c r="I365" s="104">
        <v>35442287</v>
      </c>
      <c r="J365" s="155">
        <v>69.98</v>
      </c>
      <c r="K365" s="104">
        <v>2527061</v>
      </c>
      <c r="L365" s="104">
        <v>2527010</v>
      </c>
      <c r="M365" s="104">
        <v>51</v>
      </c>
      <c r="N365" s="155">
        <v>100</v>
      </c>
    </row>
    <row r="366" spans="2:14" hidden="1" x14ac:dyDescent="0.25">
      <c r="B366" s="13">
        <v>45280</v>
      </c>
      <c r="C366" s="104">
        <v>11050271</v>
      </c>
      <c r="D366" s="104">
        <v>10702134</v>
      </c>
      <c r="E366" s="104">
        <v>348137</v>
      </c>
      <c r="F366" s="155">
        <v>96.85</v>
      </c>
      <c r="G366" s="104">
        <v>118263787</v>
      </c>
      <c r="H366" s="104">
        <v>80258232</v>
      </c>
      <c r="I366" s="104">
        <v>38005555</v>
      </c>
      <c r="J366" s="155">
        <v>67.86</v>
      </c>
      <c r="K366" s="104">
        <v>2730562</v>
      </c>
      <c r="L366" s="104">
        <v>2730535</v>
      </c>
      <c r="M366" s="104">
        <v>27</v>
      </c>
      <c r="N366" s="155">
        <v>100</v>
      </c>
    </row>
    <row r="367" spans="2:14" hidden="1" x14ac:dyDescent="0.25">
      <c r="B367" s="174">
        <v>45292</v>
      </c>
      <c r="C367" s="104">
        <v>14821887</v>
      </c>
      <c r="D367" s="104">
        <v>14567451</v>
      </c>
      <c r="E367" s="104">
        <v>254436</v>
      </c>
      <c r="F367" s="104">
        <v>98.28</v>
      </c>
      <c r="G367" s="104">
        <v>52007711</v>
      </c>
      <c r="H367" s="104">
        <v>45129764</v>
      </c>
      <c r="I367" s="104">
        <v>6877947</v>
      </c>
      <c r="J367" s="104">
        <v>86.78</v>
      </c>
      <c r="K367" s="104">
        <v>1357785</v>
      </c>
      <c r="L367" s="104">
        <v>1357671</v>
      </c>
      <c r="M367" s="104">
        <v>114</v>
      </c>
      <c r="N367" s="104">
        <v>99.99</v>
      </c>
    </row>
    <row r="368" spans="2:14" hidden="1" x14ac:dyDescent="0.25">
      <c r="B368" s="174">
        <v>45293</v>
      </c>
      <c r="C368" s="104">
        <v>11846972</v>
      </c>
      <c r="D368" s="104">
        <v>11392780</v>
      </c>
      <c r="E368" s="104">
        <v>454192</v>
      </c>
      <c r="F368" s="104">
        <v>96.17</v>
      </c>
      <c r="G368" s="104">
        <v>102044634</v>
      </c>
      <c r="H368" s="104">
        <v>71406031</v>
      </c>
      <c r="I368" s="104">
        <v>30638603</v>
      </c>
      <c r="J368" s="104">
        <v>69.98</v>
      </c>
      <c r="K368" s="104">
        <v>1633952</v>
      </c>
      <c r="L368" s="104">
        <v>1633882</v>
      </c>
      <c r="M368" s="104">
        <v>70</v>
      </c>
      <c r="N368" s="104">
        <v>100</v>
      </c>
    </row>
    <row r="369" spans="2:14" hidden="1" x14ac:dyDescent="0.25">
      <c r="B369" s="174">
        <v>45294</v>
      </c>
      <c r="C369" s="104">
        <v>12142505</v>
      </c>
      <c r="D369" s="104">
        <v>11861768</v>
      </c>
      <c r="E369" s="104">
        <v>280737</v>
      </c>
      <c r="F369" s="104">
        <v>97.69</v>
      </c>
      <c r="G369" s="104">
        <v>100738573</v>
      </c>
      <c r="H369" s="104">
        <v>74192661</v>
      </c>
      <c r="I369" s="104">
        <v>26545912</v>
      </c>
      <c r="J369" s="104">
        <v>73.650000000000006</v>
      </c>
      <c r="K369" s="104">
        <v>6830456</v>
      </c>
      <c r="L369" s="104">
        <v>6830387</v>
      </c>
      <c r="M369" s="104">
        <v>69</v>
      </c>
      <c r="N369" s="104">
        <v>100</v>
      </c>
    </row>
    <row r="370" spans="2:14" hidden="1" x14ac:dyDescent="0.25">
      <c r="B370" s="174">
        <v>45295</v>
      </c>
      <c r="C370" s="104">
        <v>12154587</v>
      </c>
      <c r="D370" s="104">
        <v>11848277</v>
      </c>
      <c r="E370" s="104">
        <v>306310</v>
      </c>
      <c r="F370" s="104">
        <v>97.48</v>
      </c>
      <c r="G370" s="104">
        <v>95742954</v>
      </c>
      <c r="H370" s="104">
        <v>71967573</v>
      </c>
      <c r="I370" s="104">
        <v>23775381</v>
      </c>
      <c r="J370" s="104">
        <v>75.17</v>
      </c>
      <c r="K370" s="104">
        <v>6286241</v>
      </c>
      <c r="L370" s="104">
        <v>6286160</v>
      </c>
      <c r="M370" s="104">
        <v>81</v>
      </c>
      <c r="N370" s="104">
        <v>100</v>
      </c>
    </row>
    <row r="371" spans="2:14" hidden="1" x14ac:dyDescent="0.25">
      <c r="B371" s="174">
        <v>45296</v>
      </c>
      <c r="C371" s="104">
        <v>12371988</v>
      </c>
      <c r="D371" s="104">
        <v>12070189</v>
      </c>
      <c r="E371" s="104">
        <v>301799</v>
      </c>
      <c r="F371" s="104">
        <v>97.56</v>
      </c>
      <c r="G371" s="104">
        <v>82056111</v>
      </c>
      <c r="H371" s="104">
        <v>61748488</v>
      </c>
      <c r="I371" s="104">
        <v>20307623</v>
      </c>
      <c r="J371" s="104">
        <v>75.25</v>
      </c>
      <c r="K371" s="104">
        <v>1963028</v>
      </c>
      <c r="L371" s="104">
        <v>1962960</v>
      </c>
      <c r="M371" s="104">
        <v>68</v>
      </c>
      <c r="N371" s="104">
        <v>100</v>
      </c>
    </row>
    <row r="372" spans="2:14" hidden="1" x14ac:dyDescent="0.25">
      <c r="B372" s="174">
        <v>45297</v>
      </c>
      <c r="C372" s="104">
        <v>12106213</v>
      </c>
      <c r="D372" s="104">
        <v>11803572</v>
      </c>
      <c r="E372" s="104">
        <v>302641</v>
      </c>
      <c r="F372" s="104">
        <v>97.5</v>
      </c>
      <c r="G372" s="104">
        <v>76290166</v>
      </c>
      <c r="H372" s="104">
        <v>56938603</v>
      </c>
      <c r="I372" s="104">
        <v>19351563</v>
      </c>
      <c r="J372" s="104">
        <v>74.63</v>
      </c>
      <c r="K372" s="104">
        <v>2051204</v>
      </c>
      <c r="L372" s="104">
        <v>2051152</v>
      </c>
      <c r="M372" s="104">
        <v>52</v>
      </c>
      <c r="N372" s="104">
        <v>100</v>
      </c>
    </row>
    <row r="373" spans="2:14" hidden="1" x14ac:dyDescent="0.25">
      <c r="B373" s="174">
        <v>45298</v>
      </c>
      <c r="C373" s="104">
        <v>12432641</v>
      </c>
      <c r="D373" s="104">
        <v>12172178</v>
      </c>
      <c r="E373" s="104">
        <v>260463</v>
      </c>
      <c r="F373" s="104">
        <v>97.91</v>
      </c>
      <c r="G373" s="104">
        <v>50792739</v>
      </c>
      <c r="H373" s="104">
        <v>43940254</v>
      </c>
      <c r="I373" s="104">
        <v>6852485</v>
      </c>
      <c r="J373" s="104">
        <v>86.51</v>
      </c>
      <c r="K373" s="104">
        <v>1517247</v>
      </c>
      <c r="L373" s="104">
        <v>1517021</v>
      </c>
      <c r="M373" s="104">
        <v>226</v>
      </c>
      <c r="N373" s="104">
        <v>99.99</v>
      </c>
    </row>
    <row r="374" spans="2:14" hidden="1" x14ac:dyDescent="0.25">
      <c r="B374" s="174">
        <v>45299</v>
      </c>
      <c r="C374" s="104">
        <v>12124634</v>
      </c>
      <c r="D374" s="104">
        <v>11895431</v>
      </c>
      <c r="E374" s="104">
        <v>229203</v>
      </c>
      <c r="F374" s="104">
        <v>98.11</v>
      </c>
      <c r="G374" s="104">
        <v>82160606</v>
      </c>
      <c r="H374" s="104">
        <v>60787494</v>
      </c>
      <c r="I374" s="104">
        <v>21373112</v>
      </c>
      <c r="J374" s="104">
        <v>73.989999999999995</v>
      </c>
      <c r="K374" s="104">
        <v>1697026</v>
      </c>
      <c r="L374" s="104">
        <v>1696065</v>
      </c>
      <c r="M374" s="104">
        <v>961</v>
      </c>
      <c r="N374" s="104">
        <v>99.94</v>
      </c>
    </row>
    <row r="375" spans="2:14" hidden="1" x14ac:dyDescent="0.25">
      <c r="B375" s="174">
        <v>45300</v>
      </c>
      <c r="C375" s="104">
        <v>12132900</v>
      </c>
      <c r="D375" s="104">
        <v>11816839</v>
      </c>
      <c r="E375" s="104">
        <v>316061</v>
      </c>
      <c r="F375" s="104">
        <v>97.4</v>
      </c>
      <c r="G375" s="104">
        <v>83686883</v>
      </c>
      <c r="H375" s="104">
        <v>61937270</v>
      </c>
      <c r="I375" s="104">
        <v>21749613</v>
      </c>
      <c r="J375" s="104">
        <v>74.010000000000005</v>
      </c>
      <c r="K375" s="104">
        <v>2178565</v>
      </c>
      <c r="L375" s="104">
        <v>2178466</v>
      </c>
      <c r="M375" s="104">
        <v>99</v>
      </c>
      <c r="N375" s="104">
        <v>100</v>
      </c>
    </row>
    <row r="376" spans="2:14" hidden="1" x14ac:dyDescent="0.25">
      <c r="B376" s="174">
        <v>45301</v>
      </c>
      <c r="C376" s="104">
        <v>12194948</v>
      </c>
      <c r="D376" s="104">
        <v>11885531</v>
      </c>
      <c r="E376" s="104">
        <v>309417</v>
      </c>
      <c r="F376" s="104">
        <v>97.46</v>
      </c>
      <c r="G376" s="104">
        <v>84154372</v>
      </c>
      <c r="H376" s="104">
        <v>62646787</v>
      </c>
      <c r="I376" s="104">
        <v>21507585</v>
      </c>
      <c r="J376" s="104">
        <v>74.44</v>
      </c>
      <c r="K376" s="104">
        <v>2002827</v>
      </c>
      <c r="L376" s="104">
        <v>1973840</v>
      </c>
      <c r="M376" s="104">
        <v>28987</v>
      </c>
      <c r="N376" s="104">
        <v>98.55</v>
      </c>
    </row>
    <row r="377" spans="2:14" ht="15.75" hidden="1" customHeight="1" x14ac:dyDescent="0.25">
      <c r="B377" s="174">
        <v>45302</v>
      </c>
      <c r="C377" s="104">
        <v>11957234</v>
      </c>
      <c r="D377" s="104">
        <v>11651755</v>
      </c>
      <c r="E377" s="104">
        <v>305479</v>
      </c>
      <c r="F377" s="104">
        <v>97.45</v>
      </c>
      <c r="G377" s="104">
        <v>83810223</v>
      </c>
      <c r="H377" s="104">
        <v>62333642</v>
      </c>
      <c r="I377" s="104">
        <v>21476581</v>
      </c>
      <c r="J377" s="104">
        <v>74.37</v>
      </c>
      <c r="K377" s="104">
        <v>1962447</v>
      </c>
      <c r="L377" s="104">
        <v>1888035</v>
      </c>
      <c r="M377" s="104">
        <v>74412</v>
      </c>
      <c r="N377" s="104">
        <v>96.21</v>
      </c>
    </row>
    <row r="378" spans="2:14" hidden="1" x14ac:dyDescent="0.25">
      <c r="B378" s="174">
        <v>45303</v>
      </c>
      <c r="C378" s="104">
        <v>12238327</v>
      </c>
      <c r="D378" s="104">
        <v>11938106</v>
      </c>
      <c r="E378" s="104">
        <v>300221</v>
      </c>
      <c r="F378" s="104">
        <v>97.55</v>
      </c>
      <c r="G378" s="104">
        <v>86229904</v>
      </c>
      <c r="H378" s="104">
        <v>63907225</v>
      </c>
      <c r="I378" s="104">
        <v>22322679</v>
      </c>
      <c r="J378" s="104">
        <v>74.11</v>
      </c>
      <c r="K378" s="104">
        <v>1842178</v>
      </c>
      <c r="L378" s="104">
        <v>1809725</v>
      </c>
      <c r="M378" s="104">
        <v>32453</v>
      </c>
      <c r="N378" s="104">
        <v>98.24</v>
      </c>
    </row>
    <row r="379" spans="2:14" hidden="1" x14ac:dyDescent="0.25">
      <c r="B379" s="174">
        <v>45304</v>
      </c>
      <c r="C379" s="104">
        <v>10950697</v>
      </c>
      <c r="D379" s="104">
        <v>10650785</v>
      </c>
      <c r="E379" s="104">
        <v>299912</v>
      </c>
      <c r="F379" s="104">
        <v>97.26</v>
      </c>
      <c r="G379" s="104">
        <v>78360897</v>
      </c>
      <c r="H379" s="104">
        <v>58999524</v>
      </c>
      <c r="I379" s="104">
        <v>19361373</v>
      </c>
      <c r="J379" s="104">
        <v>75.290000000000006</v>
      </c>
      <c r="K379" s="104">
        <v>1773102</v>
      </c>
      <c r="L379" s="104">
        <v>1773025</v>
      </c>
      <c r="M379" s="104">
        <v>77</v>
      </c>
      <c r="N379" s="104">
        <v>100</v>
      </c>
    </row>
    <row r="380" spans="2:14" hidden="1" x14ac:dyDescent="0.25">
      <c r="B380" s="174">
        <v>45305</v>
      </c>
      <c r="C380" s="104">
        <v>12234558</v>
      </c>
      <c r="D380" s="104">
        <v>11990224</v>
      </c>
      <c r="E380" s="104">
        <v>244334</v>
      </c>
      <c r="F380" s="104">
        <v>98</v>
      </c>
      <c r="G380" s="104">
        <v>53808861</v>
      </c>
      <c r="H380" s="104">
        <v>44551502</v>
      </c>
      <c r="I380" s="104">
        <v>9257359</v>
      </c>
      <c r="J380" s="104">
        <v>82.8</v>
      </c>
      <c r="K380" s="104">
        <v>1508107</v>
      </c>
      <c r="L380" s="104">
        <v>1507995</v>
      </c>
      <c r="M380" s="104">
        <v>112</v>
      </c>
      <c r="N380" s="104">
        <v>99.99</v>
      </c>
    </row>
    <row r="381" spans="2:14" hidden="1" x14ac:dyDescent="0.25">
      <c r="B381" s="174">
        <v>45306</v>
      </c>
      <c r="C381" s="104">
        <v>11708835</v>
      </c>
      <c r="D381" s="104">
        <v>11486573</v>
      </c>
      <c r="E381" s="104">
        <v>222262</v>
      </c>
      <c r="F381" s="104">
        <v>98.1</v>
      </c>
      <c r="G381" s="104">
        <v>79610790</v>
      </c>
      <c r="H381" s="104">
        <v>58483607</v>
      </c>
      <c r="I381" s="104">
        <v>21127183</v>
      </c>
      <c r="J381" s="104">
        <v>73.459999999999994</v>
      </c>
      <c r="K381" s="104">
        <v>1706919</v>
      </c>
      <c r="L381" s="104">
        <v>1706540</v>
      </c>
      <c r="M381" s="104">
        <v>379</v>
      </c>
      <c r="N381" s="104">
        <v>99.98</v>
      </c>
    </row>
    <row r="382" spans="2:14" hidden="1" x14ac:dyDescent="0.25">
      <c r="B382" s="174">
        <v>45307</v>
      </c>
      <c r="C382" s="104">
        <v>11835603</v>
      </c>
      <c r="D382" s="104">
        <v>11556637</v>
      </c>
      <c r="E382" s="104">
        <v>278966</v>
      </c>
      <c r="F382" s="104">
        <v>97.64</v>
      </c>
      <c r="G382" s="104">
        <v>82498427</v>
      </c>
      <c r="H382" s="104">
        <v>60638698</v>
      </c>
      <c r="I382" s="104">
        <v>21859729</v>
      </c>
      <c r="J382" s="104">
        <v>73.5</v>
      </c>
      <c r="K382" s="104">
        <v>1840524</v>
      </c>
      <c r="L382" s="104">
        <v>1840067</v>
      </c>
      <c r="M382" s="104">
        <v>457</v>
      </c>
      <c r="N382" s="104">
        <v>99.98</v>
      </c>
    </row>
    <row r="383" spans="2:14" hidden="1" x14ac:dyDescent="0.25">
      <c r="B383" s="174">
        <v>45312</v>
      </c>
      <c r="C383" s="104">
        <v>12903602</v>
      </c>
      <c r="D383" s="104">
        <v>12616825</v>
      </c>
      <c r="E383" s="104">
        <v>286777</v>
      </c>
      <c r="F383" s="104">
        <v>97.78</v>
      </c>
      <c r="G383" s="104">
        <v>68419360</v>
      </c>
      <c r="H383" s="104">
        <v>50712652</v>
      </c>
      <c r="I383" s="104">
        <v>17706708</v>
      </c>
      <c r="J383" s="114">
        <v>74.120325007424796</v>
      </c>
      <c r="K383" s="104">
        <v>909129</v>
      </c>
      <c r="L383" s="104">
        <v>907050</v>
      </c>
      <c r="M383" s="104">
        <v>2079</v>
      </c>
      <c r="N383" s="104">
        <v>99.77</v>
      </c>
    </row>
    <row r="384" spans="2:14" hidden="1" x14ac:dyDescent="0.25">
      <c r="B384" s="174">
        <v>45313</v>
      </c>
      <c r="C384" s="104">
        <v>11788058</v>
      </c>
      <c r="D384" s="104">
        <v>11540776</v>
      </c>
      <c r="E384" s="104">
        <v>247282</v>
      </c>
      <c r="F384" s="104">
        <v>97.9</v>
      </c>
      <c r="G384" s="104">
        <v>104335273</v>
      </c>
      <c r="H384" s="104">
        <v>69884812</v>
      </c>
      <c r="I384" s="104">
        <v>34450461</v>
      </c>
      <c r="J384" s="114">
        <v>66.981002675863991</v>
      </c>
      <c r="K384" s="104">
        <v>1742203</v>
      </c>
      <c r="L384" s="104">
        <v>1741000</v>
      </c>
      <c r="M384" s="104">
        <v>1203</v>
      </c>
      <c r="N384" s="104">
        <v>99.93</v>
      </c>
    </row>
    <row r="385" spans="2:14" hidden="1" x14ac:dyDescent="0.25">
      <c r="B385" s="174">
        <v>45314</v>
      </c>
      <c r="C385" s="104">
        <v>11329913</v>
      </c>
      <c r="D385" s="104">
        <v>11006064</v>
      </c>
      <c r="E385" s="104">
        <v>323849</v>
      </c>
      <c r="F385" s="104">
        <v>97.14</v>
      </c>
      <c r="G385" s="48">
        <v>103033665</v>
      </c>
      <c r="H385" s="48">
        <v>71625644</v>
      </c>
      <c r="I385" s="48">
        <v>31408021</v>
      </c>
      <c r="J385" s="71">
        <v>69.516739019232205</v>
      </c>
      <c r="K385" s="104">
        <v>2417909</v>
      </c>
      <c r="L385" s="104">
        <v>2417842</v>
      </c>
      <c r="M385" s="104">
        <v>67</v>
      </c>
      <c r="N385" s="104">
        <v>100</v>
      </c>
    </row>
    <row r="386" spans="2:14" hidden="1" x14ac:dyDescent="0.25">
      <c r="B386" s="174">
        <v>45320</v>
      </c>
      <c r="C386" s="104">
        <v>10267284</v>
      </c>
      <c r="D386" s="104">
        <v>10037443</v>
      </c>
      <c r="E386" s="104">
        <v>229841</v>
      </c>
      <c r="F386" s="104">
        <v>97.76</v>
      </c>
      <c r="G386" s="104">
        <v>78456114</v>
      </c>
      <c r="H386" s="104">
        <v>59576734</v>
      </c>
      <c r="I386" s="104">
        <v>18879380</v>
      </c>
      <c r="J386" s="104">
        <v>75.94</v>
      </c>
      <c r="K386" s="104">
        <v>1986290</v>
      </c>
      <c r="L386" s="104">
        <v>1986222</v>
      </c>
      <c r="M386" s="104">
        <v>68</v>
      </c>
      <c r="N386" s="104">
        <v>100</v>
      </c>
    </row>
    <row r="387" spans="2:14" hidden="1" x14ac:dyDescent="0.25">
      <c r="B387" s="174">
        <v>45321</v>
      </c>
      <c r="C387" s="104">
        <v>11844742</v>
      </c>
      <c r="D387" s="104">
        <v>11550282</v>
      </c>
      <c r="E387" s="104">
        <v>294460</v>
      </c>
      <c r="F387" s="104">
        <v>97.51</v>
      </c>
      <c r="G387" s="104">
        <v>81221827</v>
      </c>
      <c r="H387" s="104">
        <v>62250806</v>
      </c>
      <c r="I387" s="104">
        <v>18971021</v>
      </c>
      <c r="J387" s="104">
        <v>76.64</v>
      </c>
      <c r="K387" s="104">
        <v>2961231</v>
      </c>
      <c r="L387" s="104">
        <v>2960121</v>
      </c>
      <c r="M387" s="104">
        <v>1110</v>
      </c>
      <c r="N387" s="104">
        <v>99.96</v>
      </c>
    </row>
    <row r="388" spans="2:14" hidden="1" x14ac:dyDescent="0.25">
      <c r="B388" s="174">
        <v>45322</v>
      </c>
      <c r="C388" s="104">
        <v>11707567</v>
      </c>
      <c r="D388" s="104">
        <v>11404845</v>
      </c>
      <c r="E388" s="104">
        <v>302722</v>
      </c>
      <c r="F388" s="104">
        <v>97.41</v>
      </c>
      <c r="G388" s="104">
        <v>77670296</v>
      </c>
      <c r="H388" s="104">
        <v>58217618</v>
      </c>
      <c r="I388" s="104">
        <v>19452678</v>
      </c>
      <c r="J388" s="104">
        <v>74.95</v>
      </c>
      <c r="K388" s="104">
        <v>2468816</v>
      </c>
      <c r="L388" s="104">
        <v>2463169</v>
      </c>
      <c r="M388" s="104">
        <v>5647</v>
      </c>
      <c r="N388" s="104">
        <v>99.77</v>
      </c>
    </row>
    <row r="389" spans="2:14" hidden="1" x14ac:dyDescent="0.25">
      <c r="B389" s="174">
        <v>45323</v>
      </c>
      <c r="C389" s="104">
        <v>11639427</v>
      </c>
      <c r="D389" s="104">
        <v>11314702</v>
      </c>
      <c r="E389" s="104">
        <v>324725</v>
      </c>
      <c r="F389" s="104">
        <v>97.21</v>
      </c>
      <c r="G389" s="104">
        <v>76823914</v>
      </c>
      <c r="H389" s="104">
        <v>59358197</v>
      </c>
      <c r="I389" s="104">
        <v>17465717</v>
      </c>
      <c r="J389" s="104">
        <v>77.27</v>
      </c>
      <c r="K389" s="104">
        <v>2018810</v>
      </c>
      <c r="L389" s="104">
        <v>1910408</v>
      </c>
      <c r="M389" s="104">
        <v>108402</v>
      </c>
      <c r="N389" s="104">
        <v>94.63</v>
      </c>
    </row>
    <row r="390" spans="2:14" hidden="1" x14ac:dyDescent="0.25">
      <c r="B390" s="174">
        <v>45324</v>
      </c>
      <c r="C390" s="104">
        <v>11492308</v>
      </c>
      <c r="D390" s="104">
        <v>11185021</v>
      </c>
      <c r="E390" s="104">
        <v>307287</v>
      </c>
      <c r="F390" s="104">
        <v>97.33</v>
      </c>
      <c r="G390" s="104">
        <v>78976220</v>
      </c>
      <c r="H390" s="104">
        <v>60389001</v>
      </c>
      <c r="I390" s="104">
        <v>18587219</v>
      </c>
      <c r="J390" s="104">
        <v>76.459999999999994</v>
      </c>
      <c r="K390" s="104">
        <v>1770085</v>
      </c>
      <c r="L390" s="104">
        <v>1606554</v>
      </c>
      <c r="M390" s="104">
        <v>163531</v>
      </c>
      <c r="N390" s="104">
        <v>90.76</v>
      </c>
    </row>
    <row r="391" spans="2:14" hidden="1" x14ac:dyDescent="0.25">
      <c r="B391" s="174">
        <v>45325</v>
      </c>
      <c r="C391" s="104">
        <v>10020919</v>
      </c>
      <c r="D391" s="104">
        <v>9706744</v>
      </c>
      <c r="E391" s="104">
        <v>314175</v>
      </c>
      <c r="F391" s="104">
        <v>96.86</v>
      </c>
      <c r="G391" s="104">
        <v>80549969</v>
      </c>
      <c r="H391" s="104">
        <v>61229676</v>
      </c>
      <c r="I391" s="104">
        <v>19320293</v>
      </c>
      <c r="J391" s="104">
        <v>76.010000000000005</v>
      </c>
      <c r="K391" s="104">
        <v>1992324</v>
      </c>
      <c r="L391" s="104">
        <v>1863290</v>
      </c>
      <c r="M391" s="104">
        <v>129034</v>
      </c>
      <c r="N391" s="104">
        <v>93.52</v>
      </c>
    </row>
    <row r="392" spans="2:14" hidden="1" x14ac:dyDescent="0.25">
      <c r="B392" s="174">
        <v>45326</v>
      </c>
      <c r="C392" s="104">
        <v>11663299</v>
      </c>
      <c r="D392" s="104">
        <v>11418622</v>
      </c>
      <c r="E392" s="104">
        <v>244677</v>
      </c>
      <c r="F392" s="104">
        <v>97.9</v>
      </c>
      <c r="G392" s="104">
        <v>50833924</v>
      </c>
      <c r="H392" s="104">
        <v>43585505</v>
      </c>
      <c r="I392" s="104">
        <v>7248419</v>
      </c>
      <c r="J392" s="104">
        <v>85.74</v>
      </c>
      <c r="K392" s="104">
        <v>1484191</v>
      </c>
      <c r="L392" s="104">
        <v>1484120</v>
      </c>
      <c r="M392" s="104">
        <v>71</v>
      </c>
      <c r="N392" s="104">
        <v>100</v>
      </c>
    </row>
    <row r="393" spans="2:14" hidden="1" x14ac:dyDescent="0.25">
      <c r="B393" s="174">
        <v>45327</v>
      </c>
      <c r="C393" s="104">
        <v>11449517</v>
      </c>
      <c r="D393" s="104">
        <v>11237018</v>
      </c>
      <c r="E393" s="104">
        <v>212499</v>
      </c>
      <c r="F393" s="104">
        <v>98.14</v>
      </c>
      <c r="G393" s="104">
        <v>82288672</v>
      </c>
      <c r="H393" s="104">
        <v>62843958</v>
      </c>
      <c r="I393" s="104">
        <v>19444714</v>
      </c>
      <c r="J393" s="104">
        <v>76.37</v>
      </c>
      <c r="K393" s="104">
        <v>2588208</v>
      </c>
      <c r="L393" s="104">
        <v>2588033</v>
      </c>
      <c r="M393" s="104">
        <v>175</v>
      </c>
      <c r="N393" s="104">
        <v>99.99</v>
      </c>
    </row>
    <row r="394" spans="2:14" hidden="1" x14ac:dyDescent="0.25">
      <c r="B394" s="174">
        <v>45333</v>
      </c>
      <c r="C394" s="104">
        <v>10313310</v>
      </c>
      <c r="D394" s="104">
        <v>10020219</v>
      </c>
      <c r="E394" s="104">
        <v>293091</v>
      </c>
      <c r="F394" s="104">
        <v>97.16</v>
      </c>
      <c r="G394" s="104">
        <v>54216152</v>
      </c>
      <c r="H394" s="104">
        <v>45718055</v>
      </c>
      <c r="I394" s="104">
        <v>8498097</v>
      </c>
      <c r="J394" s="104">
        <v>84.33</v>
      </c>
      <c r="K394" s="104">
        <v>1898556</v>
      </c>
      <c r="L394" s="104">
        <v>1895868</v>
      </c>
      <c r="M394" s="104">
        <v>2688</v>
      </c>
      <c r="N394" s="104">
        <v>99.86</v>
      </c>
    </row>
    <row r="395" spans="2:14" hidden="1" x14ac:dyDescent="0.25">
      <c r="B395" s="174">
        <v>45334</v>
      </c>
      <c r="C395" s="104">
        <v>13431376</v>
      </c>
      <c r="D395" s="104">
        <v>13251730</v>
      </c>
      <c r="E395" s="104">
        <v>179646</v>
      </c>
      <c r="F395" s="104">
        <v>98.66</v>
      </c>
      <c r="G395" s="104">
        <v>82715949</v>
      </c>
      <c r="H395" s="104">
        <v>65485649</v>
      </c>
      <c r="I395" s="104">
        <v>17230300</v>
      </c>
      <c r="J395" s="104">
        <v>79.17</v>
      </c>
      <c r="K395" s="104">
        <v>2824632</v>
      </c>
      <c r="L395" s="104">
        <v>2809877</v>
      </c>
      <c r="M395" s="104">
        <v>14755</v>
      </c>
      <c r="N395" s="104">
        <v>99.48</v>
      </c>
    </row>
    <row r="396" spans="2:14" hidden="1" x14ac:dyDescent="0.25">
      <c r="B396" s="174">
        <v>45335</v>
      </c>
      <c r="C396" s="104">
        <v>12090866</v>
      </c>
      <c r="D396" s="104">
        <v>11851503</v>
      </c>
      <c r="E396" s="104">
        <v>239363</v>
      </c>
      <c r="F396" s="104">
        <v>98.02</v>
      </c>
      <c r="G396" s="104">
        <v>84704767</v>
      </c>
      <c r="H396" s="104">
        <v>64608460</v>
      </c>
      <c r="I396" s="104">
        <v>20096307</v>
      </c>
      <c r="J396" s="104">
        <v>76.27</v>
      </c>
      <c r="K396" s="104">
        <v>1434441</v>
      </c>
      <c r="L396" s="104">
        <v>1432378</v>
      </c>
      <c r="M396" s="104">
        <v>2063</v>
      </c>
      <c r="N396" s="104">
        <v>99.86</v>
      </c>
    </row>
    <row r="397" spans="2:14" hidden="1" x14ac:dyDescent="0.25">
      <c r="B397" s="174">
        <v>45336</v>
      </c>
      <c r="C397" s="104">
        <v>13494760</v>
      </c>
      <c r="D397" s="104">
        <v>13209924</v>
      </c>
      <c r="E397" s="104">
        <v>284836</v>
      </c>
      <c r="F397" s="104">
        <v>97.89</v>
      </c>
      <c r="G397" s="104">
        <v>83991329</v>
      </c>
      <c r="H397" s="104">
        <v>64777846</v>
      </c>
      <c r="I397" s="104">
        <v>19213483</v>
      </c>
      <c r="J397" s="104">
        <v>77.12</v>
      </c>
      <c r="K397" s="104">
        <v>2930574</v>
      </c>
      <c r="L397" s="104">
        <v>2927572</v>
      </c>
      <c r="M397" s="104">
        <v>3002</v>
      </c>
      <c r="N397" s="104">
        <v>99.9</v>
      </c>
    </row>
    <row r="398" spans="2:14" hidden="1" x14ac:dyDescent="0.25">
      <c r="B398" s="174">
        <v>45337</v>
      </c>
      <c r="C398" s="48">
        <v>11664437</v>
      </c>
      <c r="D398" s="48">
        <v>11327058</v>
      </c>
      <c r="E398" s="48">
        <v>337379</v>
      </c>
      <c r="F398" s="48">
        <v>97.1</v>
      </c>
      <c r="G398" s="48">
        <v>83721760</v>
      </c>
      <c r="H398" s="48">
        <v>61576275</v>
      </c>
      <c r="I398" s="48">
        <v>22145485</v>
      </c>
      <c r="J398" s="48">
        <v>73.540000000000006</v>
      </c>
      <c r="K398" s="48">
        <v>2999462</v>
      </c>
      <c r="L398" s="48">
        <v>2993177</v>
      </c>
      <c r="M398" s="48">
        <v>6285</v>
      </c>
      <c r="N398" s="48">
        <v>99.79</v>
      </c>
    </row>
    <row r="399" spans="2:14" hidden="1" x14ac:dyDescent="0.25">
      <c r="B399" s="174">
        <v>45338</v>
      </c>
      <c r="C399" s="48">
        <v>12275896</v>
      </c>
      <c r="D399" s="48">
        <v>11973742</v>
      </c>
      <c r="E399" s="48">
        <v>302154</v>
      </c>
      <c r="F399" s="48">
        <v>97.53</v>
      </c>
      <c r="G399" s="48">
        <v>84228301</v>
      </c>
      <c r="H399" s="48">
        <v>63805178</v>
      </c>
      <c r="I399" s="48">
        <v>20423123</v>
      </c>
      <c r="J399" s="48">
        <v>75.75</v>
      </c>
      <c r="K399" s="48">
        <v>2819357</v>
      </c>
      <c r="L399" s="48">
        <v>2811823</v>
      </c>
      <c r="M399" s="48">
        <v>7534</v>
      </c>
      <c r="N399" s="48">
        <v>99.73</v>
      </c>
    </row>
    <row r="400" spans="2:14" hidden="1" x14ac:dyDescent="0.25">
      <c r="B400" s="174">
        <v>45339</v>
      </c>
      <c r="C400" s="48">
        <v>12814410</v>
      </c>
      <c r="D400" s="48">
        <v>12498426</v>
      </c>
      <c r="E400" s="48">
        <v>315984</v>
      </c>
      <c r="F400" s="48">
        <v>97.5</v>
      </c>
      <c r="G400" s="48">
        <v>85466578</v>
      </c>
      <c r="H400" s="48">
        <v>64398208</v>
      </c>
      <c r="I400" s="48">
        <v>21068370</v>
      </c>
      <c r="J400" s="48">
        <v>75.34</v>
      </c>
      <c r="K400" s="48">
        <v>4452939</v>
      </c>
      <c r="L400" s="48">
        <v>4448762</v>
      </c>
      <c r="M400" s="48">
        <v>4177</v>
      </c>
      <c r="N400" s="48">
        <v>99.9</v>
      </c>
    </row>
    <row r="401" spans="2:14" hidden="1" x14ac:dyDescent="0.25">
      <c r="B401" s="174">
        <v>45340</v>
      </c>
      <c r="C401" s="48">
        <v>12694651</v>
      </c>
      <c r="D401" s="48">
        <v>12428834</v>
      </c>
      <c r="E401" s="48">
        <v>265817</v>
      </c>
      <c r="F401" s="48">
        <v>97.9</v>
      </c>
      <c r="G401" s="48">
        <v>56357972</v>
      </c>
      <c r="H401" s="48">
        <v>48086563</v>
      </c>
      <c r="I401" s="48">
        <v>8271409</v>
      </c>
      <c r="J401" s="48">
        <v>85.32</v>
      </c>
      <c r="K401" s="48">
        <v>3931308</v>
      </c>
      <c r="L401" s="48">
        <v>3302556</v>
      </c>
      <c r="M401" s="48">
        <v>628752</v>
      </c>
      <c r="N401" s="48">
        <v>84</v>
      </c>
    </row>
    <row r="402" spans="2:14" hidden="1" x14ac:dyDescent="0.25">
      <c r="B402" s="174">
        <v>45341</v>
      </c>
      <c r="C402" s="104">
        <v>12204593</v>
      </c>
      <c r="D402" s="104">
        <v>11956839</v>
      </c>
      <c r="E402" s="104">
        <v>247754</v>
      </c>
      <c r="F402" s="104">
        <v>97.97</v>
      </c>
      <c r="G402" s="104">
        <v>82584896</v>
      </c>
      <c r="H402" s="104">
        <v>61925704</v>
      </c>
      <c r="I402" s="104">
        <v>20659192</v>
      </c>
      <c r="J402" s="104">
        <v>74.98</v>
      </c>
      <c r="K402" s="104">
        <v>4480822</v>
      </c>
      <c r="L402" s="104">
        <v>3533993</v>
      </c>
      <c r="M402" s="104">
        <v>946829</v>
      </c>
      <c r="N402" s="104">
        <v>78.87</v>
      </c>
    </row>
    <row r="403" spans="2:14" hidden="1" x14ac:dyDescent="0.25">
      <c r="B403" s="174">
        <v>45342</v>
      </c>
      <c r="C403" s="104">
        <v>11994139</v>
      </c>
      <c r="D403" s="104">
        <v>11686842</v>
      </c>
      <c r="E403" s="104">
        <v>307297</v>
      </c>
      <c r="F403" s="104">
        <v>97.44</v>
      </c>
      <c r="G403" s="104">
        <v>87320795</v>
      </c>
      <c r="H403" s="104">
        <v>63167147</v>
      </c>
      <c r="I403" s="104">
        <v>24153648</v>
      </c>
      <c r="J403" s="104">
        <v>72.34</v>
      </c>
      <c r="K403" s="104">
        <v>2548559</v>
      </c>
      <c r="L403" s="104">
        <v>2529590</v>
      </c>
      <c r="M403" s="104">
        <v>18969</v>
      </c>
      <c r="N403" s="104">
        <v>99.26</v>
      </c>
    </row>
    <row r="404" spans="2:14" hidden="1" x14ac:dyDescent="0.25">
      <c r="B404" s="174">
        <v>45343</v>
      </c>
      <c r="C404" s="104">
        <v>12045345</v>
      </c>
      <c r="D404" s="104">
        <v>11708205</v>
      </c>
      <c r="E404" s="104">
        <v>337140</v>
      </c>
      <c r="F404" s="104">
        <v>97.2</v>
      </c>
      <c r="G404" s="104">
        <v>67950022</v>
      </c>
      <c r="H404" s="104">
        <v>51959152</v>
      </c>
      <c r="I404" s="104">
        <v>15990870</v>
      </c>
      <c r="J404" s="104">
        <v>76.47</v>
      </c>
      <c r="K404" s="104">
        <v>2022763</v>
      </c>
      <c r="L404" s="104">
        <v>2022414</v>
      </c>
      <c r="M404" s="104">
        <v>349</v>
      </c>
      <c r="N404" s="104">
        <v>99.98</v>
      </c>
    </row>
    <row r="405" spans="2:14" hidden="1" x14ac:dyDescent="0.25">
      <c r="B405" s="174">
        <v>45344</v>
      </c>
      <c r="C405" s="104">
        <v>11831378</v>
      </c>
      <c r="D405" s="104">
        <v>11481317</v>
      </c>
      <c r="E405" s="104">
        <v>350061</v>
      </c>
      <c r="F405" s="48">
        <v>97.04</v>
      </c>
      <c r="G405" s="48">
        <v>76499680</v>
      </c>
      <c r="H405" s="104">
        <v>56727521</v>
      </c>
      <c r="I405" s="104">
        <v>19772159</v>
      </c>
      <c r="J405" s="48">
        <v>74.150000000000006</v>
      </c>
      <c r="K405" s="48">
        <v>2188579</v>
      </c>
      <c r="L405" s="104">
        <v>2185616</v>
      </c>
      <c r="M405" s="104">
        <v>2963</v>
      </c>
      <c r="N405" s="48">
        <v>99.86</v>
      </c>
    </row>
    <row r="406" spans="2:14" hidden="1" x14ac:dyDescent="0.25">
      <c r="B406" s="174">
        <v>45345</v>
      </c>
      <c r="C406" s="104">
        <v>12220730</v>
      </c>
      <c r="D406" s="104">
        <v>11920188</v>
      </c>
      <c r="E406" s="104">
        <v>300542</v>
      </c>
      <c r="F406" s="104">
        <v>97.54</v>
      </c>
      <c r="G406" s="104">
        <v>82712423</v>
      </c>
      <c r="H406" s="104">
        <v>62270715</v>
      </c>
      <c r="I406" s="104">
        <v>20441708</v>
      </c>
      <c r="J406" s="104">
        <v>75.290000000000006</v>
      </c>
      <c r="K406" s="104">
        <v>2877249</v>
      </c>
      <c r="L406" s="104">
        <v>2876486</v>
      </c>
      <c r="M406" s="104">
        <v>763</v>
      </c>
      <c r="N406" s="104">
        <v>99.97</v>
      </c>
    </row>
    <row r="407" spans="2:14" hidden="1" x14ac:dyDescent="0.25">
      <c r="B407" s="174">
        <v>45346</v>
      </c>
      <c r="C407" s="104">
        <v>12570450</v>
      </c>
      <c r="D407" s="104">
        <v>12223197</v>
      </c>
      <c r="E407" s="104">
        <v>347253</v>
      </c>
      <c r="F407" s="104">
        <v>97.24</v>
      </c>
      <c r="G407" s="104">
        <v>76788192</v>
      </c>
      <c r="H407" s="104">
        <v>59482528</v>
      </c>
      <c r="I407" s="104">
        <v>17305664</v>
      </c>
      <c r="J407" s="104">
        <v>77.459999999999994</v>
      </c>
      <c r="K407" s="104">
        <v>2490299</v>
      </c>
      <c r="L407" s="104">
        <v>2490239</v>
      </c>
      <c r="M407" s="104">
        <v>60</v>
      </c>
      <c r="N407" s="104">
        <v>100</v>
      </c>
    </row>
    <row r="408" spans="2:14" hidden="1" x14ac:dyDescent="0.25">
      <c r="B408" s="174">
        <v>45347</v>
      </c>
      <c r="C408" s="104">
        <v>12155022</v>
      </c>
      <c r="D408" s="104">
        <v>11879339</v>
      </c>
      <c r="E408" s="104">
        <v>275683</v>
      </c>
      <c r="F408" s="104">
        <v>97.73</v>
      </c>
      <c r="G408" s="104">
        <v>50813347</v>
      </c>
      <c r="H408" s="104">
        <v>43935289</v>
      </c>
      <c r="I408" s="104">
        <v>6878058</v>
      </c>
      <c r="J408" s="104">
        <v>86.46</v>
      </c>
      <c r="K408" s="104">
        <v>1845581</v>
      </c>
      <c r="L408" s="104">
        <v>1845563</v>
      </c>
      <c r="M408" s="104">
        <v>18</v>
      </c>
      <c r="N408" s="104">
        <v>100</v>
      </c>
    </row>
    <row r="409" spans="2:14" hidden="1" x14ac:dyDescent="0.25">
      <c r="B409" s="174">
        <v>45348</v>
      </c>
      <c r="C409" s="104">
        <v>11529607</v>
      </c>
      <c r="D409" s="104">
        <v>11292535</v>
      </c>
      <c r="E409" s="104">
        <v>237072</v>
      </c>
      <c r="F409" s="104">
        <v>97.94</v>
      </c>
      <c r="G409" s="104">
        <v>88532637</v>
      </c>
      <c r="H409" s="104">
        <v>66940601</v>
      </c>
      <c r="I409" s="104">
        <v>21592036</v>
      </c>
      <c r="J409" s="104">
        <v>75.61</v>
      </c>
      <c r="K409" s="104">
        <v>2885042</v>
      </c>
      <c r="L409" s="104">
        <v>2884631</v>
      </c>
      <c r="M409" s="104">
        <v>411</v>
      </c>
      <c r="N409" s="104">
        <v>99.99</v>
      </c>
    </row>
    <row r="410" spans="2:14" hidden="1" x14ac:dyDescent="0.25">
      <c r="B410" s="174">
        <v>45349</v>
      </c>
      <c r="C410" s="104">
        <v>11437116</v>
      </c>
      <c r="D410" s="104">
        <v>11125191</v>
      </c>
      <c r="E410" s="104">
        <v>311925</v>
      </c>
      <c r="F410" s="104">
        <v>97.27</v>
      </c>
      <c r="G410" s="104">
        <v>89946275</v>
      </c>
      <c r="H410" s="104">
        <v>66400990</v>
      </c>
      <c r="I410" s="104">
        <v>23545285</v>
      </c>
      <c r="J410" s="104">
        <v>73.819999999999993</v>
      </c>
      <c r="K410" s="104">
        <v>2835473</v>
      </c>
      <c r="L410" s="104">
        <v>2834437</v>
      </c>
      <c r="M410" s="104">
        <v>1036</v>
      </c>
      <c r="N410" s="104">
        <v>99.96</v>
      </c>
    </row>
    <row r="411" spans="2:14" hidden="1" x14ac:dyDescent="0.25">
      <c r="B411" s="174">
        <v>45350</v>
      </c>
      <c r="C411" s="104">
        <v>11696250</v>
      </c>
      <c r="D411" s="104">
        <v>11437171</v>
      </c>
      <c r="E411" s="104">
        <v>259079</v>
      </c>
      <c r="F411" s="104">
        <v>97.78</v>
      </c>
      <c r="G411" s="104">
        <v>84741299</v>
      </c>
      <c r="H411" s="104">
        <v>63088757</v>
      </c>
      <c r="I411" s="104">
        <v>21652542</v>
      </c>
      <c r="J411" s="104">
        <v>74.45</v>
      </c>
      <c r="K411" s="104">
        <v>2446392</v>
      </c>
      <c r="L411" s="104">
        <v>2446054</v>
      </c>
      <c r="M411" s="104">
        <v>338</v>
      </c>
      <c r="N411" s="104">
        <v>99.99</v>
      </c>
    </row>
    <row r="412" spans="2:14" hidden="1" x14ac:dyDescent="0.25">
      <c r="B412" s="174">
        <v>45351</v>
      </c>
      <c r="C412" s="104">
        <v>11205212</v>
      </c>
      <c r="D412" s="104">
        <v>10933039</v>
      </c>
      <c r="E412" s="104">
        <v>272173</v>
      </c>
      <c r="F412" s="104">
        <v>97.57</v>
      </c>
      <c r="G412" s="104">
        <v>89869951</v>
      </c>
      <c r="H412" s="104">
        <v>67100327</v>
      </c>
      <c r="I412" s="104">
        <v>22769624</v>
      </c>
      <c r="J412" s="104">
        <v>74.66</v>
      </c>
      <c r="K412" s="104">
        <v>2146915</v>
      </c>
      <c r="L412" s="104">
        <v>2146142</v>
      </c>
      <c r="M412" s="104">
        <v>773</v>
      </c>
      <c r="N412" s="104">
        <v>99.96</v>
      </c>
    </row>
    <row r="413" spans="2:14" hidden="1" x14ac:dyDescent="0.25">
      <c r="B413" s="174">
        <v>45352</v>
      </c>
      <c r="C413" s="104">
        <v>11735930</v>
      </c>
      <c r="D413" s="104">
        <v>11461911</v>
      </c>
      <c r="E413" s="104">
        <v>274019</v>
      </c>
      <c r="F413" s="104">
        <v>97.67</v>
      </c>
      <c r="G413" s="104">
        <v>105410992</v>
      </c>
      <c r="H413" s="104">
        <v>79682328</v>
      </c>
      <c r="I413" s="104">
        <v>25728664</v>
      </c>
      <c r="J413" s="104">
        <v>75.59</v>
      </c>
      <c r="K413" s="104">
        <v>8071271</v>
      </c>
      <c r="L413" s="104">
        <v>8071156</v>
      </c>
      <c r="M413" s="104">
        <v>115</v>
      </c>
      <c r="N413" s="104">
        <v>100</v>
      </c>
    </row>
    <row r="414" spans="2:14" hidden="1" x14ac:dyDescent="0.25">
      <c r="B414" s="174">
        <v>45353</v>
      </c>
      <c r="C414" s="104">
        <v>11991108</v>
      </c>
      <c r="D414" s="104">
        <v>11703705</v>
      </c>
      <c r="E414" s="104">
        <v>287403</v>
      </c>
      <c r="F414" s="104">
        <v>97.6</v>
      </c>
      <c r="G414" s="104">
        <v>96221530</v>
      </c>
      <c r="H414" s="104">
        <v>74272146</v>
      </c>
      <c r="I414" s="104">
        <v>21949384</v>
      </c>
      <c r="J414" s="104">
        <v>77.19</v>
      </c>
      <c r="K414" s="104">
        <v>6500466</v>
      </c>
      <c r="L414" s="104">
        <v>6500217</v>
      </c>
      <c r="M414" s="104">
        <v>249</v>
      </c>
      <c r="N414" s="104">
        <v>100</v>
      </c>
    </row>
    <row r="415" spans="2:14" hidden="1" x14ac:dyDescent="0.25">
      <c r="B415" s="174">
        <v>45354</v>
      </c>
      <c r="C415" s="104">
        <v>12089177</v>
      </c>
      <c r="D415" s="104">
        <v>11840400</v>
      </c>
      <c r="E415" s="104">
        <v>248777</v>
      </c>
      <c r="F415" s="104">
        <v>97.94</v>
      </c>
      <c r="G415" s="104">
        <v>51367226</v>
      </c>
      <c r="H415" s="104">
        <v>43695501</v>
      </c>
      <c r="I415" s="104">
        <v>7671725</v>
      </c>
      <c r="J415" s="104">
        <v>85.06</v>
      </c>
      <c r="K415" s="104">
        <v>1779317</v>
      </c>
      <c r="L415" s="104">
        <v>1651552</v>
      </c>
      <c r="M415" s="104">
        <v>127765</v>
      </c>
      <c r="N415" s="104">
        <v>92.82</v>
      </c>
    </row>
    <row r="416" spans="2:14" hidden="1" x14ac:dyDescent="0.25">
      <c r="B416" s="174">
        <v>45355</v>
      </c>
      <c r="C416" s="48">
        <v>11039520</v>
      </c>
      <c r="D416" s="48">
        <v>10714447</v>
      </c>
      <c r="E416" s="48">
        <v>325073</v>
      </c>
      <c r="F416" s="48">
        <v>97.05</v>
      </c>
      <c r="G416" s="48">
        <v>78842194</v>
      </c>
      <c r="H416" s="48">
        <v>60390299</v>
      </c>
      <c r="I416" s="48">
        <v>18451895</v>
      </c>
      <c r="J416" s="48">
        <v>76.59</v>
      </c>
      <c r="K416" s="48">
        <v>2191076</v>
      </c>
      <c r="L416" s="48">
        <v>2146228</v>
      </c>
      <c r="M416" s="48">
        <v>44848</v>
      </c>
      <c r="N416" s="48">
        <v>97.95</v>
      </c>
    </row>
    <row r="417" spans="2:14" hidden="1" x14ac:dyDescent="0.25">
      <c r="B417" s="174">
        <v>45356</v>
      </c>
      <c r="C417" s="104">
        <v>11205144</v>
      </c>
      <c r="D417" s="104">
        <v>10891732</v>
      </c>
      <c r="E417" s="104">
        <v>313412</v>
      </c>
      <c r="F417" s="104">
        <v>97.2</v>
      </c>
      <c r="G417" s="104">
        <v>79931674</v>
      </c>
      <c r="H417" s="104">
        <v>60381787</v>
      </c>
      <c r="I417" s="104">
        <v>19549887</v>
      </c>
      <c r="J417" s="104">
        <v>75.540000000000006</v>
      </c>
      <c r="K417" s="104">
        <v>2451590</v>
      </c>
      <c r="L417" s="104">
        <v>2449567</v>
      </c>
      <c r="M417" s="104">
        <v>2023</v>
      </c>
      <c r="N417" s="104">
        <v>99.92</v>
      </c>
    </row>
    <row r="418" spans="2:14" hidden="1" x14ac:dyDescent="0.25">
      <c r="B418" s="174">
        <v>45357</v>
      </c>
      <c r="C418" s="104">
        <v>11274931</v>
      </c>
      <c r="D418" s="104">
        <v>11020882</v>
      </c>
      <c r="E418" s="104">
        <v>254049</v>
      </c>
      <c r="F418" s="104">
        <v>97.75</v>
      </c>
      <c r="G418" s="104">
        <v>76090554</v>
      </c>
      <c r="H418" s="104">
        <v>57576970</v>
      </c>
      <c r="I418" s="104">
        <v>18513584</v>
      </c>
      <c r="J418" s="104">
        <v>75.67</v>
      </c>
      <c r="K418" s="104">
        <v>1633732</v>
      </c>
      <c r="L418" s="104">
        <v>1632742</v>
      </c>
      <c r="M418" s="104">
        <v>990</v>
      </c>
      <c r="N418" s="104">
        <v>99.94</v>
      </c>
    </row>
    <row r="419" spans="2:14" hidden="1" x14ac:dyDescent="0.25">
      <c r="B419" s="174">
        <v>45358</v>
      </c>
      <c r="C419" s="48">
        <v>11461941</v>
      </c>
      <c r="D419" s="104">
        <v>11203445</v>
      </c>
      <c r="E419" s="104">
        <v>258496</v>
      </c>
      <c r="F419" s="48">
        <v>97.74</v>
      </c>
      <c r="G419" s="48">
        <v>113320427</v>
      </c>
      <c r="H419" s="104">
        <v>83266090</v>
      </c>
      <c r="I419" s="104">
        <v>30054337</v>
      </c>
      <c r="J419" s="48">
        <v>73.48</v>
      </c>
      <c r="K419" s="48">
        <v>8281014</v>
      </c>
      <c r="L419" s="104">
        <v>8280304</v>
      </c>
      <c r="M419" s="104">
        <v>710</v>
      </c>
      <c r="N419" s="48">
        <v>99.99</v>
      </c>
    </row>
    <row r="420" spans="2:14" hidden="1" x14ac:dyDescent="0.25">
      <c r="B420" s="174">
        <v>45359</v>
      </c>
      <c r="C420" s="104">
        <v>11651099</v>
      </c>
      <c r="D420" s="104">
        <v>11384143</v>
      </c>
      <c r="E420" s="104">
        <v>266956</v>
      </c>
      <c r="F420" s="104">
        <v>97.71</v>
      </c>
      <c r="G420" s="104">
        <v>138388038</v>
      </c>
      <c r="H420" s="104">
        <v>100824965</v>
      </c>
      <c r="I420" s="104">
        <v>37563073</v>
      </c>
      <c r="J420" s="104">
        <v>72.86</v>
      </c>
      <c r="K420" s="104">
        <v>8888750</v>
      </c>
      <c r="L420" s="104">
        <v>8888596</v>
      </c>
      <c r="M420" s="104">
        <v>154</v>
      </c>
      <c r="N420" s="104">
        <v>100</v>
      </c>
    </row>
    <row r="421" spans="2:14" hidden="1" x14ac:dyDescent="0.25">
      <c r="B421" s="174">
        <v>45360</v>
      </c>
      <c r="C421" s="104">
        <v>11998243</v>
      </c>
      <c r="D421" s="104">
        <v>11710070</v>
      </c>
      <c r="E421" s="104">
        <v>288173</v>
      </c>
      <c r="F421" s="104">
        <v>97.6</v>
      </c>
      <c r="G421" s="104">
        <v>115309043</v>
      </c>
      <c r="H421" s="104">
        <v>80058506</v>
      </c>
      <c r="I421" s="104">
        <v>35250537</v>
      </c>
      <c r="J421" s="104">
        <v>69.430000000000007</v>
      </c>
      <c r="K421" s="104">
        <v>2999206</v>
      </c>
      <c r="L421" s="104">
        <v>2999134</v>
      </c>
      <c r="M421" s="104">
        <v>72</v>
      </c>
      <c r="N421" s="104">
        <v>100</v>
      </c>
    </row>
    <row r="422" spans="2:14" hidden="1" x14ac:dyDescent="0.25">
      <c r="B422" s="174">
        <v>45361</v>
      </c>
      <c r="C422" s="48">
        <v>11622565</v>
      </c>
      <c r="D422" s="48">
        <v>11364088</v>
      </c>
      <c r="E422" s="48">
        <v>258477</v>
      </c>
      <c r="F422" s="104">
        <v>97.77</v>
      </c>
      <c r="G422" s="48">
        <v>91040911</v>
      </c>
      <c r="H422" s="48">
        <v>66451015</v>
      </c>
      <c r="I422" s="48">
        <v>24589896</v>
      </c>
      <c r="J422" s="104">
        <v>72.989999999999995</v>
      </c>
      <c r="K422" s="48">
        <v>1735056</v>
      </c>
      <c r="L422" s="48">
        <v>1734223</v>
      </c>
      <c r="M422" s="48">
        <v>833</v>
      </c>
      <c r="N422" s="104">
        <v>99.95</v>
      </c>
    </row>
    <row r="423" spans="2:14" hidden="1" x14ac:dyDescent="0.25">
      <c r="B423" s="174">
        <v>45362</v>
      </c>
      <c r="C423" s="104">
        <v>10737363</v>
      </c>
      <c r="D423" s="104">
        <v>10513984</v>
      </c>
      <c r="E423" s="104">
        <v>223379</v>
      </c>
      <c r="F423" s="104">
        <v>97.92</v>
      </c>
      <c r="G423" s="104">
        <v>117167083</v>
      </c>
      <c r="H423" s="104">
        <v>82333001</v>
      </c>
      <c r="I423" s="104">
        <v>34834082</v>
      </c>
      <c r="J423" s="104">
        <v>70.27</v>
      </c>
      <c r="K423" s="104">
        <v>4857705</v>
      </c>
      <c r="L423" s="104">
        <v>4857530</v>
      </c>
      <c r="M423" s="104">
        <v>175</v>
      </c>
      <c r="N423" s="104">
        <v>100</v>
      </c>
    </row>
    <row r="424" spans="2:14" hidden="1" x14ac:dyDescent="0.25">
      <c r="B424" s="174">
        <v>45363</v>
      </c>
      <c r="C424" s="104">
        <v>10506639</v>
      </c>
      <c r="D424" s="104">
        <v>10230810</v>
      </c>
      <c r="E424" s="104">
        <v>275829</v>
      </c>
      <c r="F424" s="104">
        <v>97.37</v>
      </c>
      <c r="G424" s="104">
        <v>127650163</v>
      </c>
      <c r="H424" s="104">
        <v>90297316</v>
      </c>
      <c r="I424" s="104">
        <v>37352847</v>
      </c>
      <c r="J424" s="104">
        <v>70.739999999999995</v>
      </c>
      <c r="K424" s="104">
        <v>8656969</v>
      </c>
      <c r="L424" s="104">
        <v>8647977</v>
      </c>
      <c r="M424" s="104">
        <v>8992</v>
      </c>
      <c r="N424" s="104">
        <v>99.9</v>
      </c>
    </row>
    <row r="425" spans="2:14" hidden="1" x14ac:dyDescent="0.25">
      <c r="B425" s="174">
        <v>45364</v>
      </c>
      <c r="C425" s="104">
        <v>10913717</v>
      </c>
      <c r="D425" s="104">
        <v>10642332</v>
      </c>
      <c r="E425" s="104">
        <v>271385</v>
      </c>
      <c r="F425" s="104">
        <v>97.51</v>
      </c>
      <c r="G425" s="104">
        <v>107732521</v>
      </c>
      <c r="H425" s="104">
        <v>77202831</v>
      </c>
      <c r="I425" s="104">
        <v>30529690</v>
      </c>
      <c r="J425" s="104">
        <v>71.66</v>
      </c>
      <c r="K425" s="104">
        <v>4815948</v>
      </c>
      <c r="L425" s="104">
        <v>4605108</v>
      </c>
      <c r="M425" s="104">
        <v>210840</v>
      </c>
      <c r="N425" s="104">
        <v>95.62</v>
      </c>
    </row>
    <row r="426" spans="2:14" hidden="1" x14ac:dyDescent="0.25">
      <c r="B426" s="174">
        <v>45365</v>
      </c>
      <c r="C426" s="104">
        <v>13949372</v>
      </c>
      <c r="D426" s="104">
        <v>13675611</v>
      </c>
      <c r="E426" s="104">
        <v>273761</v>
      </c>
      <c r="F426" s="104">
        <v>98.03</v>
      </c>
      <c r="G426" s="104">
        <v>87408597</v>
      </c>
      <c r="H426" s="104">
        <v>61996797</v>
      </c>
      <c r="I426" s="104">
        <v>25411800</v>
      </c>
      <c r="J426" s="104">
        <v>70.92</v>
      </c>
      <c r="K426" s="104">
        <v>737513</v>
      </c>
      <c r="L426" s="104">
        <v>503385</v>
      </c>
      <c r="M426" s="104">
        <v>234128</v>
      </c>
      <c r="N426" s="104">
        <v>68.25</v>
      </c>
    </row>
    <row r="427" spans="2:14" hidden="1" x14ac:dyDescent="0.25">
      <c r="B427" s="174">
        <v>45366</v>
      </c>
      <c r="C427" s="104">
        <v>11799597</v>
      </c>
      <c r="D427" s="104">
        <v>11529168</v>
      </c>
      <c r="E427" s="104">
        <v>270429</v>
      </c>
      <c r="F427" s="104">
        <v>97.7</v>
      </c>
      <c r="G427" s="104">
        <v>81584060</v>
      </c>
      <c r="H427" s="104">
        <v>62655716</v>
      </c>
      <c r="I427" s="104">
        <v>18928344</v>
      </c>
      <c r="J427" s="104">
        <v>76.8</v>
      </c>
      <c r="K427" s="104">
        <v>4392140</v>
      </c>
      <c r="L427" s="104">
        <v>1048624</v>
      </c>
      <c r="M427" s="104">
        <v>3343516</v>
      </c>
      <c r="N427" s="104">
        <v>23.87</v>
      </c>
    </row>
    <row r="428" spans="2:14" hidden="1" x14ac:dyDescent="0.25">
      <c r="B428" s="174">
        <v>45367</v>
      </c>
      <c r="C428" s="104">
        <v>11375801</v>
      </c>
      <c r="D428" s="104">
        <v>11108538</v>
      </c>
      <c r="E428" s="104">
        <v>267263</v>
      </c>
      <c r="F428" s="104">
        <v>97.65</v>
      </c>
      <c r="G428" s="104">
        <v>92286658</v>
      </c>
      <c r="H428" s="104">
        <v>64842645</v>
      </c>
      <c r="I428" s="104">
        <v>27444013</v>
      </c>
      <c r="J428" s="104">
        <v>70.260000000000005</v>
      </c>
      <c r="K428" s="104">
        <v>1916632</v>
      </c>
      <c r="L428" s="104">
        <v>1476245</v>
      </c>
      <c r="M428" s="104">
        <v>440387</v>
      </c>
      <c r="N428" s="104">
        <v>77.02</v>
      </c>
    </row>
    <row r="429" spans="2:14" hidden="1" x14ac:dyDescent="0.25">
      <c r="B429" s="174">
        <v>45368</v>
      </c>
      <c r="C429" s="104">
        <v>11319316</v>
      </c>
      <c r="D429" s="104">
        <v>11080036</v>
      </c>
      <c r="E429" s="104">
        <v>239280</v>
      </c>
      <c r="F429" s="104">
        <v>97.89</v>
      </c>
      <c r="G429" s="104">
        <v>60455249</v>
      </c>
      <c r="H429" s="104">
        <v>49028778</v>
      </c>
      <c r="I429" s="104">
        <v>11426471</v>
      </c>
      <c r="J429" s="104">
        <v>81.099999999999994</v>
      </c>
      <c r="K429" s="104">
        <v>4672673</v>
      </c>
      <c r="L429" s="104">
        <v>1844772</v>
      </c>
      <c r="M429" s="104">
        <v>2827901</v>
      </c>
      <c r="N429" s="104">
        <v>39.479999999999997</v>
      </c>
    </row>
    <row r="430" spans="2:14" hidden="1" x14ac:dyDescent="0.25">
      <c r="B430" s="174">
        <v>45369</v>
      </c>
      <c r="C430" s="104">
        <v>11026429</v>
      </c>
      <c r="D430" s="104">
        <v>10815358</v>
      </c>
      <c r="E430" s="104">
        <v>211071</v>
      </c>
      <c r="F430" s="104">
        <v>98.09</v>
      </c>
      <c r="G430" s="104">
        <v>99199907</v>
      </c>
      <c r="H430" s="104">
        <v>71523540</v>
      </c>
      <c r="I430" s="104">
        <v>27676367</v>
      </c>
      <c r="J430" s="104">
        <v>72.099999999999994</v>
      </c>
      <c r="K430" s="104">
        <v>2231152</v>
      </c>
      <c r="L430" s="104">
        <v>2016889</v>
      </c>
      <c r="M430" s="104">
        <v>214263</v>
      </c>
      <c r="N430" s="104">
        <v>90.4</v>
      </c>
    </row>
    <row r="431" spans="2:14" hidden="1" x14ac:dyDescent="0.25">
      <c r="B431" s="174">
        <v>45370</v>
      </c>
      <c r="C431" s="104">
        <v>11402833</v>
      </c>
      <c r="D431" s="104">
        <v>11144037</v>
      </c>
      <c r="E431" s="104">
        <v>258796</v>
      </c>
      <c r="F431" s="104">
        <v>97.73</v>
      </c>
      <c r="G431" s="104">
        <v>114132894</v>
      </c>
      <c r="H431" s="104">
        <v>79185281</v>
      </c>
      <c r="I431" s="104">
        <v>34947613</v>
      </c>
      <c r="J431" s="104">
        <v>69.38</v>
      </c>
      <c r="K431" s="104">
        <v>7722088</v>
      </c>
      <c r="L431" s="104">
        <v>5550823</v>
      </c>
      <c r="M431" s="104">
        <v>2171265</v>
      </c>
      <c r="N431" s="104">
        <v>71.88</v>
      </c>
    </row>
    <row r="432" spans="2:14" hidden="1" x14ac:dyDescent="0.25">
      <c r="B432" s="174">
        <v>45371</v>
      </c>
      <c r="C432" s="104">
        <v>10859557</v>
      </c>
      <c r="D432" s="104">
        <v>10576659</v>
      </c>
      <c r="E432" s="104">
        <v>282898</v>
      </c>
      <c r="F432" s="104">
        <v>97.39</v>
      </c>
      <c r="G432" s="104">
        <v>128252923</v>
      </c>
      <c r="H432" s="104">
        <v>89712785</v>
      </c>
      <c r="I432" s="104">
        <v>38540138</v>
      </c>
      <c r="J432" s="104">
        <v>69.95</v>
      </c>
      <c r="K432" s="104">
        <v>7308397</v>
      </c>
      <c r="L432" s="104">
        <v>7289310</v>
      </c>
      <c r="M432" s="104">
        <v>19087</v>
      </c>
      <c r="N432" s="104">
        <v>99.74</v>
      </c>
    </row>
    <row r="433" spans="2:14" hidden="1" x14ac:dyDescent="0.25">
      <c r="B433" s="174">
        <v>45372</v>
      </c>
      <c r="C433" s="104">
        <v>10702889</v>
      </c>
      <c r="D433" s="104">
        <v>10426947</v>
      </c>
      <c r="E433" s="104">
        <v>275942</v>
      </c>
      <c r="F433" s="104">
        <v>97.42</v>
      </c>
      <c r="G433" s="104">
        <v>107288684</v>
      </c>
      <c r="H433" s="104">
        <v>73345268</v>
      </c>
      <c r="I433" s="104">
        <v>33943416</v>
      </c>
      <c r="J433" s="104">
        <v>68.36</v>
      </c>
      <c r="K433" s="104">
        <v>3039452</v>
      </c>
      <c r="L433" s="104">
        <v>3033418</v>
      </c>
      <c r="M433" s="104">
        <v>6034</v>
      </c>
      <c r="N433" s="104">
        <v>99.8</v>
      </c>
    </row>
    <row r="434" spans="2:14" hidden="1" x14ac:dyDescent="0.25">
      <c r="B434" s="174">
        <v>45373</v>
      </c>
      <c r="C434" s="104">
        <v>11016817</v>
      </c>
      <c r="D434" s="104">
        <v>10745495</v>
      </c>
      <c r="E434" s="104">
        <v>271322</v>
      </c>
      <c r="F434" s="104">
        <v>97.54</v>
      </c>
      <c r="G434" s="104">
        <v>115273553</v>
      </c>
      <c r="H434" s="104">
        <v>83912353</v>
      </c>
      <c r="I434" s="104">
        <v>31361200</v>
      </c>
      <c r="J434" s="104">
        <v>72.790000000000006</v>
      </c>
      <c r="K434" s="104">
        <v>8880447</v>
      </c>
      <c r="L434" s="104">
        <v>8872004</v>
      </c>
      <c r="M434" s="104">
        <v>8443</v>
      </c>
      <c r="N434" s="104">
        <v>99.9</v>
      </c>
    </row>
    <row r="435" spans="2:14" ht="15.75" hidden="1" x14ac:dyDescent="0.25">
      <c r="B435" s="174">
        <v>45374</v>
      </c>
      <c r="C435" s="104">
        <f>11473697+115</f>
        <v>11473812</v>
      </c>
      <c r="D435" s="104">
        <v>11199830</v>
      </c>
      <c r="E435" s="104">
        <v>273982</v>
      </c>
      <c r="F435" s="114">
        <v>97.612110081636345</v>
      </c>
      <c r="G435" s="205">
        <f>123220461+119483</f>
        <v>123339944</v>
      </c>
      <c r="H435" s="205">
        <v>86114105</v>
      </c>
      <c r="I435" s="205">
        <v>37225839</v>
      </c>
      <c r="J435" s="114">
        <v>69.818505025427939</v>
      </c>
      <c r="K435" s="104">
        <v>7068457</v>
      </c>
      <c r="L435" s="104">
        <v>7064684</v>
      </c>
      <c r="M435" s="104">
        <v>3773</v>
      </c>
      <c r="N435" s="104">
        <v>99.95</v>
      </c>
    </row>
    <row r="436" spans="2:14" hidden="1" x14ac:dyDescent="0.25">
      <c r="B436" s="174">
        <v>45375</v>
      </c>
      <c r="C436" s="104">
        <v>11318962</v>
      </c>
      <c r="D436" s="104">
        <v>11068418</v>
      </c>
      <c r="E436" s="104">
        <v>250544</v>
      </c>
      <c r="F436" s="104">
        <v>97.79</v>
      </c>
      <c r="G436" s="104">
        <v>73119752</v>
      </c>
      <c r="H436" s="104">
        <v>54571879</v>
      </c>
      <c r="I436" s="104">
        <v>18547873</v>
      </c>
      <c r="J436" s="104">
        <v>74.63</v>
      </c>
      <c r="K436" s="104">
        <v>1626262</v>
      </c>
      <c r="L436" s="104">
        <v>1625527</v>
      </c>
      <c r="M436" s="104">
        <v>735</v>
      </c>
      <c r="N436" s="104">
        <v>99.95</v>
      </c>
    </row>
    <row r="437" spans="2:14" hidden="1" x14ac:dyDescent="0.25">
      <c r="B437" s="174">
        <v>45376</v>
      </c>
      <c r="C437" s="104">
        <v>10549567</v>
      </c>
      <c r="D437" s="104">
        <v>10332424</v>
      </c>
      <c r="E437" s="104">
        <v>217143</v>
      </c>
      <c r="F437" s="104">
        <v>97.94</v>
      </c>
      <c r="G437" s="104">
        <v>89746892</v>
      </c>
      <c r="H437" s="104">
        <v>65504804</v>
      </c>
      <c r="I437" s="104">
        <v>24242088</v>
      </c>
      <c r="J437" s="104">
        <v>72.989999999999995</v>
      </c>
      <c r="K437" s="104">
        <v>1528478</v>
      </c>
      <c r="L437" s="104">
        <v>1528268</v>
      </c>
      <c r="M437" s="104">
        <v>210</v>
      </c>
      <c r="N437" s="104">
        <v>99.99</v>
      </c>
    </row>
    <row r="438" spans="2:14" hidden="1" x14ac:dyDescent="0.25">
      <c r="B438" s="174">
        <v>45377</v>
      </c>
      <c r="C438" s="104">
        <v>10193205</v>
      </c>
      <c r="D438" s="104">
        <v>9948408</v>
      </c>
      <c r="E438" s="104">
        <v>244797</v>
      </c>
      <c r="F438" s="104">
        <v>97.6</v>
      </c>
      <c r="G438" s="104">
        <v>89838785</v>
      </c>
      <c r="H438" s="104">
        <v>64698355</v>
      </c>
      <c r="I438" s="104">
        <v>25140430</v>
      </c>
      <c r="J438" s="104">
        <v>72.02</v>
      </c>
      <c r="K438" s="104">
        <v>2414732</v>
      </c>
      <c r="L438" s="104">
        <v>2414359</v>
      </c>
      <c r="M438" s="104">
        <v>373</v>
      </c>
      <c r="N438" s="104">
        <v>99.98</v>
      </c>
    </row>
    <row r="439" spans="2:14" hidden="1" x14ac:dyDescent="0.25">
      <c r="B439" s="174">
        <v>45378</v>
      </c>
      <c r="C439" s="104">
        <v>10729828</v>
      </c>
      <c r="D439" s="104">
        <v>10476395</v>
      </c>
      <c r="E439" s="104">
        <v>253433</v>
      </c>
      <c r="F439" s="104">
        <v>97.64</v>
      </c>
      <c r="G439" s="104">
        <v>106352837</v>
      </c>
      <c r="H439" s="104">
        <v>75017398</v>
      </c>
      <c r="I439" s="104">
        <v>31335439</v>
      </c>
      <c r="J439" s="104">
        <v>70.540000000000006</v>
      </c>
      <c r="K439" s="104">
        <v>2509096</v>
      </c>
      <c r="L439" s="104">
        <v>2504338</v>
      </c>
      <c r="M439" s="104">
        <v>4758</v>
      </c>
      <c r="N439" s="104">
        <v>99.81</v>
      </c>
    </row>
    <row r="440" spans="2:14" hidden="1" x14ac:dyDescent="0.25">
      <c r="B440" s="174">
        <v>45379</v>
      </c>
      <c r="C440" s="104">
        <v>11440865</v>
      </c>
      <c r="D440" s="104">
        <v>11168013</v>
      </c>
      <c r="E440" s="104">
        <v>272852</v>
      </c>
      <c r="F440" s="104">
        <v>97.62</v>
      </c>
      <c r="G440" s="104">
        <v>107993856</v>
      </c>
      <c r="H440" s="104">
        <v>73884486</v>
      </c>
      <c r="I440" s="104">
        <v>34109370</v>
      </c>
      <c r="J440" s="104">
        <v>68.42</v>
      </c>
      <c r="K440" s="104">
        <v>2962121</v>
      </c>
      <c r="L440" s="104">
        <v>2956544</v>
      </c>
      <c r="M440" s="104">
        <v>5577</v>
      </c>
      <c r="N440" s="104">
        <v>99.81</v>
      </c>
    </row>
    <row r="441" spans="2:14" hidden="1" x14ac:dyDescent="0.25">
      <c r="B441" s="174">
        <v>45380</v>
      </c>
      <c r="C441" s="104">
        <v>10965241</v>
      </c>
      <c r="D441" s="104">
        <v>10691682</v>
      </c>
      <c r="E441" s="104">
        <v>273559</v>
      </c>
      <c r="F441" s="104">
        <v>97.51</v>
      </c>
      <c r="G441" s="104">
        <v>94784383</v>
      </c>
      <c r="H441" s="104">
        <v>70358853</v>
      </c>
      <c r="I441" s="104">
        <v>24425530</v>
      </c>
      <c r="J441" s="104">
        <v>74.23</v>
      </c>
      <c r="K441" s="104">
        <v>3433359</v>
      </c>
      <c r="L441" s="104">
        <v>3430418</v>
      </c>
      <c r="M441" s="104">
        <v>2941</v>
      </c>
      <c r="N441" s="104">
        <v>99.91</v>
      </c>
    </row>
    <row r="442" spans="2:14" hidden="1" x14ac:dyDescent="0.25">
      <c r="B442" s="174">
        <v>45381</v>
      </c>
      <c r="C442" s="104">
        <v>10465846</v>
      </c>
      <c r="D442" s="104">
        <v>10201009</v>
      </c>
      <c r="E442" s="104">
        <v>264837</v>
      </c>
      <c r="F442" s="104">
        <v>97.47</v>
      </c>
      <c r="G442" s="104">
        <v>102520684</v>
      </c>
      <c r="H442" s="104">
        <v>73772403</v>
      </c>
      <c r="I442" s="104">
        <v>28748281</v>
      </c>
      <c r="J442" s="104">
        <v>71.959999999999994</v>
      </c>
      <c r="K442" s="104">
        <v>2768154</v>
      </c>
      <c r="L442" s="104">
        <v>2765958</v>
      </c>
      <c r="M442" s="104">
        <v>2196</v>
      </c>
      <c r="N442" s="104">
        <v>99.92</v>
      </c>
    </row>
    <row r="443" spans="2:14" hidden="1" x14ac:dyDescent="0.25">
      <c r="B443" s="174">
        <v>45382</v>
      </c>
      <c r="C443" s="104">
        <v>10948271</v>
      </c>
      <c r="D443" s="104">
        <v>10681877</v>
      </c>
      <c r="E443" s="104">
        <v>266394</v>
      </c>
      <c r="F443" s="104">
        <v>97.57</v>
      </c>
      <c r="G443" s="104">
        <v>75530129</v>
      </c>
      <c r="H443" s="104">
        <v>56196731</v>
      </c>
      <c r="I443" s="104">
        <v>19333398</v>
      </c>
      <c r="J443" s="104">
        <v>74.400000000000006</v>
      </c>
      <c r="K443" s="104">
        <v>1743691</v>
      </c>
      <c r="L443" s="104">
        <v>1743657</v>
      </c>
      <c r="M443" s="104">
        <v>34</v>
      </c>
      <c r="N443" s="104">
        <v>100</v>
      </c>
    </row>
    <row r="444" spans="2:14" hidden="1" x14ac:dyDescent="0.25">
      <c r="B444" s="174">
        <v>45383</v>
      </c>
      <c r="C444" s="104">
        <v>10914676</v>
      </c>
      <c r="D444" s="104">
        <v>10673052</v>
      </c>
      <c r="E444" s="104">
        <v>241624</v>
      </c>
      <c r="F444" s="104">
        <v>97.79</v>
      </c>
      <c r="G444" s="104">
        <v>91006245</v>
      </c>
      <c r="H444" s="104">
        <v>63981680</v>
      </c>
      <c r="I444" s="104">
        <v>27024565</v>
      </c>
      <c r="J444" s="104">
        <v>70.3</v>
      </c>
      <c r="K444" s="104">
        <v>2985304</v>
      </c>
      <c r="L444" s="104">
        <v>2984761</v>
      </c>
      <c r="M444" s="104">
        <v>543</v>
      </c>
      <c r="N444" s="104">
        <v>99.98</v>
      </c>
    </row>
    <row r="445" spans="2:14" hidden="1" x14ac:dyDescent="0.25">
      <c r="B445" s="174">
        <v>45384</v>
      </c>
      <c r="C445" s="104">
        <v>10777001</v>
      </c>
      <c r="D445" s="104">
        <v>10523335</v>
      </c>
      <c r="E445" s="104">
        <v>253666</v>
      </c>
      <c r="F445" s="104">
        <v>97.65</v>
      </c>
      <c r="G445" s="104">
        <v>97963923</v>
      </c>
      <c r="H445" s="104">
        <v>66988243</v>
      </c>
      <c r="I445" s="104">
        <v>30975680</v>
      </c>
      <c r="J445" s="104">
        <v>68.38</v>
      </c>
      <c r="K445" s="104">
        <v>1628453</v>
      </c>
      <c r="L445" s="104">
        <v>1628419</v>
      </c>
      <c r="M445" s="104">
        <v>34</v>
      </c>
      <c r="N445" s="104">
        <v>100</v>
      </c>
    </row>
    <row r="446" spans="2:14" hidden="1" x14ac:dyDescent="0.25">
      <c r="B446" s="174">
        <v>45385</v>
      </c>
      <c r="C446" s="104">
        <v>10397943</v>
      </c>
      <c r="D446" s="104">
        <v>10133315</v>
      </c>
      <c r="E446" s="104">
        <v>264628</v>
      </c>
      <c r="F446" s="104">
        <v>97.45</v>
      </c>
      <c r="G446" s="104">
        <v>126137792</v>
      </c>
      <c r="H446" s="104">
        <v>85440730</v>
      </c>
      <c r="I446" s="104">
        <v>40697062</v>
      </c>
      <c r="J446" s="104">
        <v>67.739999999999995</v>
      </c>
      <c r="K446" s="104">
        <v>7416111</v>
      </c>
      <c r="L446" s="104">
        <v>7416078</v>
      </c>
      <c r="M446" s="104">
        <v>33</v>
      </c>
      <c r="N446" s="104">
        <v>100</v>
      </c>
    </row>
    <row r="447" spans="2:14" hidden="1" x14ac:dyDescent="0.25">
      <c r="B447" s="174">
        <v>45386</v>
      </c>
      <c r="C447" s="104">
        <v>10852062</v>
      </c>
      <c r="D447" s="104">
        <v>10587630</v>
      </c>
      <c r="E447" s="104">
        <v>264432</v>
      </c>
      <c r="F447" s="104">
        <v>97.56</v>
      </c>
      <c r="G447" s="104">
        <v>120393321</v>
      </c>
      <c r="H447" s="104">
        <v>80881914</v>
      </c>
      <c r="I447" s="104">
        <v>39511407</v>
      </c>
      <c r="J447" s="104">
        <v>67.180000000000007</v>
      </c>
      <c r="K447" s="104">
        <v>5625369</v>
      </c>
      <c r="L447" s="104">
        <v>5619591</v>
      </c>
      <c r="M447" s="104">
        <v>5778</v>
      </c>
      <c r="N447" s="104">
        <v>99.9</v>
      </c>
    </row>
    <row r="448" spans="2:14" hidden="1" x14ac:dyDescent="0.25">
      <c r="B448" s="174">
        <v>45387</v>
      </c>
      <c r="C448" s="104">
        <v>11002213</v>
      </c>
      <c r="D448" s="104">
        <v>10736464</v>
      </c>
      <c r="E448" s="104">
        <v>265749</v>
      </c>
      <c r="F448" s="104">
        <v>97.58</v>
      </c>
      <c r="G448" s="104">
        <v>92716510</v>
      </c>
      <c r="H448" s="104">
        <v>64333489</v>
      </c>
      <c r="I448" s="104">
        <v>28383021</v>
      </c>
      <c r="J448" s="104">
        <v>69.39</v>
      </c>
      <c r="K448" s="104">
        <v>2266603</v>
      </c>
      <c r="L448" s="104">
        <v>2266463</v>
      </c>
      <c r="M448" s="104">
        <v>140</v>
      </c>
      <c r="N448" s="104">
        <v>99.99</v>
      </c>
    </row>
    <row r="449" spans="2:14" hidden="1" x14ac:dyDescent="0.25">
      <c r="B449" s="174">
        <v>45388</v>
      </c>
      <c r="C449" s="104">
        <v>10774662</v>
      </c>
      <c r="D449" s="104">
        <v>10499837</v>
      </c>
      <c r="E449" s="104">
        <v>274825</v>
      </c>
      <c r="F449" s="104">
        <v>97.45</v>
      </c>
      <c r="G449" s="104">
        <v>128372622</v>
      </c>
      <c r="H449" s="104">
        <v>89696395</v>
      </c>
      <c r="I449" s="104">
        <v>38676227</v>
      </c>
      <c r="J449" s="104">
        <v>69.87</v>
      </c>
      <c r="K449" s="104">
        <v>8262305</v>
      </c>
      <c r="L449" s="104">
        <v>8262101</v>
      </c>
      <c r="M449" s="104">
        <v>204</v>
      </c>
      <c r="N449" s="104">
        <v>100</v>
      </c>
    </row>
    <row r="450" spans="2:14" hidden="1" x14ac:dyDescent="0.25">
      <c r="B450" s="174">
        <v>45389</v>
      </c>
      <c r="C450" s="104">
        <v>10919927</v>
      </c>
      <c r="D450" s="104">
        <v>10687372</v>
      </c>
      <c r="E450" s="104">
        <v>232555</v>
      </c>
      <c r="F450" s="104">
        <v>97.87</v>
      </c>
      <c r="G450" s="104">
        <v>77878687</v>
      </c>
      <c r="H450" s="104">
        <v>56288177</v>
      </c>
      <c r="I450" s="104">
        <v>21590510</v>
      </c>
      <c r="J450" s="104">
        <v>72.28</v>
      </c>
      <c r="K450" s="104">
        <v>1723091</v>
      </c>
      <c r="L450" s="104">
        <v>1723049</v>
      </c>
      <c r="M450" s="104">
        <v>42</v>
      </c>
      <c r="N450" s="104">
        <v>100</v>
      </c>
    </row>
    <row r="451" spans="2:14" hidden="1" x14ac:dyDescent="0.25">
      <c r="B451" s="174">
        <v>45390</v>
      </c>
      <c r="C451" s="104">
        <v>11590890</v>
      </c>
      <c r="D451" s="104">
        <v>11381734</v>
      </c>
      <c r="E451" s="104">
        <v>209156</v>
      </c>
      <c r="F451" s="104">
        <v>98.2</v>
      </c>
      <c r="G451" s="104">
        <v>123625874</v>
      </c>
      <c r="H451" s="104">
        <v>86919824</v>
      </c>
      <c r="I451" s="104">
        <v>36706050</v>
      </c>
      <c r="J451" s="104">
        <v>70.31</v>
      </c>
      <c r="K451" s="104">
        <v>6720900</v>
      </c>
      <c r="L451" s="104">
        <v>6720769</v>
      </c>
      <c r="M451" s="104">
        <v>131</v>
      </c>
      <c r="N451" s="104">
        <v>100</v>
      </c>
    </row>
    <row r="452" spans="2:14" hidden="1" x14ac:dyDescent="0.25">
      <c r="B452" s="174">
        <v>45391</v>
      </c>
      <c r="C452" s="310">
        <v>11901644</v>
      </c>
      <c r="D452" s="310">
        <v>11619766</v>
      </c>
      <c r="E452" s="310">
        <v>281878</v>
      </c>
      <c r="F452" s="104">
        <v>97.63</v>
      </c>
      <c r="G452" s="104">
        <v>101430083</v>
      </c>
      <c r="H452" s="104">
        <v>71289953</v>
      </c>
      <c r="I452" s="104">
        <v>30140130</v>
      </c>
      <c r="J452" s="104">
        <v>70.28</v>
      </c>
      <c r="K452" s="104">
        <v>2791590</v>
      </c>
      <c r="L452" s="104">
        <v>2791406</v>
      </c>
      <c r="M452" s="104">
        <v>184</v>
      </c>
      <c r="N452" s="104">
        <v>99.99</v>
      </c>
    </row>
    <row r="453" spans="2:14" hidden="1" x14ac:dyDescent="0.25">
      <c r="B453" s="174">
        <v>45392</v>
      </c>
      <c r="C453" s="310">
        <v>13644771</v>
      </c>
      <c r="D453" s="310">
        <v>13352385</v>
      </c>
      <c r="E453" s="310">
        <v>292386</v>
      </c>
      <c r="F453" s="104">
        <v>97.86</v>
      </c>
      <c r="G453" s="104">
        <v>108798675</v>
      </c>
      <c r="H453" s="104">
        <v>75832813</v>
      </c>
      <c r="I453" s="104">
        <v>32965862</v>
      </c>
      <c r="J453" s="104">
        <v>69.7</v>
      </c>
      <c r="K453" s="104">
        <v>3574065</v>
      </c>
      <c r="L453" s="104">
        <v>3573942</v>
      </c>
      <c r="M453" s="104">
        <v>123</v>
      </c>
      <c r="N453" s="104">
        <v>100</v>
      </c>
    </row>
    <row r="454" spans="2:14" hidden="1" x14ac:dyDescent="0.25">
      <c r="B454" s="174">
        <v>45393</v>
      </c>
      <c r="C454" s="310">
        <v>12360840</v>
      </c>
      <c r="D454" s="310">
        <v>12081623</v>
      </c>
      <c r="E454" s="310">
        <v>279217</v>
      </c>
      <c r="F454" s="104">
        <v>97.74</v>
      </c>
      <c r="G454" s="104">
        <v>94180914</v>
      </c>
      <c r="H454" s="104">
        <v>64834192</v>
      </c>
      <c r="I454" s="104">
        <v>29346722</v>
      </c>
      <c r="J454" s="104">
        <v>68.84</v>
      </c>
      <c r="K454" s="104">
        <v>2180405</v>
      </c>
      <c r="L454" s="104">
        <v>2172962</v>
      </c>
      <c r="M454" s="104">
        <v>7443</v>
      </c>
      <c r="N454" s="104">
        <v>99.66</v>
      </c>
    </row>
    <row r="455" spans="2:14" hidden="1" x14ac:dyDescent="0.25">
      <c r="B455" s="174">
        <v>45394</v>
      </c>
      <c r="C455" s="104">
        <v>13661540</v>
      </c>
      <c r="D455" s="104">
        <v>13398172</v>
      </c>
      <c r="E455" s="104">
        <v>263368</v>
      </c>
      <c r="F455" s="104">
        <v>98.07</v>
      </c>
      <c r="G455" s="104">
        <v>91154470</v>
      </c>
      <c r="H455" s="104">
        <v>62697065</v>
      </c>
      <c r="I455" s="104">
        <v>28457405</v>
      </c>
      <c r="J455" s="104">
        <v>68.78</v>
      </c>
      <c r="K455" s="104">
        <v>2151989</v>
      </c>
      <c r="L455" s="104">
        <v>2145767</v>
      </c>
      <c r="M455" s="104">
        <v>6222</v>
      </c>
      <c r="N455" s="104">
        <v>99.71</v>
      </c>
    </row>
    <row r="456" spans="2:14" hidden="1" x14ac:dyDescent="0.25">
      <c r="B456" s="174">
        <v>45395</v>
      </c>
      <c r="C456" s="104">
        <v>13765896</v>
      </c>
      <c r="D456" s="104">
        <v>13471112</v>
      </c>
      <c r="E456" s="104">
        <v>294784</v>
      </c>
      <c r="F456" s="104">
        <v>97.86</v>
      </c>
      <c r="G456" s="104">
        <v>109403731</v>
      </c>
      <c r="H456" s="104">
        <v>74879510</v>
      </c>
      <c r="I456" s="104">
        <v>34524221</v>
      </c>
      <c r="J456" s="104">
        <v>68.44</v>
      </c>
      <c r="K456" s="104">
        <v>2912237</v>
      </c>
      <c r="L456" s="104">
        <v>2765523</v>
      </c>
      <c r="M456" s="104">
        <v>146714</v>
      </c>
      <c r="N456" s="104">
        <v>94.96</v>
      </c>
    </row>
    <row r="457" spans="2:14" hidden="1" x14ac:dyDescent="0.25">
      <c r="B457" s="174">
        <v>45396</v>
      </c>
      <c r="C457" s="104">
        <v>13906589</v>
      </c>
      <c r="D457" s="104">
        <v>13624161</v>
      </c>
      <c r="E457" s="104">
        <v>282428</v>
      </c>
      <c r="F457" s="104">
        <v>97.97</v>
      </c>
      <c r="G457" s="104">
        <v>77105996</v>
      </c>
      <c r="H457" s="104">
        <v>53074040</v>
      </c>
      <c r="I457" s="104">
        <v>24031956</v>
      </c>
      <c r="J457" s="104">
        <v>68.83</v>
      </c>
      <c r="K457" s="104">
        <v>4004371</v>
      </c>
      <c r="L457" s="104">
        <v>1167507</v>
      </c>
      <c r="M457" s="104">
        <v>2836864</v>
      </c>
      <c r="N457" s="104">
        <v>29.16</v>
      </c>
    </row>
    <row r="458" spans="2:14" hidden="1" x14ac:dyDescent="0.25">
      <c r="B458" s="174">
        <v>45397</v>
      </c>
      <c r="C458" s="48">
        <v>13857726</v>
      </c>
      <c r="D458" s="48">
        <v>13609859</v>
      </c>
      <c r="E458" s="48">
        <v>247867</v>
      </c>
      <c r="F458" s="48">
        <v>98.21</v>
      </c>
      <c r="G458" s="48">
        <v>106597040</v>
      </c>
      <c r="H458" s="48">
        <v>69408689</v>
      </c>
      <c r="I458" s="48">
        <v>37188351</v>
      </c>
      <c r="J458" s="48">
        <v>65.11</v>
      </c>
      <c r="K458" s="48">
        <v>3483821</v>
      </c>
      <c r="L458" s="48">
        <v>2547437</v>
      </c>
      <c r="M458" s="48">
        <v>936384</v>
      </c>
      <c r="N458" s="48">
        <v>73.12</v>
      </c>
    </row>
    <row r="459" spans="2:14" hidden="1" x14ac:dyDescent="0.25">
      <c r="B459" s="174">
        <v>45398</v>
      </c>
      <c r="C459" s="48">
        <v>13906725</v>
      </c>
      <c r="D459" s="104">
        <v>13610513</v>
      </c>
      <c r="E459" s="104">
        <v>296212</v>
      </c>
      <c r="F459" s="48">
        <v>97.87</v>
      </c>
      <c r="G459" s="48">
        <v>101616297</v>
      </c>
      <c r="H459" s="104">
        <v>65987387</v>
      </c>
      <c r="I459" s="104">
        <v>35628910</v>
      </c>
      <c r="J459" s="48">
        <v>64.94</v>
      </c>
      <c r="K459" s="48">
        <v>4759555</v>
      </c>
      <c r="L459" s="104">
        <v>4757954</v>
      </c>
      <c r="M459" s="104">
        <v>1601</v>
      </c>
      <c r="N459" s="48">
        <v>99.97</v>
      </c>
    </row>
    <row r="460" spans="2:14" hidden="1" x14ac:dyDescent="0.25">
      <c r="B460" s="174">
        <v>45399</v>
      </c>
      <c r="C460" s="48">
        <v>13912920</v>
      </c>
      <c r="D460" s="104">
        <v>13595679</v>
      </c>
      <c r="E460" s="104">
        <v>317241</v>
      </c>
      <c r="F460" s="48">
        <v>97.72</v>
      </c>
      <c r="G460" s="48">
        <v>120279388</v>
      </c>
      <c r="H460" s="104">
        <v>76670239</v>
      </c>
      <c r="I460" s="104">
        <v>43609149</v>
      </c>
      <c r="J460" s="48">
        <v>63.74</v>
      </c>
      <c r="K460" s="48">
        <v>3689370</v>
      </c>
      <c r="L460" s="104">
        <v>3689243</v>
      </c>
      <c r="M460" s="104">
        <v>127</v>
      </c>
      <c r="N460" s="104">
        <v>100</v>
      </c>
    </row>
    <row r="461" spans="2:14" hidden="1" x14ac:dyDescent="0.25">
      <c r="B461" s="174">
        <v>45400</v>
      </c>
      <c r="C461" s="48">
        <v>14378424</v>
      </c>
      <c r="D461" s="104">
        <v>14082818</v>
      </c>
      <c r="E461" s="104">
        <v>295606</v>
      </c>
      <c r="F461" s="48">
        <v>97.94</v>
      </c>
      <c r="G461" s="48">
        <v>107283775</v>
      </c>
      <c r="H461" s="104">
        <v>70418741</v>
      </c>
      <c r="I461" s="104">
        <v>36865034</v>
      </c>
      <c r="J461" s="48">
        <v>65.64</v>
      </c>
      <c r="K461" s="48">
        <v>2081158</v>
      </c>
      <c r="L461" s="104">
        <v>2077372</v>
      </c>
      <c r="M461" s="104">
        <v>3786</v>
      </c>
      <c r="N461" s="48">
        <v>99.82</v>
      </c>
    </row>
    <row r="462" spans="2:14" hidden="1" x14ac:dyDescent="0.25">
      <c r="B462" s="174">
        <v>45401</v>
      </c>
      <c r="C462" s="104">
        <v>15002615</v>
      </c>
      <c r="D462" s="104">
        <v>14708848</v>
      </c>
      <c r="E462" s="104">
        <v>293767</v>
      </c>
      <c r="F462" s="104">
        <v>98.04</v>
      </c>
      <c r="G462" s="104">
        <v>119595701</v>
      </c>
      <c r="H462" s="104">
        <v>77188724</v>
      </c>
      <c r="I462" s="104">
        <v>42406977</v>
      </c>
      <c r="J462" s="104">
        <v>64.540000000000006</v>
      </c>
      <c r="K462" s="104">
        <v>2318581</v>
      </c>
      <c r="L462" s="104">
        <v>2318472</v>
      </c>
      <c r="M462" s="104">
        <v>109</v>
      </c>
      <c r="N462" s="104">
        <v>100</v>
      </c>
    </row>
    <row r="463" spans="2:14" hidden="1" x14ac:dyDescent="0.25">
      <c r="B463" s="174">
        <v>45402</v>
      </c>
      <c r="C463" s="104">
        <v>15556617</v>
      </c>
      <c r="D463" s="104">
        <v>15205445</v>
      </c>
      <c r="E463" s="104">
        <v>351172</v>
      </c>
      <c r="F463" s="104">
        <v>97.74</v>
      </c>
      <c r="G463" s="104">
        <v>111841141</v>
      </c>
      <c r="H463" s="104">
        <v>73197485</v>
      </c>
      <c r="I463" s="104">
        <v>38643656</v>
      </c>
      <c r="J463" s="104">
        <v>65.45</v>
      </c>
      <c r="K463" s="104">
        <v>2268909</v>
      </c>
      <c r="L463" s="104">
        <v>2268841</v>
      </c>
      <c r="M463" s="104">
        <v>68</v>
      </c>
      <c r="N463" s="104">
        <v>100</v>
      </c>
    </row>
    <row r="464" spans="2:14" hidden="1" x14ac:dyDescent="0.25">
      <c r="B464" s="174">
        <v>45403</v>
      </c>
      <c r="C464" s="104">
        <v>15141297</v>
      </c>
      <c r="D464" s="104">
        <v>14826300</v>
      </c>
      <c r="E464" s="104">
        <v>314997</v>
      </c>
      <c r="F464" s="104">
        <v>97.92</v>
      </c>
      <c r="G464" s="104">
        <v>84243295</v>
      </c>
      <c r="H464" s="104">
        <v>57506035</v>
      </c>
      <c r="I464" s="104">
        <v>26737260</v>
      </c>
      <c r="J464" s="104">
        <v>68.260000000000005</v>
      </c>
      <c r="K464" s="104">
        <v>2075293</v>
      </c>
      <c r="L464" s="104">
        <v>2075220</v>
      </c>
      <c r="M464" s="104">
        <v>73</v>
      </c>
      <c r="N464" s="104">
        <v>100</v>
      </c>
    </row>
    <row r="465" spans="2:14" hidden="1" x14ac:dyDescent="0.25">
      <c r="B465" s="174">
        <v>45404</v>
      </c>
      <c r="C465" s="104">
        <v>14569154</v>
      </c>
      <c r="D465" s="104">
        <v>14297734</v>
      </c>
      <c r="E465" s="104">
        <v>271420</v>
      </c>
      <c r="F465" s="104">
        <v>98.14</v>
      </c>
      <c r="G465" s="104">
        <v>114552865</v>
      </c>
      <c r="H465" s="104">
        <v>73267981</v>
      </c>
      <c r="I465" s="104">
        <v>41284884</v>
      </c>
      <c r="J465" s="104">
        <v>63.96</v>
      </c>
      <c r="K465" s="104">
        <v>2025994</v>
      </c>
      <c r="L465" s="104">
        <v>2025601</v>
      </c>
      <c r="M465" s="104">
        <v>393</v>
      </c>
      <c r="N465" s="104">
        <v>99.98</v>
      </c>
    </row>
    <row r="466" spans="2:14" hidden="1" x14ac:dyDescent="0.25">
      <c r="B466" s="174">
        <v>45405</v>
      </c>
      <c r="C466" s="104">
        <v>15581535</v>
      </c>
      <c r="D466" s="104">
        <v>15247777</v>
      </c>
      <c r="E466" s="104">
        <v>333758</v>
      </c>
      <c r="F466" s="104">
        <v>97.86</v>
      </c>
      <c r="G466" s="104">
        <v>99352065</v>
      </c>
      <c r="H466" s="104">
        <v>64147971</v>
      </c>
      <c r="I466" s="104">
        <v>35204094</v>
      </c>
      <c r="J466" s="104">
        <v>64.569999999999993</v>
      </c>
      <c r="K466" s="104">
        <v>3283049</v>
      </c>
      <c r="L466" s="104">
        <v>3282905</v>
      </c>
      <c r="M466" s="104">
        <v>144</v>
      </c>
      <c r="N466" s="104">
        <v>100</v>
      </c>
    </row>
    <row r="467" spans="2:14" hidden="1" x14ac:dyDescent="0.25">
      <c r="B467" s="174">
        <v>45406</v>
      </c>
      <c r="C467" s="104">
        <v>15299729</v>
      </c>
      <c r="D467" s="104">
        <v>14957104</v>
      </c>
      <c r="E467" s="104">
        <v>342625</v>
      </c>
      <c r="F467" s="104">
        <v>97.76</v>
      </c>
      <c r="G467" s="104">
        <v>108114505</v>
      </c>
      <c r="H467" s="104">
        <v>70593936</v>
      </c>
      <c r="I467" s="104">
        <v>37520569</v>
      </c>
      <c r="J467" s="104">
        <v>65.3</v>
      </c>
      <c r="K467" s="104">
        <v>2707351</v>
      </c>
      <c r="L467" s="104">
        <v>2707213</v>
      </c>
      <c r="M467" s="104">
        <v>138</v>
      </c>
      <c r="N467" s="104">
        <v>99.99</v>
      </c>
    </row>
    <row r="468" spans="2:14" hidden="1" x14ac:dyDescent="0.25">
      <c r="B468" s="174">
        <v>45407</v>
      </c>
      <c r="C468" s="104">
        <v>15093575</v>
      </c>
      <c r="D468" s="104">
        <v>14754341</v>
      </c>
      <c r="E468" s="104">
        <v>339234</v>
      </c>
      <c r="F468" s="104">
        <v>97.75</v>
      </c>
      <c r="G468" s="104">
        <v>107682275</v>
      </c>
      <c r="H468" s="104">
        <v>71282082</v>
      </c>
      <c r="I468" s="104">
        <v>36400193</v>
      </c>
      <c r="J468" s="104">
        <v>66.2</v>
      </c>
      <c r="K468" s="104">
        <v>2068789</v>
      </c>
      <c r="L468" s="104">
        <v>2068715</v>
      </c>
      <c r="M468" s="104">
        <v>74</v>
      </c>
      <c r="N468" s="104">
        <v>100</v>
      </c>
    </row>
    <row r="469" spans="2:14" hidden="1" x14ac:dyDescent="0.25">
      <c r="B469" s="174">
        <v>45408</v>
      </c>
      <c r="C469" s="104">
        <v>15779275</v>
      </c>
      <c r="D469" s="104">
        <v>15433122</v>
      </c>
      <c r="E469" s="104">
        <v>346153</v>
      </c>
      <c r="F469" s="104">
        <v>97.81</v>
      </c>
      <c r="G469" s="104">
        <v>108237568</v>
      </c>
      <c r="H469" s="104">
        <v>73328794</v>
      </c>
      <c r="I469" s="104">
        <v>34908774</v>
      </c>
      <c r="J469" s="104">
        <v>67.75</v>
      </c>
      <c r="K469" s="104">
        <v>4170678</v>
      </c>
      <c r="L469" s="104">
        <v>4170559</v>
      </c>
      <c r="M469" s="104">
        <v>119</v>
      </c>
      <c r="N469" s="104">
        <v>100</v>
      </c>
    </row>
    <row r="470" spans="2:14" hidden="1" x14ac:dyDescent="0.25">
      <c r="B470" s="174">
        <v>45409</v>
      </c>
      <c r="C470" s="104">
        <v>16147244</v>
      </c>
      <c r="D470" s="104">
        <v>15802163</v>
      </c>
      <c r="E470" s="104">
        <v>345081</v>
      </c>
      <c r="F470" s="104">
        <v>97.86</v>
      </c>
      <c r="G470" s="104">
        <v>107909073</v>
      </c>
      <c r="H470" s="104">
        <v>73758896</v>
      </c>
      <c r="I470" s="104">
        <v>34150177</v>
      </c>
      <c r="J470" s="104">
        <v>68.349999999999994</v>
      </c>
      <c r="K470" s="104">
        <v>2108064</v>
      </c>
      <c r="L470" s="104">
        <v>2107982</v>
      </c>
      <c r="M470" s="104">
        <v>82</v>
      </c>
      <c r="N470" s="104">
        <v>100</v>
      </c>
    </row>
    <row r="471" spans="2:14" hidden="1" x14ac:dyDescent="0.25">
      <c r="B471" s="174">
        <v>45410</v>
      </c>
      <c r="C471" s="104">
        <v>15988308</v>
      </c>
      <c r="D471" s="104">
        <v>15691111</v>
      </c>
      <c r="E471" s="104">
        <v>297197</v>
      </c>
      <c r="F471" s="104">
        <v>98.14</v>
      </c>
      <c r="G471" s="104">
        <v>72949240</v>
      </c>
      <c r="H471" s="104">
        <v>53635202</v>
      </c>
      <c r="I471" s="104">
        <v>19314038</v>
      </c>
      <c r="J471" s="104">
        <v>73.52</v>
      </c>
      <c r="K471" s="104">
        <v>1892398</v>
      </c>
      <c r="L471" s="104">
        <v>1892338</v>
      </c>
      <c r="M471" s="104">
        <v>60</v>
      </c>
      <c r="N471" s="104">
        <v>100</v>
      </c>
    </row>
    <row r="472" spans="2:14" hidden="1" x14ac:dyDescent="0.25">
      <c r="B472" s="174">
        <v>45411</v>
      </c>
      <c r="C472" s="104">
        <v>19007086</v>
      </c>
      <c r="D472" s="104">
        <v>18578062</v>
      </c>
      <c r="E472" s="104">
        <v>429024</v>
      </c>
      <c r="F472" s="104">
        <v>97.74</v>
      </c>
      <c r="G472" s="48">
        <v>112327896</v>
      </c>
      <c r="H472" s="48">
        <v>72108754</v>
      </c>
      <c r="I472" s="48">
        <v>40219142</v>
      </c>
      <c r="J472" s="48">
        <v>64.19</v>
      </c>
      <c r="K472" s="104">
        <v>1967502</v>
      </c>
      <c r="L472" s="104">
        <v>1967435</v>
      </c>
      <c r="M472" s="104">
        <v>67</v>
      </c>
      <c r="N472" s="104">
        <v>100</v>
      </c>
    </row>
    <row r="473" spans="2:14" hidden="1" x14ac:dyDescent="0.25">
      <c r="B473" s="174">
        <v>45412</v>
      </c>
      <c r="C473" s="104">
        <v>16500019</v>
      </c>
      <c r="D473" s="104">
        <v>16161585</v>
      </c>
      <c r="E473" s="104">
        <v>338434</v>
      </c>
      <c r="F473" s="104">
        <v>97.95</v>
      </c>
      <c r="G473" s="104">
        <v>94685323</v>
      </c>
      <c r="H473" s="104">
        <v>66083811</v>
      </c>
      <c r="I473" s="104">
        <v>28601512</v>
      </c>
      <c r="J473" s="104">
        <v>69.790000000000006</v>
      </c>
      <c r="K473" s="104">
        <v>2746765</v>
      </c>
      <c r="L473" s="104">
        <v>2743764</v>
      </c>
      <c r="M473" s="104">
        <v>3001</v>
      </c>
      <c r="N473" s="104">
        <v>99.89</v>
      </c>
    </row>
    <row r="474" spans="2:14" hidden="1" x14ac:dyDescent="0.25">
      <c r="B474" s="174">
        <v>45426</v>
      </c>
      <c r="C474" s="104">
        <v>19193021</v>
      </c>
      <c r="D474" s="104">
        <v>18787414</v>
      </c>
      <c r="E474" s="104">
        <v>405607</v>
      </c>
      <c r="F474" s="104">
        <v>97.89</v>
      </c>
      <c r="G474" s="104">
        <v>110353501</v>
      </c>
      <c r="H474" s="104">
        <v>79157787</v>
      </c>
      <c r="I474" s="104">
        <v>31195714</v>
      </c>
      <c r="J474" s="104">
        <v>71.73</v>
      </c>
      <c r="K474" s="104">
        <v>8164131</v>
      </c>
      <c r="L474" s="104">
        <v>8049884</v>
      </c>
      <c r="M474" s="104">
        <v>114247</v>
      </c>
      <c r="N474" s="104">
        <v>98.6</v>
      </c>
    </row>
    <row r="475" spans="2:14" hidden="1" x14ac:dyDescent="0.25">
      <c r="B475" s="174">
        <v>45427</v>
      </c>
      <c r="C475" s="104">
        <v>17963524</v>
      </c>
      <c r="D475" s="104">
        <v>17424073</v>
      </c>
      <c r="E475" s="104">
        <v>539451</v>
      </c>
      <c r="F475" s="104">
        <v>97</v>
      </c>
      <c r="G475" s="104">
        <v>106892479</v>
      </c>
      <c r="H475" s="104">
        <v>75232659</v>
      </c>
      <c r="I475" s="104">
        <v>31659820</v>
      </c>
      <c r="J475" s="104">
        <v>70.38</v>
      </c>
      <c r="K475" s="104">
        <v>3198052</v>
      </c>
      <c r="L475" s="104">
        <v>3124046</v>
      </c>
      <c r="M475" s="104">
        <v>74006</v>
      </c>
      <c r="N475" s="104">
        <v>97.69</v>
      </c>
    </row>
    <row r="476" spans="2:14" hidden="1" x14ac:dyDescent="0.25">
      <c r="B476" s="174">
        <v>45428</v>
      </c>
      <c r="C476" s="104">
        <v>20100516</v>
      </c>
      <c r="D476" s="104">
        <v>19749645</v>
      </c>
      <c r="E476" s="104">
        <v>350871</v>
      </c>
      <c r="F476" s="104">
        <v>98.25</v>
      </c>
      <c r="G476" s="104">
        <v>126461332</v>
      </c>
      <c r="H476" s="104">
        <v>86523874</v>
      </c>
      <c r="I476" s="104">
        <v>39937458</v>
      </c>
      <c r="J476" s="104">
        <v>68.42</v>
      </c>
      <c r="K476" s="104">
        <v>7314903</v>
      </c>
      <c r="L476" s="104">
        <v>7268995</v>
      </c>
      <c r="M476" s="104">
        <v>45908</v>
      </c>
      <c r="N476" s="104">
        <v>99.37</v>
      </c>
    </row>
    <row r="477" spans="2:14" hidden="1" x14ac:dyDescent="0.25">
      <c r="B477" s="174">
        <v>45429</v>
      </c>
      <c r="C477" s="104">
        <v>19685594</v>
      </c>
      <c r="D477" s="104">
        <v>19293558</v>
      </c>
      <c r="E477" s="104">
        <v>392036</v>
      </c>
      <c r="F477" s="104">
        <v>98.01</v>
      </c>
      <c r="G477" s="104">
        <v>107805297</v>
      </c>
      <c r="H477" s="104">
        <v>79351321</v>
      </c>
      <c r="I477" s="104">
        <v>28453976</v>
      </c>
      <c r="J477" s="104">
        <v>73.61</v>
      </c>
      <c r="K477" s="104">
        <v>4787454</v>
      </c>
      <c r="L477" s="104">
        <v>4718555</v>
      </c>
      <c r="M477" s="104">
        <v>68899</v>
      </c>
      <c r="N477" s="104">
        <v>98.56</v>
      </c>
    </row>
    <row r="478" spans="2:14" hidden="1" x14ac:dyDescent="0.25">
      <c r="B478" s="174">
        <v>45430</v>
      </c>
      <c r="C478" s="104">
        <v>18992808</v>
      </c>
      <c r="D478" s="104">
        <v>18644526</v>
      </c>
      <c r="E478" s="104">
        <v>348282</v>
      </c>
      <c r="F478" s="104">
        <v>98.17</v>
      </c>
      <c r="G478" s="104">
        <v>102441432</v>
      </c>
      <c r="H478" s="104">
        <v>74557036</v>
      </c>
      <c r="I478" s="104">
        <v>27884396</v>
      </c>
      <c r="J478" s="104">
        <v>72.78</v>
      </c>
      <c r="K478" s="104">
        <v>2934945</v>
      </c>
      <c r="L478" s="104">
        <v>2808101</v>
      </c>
      <c r="M478" s="104">
        <v>126844</v>
      </c>
      <c r="N478" s="104">
        <v>95.68</v>
      </c>
    </row>
    <row r="479" spans="2:14" hidden="1" x14ac:dyDescent="0.25">
      <c r="B479" s="174">
        <v>45431</v>
      </c>
      <c r="C479" s="104">
        <v>18842320</v>
      </c>
      <c r="D479" s="104">
        <v>18513624</v>
      </c>
      <c r="E479" s="104">
        <v>328696</v>
      </c>
      <c r="F479" s="104">
        <v>98.26</v>
      </c>
      <c r="G479" s="104">
        <v>77610338</v>
      </c>
      <c r="H479" s="104">
        <v>59131700</v>
      </c>
      <c r="I479" s="104">
        <v>18478638</v>
      </c>
      <c r="J479" s="104">
        <v>76.19</v>
      </c>
      <c r="K479" s="104">
        <v>1104362</v>
      </c>
      <c r="L479" s="104">
        <v>956793</v>
      </c>
      <c r="M479" s="104">
        <v>147569</v>
      </c>
      <c r="N479" s="104">
        <v>86.64</v>
      </c>
    </row>
    <row r="480" spans="2:14" hidden="1" x14ac:dyDescent="0.25">
      <c r="B480" s="174">
        <v>45432</v>
      </c>
      <c r="C480" s="48">
        <v>19494608</v>
      </c>
      <c r="D480" s="104">
        <v>19179714</v>
      </c>
      <c r="E480" s="104">
        <v>314894</v>
      </c>
      <c r="F480" s="48">
        <v>98.38</v>
      </c>
      <c r="G480" s="48">
        <v>93127287</v>
      </c>
      <c r="H480" s="104">
        <v>66687156</v>
      </c>
      <c r="I480" s="104">
        <v>26440131</v>
      </c>
      <c r="J480" s="48">
        <v>71.61</v>
      </c>
      <c r="K480" s="48">
        <v>1375265</v>
      </c>
      <c r="L480" s="104">
        <v>1359830</v>
      </c>
      <c r="M480" s="104">
        <v>15435</v>
      </c>
      <c r="N480" s="48">
        <v>98.88</v>
      </c>
    </row>
    <row r="481" spans="2:14" hidden="1" x14ac:dyDescent="0.25">
      <c r="B481" s="174">
        <v>45433</v>
      </c>
      <c r="C481" s="48">
        <v>20518895</v>
      </c>
      <c r="D481" s="104">
        <v>20151127</v>
      </c>
      <c r="E481" s="104">
        <v>367768</v>
      </c>
      <c r="F481" s="48">
        <v>98.21</v>
      </c>
      <c r="G481" s="48">
        <v>110150223</v>
      </c>
      <c r="H481" s="104">
        <v>79320237</v>
      </c>
      <c r="I481" s="104">
        <v>30829986</v>
      </c>
      <c r="J481" s="48">
        <v>72.010000000000005</v>
      </c>
      <c r="K481" s="48">
        <v>8155635</v>
      </c>
      <c r="L481" s="104">
        <v>8034121</v>
      </c>
      <c r="M481" s="104">
        <v>121514</v>
      </c>
      <c r="N481" s="48">
        <v>98.51</v>
      </c>
    </row>
    <row r="482" spans="2:14" hidden="1" x14ac:dyDescent="0.25">
      <c r="B482" s="174">
        <v>45434</v>
      </c>
      <c r="C482" s="48">
        <v>21207195</v>
      </c>
      <c r="D482" s="104">
        <v>20671361</v>
      </c>
      <c r="E482" s="104">
        <v>535834</v>
      </c>
      <c r="F482" s="48">
        <v>97.47</v>
      </c>
      <c r="G482" s="48">
        <v>109396360</v>
      </c>
      <c r="H482" s="104">
        <v>79401786</v>
      </c>
      <c r="I482" s="104">
        <v>29994574</v>
      </c>
      <c r="J482" s="48">
        <v>72.58</v>
      </c>
      <c r="K482" s="48">
        <v>6150725</v>
      </c>
      <c r="L482" s="104">
        <v>6020614</v>
      </c>
      <c r="M482" s="104">
        <v>130111</v>
      </c>
      <c r="N482" s="48">
        <v>97.88</v>
      </c>
    </row>
    <row r="483" spans="2:14" hidden="1" x14ac:dyDescent="0.25">
      <c r="B483" s="174">
        <v>45435</v>
      </c>
      <c r="C483" s="48">
        <v>20073672</v>
      </c>
      <c r="D483" s="104">
        <v>19419367</v>
      </c>
      <c r="E483" s="104">
        <v>654305</v>
      </c>
      <c r="F483" s="48">
        <v>96.74</v>
      </c>
      <c r="G483" s="48">
        <v>99293279</v>
      </c>
      <c r="H483" s="104">
        <v>68288604</v>
      </c>
      <c r="I483" s="104">
        <v>31004675</v>
      </c>
      <c r="J483" s="48">
        <v>68.77</v>
      </c>
      <c r="K483" s="48">
        <v>1376473</v>
      </c>
      <c r="L483" s="104">
        <v>1316782</v>
      </c>
      <c r="M483" s="104">
        <v>59691</v>
      </c>
      <c r="N483" s="48">
        <v>95.66</v>
      </c>
    </row>
    <row r="484" spans="2:14" hidden="1" x14ac:dyDescent="0.25">
      <c r="B484" s="174">
        <v>45436</v>
      </c>
      <c r="C484" s="48">
        <v>20046090</v>
      </c>
      <c r="D484" s="48">
        <v>19590263</v>
      </c>
      <c r="E484" s="48">
        <v>455827</v>
      </c>
      <c r="F484" s="48">
        <v>97.73</v>
      </c>
      <c r="G484" s="48">
        <v>98921066</v>
      </c>
      <c r="H484" s="48">
        <v>73340153</v>
      </c>
      <c r="I484" s="48">
        <v>25580913</v>
      </c>
      <c r="J484" s="48">
        <v>74.14</v>
      </c>
      <c r="K484" s="48">
        <v>2107025</v>
      </c>
      <c r="L484" s="48">
        <v>2073096</v>
      </c>
      <c r="M484" s="48">
        <v>33929</v>
      </c>
      <c r="N484" s="48">
        <v>98.39</v>
      </c>
    </row>
    <row r="485" spans="2:14" hidden="1" x14ac:dyDescent="0.25">
      <c r="B485" s="174">
        <v>45437</v>
      </c>
      <c r="C485" s="48">
        <v>20200201</v>
      </c>
      <c r="D485" s="48">
        <v>19768001</v>
      </c>
      <c r="E485" s="48">
        <v>432200</v>
      </c>
      <c r="F485" s="48">
        <v>97.86</v>
      </c>
      <c r="G485" s="48">
        <v>87507220</v>
      </c>
      <c r="H485" s="48">
        <v>62460217</v>
      </c>
      <c r="I485" s="48">
        <v>25047003</v>
      </c>
      <c r="J485" s="48">
        <v>71.38</v>
      </c>
      <c r="K485" s="48">
        <v>2179560</v>
      </c>
      <c r="L485" s="48">
        <v>2164620</v>
      </c>
      <c r="M485" s="48">
        <v>14940</v>
      </c>
      <c r="N485" s="48">
        <v>99.31</v>
      </c>
    </row>
    <row r="486" spans="2:14" hidden="1" x14ac:dyDescent="0.25">
      <c r="B486" s="174">
        <v>45438</v>
      </c>
      <c r="C486" s="104">
        <v>20617346</v>
      </c>
      <c r="D486" s="104">
        <v>20226911</v>
      </c>
      <c r="E486" s="104">
        <v>390435</v>
      </c>
      <c r="F486" s="48">
        <v>98.11</v>
      </c>
      <c r="G486" s="104">
        <v>58381845</v>
      </c>
      <c r="H486" s="104">
        <v>47473171</v>
      </c>
      <c r="I486" s="104">
        <v>10908674</v>
      </c>
      <c r="J486" s="104">
        <v>81.31</v>
      </c>
      <c r="K486" s="104">
        <v>983341</v>
      </c>
      <c r="L486" s="104">
        <v>965812</v>
      </c>
      <c r="M486" s="104">
        <v>17529</v>
      </c>
      <c r="N486" s="48">
        <v>98.22</v>
      </c>
    </row>
    <row r="487" spans="2:14" hidden="1" x14ac:dyDescent="0.25">
      <c r="B487" s="174">
        <v>45439</v>
      </c>
      <c r="C487" s="104">
        <v>18279013</v>
      </c>
      <c r="D487" s="104">
        <v>17864862</v>
      </c>
      <c r="E487" s="104">
        <v>414151</v>
      </c>
      <c r="F487" s="104">
        <v>97.73</v>
      </c>
      <c r="G487" s="104">
        <v>89453493</v>
      </c>
      <c r="H487" s="104">
        <v>64901633</v>
      </c>
      <c r="I487" s="104">
        <v>24551860</v>
      </c>
      <c r="J487" s="104">
        <v>72.55</v>
      </c>
      <c r="K487" s="104">
        <v>2889897</v>
      </c>
      <c r="L487" s="104">
        <v>2854102</v>
      </c>
      <c r="M487" s="104">
        <v>35795</v>
      </c>
      <c r="N487" s="104">
        <v>98.76</v>
      </c>
    </row>
    <row r="488" spans="2:14" hidden="1" x14ac:dyDescent="0.25">
      <c r="B488" s="174">
        <v>45440</v>
      </c>
      <c r="C488" s="104">
        <v>19518268</v>
      </c>
      <c r="D488" s="104">
        <v>19139704</v>
      </c>
      <c r="E488" s="104">
        <v>378564</v>
      </c>
      <c r="F488" s="104">
        <v>98.06</v>
      </c>
      <c r="G488" s="104">
        <v>73677560</v>
      </c>
      <c r="H488" s="104">
        <v>55876970</v>
      </c>
      <c r="I488" s="104">
        <v>17800590</v>
      </c>
      <c r="J488" s="104">
        <v>75.84</v>
      </c>
      <c r="K488" s="104">
        <v>2843047</v>
      </c>
      <c r="L488" s="104">
        <v>2796052</v>
      </c>
      <c r="M488" s="104">
        <v>46995</v>
      </c>
      <c r="N488" s="104">
        <v>98.35</v>
      </c>
    </row>
    <row r="489" spans="2:14" hidden="1" x14ac:dyDescent="0.25">
      <c r="B489" s="174">
        <v>45441</v>
      </c>
      <c r="C489" s="104">
        <v>19495088</v>
      </c>
      <c r="D489" s="104">
        <v>19141931</v>
      </c>
      <c r="E489" s="104">
        <v>353157</v>
      </c>
      <c r="F489" s="104">
        <v>98.19</v>
      </c>
      <c r="G489" s="104">
        <v>81662734</v>
      </c>
      <c r="H489" s="104">
        <v>59762955</v>
      </c>
      <c r="I489" s="104">
        <v>21899779</v>
      </c>
      <c r="J489" s="104">
        <v>73.180000000000007</v>
      </c>
      <c r="K489" s="104">
        <v>2071657</v>
      </c>
      <c r="L489" s="104">
        <v>2043643</v>
      </c>
      <c r="M489" s="104">
        <v>28014</v>
      </c>
      <c r="N489" s="104">
        <v>98.65</v>
      </c>
    </row>
    <row r="490" spans="2:14" hidden="1" x14ac:dyDescent="0.25">
      <c r="B490" s="174">
        <v>45442</v>
      </c>
      <c r="C490" s="104">
        <v>20039130</v>
      </c>
      <c r="D490" s="104">
        <v>19644467</v>
      </c>
      <c r="E490" s="104">
        <v>394663</v>
      </c>
      <c r="F490" s="104">
        <v>98.03</v>
      </c>
      <c r="G490" s="104">
        <v>86121472</v>
      </c>
      <c r="H490" s="104">
        <v>61257567</v>
      </c>
      <c r="I490" s="104">
        <v>24863905</v>
      </c>
      <c r="J490" s="104">
        <v>71.13</v>
      </c>
      <c r="K490" s="104">
        <v>1675822</v>
      </c>
      <c r="L490" s="104">
        <v>1647299</v>
      </c>
      <c r="M490" s="104">
        <v>28523</v>
      </c>
      <c r="N490" s="104">
        <v>98.3</v>
      </c>
    </row>
    <row r="491" spans="2:14" hidden="1" x14ac:dyDescent="0.25">
      <c r="B491" s="174">
        <v>45443</v>
      </c>
      <c r="C491" s="104">
        <v>21289197</v>
      </c>
      <c r="D491" s="104">
        <v>20930033</v>
      </c>
      <c r="E491" s="104">
        <v>359164</v>
      </c>
      <c r="F491" s="104">
        <v>98.31</v>
      </c>
      <c r="G491" s="104">
        <v>84040234</v>
      </c>
      <c r="H491" s="104">
        <v>61866154</v>
      </c>
      <c r="I491" s="104">
        <v>22174080</v>
      </c>
      <c r="J491" s="104">
        <v>73.61</v>
      </c>
      <c r="K491" s="104">
        <v>2051954</v>
      </c>
      <c r="L491" s="104">
        <v>2018169</v>
      </c>
      <c r="M491" s="104">
        <v>33785</v>
      </c>
      <c r="N491" s="104">
        <v>98.35</v>
      </c>
    </row>
    <row r="492" spans="2:14" hidden="1" x14ac:dyDescent="0.25">
      <c r="B492" s="174">
        <v>45444</v>
      </c>
      <c r="C492" s="104">
        <v>21433248</v>
      </c>
      <c r="D492" s="104">
        <v>21044912</v>
      </c>
      <c r="E492" s="104">
        <v>388336</v>
      </c>
      <c r="F492" s="104">
        <v>98.19</v>
      </c>
      <c r="G492" s="104">
        <v>90598157</v>
      </c>
      <c r="H492" s="104">
        <v>62969956</v>
      </c>
      <c r="I492" s="104">
        <v>27628201</v>
      </c>
      <c r="J492" s="104">
        <v>69.5</v>
      </c>
      <c r="K492" s="104">
        <v>1464275</v>
      </c>
      <c r="L492" s="104">
        <v>1435431</v>
      </c>
      <c r="M492" s="104">
        <v>28844</v>
      </c>
      <c r="N492" s="104">
        <v>98.03</v>
      </c>
    </row>
    <row r="493" spans="2:14" hidden="1" x14ac:dyDescent="0.25">
      <c r="B493" s="174">
        <v>45445</v>
      </c>
      <c r="C493" s="104">
        <v>21356145</v>
      </c>
      <c r="D493" s="104">
        <v>21030419</v>
      </c>
      <c r="E493" s="104">
        <v>325726</v>
      </c>
      <c r="F493" s="104">
        <v>98.47</v>
      </c>
      <c r="G493" s="104">
        <v>61055016</v>
      </c>
      <c r="H493" s="104">
        <v>45266818</v>
      </c>
      <c r="I493" s="104">
        <v>15788198</v>
      </c>
      <c r="J493" s="104">
        <v>74.14</v>
      </c>
      <c r="K493" s="104">
        <v>1088344</v>
      </c>
      <c r="L493" s="104">
        <v>1060049</v>
      </c>
      <c r="M493" s="104">
        <v>28295</v>
      </c>
      <c r="N493" s="104">
        <v>97.4</v>
      </c>
    </row>
    <row r="494" spans="2:14" hidden="1" x14ac:dyDescent="0.25">
      <c r="B494" s="174">
        <v>45446</v>
      </c>
      <c r="C494" s="48">
        <v>21093838</v>
      </c>
      <c r="D494" s="48">
        <v>20774762</v>
      </c>
      <c r="E494" s="48">
        <v>319076</v>
      </c>
      <c r="F494" s="48">
        <v>98.49</v>
      </c>
      <c r="G494" s="48">
        <v>116382778</v>
      </c>
      <c r="H494" s="48">
        <v>83840459</v>
      </c>
      <c r="I494" s="48">
        <v>32542319</v>
      </c>
      <c r="J494" s="48">
        <v>72.040000000000006</v>
      </c>
      <c r="K494" s="48">
        <v>8774020</v>
      </c>
      <c r="L494" s="48">
        <v>8736742</v>
      </c>
      <c r="M494" s="48">
        <v>37278</v>
      </c>
      <c r="N494" s="48">
        <v>99.58</v>
      </c>
    </row>
    <row r="495" spans="2:14" hidden="1" x14ac:dyDescent="0.25">
      <c r="B495" s="174">
        <v>45447</v>
      </c>
      <c r="C495" s="104">
        <v>21581061</v>
      </c>
      <c r="D495" s="104">
        <v>21197280</v>
      </c>
      <c r="E495" s="104">
        <v>383781</v>
      </c>
      <c r="F495" s="104">
        <v>98.22</v>
      </c>
      <c r="G495" s="104">
        <v>90168876</v>
      </c>
      <c r="H495" s="104">
        <v>68316191</v>
      </c>
      <c r="I495" s="104">
        <v>21852685</v>
      </c>
      <c r="J495" s="104">
        <v>75.760000000000005</v>
      </c>
      <c r="K495" s="104">
        <v>6182128</v>
      </c>
      <c r="L495" s="104">
        <v>6131130</v>
      </c>
      <c r="M495" s="104">
        <v>50998</v>
      </c>
      <c r="N495" s="104">
        <v>99.18</v>
      </c>
    </row>
    <row r="496" spans="2:14" ht="15.75" hidden="1" x14ac:dyDescent="0.25">
      <c r="B496" s="174">
        <v>45448</v>
      </c>
      <c r="C496" s="104">
        <v>20681177</v>
      </c>
      <c r="D496" s="104">
        <v>376898</v>
      </c>
      <c r="E496" s="104">
        <v>21058075</v>
      </c>
      <c r="F496" s="104">
        <v>98.21</v>
      </c>
      <c r="G496" s="328">
        <v>63076497</v>
      </c>
      <c r="H496" s="104">
        <v>33276449</v>
      </c>
      <c r="I496" s="104">
        <v>96352946</v>
      </c>
      <c r="J496" s="104">
        <v>65.459999999999994</v>
      </c>
      <c r="K496" s="104">
        <v>1814347</v>
      </c>
      <c r="L496" s="104">
        <v>20632</v>
      </c>
      <c r="M496" s="104">
        <v>1834979</v>
      </c>
      <c r="N496" s="328">
        <v>98.88</v>
      </c>
    </row>
    <row r="497" spans="2:14" hidden="1" x14ac:dyDescent="0.25">
      <c r="B497" s="174">
        <v>45449</v>
      </c>
      <c r="C497" s="104">
        <v>21011306</v>
      </c>
      <c r="D497" s="104">
        <v>377221</v>
      </c>
      <c r="E497" s="104">
        <v>21388527</v>
      </c>
      <c r="F497" s="104">
        <v>98.24</v>
      </c>
      <c r="G497" s="104">
        <v>66189961</v>
      </c>
      <c r="H497" s="104">
        <v>35619576</v>
      </c>
      <c r="I497" s="104">
        <v>101809537</v>
      </c>
      <c r="J497" s="104">
        <v>65.010000000000005</v>
      </c>
      <c r="K497" s="104">
        <v>2521960</v>
      </c>
      <c r="L497" s="104">
        <v>25081</v>
      </c>
      <c r="M497" s="104">
        <v>2547041</v>
      </c>
      <c r="N497" s="104">
        <v>99.02</v>
      </c>
    </row>
    <row r="498" spans="2:14" ht="15.75" hidden="1" x14ac:dyDescent="0.25">
      <c r="B498" s="174">
        <v>45450</v>
      </c>
      <c r="C498" s="328">
        <v>20478004</v>
      </c>
      <c r="D498" s="328">
        <v>387385</v>
      </c>
      <c r="E498" s="328">
        <v>20865389</v>
      </c>
      <c r="F498" s="328">
        <v>98.14</v>
      </c>
      <c r="G498" s="328">
        <v>73282552</v>
      </c>
      <c r="H498" s="328">
        <v>23604390</v>
      </c>
      <c r="I498" s="328">
        <v>96886942</v>
      </c>
      <c r="J498" s="328">
        <v>75.64</v>
      </c>
      <c r="K498" s="328">
        <v>5802260</v>
      </c>
      <c r="L498" s="328">
        <v>62478</v>
      </c>
      <c r="M498" s="328">
        <v>5864738</v>
      </c>
      <c r="N498" s="328">
        <v>98.93</v>
      </c>
    </row>
    <row r="499" spans="2:14" ht="15.75" hidden="1" x14ac:dyDescent="0.25">
      <c r="B499" s="174">
        <v>45451</v>
      </c>
      <c r="C499" s="328">
        <v>20551820</v>
      </c>
      <c r="D499" s="328">
        <v>362256</v>
      </c>
      <c r="E499" s="328">
        <v>20914076</v>
      </c>
      <c r="F499" s="328">
        <v>98.27</v>
      </c>
      <c r="G499" s="328">
        <v>77775256</v>
      </c>
      <c r="H499" s="328">
        <v>38296932</v>
      </c>
      <c r="I499" s="328">
        <v>116072188</v>
      </c>
      <c r="J499" s="328">
        <v>67.010000000000005</v>
      </c>
      <c r="K499" s="328">
        <v>6252387</v>
      </c>
      <c r="L499" s="328">
        <v>26916</v>
      </c>
      <c r="M499" s="328">
        <v>6279303</v>
      </c>
      <c r="N499" s="328">
        <v>99.57</v>
      </c>
    </row>
    <row r="500" spans="2:14" ht="15.75" hidden="1" x14ac:dyDescent="0.25">
      <c r="B500" s="174">
        <v>45452</v>
      </c>
      <c r="C500" s="328">
        <v>21386506</v>
      </c>
      <c r="D500" s="328">
        <v>370177</v>
      </c>
      <c r="E500" s="328">
        <v>21756683</v>
      </c>
      <c r="F500" s="328">
        <v>98.3</v>
      </c>
      <c r="G500" s="328">
        <v>43502545</v>
      </c>
      <c r="H500" s="328">
        <v>14187325</v>
      </c>
      <c r="I500" s="328">
        <v>57689870</v>
      </c>
      <c r="J500" s="328">
        <v>75.41</v>
      </c>
      <c r="K500" s="328">
        <v>1373109</v>
      </c>
      <c r="L500" s="328">
        <v>26993</v>
      </c>
      <c r="M500" s="328">
        <v>1400102</v>
      </c>
      <c r="N500" s="328">
        <v>98.07</v>
      </c>
    </row>
    <row r="501" spans="2:14" ht="15.75" hidden="1" x14ac:dyDescent="0.25">
      <c r="B501" s="174">
        <v>45453</v>
      </c>
      <c r="C501" s="48">
        <v>22345326</v>
      </c>
      <c r="D501" s="48">
        <v>22031509</v>
      </c>
      <c r="E501" s="48">
        <v>313817</v>
      </c>
      <c r="F501" s="48">
        <v>98.56</v>
      </c>
      <c r="G501" s="48">
        <v>87892318</v>
      </c>
      <c r="H501" s="48">
        <v>61053341</v>
      </c>
      <c r="I501" s="48">
        <v>26838977</v>
      </c>
      <c r="J501" s="328">
        <v>69.459999999999994</v>
      </c>
      <c r="K501" s="48">
        <v>2615379</v>
      </c>
      <c r="L501" s="48">
        <v>2575754</v>
      </c>
      <c r="M501" s="48">
        <v>39625</v>
      </c>
      <c r="N501" s="328">
        <v>98.48</v>
      </c>
    </row>
    <row r="502" spans="2:14" hidden="1" x14ac:dyDescent="0.25">
      <c r="B502" s="174">
        <v>45454</v>
      </c>
      <c r="C502" s="48">
        <v>21355899</v>
      </c>
      <c r="D502" s="48">
        <v>20956801</v>
      </c>
      <c r="E502" s="48">
        <v>399098</v>
      </c>
      <c r="F502" s="48">
        <v>98.13</v>
      </c>
      <c r="G502" s="48">
        <v>74437179</v>
      </c>
      <c r="H502" s="48">
        <v>55315885</v>
      </c>
      <c r="I502" s="48">
        <v>19121294</v>
      </c>
      <c r="J502" s="48">
        <v>74.31</v>
      </c>
      <c r="K502" s="48">
        <v>1530914</v>
      </c>
      <c r="L502" s="48">
        <v>1497422</v>
      </c>
      <c r="M502" s="48">
        <v>33492</v>
      </c>
      <c r="N502" s="48">
        <v>97.81</v>
      </c>
    </row>
    <row r="503" spans="2:14" hidden="1" x14ac:dyDescent="0.25">
      <c r="B503" s="174">
        <v>45455</v>
      </c>
      <c r="C503" s="48">
        <v>20882053</v>
      </c>
      <c r="D503" s="48">
        <v>20507334</v>
      </c>
      <c r="E503" s="48">
        <v>374719</v>
      </c>
      <c r="F503" s="48">
        <v>98.21</v>
      </c>
      <c r="G503" s="48">
        <v>99046079</v>
      </c>
      <c r="H503" s="48">
        <v>70305189</v>
      </c>
      <c r="I503" s="48">
        <v>28740890</v>
      </c>
      <c r="J503" s="48">
        <v>70.98</v>
      </c>
      <c r="K503" s="48">
        <v>5658413</v>
      </c>
      <c r="L503" s="48">
        <v>5607127</v>
      </c>
      <c r="M503" s="48">
        <v>51286</v>
      </c>
      <c r="N503" s="48">
        <v>99.09</v>
      </c>
    </row>
    <row r="504" spans="2:14" hidden="1" x14ac:dyDescent="0.25">
      <c r="B504" s="174">
        <v>45456</v>
      </c>
      <c r="C504" s="48">
        <v>21945688</v>
      </c>
      <c r="D504" s="48">
        <v>21563865</v>
      </c>
      <c r="E504" s="48">
        <v>381823</v>
      </c>
      <c r="F504" s="48">
        <v>98.26</v>
      </c>
      <c r="G504" s="48">
        <v>117185970</v>
      </c>
      <c r="H504" s="48">
        <v>77948170</v>
      </c>
      <c r="I504" s="48">
        <v>39237800</v>
      </c>
      <c r="J504" s="48">
        <v>66.52</v>
      </c>
      <c r="K504" s="48">
        <v>6861711</v>
      </c>
      <c r="L504" s="48">
        <v>6838688</v>
      </c>
      <c r="M504" s="48">
        <v>23023</v>
      </c>
      <c r="N504" s="48">
        <v>99.66</v>
      </c>
    </row>
    <row r="505" spans="2:14" hidden="1" x14ac:dyDescent="0.25">
      <c r="B505" s="174">
        <v>45457</v>
      </c>
      <c r="C505" s="48">
        <v>21060543</v>
      </c>
      <c r="D505" s="48">
        <v>20689891</v>
      </c>
      <c r="E505" s="48">
        <v>370652</v>
      </c>
      <c r="F505" s="48">
        <v>98.24</v>
      </c>
      <c r="G505" s="48">
        <v>93480425</v>
      </c>
      <c r="H505" s="48">
        <v>65012270</v>
      </c>
      <c r="I505" s="48">
        <v>28468155</v>
      </c>
      <c r="J505" s="48">
        <v>69.55</v>
      </c>
      <c r="K505" s="48">
        <v>3212394</v>
      </c>
      <c r="L505" s="48">
        <v>3171172</v>
      </c>
      <c r="M505" s="48">
        <v>41222</v>
      </c>
      <c r="N505" s="48">
        <v>98.72</v>
      </c>
    </row>
    <row r="506" spans="2:14" hidden="1" x14ac:dyDescent="0.25">
      <c r="B506" s="174">
        <v>45458</v>
      </c>
      <c r="C506" s="48">
        <v>20051271</v>
      </c>
      <c r="D506" s="48">
        <v>19697316</v>
      </c>
      <c r="E506" s="48">
        <v>353955</v>
      </c>
      <c r="F506" s="48">
        <v>98.23</v>
      </c>
      <c r="G506" s="48">
        <v>97447914</v>
      </c>
      <c r="H506" s="48">
        <v>64728141</v>
      </c>
      <c r="I506" s="48">
        <v>32719773</v>
      </c>
      <c r="J506" s="48">
        <v>66.42</v>
      </c>
      <c r="K506" s="48">
        <v>2133893</v>
      </c>
      <c r="L506" s="48">
        <v>2108931</v>
      </c>
      <c r="M506" s="48">
        <v>24962</v>
      </c>
      <c r="N506" s="48">
        <v>98.83</v>
      </c>
    </row>
    <row r="507" spans="2:14" hidden="1" x14ac:dyDescent="0.25">
      <c r="B507" s="174">
        <v>45459</v>
      </c>
      <c r="C507" s="197">
        <v>21632581</v>
      </c>
      <c r="D507" s="197">
        <v>21314745</v>
      </c>
      <c r="E507" s="197">
        <v>317836</v>
      </c>
      <c r="F507" s="197">
        <v>98.53</v>
      </c>
      <c r="G507" s="197">
        <v>51083819</v>
      </c>
      <c r="H507" s="197">
        <v>41045224</v>
      </c>
      <c r="I507" s="197">
        <v>10038595</v>
      </c>
      <c r="J507" s="197">
        <v>80.349999999999994</v>
      </c>
      <c r="K507" s="197">
        <v>1281175</v>
      </c>
      <c r="L507" s="197">
        <v>1264682</v>
      </c>
      <c r="M507" s="197">
        <v>16493</v>
      </c>
      <c r="N507" s="197">
        <v>98.71</v>
      </c>
    </row>
    <row r="508" spans="2:14" hidden="1" x14ac:dyDescent="0.25">
      <c r="B508" s="174">
        <v>45460</v>
      </c>
      <c r="C508" s="197">
        <v>21150953</v>
      </c>
      <c r="D508" s="197">
        <v>20806906</v>
      </c>
      <c r="E508" s="197">
        <v>344047</v>
      </c>
      <c r="F508" s="197">
        <v>98.37</v>
      </c>
      <c r="G508" s="197">
        <v>75846956</v>
      </c>
      <c r="H508" s="197">
        <v>56286473</v>
      </c>
      <c r="I508" s="197">
        <v>19560483</v>
      </c>
      <c r="J508" s="197">
        <v>74.209999999999994</v>
      </c>
      <c r="K508" s="197">
        <v>2081009</v>
      </c>
      <c r="L508" s="197">
        <v>2051428</v>
      </c>
      <c r="M508" s="197">
        <v>29581</v>
      </c>
      <c r="N508" s="197">
        <v>98.57</v>
      </c>
    </row>
    <row r="509" spans="2:14" ht="15.75" hidden="1" x14ac:dyDescent="0.25">
      <c r="B509" s="174">
        <v>45461</v>
      </c>
      <c r="C509" s="197">
        <v>20485282</v>
      </c>
      <c r="D509" s="197">
        <v>20137945</v>
      </c>
      <c r="E509" s="197">
        <v>347337</v>
      </c>
      <c r="F509" s="197">
        <v>98.3</v>
      </c>
      <c r="G509" s="197">
        <v>101121675</v>
      </c>
      <c r="H509" s="197">
        <v>71248488</v>
      </c>
      <c r="I509" s="197">
        <v>29873187</v>
      </c>
      <c r="J509" s="328">
        <v>70.459999999999994</v>
      </c>
      <c r="K509" s="197">
        <v>5654139</v>
      </c>
      <c r="L509" s="197">
        <v>5619128</v>
      </c>
      <c r="M509" s="197">
        <v>35011</v>
      </c>
      <c r="N509" s="197">
        <v>99.38</v>
      </c>
    </row>
    <row r="510" spans="2:14" ht="15.75" hidden="1" x14ac:dyDescent="0.25">
      <c r="B510" s="174">
        <v>45462</v>
      </c>
      <c r="C510" s="197">
        <v>20554498</v>
      </c>
      <c r="D510" s="197">
        <v>20155920</v>
      </c>
      <c r="E510" s="197">
        <v>398578</v>
      </c>
      <c r="F510" s="197">
        <v>98.06</v>
      </c>
      <c r="G510" s="197">
        <v>114441753</v>
      </c>
      <c r="H510" s="197">
        <v>78493532</v>
      </c>
      <c r="I510" s="197">
        <v>35948221</v>
      </c>
      <c r="J510" s="328">
        <v>68.59</v>
      </c>
      <c r="K510" s="197">
        <v>8396707</v>
      </c>
      <c r="L510" s="197">
        <v>8336582</v>
      </c>
      <c r="M510" s="197">
        <v>60125</v>
      </c>
      <c r="N510" s="197">
        <v>99.28</v>
      </c>
    </row>
    <row r="511" spans="2:14" ht="15.75" hidden="1" x14ac:dyDescent="0.25">
      <c r="B511" s="174">
        <v>45463</v>
      </c>
      <c r="C511" s="197">
        <v>20726404</v>
      </c>
      <c r="D511" s="197">
        <v>20352572</v>
      </c>
      <c r="E511" s="197">
        <v>373832</v>
      </c>
      <c r="F511" s="197">
        <v>98.2</v>
      </c>
      <c r="G511" s="197">
        <v>93486552</v>
      </c>
      <c r="H511" s="197">
        <v>62030777</v>
      </c>
      <c r="I511" s="197">
        <v>31455775</v>
      </c>
      <c r="J511" s="328">
        <v>66.349999999999994</v>
      </c>
      <c r="K511" s="197">
        <v>2888998</v>
      </c>
      <c r="L511" s="197">
        <v>2856464</v>
      </c>
      <c r="M511" s="197">
        <v>32534</v>
      </c>
      <c r="N511" s="197">
        <v>98.87</v>
      </c>
    </row>
    <row r="512" spans="2:14" ht="15.75" hidden="1" x14ac:dyDescent="0.25">
      <c r="B512" s="174">
        <v>45464</v>
      </c>
      <c r="C512" s="197">
        <v>21333759</v>
      </c>
      <c r="D512" s="197">
        <v>21013227</v>
      </c>
      <c r="E512" s="197">
        <v>320532</v>
      </c>
      <c r="F512" s="197">
        <v>98.5</v>
      </c>
      <c r="G512" s="197">
        <v>85091135</v>
      </c>
      <c r="H512" s="197">
        <v>64123519</v>
      </c>
      <c r="I512" s="197">
        <v>20967616</v>
      </c>
      <c r="J512" s="328">
        <v>75.36</v>
      </c>
      <c r="K512" s="197">
        <v>2514474</v>
      </c>
      <c r="L512" s="197">
        <v>2513494</v>
      </c>
      <c r="M512" s="197">
        <v>980</v>
      </c>
      <c r="N512" s="197">
        <v>99.96</v>
      </c>
    </row>
    <row r="513" spans="2:14" ht="15.75" hidden="1" x14ac:dyDescent="0.25">
      <c r="B513" s="174">
        <v>45465</v>
      </c>
      <c r="C513" s="197">
        <v>21402234</v>
      </c>
      <c r="D513" s="197">
        <v>21087043</v>
      </c>
      <c r="E513" s="197">
        <v>315191</v>
      </c>
      <c r="F513" s="197">
        <v>98.53</v>
      </c>
      <c r="G513" s="197">
        <v>87878798</v>
      </c>
      <c r="H513" s="197">
        <v>60160549</v>
      </c>
      <c r="I513" s="197">
        <v>27718249</v>
      </c>
      <c r="J513" s="328">
        <v>68.459999999999994</v>
      </c>
      <c r="K513" s="197">
        <v>2697106</v>
      </c>
      <c r="L513" s="197">
        <v>2695010</v>
      </c>
      <c r="M513" s="197">
        <v>2096</v>
      </c>
      <c r="N513" s="197">
        <v>99.92</v>
      </c>
    </row>
    <row r="514" spans="2:14" ht="15.75" hidden="1" x14ac:dyDescent="0.25">
      <c r="B514" s="174">
        <v>45466</v>
      </c>
      <c r="C514" s="197">
        <v>23263916</v>
      </c>
      <c r="D514" s="197">
        <v>22984859</v>
      </c>
      <c r="E514" s="197">
        <v>279057</v>
      </c>
      <c r="F514" s="197">
        <v>98.8</v>
      </c>
      <c r="G514" s="197">
        <v>54333209</v>
      </c>
      <c r="H514" s="197">
        <v>42049669</v>
      </c>
      <c r="I514" s="197">
        <v>12283540</v>
      </c>
      <c r="J514" s="328">
        <v>77.39</v>
      </c>
      <c r="K514" s="197">
        <v>1671326</v>
      </c>
      <c r="L514" s="104">
        <v>1671259</v>
      </c>
      <c r="M514" s="104">
        <v>67</v>
      </c>
      <c r="N514" s="104">
        <v>100</v>
      </c>
    </row>
    <row r="515" spans="2:14" hidden="1" x14ac:dyDescent="0.25">
      <c r="B515" s="174">
        <v>45467</v>
      </c>
      <c r="C515" s="48">
        <v>23263916</v>
      </c>
      <c r="D515" s="104">
        <v>22984859</v>
      </c>
      <c r="E515" s="104">
        <v>279057</v>
      </c>
      <c r="F515" s="48">
        <v>98.8</v>
      </c>
      <c r="G515" s="48">
        <v>82374584</v>
      </c>
      <c r="H515" s="104">
        <v>60645787</v>
      </c>
      <c r="I515" s="104">
        <v>21728797</v>
      </c>
      <c r="J515" s="48">
        <v>73.62</v>
      </c>
      <c r="K515" s="48">
        <v>2527022</v>
      </c>
      <c r="L515" s="104">
        <v>2523107</v>
      </c>
      <c r="M515" s="104">
        <v>3915</v>
      </c>
      <c r="N515" s="48">
        <v>99.85</v>
      </c>
    </row>
    <row r="516" spans="2:14" hidden="1" x14ac:dyDescent="0.25">
      <c r="B516" s="174">
        <v>45468</v>
      </c>
      <c r="C516" s="48">
        <v>22527256</v>
      </c>
      <c r="D516" s="104">
        <v>22203333</v>
      </c>
      <c r="E516" s="104">
        <v>323923</v>
      </c>
      <c r="F516" s="48">
        <v>98.56</v>
      </c>
      <c r="G516" s="48">
        <v>79650298</v>
      </c>
      <c r="H516" s="104">
        <v>57214418</v>
      </c>
      <c r="I516" s="104">
        <v>22435880</v>
      </c>
      <c r="J516" s="48">
        <v>71.83</v>
      </c>
      <c r="K516" s="48">
        <v>2954980</v>
      </c>
      <c r="L516" s="104">
        <v>2938960</v>
      </c>
      <c r="M516" s="104">
        <v>16020</v>
      </c>
      <c r="N516" s="48">
        <v>99.46</v>
      </c>
    </row>
    <row r="517" spans="2:14" hidden="1" x14ac:dyDescent="0.25">
      <c r="B517" s="174">
        <v>45469</v>
      </c>
      <c r="C517" s="48">
        <v>21996106</v>
      </c>
      <c r="D517" s="104">
        <v>21662564</v>
      </c>
      <c r="E517" s="104">
        <v>333542</v>
      </c>
      <c r="F517" s="48">
        <v>98.48</v>
      </c>
      <c r="G517" s="48">
        <v>89066514</v>
      </c>
      <c r="H517" s="104">
        <v>59943698</v>
      </c>
      <c r="I517" s="104">
        <v>29122816</v>
      </c>
      <c r="J517" s="48">
        <v>67.3</v>
      </c>
      <c r="K517" s="48">
        <v>1597742</v>
      </c>
      <c r="L517" s="104">
        <v>1570519</v>
      </c>
      <c r="M517" s="104">
        <v>27223</v>
      </c>
      <c r="N517" s="48">
        <v>98.3</v>
      </c>
    </row>
    <row r="518" spans="2:14" hidden="1" x14ac:dyDescent="0.25">
      <c r="B518" s="174">
        <v>45470</v>
      </c>
      <c r="C518" s="48">
        <v>21034662</v>
      </c>
      <c r="D518" s="104">
        <v>20692389</v>
      </c>
      <c r="E518" s="104">
        <v>342273</v>
      </c>
      <c r="F518" s="48">
        <v>98.37</v>
      </c>
      <c r="G518" s="48">
        <v>95626670</v>
      </c>
      <c r="H518" s="104">
        <v>65012464</v>
      </c>
      <c r="I518" s="104">
        <v>30614206</v>
      </c>
      <c r="J518" s="48">
        <v>67.989999999999995</v>
      </c>
      <c r="K518" s="48">
        <v>5105887</v>
      </c>
      <c r="L518" s="104">
        <v>5075141</v>
      </c>
      <c r="M518" s="104">
        <v>30746</v>
      </c>
      <c r="N518" s="48">
        <v>99.4</v>
      </c>
    </row>
    <row r="519" spans="2:14" hidden="1" x14ac:dyDescent="0.25">
      <c r="B519" s="174">
        <v>45471</v>
      </c>
      <c r="C519" s="101">
        <v>21927429</v>
      </c>
      <c r="D519" s="101">
        <v>21603043</v>
      </c>
      <c r="E519" s="101">
        <v>324386</v>
      </c>
      <c r="F519" s="101">
        <v>98.52</v>
      </c>
      <c r="G519" s="101">
        <v>107067159</v>
      </c>
      <c r="H519" s="101">
        <v>76533836</v>
      </c>
      <c r="I519" s="101">
        <v>30533323</v>
      </c>
      <c r="J519" s="101">
        <v>71.48</v>
      </c>
      <c r="K519" s="101">
        <v>7365042</v>
      </c>
      <c r="L519" s="101">
        <v>7328550</v>
      </c>
      <c r="M519" s="101">
        <v>36492</v>
      </c>
      <c r="N519" s="101">
        <v>99.5</v>
      </c>
    </row>
    <row r="520" spans="2:14" hidden="1" x14ac:dyDescent="0.25">
      <c r="B520" s="174">
        <v>45472</v>
      </c>
      <c r="C520" s="101">
        <v>20902535</v>
      </c>
      <c r="D520" s="101">
        <v>20535576</v>
      </c>
      <c r="E520" s="101">
        <v>366959</v>
      </c>
      <c r="F520" s="101">
        <v>98.24</v>
      </c>
      <c r="G520" s="101">
        <v>103871484</v>
      </c>
      <c r="H520" s="101">
        <v>65703083</v>
      </c>
      <c r="I520" s="101">
        <v>38168401</v>
      </c>
      <c r="J520" s="101">
        <v>63.25</v>
      </c>
      <c r="K520" s="101">
        <v>2369797</v>
      </c>
      <c r="L520" s="101">
        <v>2336747</v>
      </c>
      <c r="M520" s="101">
        <v>33050</v>
      </c>
      <c r="N520" s="101">
        <v>98.61</v>
      </c>
    </row>
    <row r="521" spans="2:14" hidden="1" x14ac:dyDescent="0.25">
      <c r="B521" s="174">
        <v>45473</v>
      </c>
      <c r="C521" s="101">
        <v>21550815</v>
      </c>
      <c r="D521" s="101">
        <v>21238184</v>
      </c>
      <c r="E521" s="101">
        <v>312631</v>
      </c>
      <c r="F521" s="101">
        <v>98.55</v>
      </c>
      <c r="G521" s="101">
        <v>61877451</v>
      </c>
      <c r="H521" s="101">
        <v>46282433</v>
      </c>
      <c r="I521" s="101">
        <v>15595018</v>
      </c>
      <c r="J521" s="101">
        <v>74.8</v>
      </c>
      <c r="K521" s="101">
        <v>1524694</v>
      </c>
      <c r="L521" s="101">
        <v>1497614</v>
      </c>
      <c r="M521" s="101">
        <v>27080</v>
      </c>
      <c r="N521" s="101">
        <v>98.22</v>
      </c>
    </row>
    <row r="522" spans="2:14" hidden="1" x14ac:dyDescent="0.25">
      <c r="B522" s="174">
        <v>45474</v>
      </c>
      <c r="C522" s="101">
        <v>21896411</v>
      </c>
      <c r="D522" s="101">
        <v>21615411</v>
      </c>
      <c r="E522" s="101">
        <v>281000</v>
      </c>
      <c r="F522" s="101">
        <v>98.72</v>
      </c>
      <c r="G522" s="101">
        <v>89898177</v>
      </c>
      <c r="H522" s="101">
        <v>66091156</v>
      </c>
      <c r="I522" s="101">
        <v>23807021</v>
      </c>
      <c r="J522" s="173">
        <v>73.52</v>
      </c>
      <c r="K522" s="101">
        <v>5489943</v>
      </c>
      <c r="L522" s="101">
        <v>5434166</v>
      </c>
      <c r="M522" s="101">
        <v>55777</v>
      </c>
      <c r="N522" s="101">
        <v>98.98</v>
      </c>
    </row>
    <row r="523" spans="2:14" hidden="1" x14ac:dyDescent="0.25">
      <c r="B523" s="174">
        <v>45475</v>
      </c>
      <c r="C523" s="101">
        <v>21384267</v>
      </c>
      <c r="D523" s="101">
        <v>21047207</v>
      </c>
      <c r="E523" s="101">
        <v>337060</v>
      </c>
      <c r="F523" s="101">
        <v>98.42</v>
      </c>
      <c r="G523" s="101">
        <v>91624343</v>
      </c>
      <c r="H523" s="101">
        <v>67793435</v>
      </c>
      <c r="I523" s="102">
        <v>23830908</v>
      </c>
      <c r="J523" s="104">
        <v>73.989999999999995</v>
      </c>
      <c r="K523" s="103">
        <v>6891435</v>
      </c>
      <c r="L523" s="101">
        <v>6861032</v>
      </c>
      <c r="M523" s="101">
        <v>30403</v>
      </c>
      <c r="N523" s="101">
        <v>99.56</v>
      </c>
    </row>
    <row r="524" spans="2:14" hidden="1" x14ac:dyDescent="0.25">
      <c r="B524" s="174">
        <v>45476</v>
      </c>
      <c r="C524" s="101">
        <v>20661429</v>
      </c>
      <c r="D524" s="101">
        <v>20327632</v>
      </c>
      <c r="E524" s="101">
        <v>333797</v>
      </c>
      <c r="F524" s="101">
        <v>98.38</v>
      </c>
      <c r="G524" s="101">
        <v>83104251</v>
      </c>
      <c r="H524" s="101">
        <v>58948007</v>
      </c>
      <c r="I524" s="101">
        <v>24156244</v>
      </c>
      <c r="J524" s="101">
        <v>70.930000000000007</v>
      </c>
      <c r="K524" s="101">
        <v>3351313</v>
      </c>
      <c r="L524" s="101">
        <v>3349974</v>
      </c>
      <c r="M524" s="101">
        <v>1339</v>
      </c>
      <c r="N524" s="101">
        <v>99.96</v>
      </c>
    </row>
    <row r="525" spans="2:14" hidden="1" x14ac:dyDescent="0.25">
      <c r="B525" s="174">
        <v>45477</v>
      </c>
      <c r="C525" s="101">
        <v>21073693</v>
      </c>
      <c r="D525" s="101">
        <v>20765753</v>
      </c>
      <c r="E525" s="101">
        <v>307940</v>
      </c>
      <c r="F525" s="254">
        <v>98.54</v>
      </c>
      <c r="G525" s="101">
        <v>94271359</v>
      </c>
      <c r="H525" s="101">
        <v>65303787</v>
      </c>
      <c r="I525" s="101">
        <v>28967572</v>
      </c>
      <c r="J525" s="101">
        <v>69.27</v>
      </c>
      <c r="K525" s="101">
        <v>2288280</v>
      </c>
      <c r="L525" s="101">
        <v>2287933</v>
      </c>
      <c r="M525" s="101">
        <v>347</v>
      </c>
      <c r="N525" s="101">
        <v>99.98</v>
      </c>
    </row>
    <row r="526" spans="2:14" hidden="1" x14ac:dyDescent="0.25">
      <c r="B526" s="182">
        <v>45478</v>
      </c>
      <c r="C526" s="173">
        <v>20815739</v>
      </c>
      <c r="D526" s="173">
        <v>20497174</v>
      </c>
      <c r="E526" s="173">
        <v>318565</v>
      </c>
      <c r="F526" s="173">
        <v>98.47</v>
      </c>
      <c r="G526" s="173">
        <v>104232135</v>
      </c>
      <c r="H526" s="173">
        <v>74965336</v>
      </c>
      <c r="I526" s="173">
        <v>29266799</v>
      </c>
      <c r="J526" s="173">
        <v>71.92</v>
      </c>
      <c r="K526" s="173">
        <v>5809555</v>
      </c>
      <c r="L526" s="173">
        <v>5803214</v>
      </c>
      <c r="M526" s="173">
        <v>6341</v>
      </c>
      <c r="N526" s="173">
        <v>99.89</v>
      </c>
    </row>
    <row r="527" spans="2:14" hidden="1" x14ac:dyDescent="0.25">
      <c r="B527" s="174">
        <v>45479</v>
      </c>
      <c r="C527" s="104">
        <v>20694390</v>
      </c>
      <c r="D527" s="104">
        <v>20374649</v>
      </c>
      <c r="E527" s="104">
        <v>319741</v>
      </c>
      <c r="F527" s="104">
        <v>98.45</v>
      </c>
      <c r="G527" s="104">
        <v>110465208</v>
      </c>
      <c r="H527" s="104">
        <v>76307919</v>
      </c>
      <c r="I527" s="104">
        <v>34157289</v>
      </c>
      <c r="J527" s="104">
        <v>69.08</v>
      </c>
      <c r="K527" s="104">
        <v>6932442</v>
      </c>
      <c r="L527" s="104">
        <v>6866083</v>
      </c>
      <c r="M527" s="104">
        <v>66359</v>
      </c>
      <c r="N527" s="104">
        <v>99.04</v>
      </c>
    </row>
    <row r="528" spans="2:14" hidden="1" x14ac:dyDescent="0.25">
      <c r="B528" s="174">
        <v>45480</v>
      </c>
      <c r="C528" s="104">
        <v>21001252</v>
      </c>
      <c r="D528" s="104">
        <v>20690938</v>
      </c>
      <c r="E528" s="104">
        <v>310314</v>
      </c>
      <c r="F528" s="104">
        <v>98.52</v>
      </c>
      <c r="G528" s="104">
        <v>60565677</v>
      </c>
      <c r="H528" s="104">
        <v>45439620</v>
      </c>
      <c r="I528" s="104">
        <v>15126057</v>
      </c>
      <c r="J528" s="104">
        <v>75.03</v>
      </c>
      <c r="K528" s="104">
        <v>1608927</v>
      </c>
      <c r="L528" s="104">
        <v>1574101</v>
      </c>
      <c r="M528" s="104">
        <v>34826</v>
      </c>
      <c r="N528" s="104">
        <v>97.84</v>
      </c>
    </row>
    <row r="529" spans="2:14" hidden="1" x14ac:dyDescent="0.25">
      <c r="B529" s="174">
        <v>45481</v>
      </c>
      <c r="C529" s="104">
        <v>24058870</v>
      </c>
      <c r="D529" s="104">
        <v>23776258</v>
      </c>
      <c r="E529" s="104">
        <v>282612</v>
      </c>
      <c r="F529" s="104">
        <v>98.83</v>
      </c>
      <c r="G529" s="104">
        <v>82848280</v>
      </c>
      <c r="H529" s="104">
        <v>62567788</v>
      </c>
      <c r="I529" s="104">
        <v>20280492</v>
      </c>
      <c r="J529" s="104">
        <v>75.52</v>
      </c>
      <c r="K529" s="104">
        <v>2237723</v>
      </c>
      <c r="L529" s="104">
        <v>2227492</v>
      </c>
      <c r="M529" s="104">
        <v>10231</v>
      </c>
      <c r="N529" s="104">
        <v>99.54</v>
      </c>
    </row>
    <row r="530" spans="2:14" hidden="1" x14ac:dyDescent="0.25">
      <c r="B530" s="174">
        <v>45482</v>
      </c>
      <c r="C530" s="48">
        <v>22871726</v>
      </c>
      <c r="D530" s="104">
        <v>22522660</v>
      </c>
      <c r="E530" s="104">
        <v>349066</v>
      </c>
      <c r="F530" s="48">
        <v>98.47</v>
      </c>
      <c r="G530" s="48">
        <v>76083945</v>
      </c>
      <c r="H530" s="104">
        <v>54928408</v>
      </c>
      <c r="I530" s="104">
        <v>21155537</v>
      </c>
      <c r="J530" s="48">
        <v>72.19</v>
      </c>
      <c r="K530" s="48">
        <v>1674197</v>
      </c>
      <c r="L530" s="104">
        <v>1670356</v>
      </c>
      <c r="M530" s="104">
        <v>3841</v>
      </c>
      <c r="N530" s="48">
        <v>99.77</v>
      </c>
    </row>
    <row r="531" spans="2:14" hidden="1" x14ac:dyDescent="0.25">
      <c r="B531" s="174">
        <v>45483</v>
      </c>
      <c r="C531" s="48">
        <v>21858838</v>
      </c>
      <c r="D531" s="104">
        <v>21521270</v>
      </c>
      <c r="E531" s="104">
        <v>337568</v>
      </c>
      <c r="F531" s="48">
        <v>98.46</v>
      </c>
      <c r="G531" s="48">
        <v>111487721</v>
      </c>
      <c r="H531" s="104">
        <v>76781037</v>
      </c>
      <c r="I531" s="104">
        <v>34706684</v>
      </c>
      <c r="J531" s="48">
        <v>68.87</v>
      </c>
      <c r="K531" s="48">
        <v>6381114</v>
      </c>
      <c r="L531" s="104">
        <v>6377624</v>
      </c>
      <c r="M531" s="104">
        <v>3490</v>
      </c>
      <c r="N531" s="48">
        <v>99.95</v>
      </c>
    </row>
    <row r="532" spans="2:14" hidden="1" x14ac:dyDescent="0.25">
      <c r="B532" s="174">
        <v>45484</v>
      </c>
      <c r="C532" s="48">
        <v>22111786</v>
      </c>
      <c r="D532" s="48">
        <v>21791085</v>
      </c>
      <c r="E532" s="48">
        <v>320701</v>
      </c>
      <c r="F532" s="48">
        <v>98.55</v>
      </c>
      <c r="G532" s="48">
        <v>111608655</v>
      </c>
      <c r="H532" s="48">
        <v>77998719</v>
      </c>
      <c r="I532" s="48">
        <v>33609936</v>
      </c>
      <c r="J532" s="104">
        <v>69.89</v>
      </c>
      <c r="K532" s="48">
        <v>6241529</v>
      </c>
      <c r="L532" s="48">
        <v>6223152</v>
      </c>
      <c r="M532" s="48">
        <v>18377</v>
      </c>
      <c r="N532" s="104">
        <v>99.71</v>
      </c>
    </row>
    <row r="533" spans="2:14" hidden="1" x14ac:dyDescent="0.25">
      <c r="B533" s="174">
        <v>45485</v>
      </c>
      <c r="C533" s="101">
        <v>22047826</v>
      </c>
      <c r="D533" s="101">
        <v>21805245</v>
      </c>
      <c r="E533" s="101">
        <v>242581</v>
      </c>
      <c r="F533" s="101">
        <v>98.9</v>
      </c>
      <c r="G533" s="101">
        <v>86372460</v>
      </c>
      <c r="H533" s="101">
        <v>63941988</v>
      </c>
      <c r="I533" s="101">
        <v>22430472</v>
      </c>
      <c r="J533" s="101">
        <v>74.03</v>
      </c>
      <c r="K533" s="101">
        <v>2334531</v>
      </c>
      <c r="L533" s="101">
        <v>2332426</v>
      </c>
      <c r="M533" s="101">
        <v>2105</v>
      </c>
      <c r="N533" s="101">
        <v>99.91</v>
      </c>
    </row>
    <row r="534" spans="2:14" hidden="1" x14ac:dyDescent="0.25">
      <c r="B534" s="174">
        <v>45486</v>
      </c>
      <c r="C534" s="101">
        <v>21508564</v>
      </c>
      <c r="D534" s="101">
        <v>21189601</v>
      </c>
      <c r="E534" s="101">
        <v>318963</v>
      </c>
      <c r="F534" s="101">
        <v>98.52</v>
      </c>
      <c r="G534" s="101">
        <v>98135598</v>
      </c>
      <c r="H534" s="101">
        <v>67260547</v>
      </c>
      <c r="I534" s="101">
        <v>30875051</v>
      </c>
      <c r="J534" s="101">
        <v>68.540000000000006</v>
      </c>
      <c r="K534" s="101">
        <v>1879662</v>
      </c>
      <c r="L534" s="101">
        <v>1878731</v>
      </c>
      <c r="M534" s="101">
        <v>931</v>
      </c>
      <c r="N534" s="101">
        <v>99.95</v>
      </c>
    </row>
    <row r="535" spans="2:14" hidden="1" x14ac:dyDescent="0.25">
      <c r="B535" s="174">
        <v>45487</v>
      </c>
      <c r="C535" s="101">
        <v>21108869</v>
      </c>
      <c r="D535" s="101">
        <v>20815673</v>
      </c>
      <c r="E535" s="101">
        <v>293196</v>
      </c>
      <c r="F535" s="101">
        <v>98.61</v>
      </c>
      <c r="G535" s="101">
        <v>69438029</v>
      </c>
      <c r="H535" s="101">
        <v>50443094</v>
      </c>
      <c r="I535" s="101">
        <v>18994935</v>
      </c>
      <c r="J535" s="101">
        <v>72.64</v>
      </c>
      <c r="K535" s="101">
        <v>1837508</v>
      </c>
      <c r="L535" s="101">
        <v>1836078</v>
      </c>
      <c r="M535" s="101">
        <v>1430</v>
      </c>
      <c r="N535" s="101">
        <v>99.92</v>
      </c>
    </row>
    <row r="536" spans="2:14" hidden="1" x14ac:dyDescent="0.25">
      <c r="B536" s="174">
        <v>45488</v>
      </c>
      <c r="C536" s="101">
        <v>22491113</v>
      </c>
      <c r="D536" s="101">
        <v>22229217</v>
      </c>
      <c r="E536" s="101">
        <v>261896</v>
      </c>
      <c r="F536" s="101">
        <v>98.84</v>
      </c>
      <c r="G536" s="101">
        <v>100152765</v>
      </c>
      <c r="H536" s="101">
        <v>70350401</v>
      </c>
      <c r="I536" s="101">
        <v>29802364</v>
      </c>
      <c r="J536" s="101">
        <v>70.239999999999995</v>
      </c>
      <c r="K536" s="101">
        <v>2891840</v>
      </c>
      <c r="L536" s="101">
        <v>2891036</v>
      </c>
      <c r="M536" s="101">
        <v>804</v>
      </c>
      <c r="N536" s="101">
        <v>99.97</v>
      </c>
    </row>
    <row r="537" spans="2:14" hidden="1" x14ac:dyDescent="0.25">
      <c r="B537" s="174">
        <v>45489</v>
      </c>
      <c r="C537" s="101">
        <v>22525914</v>
      </c>
      <c r="D537" s="101">
        <v>22210341</v>
      </c>
      <c r="E537" s="101">
        <v>315573</v>
      </c>
      <c r="F537" s="220">
        <v>98.6</v>
      </c>
      <c r="G537" s="101">
        <v>97033542</v>
      </c>
      <c r="H537" s="101">
        <v>73070060</v>
      </c>
      <c r="I537" s="101">
        <v>23963482</v>
      </c>
      <c r="J537" s="101">
        <v>75.3</v>
      </c>
      <c r="K537" s="101">
        <v>7535361</v>
      </c>
      <c r="L537" s="101">
        <v>7530508</v>
      </c>
      <c r="M537" s="101">
        <v>4853</v>
      </c>
      <c r="N537" s="101">
        <v>99.94</v>
      </c>
    </row>
    <row r="538" spans="2:14" hidden="1" x14ac:dyDescent="0.25">
      <c r="B538" s="174">
        <v>45490</v>
      </c>
      <c r="C538" s="101">
        <v>21939390</v>
      </c>
      <c r="D538" s="101">
        <v>21635035</v>
      </c>
      <c r="E538" s="101">
        <v>304355</v>
      </c>
      <c r="F538" s="220">
        <v>98.61</v>
      </c>
      <c r="G538" s="101">
        <v>107785517</v>
      </c>
      <c r="H538" s="101">
        <v>75233453</v>
      </c>
      <c r="I538" s="101">
        <v>32552064</v>
      </c>
      <c r="J538" s="101">
        <v>69.8</v>
      </c>
      <c r="K538" s="101">
        <v>8011105</v>
      </c>
      <c r="L538" s="101">
        <v>8009460</v>
      </c>
      <c r="M538" s="101">
        <v>1645</v>
      </c>
      <c r="N538" s="101">
        <v>99.98</v>
      </c>
    </row>
    <row r="539" spans="2:14" hidden="1" x14ac:dyDescent="0.25">
      <c r="B539" s="182">
        <v>45491</v>
      </c>
      <c r="C539" s="173">
        <v>22666456</v>
      </c>
      <c r="D539" s="173">
        <v>22339119</v>
      </c>
      <c r="E539" s="173">
        <v>327337</v>
      </c>
      <c r="F539" s="173">
        <v>98.56</v>
      </c>
      <c r="G539" s="173">
        <v>87931503</v>
      </c>
      <c r="H539" s="173">
        <v>62935723</v>
      </c>
      <c r="I539" s="173">
        <v>24995780</v>
      </c>
      <c r="J539" s="173">
        <v>71.569999999999993</v>
      </c>
      <c r="K539" s="173">
        <v>2614509</v>
      </c>
      <c r="L539" s="173">
        <v>2614032</v>
      </c>
      <c r="M539" s="173">
        <v>477</v>
      </c>
      <c r="N539" s="173">
        <v>99.98</v>
      </c>
    </row>
    <row r="540" spans="2:14" hidden="1" x14ac:dyDescent="0.25">
      <c r="B540" s="174">
        <v>45492</v>
      </c>
      <c r="C540" s="104">
        <v>22341742</v>
      </c>
      <c r="D540" s="104">
        <v>22026582</v>
      </c>
      <c r="E540" s="104">
        <v>315160</v>
      </c>
      <c r="F540" s="104">
        <v>98.59</v>
      </c>
      <c r="G540" s="104">
        <v>87200221</v>
      </c>
      <c r="H540" s="104">
        <v>62359317</v>
      </c>
      <c r="I540" s="104">
        <v>24840904</v>
      </c>
      <c r="J540" s="104">
        <v>71.510000000000005</v>
      </c>
      <c r="K540" s="104">
        <v>2369652</v>
      </c>
      <c r="L540" s="104">
        <v>2368985</v>
      </c>
      <c r="M540" s="104">
        <v>667</v>
      </c>
      <c r="N540" s="104">
        <v>99.97</v>
      </c>
    </row>
    <row r="541" spans="2:14" hidden="1" x14ac:dyDescent="0.25">
      <c r="B541" s="174">
        <v>45493</v>
      </c>
      <c r="C541" s="104">
        <v>21942676</v>
      </c>
      <c r="D541" s="104">
        <v>21637169</v>
      </c>
      <c r="E541" s="104">
        <v>305507</v>
      </c>
      <c r="F541" s="104">
        <v>98.61</v>
      </c>
      <c r="G541" s="104">
        <v>101130815</v>
      </c>
      <c r="H541" s="104">
        <v>66863299</v>
      </c>
      <c r="I541" s="104">
        <v>34267516</v>
      </c>
      <c r="J541" s="104">
        <v>66.12</v>
      </c>
      <c r="K541" s="104">
        <v>3006398</v>
      </c>
      <c r="L541" s="104">
        <v>3005615</v>
      </c>
      <c r="M541" s="104">
        <v>783</v>
      </c>
      <c r="N541" s="104">
        <v>99.97</v>
      </c>
    </row>
    <row r="542" spans="2:14" hidden="1" x14ac:dyDescent="0.25">
      <c r="B542" s="174">
        <v>45494</v>
      </c>
      <c r="C542" s="104">
        <v>22116552</v>
      </c>
      <c r="D542" s="104">
        <v>21796864</v>
      </c>
      <c r="E542" s="104">
        <v>319688</v>
      </c>
      <c r="F542" s="104">
        <v>98.55</v>
      </c>
      <c r="G542" s="104">
        <v>67147578</v>
      </c>
      <c r="H542" s="104">
        <v>48413710</v>
      </c>
      <c r="I542" s="104">
        <v>18733868</v>
      </c>
      <c r="J542" s="104">
        <v>72.099999999999994</v>
      </c>
      <c r="K542" s="104">
        <v>2154975</v>
      </c>
      <c r="L542" s="104">
        <v>2154749</v>
      </c>
      <c r="M542" s="104">
        <v>226</v>
      </c>
      <c r="N542" s="104">
        <v>99.99</v>
      </c>
    </row>
    <row r="543" spans="2:14" hidden="1" x14ac:dyDescent="0.25">
      <c r="B543" s="174">
        <v>45495</v>
      </c>
      <c r="C543" s="48">
        <v>22671345</v>
      </c>
      <c r="D543" s="104">
        <v>22363928</v>
      </c>
      <c r="E543" s="104">
        <v>307417</v>
      </c>
      <c r="F543" s="48">
        <v>98.64</v>
      </c>
      <c r="G543" s="48">
        <v>107060745</v>
      </c>
      <c r="H543" s="104">
        <v>75578771</v>
      </c>
      <c r="I543" s="104">
        <v>31481974</v>
      </c>
      <c r="J543" s="48">
        <v>70.59</v>
      </c>
      <c r="K543" s="48">
        <v>6483961</v>
      </c>
      <c r="L543" s="104">
        <v>6478325</v>
      </c>
      <c r="M543" s="104">
        <v>5636</v>
      </c>
      <c r="N543" s="48">
        <v>99.91</v>
      </c>
    </row>
    <row r="544" spans="2:14" hidden="1" x14ac:dyDescent="0.25">
      <c r="B544" s="174">
        <v>45496</v>
      </c>
      <c r="C544" s="48">
        <v>22545431</v>
      </c>
      <c r="D544" s="104">
        <v>22206595</v>
      </c>
      <c r="E544" s="104">
        <v>338836</v>
      </c>
      <c r="F544" s="48">
        <v>98.5</v>
      </c>
      <c r="G544" s="48">
        <v>107206733</v>
      </c>
      <c r="H544" s="104">
        <v>78940765</v>
      </c>
      <c r="I544" s="104">
        <v>28265968</v>
      </c>
      <c r="J544" s="48">
        <v>73.63</v>
      </c>
      <c r="K544" s="48">
        <v>9010214</v>
      </c>
      <c r="L544" s="104">
        <v>9008819</v>
      </c>
      <c r="M544" s="104">
        <v>1395</v>
      </c>
      <c r="N544" s="48">
        <v>99.98</v>
      </c>
    </row>
    <row r="545" spans="2:14" hidden="1" x14ac:dyDescent="0.25">
      <c r="B545" s="174">
        <v>45497</v>
      </c>
      <c r="C545" s="48">
        <v>21790489</v>
      </c>
      <c r="D545" s="104">
        <v>21453748</v>
      </c>
      <c r="E545" s="104">
        <v>336741</v>
      </c>
      <c r="F545" s="48">
        <v>98.45</v>
      </c>
      <c r="G545" s="48">
        <v>100087395</v>
      </c>
      <c r="H545" s="104">
        <v>68343712</v>
      </c>
      <c r="I545" s="104">
        <v>31743683</v>
      </c>
      <c r="J545" s="48">
        <v>68.28</v>
      </c>
      <c r="K545" s="48">
        <v>4375534</v>
      </c>
      <c r="L545" s="104">
        <v>4370022</v>
      </c>
      <c r="M545" s="104">
        <v>5512</v>
      </c>
      <c r="N545" s="48">
        <v>99.87</v>
      </c>
    </row>
    <row r="546" spans="2:14" hidden="1" x14ac:dyDescent="0.25">
      <c r="B546" s="174">
        <v>45498</v>
      </c>
      <c r="C546" s="48">
        <v>22597827</v>
      </c>
      <c r="D546" s="104">
        <v>22284502</v>
      </c>
      <c r="E546" s="104">
        <v>313325</v>
      </c>
      <c r="F546" s="48">
        <v>98.61</v>
      </c>
      <c r="G546" s="48">
        <v>99054965</v>
      </c>
      <c r="H546" s="104">
        <v>66052396</v>
      </c>
      <c r="I546" s="104">
        <v>33002569</v>
      </c>
      <c r="J546" s="48">
        <v>66.680000000000007</v>
      </c>
      <c r="K546" s="48">
        <v>2010887</v>
      </c>
      <c r="L546" s="104">
        <v>2009601</v>
      </c>
      <c r="M546" s="104">
        <v>1286</v>
      </c>
      <c r="N546" s="48">
        <v>99.94</v>
      </c>
    </row>
    <row r="547" spans="2:14" hidden="1" x14ac:dyDescent="0.25">
      <c r="B547" s="174">
        <v>45499</v>
      </c>
      <c r="C547" s="101">
        <v>22697300</v>
      </c>
      <c r="D547" s="101">
        <v>22359671</v>
      </c>
      <c r="E547" s="101">
        <v>337629</v>
      </c>
      <c r="F547" s="101">
        <v>98.51</v>
      </c>
      <c r="G547" s="101">
        <v>91379676</v>
      </c>
      <c r="H547" s="101">
        <v>65225791</v>
      </c>
      <c r="I547" s="101">
        <v>26153885</v>
      </c>
      <c r="J547" s="101">
        <v>71.38</v>
      </c>
      <c r="K547" s="101">
        <v>2179867</v>
      </c>
      <c r="L547" s="101">
        <v>2176903</v>
      </c>
      <c r="M547" s="101">
        <v>2964</v>
      </c>
      <c r="N547" s="101">
        <v>99.86</v>
      </c>
    </row>
    <row r="548" spans="2:14" hidden="1" x14ac:dyDescent="0.25">
      <c r="B548" s="174">
        <v>45500</v>
      </c>
      <c r="C548" s="101">
        <v>21959234</v>
      </c>
      <c r="D548" s="101">
        <v>21635077</v>
      </c>
      <c r="E548" s="101">
        <v>324157</v>
      </c>
      <c r="F548" s="101">
        <v>98.52</v>
      </c>
      <c r="G548" s="101">
        <v>105516595</v>
      </c>
      <c r="H548" s="101">
        <v>70358113</v>
      </c>
      <c r="I548" s="101">
        <v>35158482</v>
      </c>
      <c r="J548" s="101">
        <v>66.680000000000007</v>
      </c>
      <c r="K548" s="101">
        <v>2140060</v>
      </c>
      <c r="L548" s="101">
        <v>2139564</v>
      </c>
      <c r="M548" s="101">
        <v>496</v>
      </c>
      <c r="N548" s="101">
        <v>99.98</v>
      </c>
    </row>
    <row r="549" spans="2:14" hidden="1" x14ac:dyDescent="0.25">
      <c r="B549" s="174">
        <v>45501</v>
      </c>
      <c r="C549" s="101">
        <v>22361460</v>
      </c>
      <c r="D549" s="101">
        <v>22048733</v>
      </c>
      <c r="E549" s="101">
        <v>312727</v>
      </c>
      <c r="F549" s="101">
        <v>98.6</v>
      </c>
      <c r="G549" s="101">
        <v>59260739</v>
      </c>
      <c r="H549" s="101">
        <v>44547704</v>
      </c>
      <c r="I549" s="101">
        <v>14713035</v>
      </c>
      <c r="J549" s="101">
        <v>75.17</v>
      </c>
      <c r="K549" s="101">
        <v>1973100</v>
      </c>
      <c r="L549" s="101">
        <v>1972555</v>
      </c>
      <c r="M549" s="101">
        <v>545</v>
      </c>
      <c r="N549" s="101">
        <v>99.97</v>
      </c>
    </row>
    <row r="550" spans="2:14" hidden="1" x14ac:dyDescent="0.25">
      <c r="B550" s="174">
        <v>45502</v>
      </c>
      <c r="C550" s="101">
        <v>20562119</v>
      </c>
      <c r="D550" s="101">
        <v>20259119</v>
      </c>
      <c r="E550" s="101">
        <v>303000</v>
      </c>
      <c r="F550" s="101">
        <v>98.53</v>
      </c>
      <c r="G550" s="101">
        <v>91101478</v>
      </c>
      <c r="H550" s="101">
        <v>61835665</v>
      </c>
      <c r="I550" s="101">
        <v>29265813</v>
      </c>
      <c r="J550" s="101">
        <v>67.88</v>
      </c>
      <c r="K550" s="101">
        <v>2167198</v>
      </c>
      <c r="L550" s="101">
        <v>2166802</v>
      </c>
      <c r="M550" s="101">
        <v>396</v>
      </c>
      <c r="N550" s="101">
        <v>99.98</v>
      </c>
    </row>
    <row r="551" spans="2:14" hidden="1" x14ac:dyDescent="0.25">
      <c r="B551" s="182">
        <v>45503</v>
      </c>
      <c r="C551" s="173">
        <v>24127621</v>
      </c>
      <c r="D551" s="173">
        <v>23669520</v>
      </c>
      <c r="E551" s="173">
        <v>458101</v>
      </c>
      <c r="F551" s="173">
        <v>98.1</v>
      </c>
      <c r="G551" s="173">
        <v>88656221</v>
      </c>
      <c r="H551" s="173">
        <v>63327004</v>
      </c>
      <c r="I551" s="173">
        <v>25329217</v>
      </c>
      <c r="J551" s="173">
        <v>71.430000000000007</v>
      </c>
      <c r="K551" s="173">
        <v>2090150</v>
      </c>
      <c r="L551" s="173">
        <v>2088637</v>
      </c>
      <c r="M551" s="173">
        <v>1513</v>
      </c>
      <c r="N551" s="173">
        <v>99.93</v>
      </c>
    </row>
    <row r="552" spans="2:14" hidden="1" x14ac:dyDescent="0.25">
      <c r="B552" s="174">
        <v>45504</v>
      </c>
      <c r="C552" s="104">
        <v>22216378</v>
      </c>
      <c r="D552" s="104">
        <v>21873133</v>
      </c>
      <c r="E552" s="104">
        <v>343245</v>
      </c>
      <c r="F552" s="104">
        <v>98.45</v>
      </c>
      <c r="G552" s="104">
        <v>98579396</v>
      </c>
      <c r="H552" s="104">
        <v>67353628</v>
      </c>
      <c r="I552" s="104">
        <v>31225768</v>
      </c>
      <c r="J552" s="104">
        <v>68.319999999999993</v>
      </c>
      <c r="K552" s="104">
        <v>1942044</v>
      </c>
      <c r="L552" s="104">
        <v>1939816</v>
      </c>
      <c r="M552" s="104">
        <v>2228</v>
      </c>
      <c r="N552" s="104">
        <v>99.89</v>
      </c>
    </row>
    <row r="553" spans="2:14" hidden="1" x14ac:dyDescent="0.25">
      <c r="B553" s="174">
        <v>45505</v>
      </c>
      <c r="C553" s="104">
        <v>22352426</v>
      </c>
      <c r="D553" s="104">
        <v>22023703</v>
      </c>
      <c r="E553" s="104">
        <v>328723</v>
      </c>
      <c r="F553" s="104">
        <v>98.53</v>
      </c>
      <c r="G553" s="104">
        <v>90229718</v>
      </c>
      <c r="H553" s="104">
        <v>65326023</v>
      </c>
      <c r="I553" s="104">
        <v>24903695</v>
      </c>
      <c r="J553" s="104">
        <v>72.400000000000006</v>
      </c>
      <c r="K553" s="104">
        <v>1546780</v>
      </c>
      <c r="L553" s="104">
        <v>1545409</v>
      </c>
      <c r="M553" s="104">
        <v>1371</v>
      </c>
      <c r="N553" s="104">
        <v>99.91</v>
      </c>
    </row>
    <row r="554" spans="2:14" hidden="1" x14ac:dyDescent="0.25">
      <c r="B554" s="174">
        <v>45506</v>
      </c>
      <c r="C554" s="48">
        <v>22216378</v>
      </c>
      <c r="D554" s="48">
        <v>21873133</v>
      </c>
      <c r="E554" s="48">
        <v>343245</v>
      </c>
      <c r="F554" s="48">
        <v>98.45</v>
      </c>
      <c r="G554" s="48">
        <v>98579396</v>
      </c>
      <c r="H554" s="48">
        <v>67353628</v>
      </c>
      <c r="I554" s="48">
        <v>31225768</v>
      </c>
      <c r="J554" s="48">
        <v>68.319999999999993</v>
      </c>
      <c r="K554" s="48">
        <v>1942044</v>
      </c>
      <c r="L554" s="48">
        <v>1939816</v>
      </c>
      <c r="M554" s="48">
        <v>2228</v>
      </c>
      <c r="N554" s="48">
        <v>99.89</v>
      </c>
    </row>
    <row r="555" spans="2:14" hidden="1" x14ac:dyDescent="0.25">
      <c r="B555" s="174">
        <v>45507</v>
      </c>
      <c r="C555" s="48">
        <v>20951529</v>
      </c>
      <c r="D555" s="48">
        <v>20632191</v>
      </c>
      <c r="E555" s="48">
        <v>319338</v>
      </c>
      <c r="F555" s="48">
        <v>98.48</v>
      </c>
      <c r="G555" s="48">
        <v>91708602</v>
      </c>
      <c r="H555" s="48">
        <v>61438548</v>
      </c>
      <c r="I555" s="48">
        <v>30270054</v>
      </c>
      <c r="J555" s="48">
        <v>66.989999999999995</v>
      </c>
      <c r="K555" s="48">
        <v>1393713</v>
      </c>
      <c r="L555" s="48">
        <v>1391517</v>
      </c>
      <c r="M555" s="48">
        <v>2196</v>
      </c>
      <c r="N555" s="48">
        <v>99.84</v>
      </c>
    </row>
    <row r="556" spans="2:14" hidden="1" x14ac:dyDescent="0.25">
      <c r="B556" s="174">
        <v>45508</v>
      </c>
      <c r="C556" s="48">
        <v>21587675</v>
      </c>
      <c r="D556" s="48">
        <v>21255108</v>
      </c>
      <c r="E556" s="48">
        <v>332567</v>
      </c>
      <c r="F556" s="48">
        <v>98.46</v>
      </c>
      <c r="G556" s="48">
        <v>51623524</v>
      </c>
      <c r="H556" s="48">
        <v>40414721</v>
      </c>
      <c r="I556" s="48">
        <v>11208803</v>
      </c>
      <c r="J556" s="48">
        <v>78.290000000000006</v>
      </c>
      <c r="K556" s="48">
        <v>1496890</v>
      </c>
      <c r="L556" s="48">
        <v>1496312</v>
      </c>
      <c r="M556" s="48">
        <v>578</v>
      </c>
      <c r="N556" s="48">
        <v>99.96</v>
      </c>
    </row>
    <row r="557" spans="2:14" hidden="1" x14ac:dyDescent="0.25">
      <c r="B557" s="174">
        <v>45509</v>
      </c>
      <c r="C557" s="48">
        <v>22295529</v>
      </c>
      <c r="D557" s="104">
        <v>21997240</v>
      </c>
      <c r="E557" s="104">
        <v>298289</v>
      </c>
      <c r="F557" s="48">
        <v>98.66</v>
      </c>
      <c r="G557" s="48">
        <v>91866493</v>
      </c>
      <c r="H557" s="104">
        <v>64467941</v>
      </c>
      <c r="I557" s="104">
        <v>27398552</v>
      </c>
      <c r="J557" s="48">
        <v>70.180000000000007</v>
      </c>
      <c r="K557" s="48">
        <v>1990816</v>
      </c>
      <c r="L557" s="104">
        <v>1990515</v>
      </c>
      <c r="M557" s="104">
        <v>301</v>
      </c>
      <c r="N557" s="48">
        <v>99.98</v>
      </c>
    </row>
    <row r="558" spans="2:14" x14ac:dyDescent="0.25">
      <c r="B558" s="174">
        <v>45510</v>
      </c>
      <c r="C558" s="48">
        <v>22034812</v>
      </c>
      <c r="D558" s="104">
        <v>21706805</v>
      </c>
      <c r="E558" s="104">
        <v>328007</v>
      </c>
      <c r="F558" s="48">
        <v>98.51</v>
      </c>
      <c r="G558" s="48">
        <v>90185890</v>
      </c>
      <c r="H558" s="104">
        <v>64155070</v>
      </c>
      <c r="I558" s="104">
        <v>26030820</v>
      </c>
      <c r="J558" s="48">
        <v>71.14</v>
      </c>
      <c r="K558" s="48">
        <v>1537319</v>
      </c>
      <c r="L558" s="104">
        <v>1536998</v>
      </c>
      <c r="M558" s="104">
        <v>321</v>
      </c>
      <c r="N558" s="48">
        <v>99.98</v>
      </c>
    </row>
    <row r="559" spans="2:14" x14ac:dyDescent="0.25">
      <c r="B559" s="174">
        <v>45511</v>
      </c>
      <c r="C559" s="48">
        <v>22036941</v>
      </c>
      <c r="D559" s="104">
        <v>21688056</v>
      </c>
      <c r="E559" s="104">
        <v>348885</v>
      </c>
      <c r="F559" s="48">
        <v>98.42</v>
      </c>
      <c r="G559" s="48">
        <v>105270909</v>
      </c>
      <c r="H559" s="104">
        <v>73384322</v>
      </c>
      <c r="I559" s="104">
        <v>31886587</v>
      </c>
      <c r="J559" s="48">
        <v>69.709999999999994</v>
      </c>
      <c r="K559" s="48">
        <v>4935372</v>
      </c>
      <c r="L559" s="104">
        <v>4933358</v>
      </c>
      <c r="M559" s="104">
        <v>2014</v>
      </c>
      <c r="N559" s="48">
        <v>99.96</v>
      </c>
    </row>
    <row r="560" spans="2:14" x14ac:dyDescent="0.25">
      <c r="B560" s="174">
        <v>45512</v>
      </c>
      <c r="C560" s="48">
        <v>22038960</v>
      </c>
      <c r="D560" s="104">
        <v>21702465</v>
      </c>
      <c r="E560" s="104">
        <v>336495</v>
      </c>
      <c r="F560" s="48">
        <v>98.47</v>
      </c>
      <c r="G560" s="48">
        <v>117255980</v>
      </c>
      <c r="H560" s="104">
        <v>82343836</v>
      </c>
      <c r="I560" s="104">
        <v>34912144</v>
      </c>
      <c r="J560" s="48">
        <v>70.23</v>
      </c>
      <c r="K560" s="48">
        <v>7315857</v>
      </c>
      <c r="L560" s="104">
        <v>7304758</v>
      </c>
      <c r="M560" s="104">
        <v>11099</v>
      </c>
      <c r="N560" s="48">
        <v>99.85</v>
      </c>
    </row>
    <row r="561" spans="2:14" x14ac:dyDescent="0.25">
      <c r="B561" s="174">
        <v>45513</v>
      </c>
      <c r="C561" s="48">
        <v>22377103</v>
      </c>
      <c r="D561" s="48">
        <v>22050514</v>
      </c>
      <c r="E561" s="48">
        <v>326589</v>
      </c>
      <c r="F561" s="48">
        <v>98.54</v>
      </c>
      <c r="G561" s="48">
        <v>91667098</v>
      </c>
      <c r="H561" s="48">
        <v>65711529</v>
      </c>
      <c r="I561" s="48">
        <v>25955569</v>
      </c>
      <c r="J561" s="48">
        <v>71.680000000000007</v>
      </c>
      <c r="K561" s="48">
        <v>2032122</v>
      </c>
      <c r="L561" s="48">
        <v>2030384</v>
      </c>
      <c r="M561" s="48">
        <v>1738</v>
      </c>
      <c r="N561" s="48">
        <v>99.91</v>
      </c>
    </row>
    <row r="562" spans="2:14" x14ac:dyDescent="0.25">
      <c r="B562" s="174">
        <v>45514</v>
      </c>
      <c r="C562" s="48">
        <v>21781150</v>
      </c>
      <c r="D562" s="48">
        <v>21399753</v>
      </c>
      <c r="E562" s="48">
        <v>381397</v>
      </c>
      <c r="F562" s="48">
        <v>98.25</v>
      </c>
      <c r="G562" s="48">
        <v>96705920</v>
      </c>
      <c r="H562" s="48">
        <v>65692028</v>
      </c>
      <c r="I562" s="48">
        <v>31013892</v>
      </c>
      <c r="J562" s="48">
        <v>67.930000000000007</v>
      </c>
      <c r="K562" s="48">
        <v>1899876</v>
      </c>
      <c r="L562" s="48">
        <v>1899504</v>
      </c>
      <c r="M562" s="48">
        <v>372</v>
      </c>
      <c r="N562" s="48">
        <v>99.98</v>
      </c>
    </row>
    <row r="563" spans="2:14" x14ac:dyDescent="0.25">
      <c r="B563" s="174">
        <v>45515</v>
      </c>
      <c r="C563" s="48">
        <v>22465596</v>
      </c>
      <c r="D563" s="48">
        <v>22094485</v>
      </c>
      <c r="E563" s="48">
        <v>371111</v>
      </c>
      <c r="F563" s="48">
        <v>98.34</v>
      </c>
      <c r="G563" s="48">
        <v>65736278</v>
      </c>
      <c r="H563" s="48">
        <v>48888858</v>
      </c>
      <c r="I563" s="48">
        <v>16847420</v>
      </c>
      <c r="J563" s="48">
        <v>74.37</v>
      </c>
      <c r="K563" s="48">
        <v>1763702</v>
      </c>
      <c r="L563" s="48">
        <v>1763340</v>
      </c>
      <c r="M563" s="48">
        <v>362</v>
      </c>
      <c r="N563" s="48">
        <v>99.97</v>
      </c>
    </row>
  </sheetData>
  <mergeCells count="31">
    <mergeCell ref="M8:N8"/>
    <mergeCell ref="M10:N10"/>
    <mergeCell ref="M11:N11"/>
    <mergeCell ref="M30:N30"/>
    <mergeCell ref="M27:N27"/>
    <mergeCell ref="M20:N20"/>
    <mergeCell ref="M28:N28"/>
    <mergeCell ref="M29:N29"/>
    <mergeCell ref="M22:N22"/>
    <mergeCell ref="M23:N23"/>
    <mergeCell ref="M24:N24"/>
    <mergeCell ref="M25:N25"/>
    <mergeCell ref="M26:N26"/>
    <mergeCell ref="M16:N16"/>
    <mergeCell ref="M18:N18"/>
    <mergeCell ref="B1:N3"/>
    <mergeCell ref="G4:N4"/>
    <mergeCell ref="M6:N6"/>
    <mergeCell ref="M7:N7"/>
    <mergeCell ref="M21:N21"/>
    <mergeCell ref="B4:F4"/>
    <mergeCell ref="J14:L14"/>
    <mergeCell ref="G14:I14"/>
    <mergeCell ref="M5:N5"/>
    <mergeCell ref="M12:N12"/>
    <mergeCell ref="M14:N14"/>
    <mergeCell ref="M15:N15"/>
    <mergeCell ref="M9:N9"/>
    <mergeCell ref="G13:N13"/>
    <mergeCell ref="M17:N17"/>
    <mergeCell ref="M19:N19"/>
  </mergeCells>
  <phoneticPr fontId="7" type="noConversion"/>
  <conditionalFormatting sqref="L16:L30">
    <cfRule type="cellIs" dxfId="233" priority="301" operator="lessThan">
      <formula>5280</formula>
    </cfRule>
    <cfRule type="cellIs" dxfId="232" priority="302" operator="greaterThan">
      <formula>5280</formula>
    </cfRule>
  </conditionalFormatting>
  <conditionalFormatting sqref="H6:H12">
    <cfRule type="cellIs" dxfId="231" priority="3" operator="lessThan">
      <formula>99</formula>
    </cfRule>
    <cfRule type="cellIs" dxfId="230" priority="4" operator="greaterThan">
      <formula>99</formula>
    </cfRule>
  </conditionalFormatting>
  <conditionalFormatting sqref="I6:I8">
    <cfRule type="cellIs" dxfId="229" priority="7" operator="lessThan">
      <formula>99</formula>
    </cfRule>
    <cfRule type="cellIs" dxfId="228" priority="8" operator="greaterThan">
      <formula>99</formula>
    </cfRule>
  </conditionalFormatting>
  <conditionalFormatting sqref="I10:I12">
    <cfRule type="cellIs" dxfId="227" priority="5" operator="lessThan">
      <formula>99</formula>
    </cfRule>
    <cfRule type="cellIs" dxfId="226" priority="6" operator="greaterThan">
      <formula>99</formula>
    </cfRule>
  </conditionalFormatting>
  <conditionalFormatting sqref="I6:L12">
    <cfRule type="cellIs" dxfId="225" priority="1" operator="lessThan">
      <formula>99</formula>
    </cfRule>
    <cfRule type="cellIs" dxfId="224" priority="2" operator="greaterThan">
      <formula>99</formula>
    </cfRule>
  </conditionalFormatting>
  <conditionalFormatting sqref="K8">
    <cfRule type="cellIs" dxfId="223" priority="9" operator="lessThan">
      <formula>99</formula>
    </cfRule>
    <cfRule type="cellIs" dxfId="222" priority="10" operator="greaterThan">
      <formula>99</formula>
    </cfRule>
  </conditionalFormatting>
  <hyperlinks>
    <hyperlink ref="E46" r:id="rId1" tooltip="Click to Error Stats Daily" display="https://10.18.41.38:11100/omega/createHTMLFile.mis?__report=error_desc_main_stats_yearly.rptdesign&amp;__overwrite=true&amp;msg_type=%5B1%5D&amp;hour=%5B-%5D&amp;day=%5B2020-01-04%5D" xr:uid="{00000000-0004-0000-0000-000000000000}"/>
    <hyperlink ref="I46" r:id="rId2" tooltip="Click to Error Stats" display="https://10.18.41.38:11100/omega/createHTMLFile.mis?__report=error_desc_main_stats_yearly.rptdesign&amp;__overwrite=true&amp;msg_type=%5B3%5D&amp;hour=%5B-%5D&amp;day=%5B2020-01-04%5D" xr:uid="{00000000-0004-0000-0000-000001000000}"/>
    <hyperlink ref="M46" r:id="rId3" tooltip="Click to Error Stats" display="https://10.18.41.38:11100/omega/createHTMLFile.mis?__report=error_desc_main_stats_yearly.rptdesign&amp;__overwrite=true&amp;msg_type=%5B2%5D&amp;hour=%5B-%5D&amp;day=%5B2020-01-04%5D" xr:uid="{00000000-0004-0000-0000-000002000000}"/>
    <hyperlink ref="E45" r:id="rId4" tooltip="Click to Error Stats Daily" display="https://10.18.41.38:11100/omega/createHTMLFile.mis?__report=error_desc_main_stats_yearly.rptdesign&amp;__overwrite=true&amp;msg_type=%5B1%5D&amp;hour=%5B-%5D&amp;day=%5B2020-01-03%5D" xr:uid="{00000000-0004-0000-0000-000003000000}"/>
    <hyperlink ref="I45" r:id="rId5" tooltip="Click to Error Stats" display="https://10.18.41.38:11100/omega/createHTMLFile.mis?__report=error_desc_main_stats_yearly.rptdesign&amp;__overwrite=true&amp;msg_type=%5B3%5D&amp;hour=%5B-%5D&amp;day=%5B2020-01-03%5D" xr:uid="{00000000-0004-0000-0000-000004000000}"/>
    <hyperlink ref="M45" r:id="rId6" tooltip="Click to Error Stats" display="https://10.18.41.38:11100/omega/createHTMLFile.mis?__report=error_desc_main_stats_yearly.rptdesign&amp;__overwrite=true&amp;msg_type=%5B2%5D&amp;hour=%5B-%5D&amp;day=%5B2020-01-03%5D" xr:uid="{00000000-0004-0000-0000-000005000000}"/>
    <hyperlink ref="E48" r:id="rId7" tooltip="Click to Error Stats Daily" display="https://10.18.41.38:11100/omega/createHTMLFile.mis?__report=error_desc_main_stats_yearly.rptdesign&amp;__overwrite=true&amp;msg_type=%5B1%5D&amp;hour=%5B-%5D&amp;day=%5B2020-01-06%5D" xr:uid="{00000000-0004-0000-0000-000006000000}"/>
    <hyperlink ref="I48" r:id="rId8" tooltip="Click to Error Stats" display="https://10.18.41.38:11100/omega/createHTMLFile.mis?__report=error_desc_main_stats_yearly.rptdesign&amp;__overwrite=true&amp;msg_type=%5B3%5D&amp;hour=%5B-%5D&amp;day=%5B2020-01-06%5D" xr:uid="{00000000-0004-0000-0000-000007000000}"/>
    <hyperlink ref="E49" r:id="rId9" tooltip="Click to Error Stats Daily" display="https://10.18.41.38:11100/omega/createHTMLFile.mis?__report=error_desc_main_stats_yearly.rptdesign&amp;__overwrite=true&amp;msg_type=%5B1%5D&amp;hour=%5B-%5D&amp;day=%5B2020-01-07%5D" xr:uid="{00000000-0004-0000-0000-000008000000}"/>
    <hyperlink ref="I49" r:id="rId10" tooltip="Click to Error Stats" display="https://10.18.41.38:11100/omega/createHTMLFile.mis?__report=error_desc_main_stats_yearly.rptdesign&amp;__overwrite=true&amp;msg_type=%5B3%5D&amp;hour=%5B-%5D&amp;day=%5B2020-01-07%5D" xr:uid="{00000000-0004-0000-0000-000009000000}"/>
    <hyperlink ref="E50" r:id="rId11" tooltip="Click to Error Stats Daily" display="https://10.18.41.38:11100/omega/createHTMLFile.mis?__report=error_desc_main_stats_yearly.rptdesign&amp;__overwrite=true&amp;msg_type=%5B1%5D&amp;hour=%5B-%5D&amp;day=%5B2020-01-08%5D" xr:uid="{00000000-0004-0000-0000-00000A000000}"/>
    <hyperlink ref="I50" r:id="rId12" tooltip="Click to Error Stats" display="https://10.18.41.38:11100/omega/createHTMLFile.mis?__report=error_desc_main_stats_yearly.rptdesign&amp;__overwrite=true&amp;msg_type=%5B3%5D&amp;hour=%5B-%5D&amp;day=%5B2020-01-08%5D" xr:uid="{00000000-0004-0000-0000-00000B000000}"/>
    <hyperlink ref="E51" r:id="rId13" tooltip="Click to Error Stats Daily" display="https://10.18.41.38:11100/omega/createHTMLFile.mis?__report=error_desc_main_stats_yearly.rptdesign&amp;__overwrite=true&amp;msg_type=%5B1%5D&amp;hour=%5B-%5D&amp;day=%5B2020-01-09%5D" xr:uid="{00000000-0004-0000-0000-00000C000000}"/>
    <hyperlink ref="I51" r:id="rId14" tooltip="Click to Error Stats" display="https://10.18.41.38:11100/omega/createHTMLFile.mis?__report=error_desc_main_stats_yearly.rptdesign&amp;__overwrite=true&amp;msg_type=%5B3%5D&amp;hour=%5B-%5D&amp;day=%5B2020-01-09%5D" xr:uid="{00000000-0004-0000-0000-00000D000000}"/>
    <hyperlink ref="E52" r:id="rId15" tooltip="Click to Error Stats Daily" display="https://10.18.41.38:11100/omega/createHTMLFile.mis?__report=error_desc_main_stats_yearly.rptdesign&amp;__overwrite=true&amp;msg_type=%5B1%5D&amp;hour=%5B-%5D&amp;day=%5B2020-01-10%5D" xr:uid="{00000000-0004-0000-0000-00000E000000}"/>
    <hyperlink ref="I52" r:id="rId16" tooltip="Click to Error Stats" display="https://10.18.41.38:11100/omega/createHTMLFile.mis?__report=error_desc_main_stats_yearly.rptdesign&amp;__overwrite=true&amp;msg_type=%5B3%5D&amp;hour=%5B-%5D&amp;day=%5B2020-01-10%5D" xr:uid="{00000000-0004-0000-0000-00000F000000}"/>
    <hyperlink ref="E53" r:id="rId17" tooltip="Click to Error Stats Daily" display="https://10.18.41.38:11100/omega/createHTMLFile.mis?__report=error_desc_main_stats_yearly.rptdesign&amp;__overwrite=true&amp;msg_type=%5B1%5D&amp;hour=%5B-%5D&amp;day=%5B2020-01-11%5D" xr:uid="{00000000-0004-0000-0000-000010000000}"/>
    <hyperlink ref="I53" r:id="rId18" tooltip="Click to Error Stats" display="https://10.18.41.38:11100/omega/createHTMLFile.mis?__report=error_desc_main_stats_yearly.rptdesign&amp;__overwrite=true&amp;msg_type=%5B3%5D&amp;hour=%5B-%5D&amp;day=%5B2020-01-11%5D" xr:uid="{00000000-0004-0000-0000-000011000000}"/>
    <hyperlink ref="I54" r:id="rId19" tooltip="Click to Error Stats" display="https://10.18.41.38:11100/omega/createHTMLFile.mis?__report=error_desc_main_stats_yearly.rptdesign&amp;__overwrite=true&amp;msg_type=%5B3%5D&amp;hour=%5B-%5D&amp;day=%5B2020-01-12%5D" xr:uid="{00000000-0004-0000-0000-000012000000}"/>
    <hyperlink ref="E54" r:id="rId20" tooltip="Click to Error Stats Daily" display="https://10.18.41.38:11100/omega/createHTMLFile.mis?__report=error_desc_main_stats_yearly.rptdesign&amp;__overwrite=true&amp;msg_type=%5B1%5D&amp;hour=%5B-%5D&amp;day=%5B2020-01-12%5D" xr:uid="{00000000-0004-0000-0000-000013000000}"/>
    <hyperlink ref="E55" r:id="rId21" tooltip="Click to Error Stats Daily" display="https://10.18.41.38:11100/omega/createHTMLFile.mis?__report=error_desc_main_stats_yearly.rptdesign&amp;__overwrite=true&amp;msg_type=%5B1%5D&amp;hour=%5B-%5D&amp;day=%5B2020-01-13%5D" xr:uid="{00000000-0004-0000-0000-000014000000}"/>
    <hyperlink ref="I55" r:id="rId22" tooltip="Click to Error Stats" display="https://10.18.41.38:11100/omega/createHTMLFile.mis?__report=error_desc_main_stats_yearly.rptdesign&amp;__overwrite=true&amp;msg_type=%5B3%5D&amp;hour=%5B-%5D&amp;day=%5B2020-01-13%5D" xr:uid="{00000000-0004-0000-0000-000015000000}"/>
    <hyperlink ref="E56" r:id="rId23" tooltip="Click to Error Stats Daily" display="https://10.18.41.38:11100/omega/createHTMLFile.mis?__report=error_desc_main_stats_yearly.rptdesign&amp;__overwrite=true&amp;msg_type=%5B1%5D&amp;hour=%5B-%5D&amp;day=%5B2020-01-14%5D" xr:uid="{00000000-0004-0000-0000-000016000000}"/>
    <hyperlink ref="I56" r:id="rId24" tooltip="Click to Error Stats" display="https://10.18.41.38:11100/omega/createHTMLFile.mis?__report=error_desc_main_stats_yearly.rptdesign&amp;__overwrite=true&amp;msg_type=%5B3%5D&amp;hour=%5B-%5D&amp;day=%5B2020-01-14%5D" xr:uid="{00000000-0004-0000-0000-000017000000}"/>
    <hyperlink ref="E57" r:id="rId25" tooltip="Click to Error Stats Daily" display="https://10.18.41.38:11100/omega/createHTMLFile.mis?__report=error_desc_main_stats_yearly.rptdesign&amp;__overwrite=true&amp;msg_type=%5B1%5D&amp;hour=%5B-%5D&amp;day=%5B2020-01-15%5D" xr:uid="{00000000-0004-0000-0000-000018000000}"/>
    <hyperlink ref="I57" r:id="rId26" tooltip="Click to Error Stats" display="https://10.18.41.38:11100/omega/createHTMLFile.mis?__report=error_desc_main_stats_yearly.rptdesign&amp;__overwrite=true&amp;msg_type=%5B3%5D&amp;hour=%5B-%5D&amp;day=%5B2020-01-15%5D" xr:uid="{00000000-0004-0000-0000-000019000000}"/>
    <hyperlink ref="M57" r:id="rId27" tooltip="Click to Error Stats" display="https://10.18.41.38:11100/omega/createHTMLFile.mis?__report=error_desc_main_stats_yearly.rptdesign&amp;__overwrite=true&amp;msg_type=%5B2%5D&amp;hour=%5B-%5D&amp;day=%5B2020-01-15%5D" xr:uid="{00000000-0004-0000-0000-00001A000000}"/>
    <hyperlink ref="M58" r:id="rId28" tooltip="Click to Error Stats" display="https://10.18.41.38:11100/omega/createHTMLFile.mis?__report=error_desc_main_stats_yearly.rptdesign&amp;__overwrite=true&amp;msg_type=%5B2%5D&amp;hour=%5B-%5D&amp;day=%5B2020-01-16%5D" xr:uid="{00000000-0004-0000-0000-00001B000000}"/>
    <hyperlink ref="I58" r:id="rId29" tooltip="Click to Error Stats" display="https://10.18.41.38:11100/omega/createHTMLFile.mis?__report=error_desc_main_stats_yearly.rptdesign&amp;__overwrite=true&amp;msg_type=%5B3%5D&amp;hour=%5B-%5D&amp;day=%5B2020-01-16%5D" xr:uid="{00000000-0004-0000-0000-00001C000000}"/>
    <hyperlink ref="E58" r:id="rId30" tooltip="Click to Error Stats Daily" display="https://10.18.41.38:11100/omega/createHTMLFile.mis?__report=error_desc_main_stats_yearly.rptdesign&amp;__overwrite=true&amp;msg_type=%5B1%5D&amp;hour=%5B-%5D&amp;day=%5B2020-01-16%5D" xr:uid="{00000000-0004-0000-0000-00001D000000}"/>
    <hyperlink ref="M62" r:id="rId31" tooltip="Click to Error Stats" display="https://10.18.41.38:11100/omega/createHTMLFile.mis?__report=error_desc_main_stats_yearly.rptdesign&amp;__overwrite=true&amp;msg_type=%5B2%5D&amp;hour=%5B-%5D&amp;day=%5B2020-01-20%5D" xr:uid="{00000000-0004-0000-0000-00001E000000}"/>
    <hyperlink ref="E62" r:id="rId32" tooltip="Click to Error Stats Daily" display="https://10.18.41.38:11100/omega/createHTMLFile.mis?__report=error_desc_main_stats_yearly.rptdesign&amp;__overwrite=true&amp;msg_type=%5B1%5D&amp;hour=%5B-%5D&amp;day=%5B2020-01-20%5D" xr:uid="{00000000-0004-0000-0000-00001F000000}"/>
    <hyperlink ref="I62" r:id="rId33" tooltip="Click to Error Stats" display="https://10.18.41.38:11100/omega/createHTMLFile.mis?__report=error_desc_main_stats_yearly.rptdesign&amp;__overwrite=true&amp;msg_type=%5B3%5D&amp;hour=%5B-%5D&amp;day=%5B2020-01-20%5D" xr:uid="{00000000-0004-0000-0000-000020000000}"/>
    <hyperlink ref="E66" r:id="rId34" tooltip="Click to Error Stats Daily" display="https://10.18.41.38:11100/omega/createHTMLFile.mis?__report=error_desc_main_stats_yearly.rptdesign&amp;__overwrite=true&amp;msg_type=%5B1%5D&amp;hour=%5B-%5D&amp;day=%5B2020-01-24%5D" xr:uid="{00000000-0004-0000-0000-000021000000}"/>
    <hyperlink ref="I66" r:id="rId35" tooltip="Click to Error Stats" display="https://10.18.41.38:11100/omega/createHTMLFile.mis?__report=error_desc_main_stats_yearly.rptdesign&amp;__overwrite=true&amp;msg_type=%5B3%5D&amp;hour=%5B-%5D&amp;day=%5B2020-01-24%5D" xr:uid="{00000000-0004-0000-0000-000022000000}"/>
    <hyperlink ref="E67" r:id="rId36" tooltip="Click to Error Stats Daily" display="https://10.18.41.38:11100/omega/createHTMLFile.mis?__report=error_desc_main_stats_yearly.rptdesign&amp;__overwrite=true&amp;msg_type=%5B1%5D&amp;hour=%5B-%5D&amp;day=%5B2020-01-25%5D" xr:uid="{00000000-0004-0000-0000-000023000000}"/>
    <hyperlink ref="I67" r:id="rId37" tooltip="Click to Error Stats" display="https://10.18.41.38:11100/omega/createHTMLFile.mis?__report=error_desc_main_stats_yearly.rptdesign&amp;__overwrite=true&amp;msg_type=%5B3%5D&amp;hour=%5B-%5D&amp;day=%5B2020-01-25%5D" xr:uid="{00000000-0004-0000-0000-000024000000}"/>
    <hyperlink ref="M67" r:id="rId38" tooltip="Click to Error Stats" display="https://10.18.41.38:11100/omega/createHTMLFile.mis?__report=error_desc_main_stats_yearly.rptdesign&amp;__overwrite=true&amp;msg_type=%5B2%5D&amp;hour=%5B-%5D&amp;day=%5B2020-01-25%5D" xr:uid="{00000000-0004-0000-0000-000025000000}"/>
    <hyperlink ref="E68" r:id="rId39" tooltip="Click to Error Stats Daily" display="https://10.18.41.38:11100/omega/createHTMLFile.mis?__report=error_desc_main_stats_yearly.rptdesign&amp;__overwrite=true&amp;msg_type=%5B1%5D&amp;hour=%5B-%5D&amp;day=%5B2020-01-26%5D" xr:uid="{00000000-0004-0000-0000-000026000000}"/>
    <hyperlink ref="I68" r:id="rId40" tooltip="Click to Error Stats" display="https://10.18.41.38:11100/omega/createHTMLFile.mis?__report=error_desc_main_stats_yearly.rptdesign&amp;__overwrite=true&amp;msg_type=%5B3%5D&amp;hour=%5B-%5D&amp;day=%5B2020-01-26%5D" xr:uid="{00000000-0004-0000-0000-000027000000}"/>
    <hyperlink ref="I69" r:id="rId41" tooltip="Click to Error Stats" display="https://10.18.41.38:11100/omega/createHTMLFile.mis?__report=error_desc_main_stats_yearly.rptdesign&amp;__overwrite=true&amp;msg_type=%5B3%5D&amp;hour=%5B-%5D&amp;day=%5B2020-01-27%5D" xr:uid="{00000000-0004-0000-0000-000028000000}"/>
    <hyperlink ref="M69" r:id="rId42" tooltip="Click to Error Stats" display="https://10.18.41.38:11100/omega/createHTMLFile.mis?__report=error_desc_main_stats_yearly.rptdesign&amp;__overwrite=true&amp;msg_type=%5B2%5D&amp;hour=%5B-%5D&amp;day=%5B2020-01-27%5D" xr:uid="{00000000-0004-0000-0000-000029000000}"/>
    <hyperlink ref="E69" r:id="rId43" tooltip="Click to Error Stats Daily" display="https://10.18.41.38:11100/omega/createHTMLFile.mis?__report=error_desc_main_stats_yearly.rptdesign&amp;__overwrite=true&amp;msg_type=%5B1%5D&amp;hour=%5B-%5D&amp;day=%5B2020-01-27%5D" xr:uid="{00000000-0004-0000-0000-00002A000000}"/>
    <hyperlink ref="M70" r:id="rId44" tooltip="Click to Error Stats" display="https://10.18.41.38:11100/omega/createHTMLFile.mis?__report=error_desc_main_stats_yearly.rptdesign&amp;__overwrite=true&amp;msg_type=%5B2%5D&amp;hour=%5B-%5D&amp;day=%5B2020-01-28%5D" xr:uid="{00000000-0004-0000-0000-00002B000000}"/>
    <hyperlink ref="E70" r:id="rId45" tooltip="Click to Error Stats Daily" display="https://10.18.41.38:11100/omega/createHTMLFile.mis?__report=error_desc_main_stats_yearly.rptdesign&amp;__overwrite=true&amp;msg_type=%5B1%5D&amp;hour=%5B-%5D&amp;day=%5B2020-01-28%5D" xr:uid="{00000000-0004-0000-0000-00002C000000}"/>
    <hyperlink ref="I70" r:id="rId46" tooltip="Click to Error Stats" display="https://10.18.41.38:11100/omega/createHTMLFile.mis?__report=error_desc_main_stats_yearly.rptdesign&amp;__overwrite=true&amp;msg_type=%5B3%5D&amp;hour=%5B-%5D&amp;day=%5B2020-01-28%5D" xr:uid="{00000000-0004-0000-0000-00002D000000}"/>
    <hyperlink ref="E71" r:id="rId47" tooltip="Click to Error Stats Daily" display="https://10.18.41.38:11100/omega/createHTMLFile.mis?__report=error_desc_main_stats_yearly.rptdesign&amp;__overwrite=true&amp;msg_type=%5B1%5D&amp;hour=%5B-%5D&amp;day=%5B2020-01-29%5D" xr:uid="{00000000-0004-0000-0000-00002E000000}"/>
    <hyperlink ref="I71" r:id="rId48" tooltip="Click to Error Stats" display="https://10.18.41.38:11100/omega/createHTMLFile.mis?__report=error_desc_main_stats_yearly.rptdesign&amp;__overwrite=true&amp;msg_type=%5B3%5D&amp;hour=%5B-%5D&amp;day=%5B2020-01-29%5D" xr:uid="{00000000-0004-0000-0000-00002F000000}"/>
    <hyperlink ref="E72" r:id="rId49" tooltip="Click to Error Stats Daily" display="https://10.18.41.38:11100/omega/createHTMLFile.mis?__report=error_desc_main_stats_yearly.rptdesign&amp;__overwrite=true&amp;msg_type=%5B1%5D&amp;hour=%5B-%5D&amp;day=%5B2020-01-30%5D" xr:uid="{00000000-0004-0000-0000-000030000000}"/>
    <hyperlink ref="I72" r:id="rId50" tooltip="Click to Error Stats" display="https://10.18.41.38:11100/omega/createHTMLFile.mis?__report=error_desc_main_stats_yearly.rptdesign&amp;__overwrite=true&amp;msg_type=%5B3%5D&amp;hour=%5B-%5D&amp;day=%5B2020-01-30%5D" xr:uid="{00000000-0004-0000-0000-000031000000}"/>
    <hyperlink ref="M72" r:id="rId51" tooltip="Click to Error Stats" display="https://10.18.41.38:11100/omega/createHTMLFile.mis?__report=error_desc_main_stats_yearly.rptdesign&amp;__overwrite=true&amp;msg_type=%5B2%5D&amp;hour=%5B-%5D&amp;day=%5B2020-01-30%5D" xr:uid="{00000000-0004-0000-0000-000032000000}"/>
    <hyperlink ref="E73" r:id="rId52" tooltip="Click to Error Stats Daily" display="https://10.18.41.38:11100/omega/createHTMLFile.mis?__report=error_desc_main_stats_yearly.rptdesign&amp;__overwrite=true&amp;msg_type=%5B1%5D&amp;hour=%5B-%5D&amp;day=%5B2020-01-31%5D" xr:uid="{00000000-0004-0000-0000-000033000000}"/>
    <hyperlink ref="I73" r:id="rId53" tooltip="Click to Error Stats" display="https://10.18.41.38:11100/omega/createHTMLFile.mis?__report=error_desc_main_stats_yearly.rptdesign&amp;__overwrite=true&amp;msg_type=%5B3%5D&amp;hour=%5B-%5D&amp;day=%5B2020-01-31%5D" xr:uid="{00000000-0004-0000-0000-000034000000}"/>
    <hyperlink ref="M73" r:id="rId54" tooltip="Click to Error Stats" display="https://10.18.41.38:11100/omega/createHTMLFile.mis?__report=error_desc_main_stats_yearly.rptdesign&amp;__overwrite=true&amp;msg_type=%5B2%5D&amp;hour=%5B-%5D&amp;day=%5B2020-01-31%5D" xr:uid="{00000000-0004-0000-0000-000035000000}"/>
    <hyperlink ref="E74" r:id="rId55" tooltip="Click to Error Stats Daily" display="https://10.18.41.38:11100/omega/createHTMLFile.mis?__report=error_desc_main_stats_yearly.rptdesign&amp;__overwrite=true&amp;msg_type=%5B1%5D&amp;hour=%5B-%5D&amp;day=%5B2020-02-01%5D" xr:uid="{00000000-0004-0000-0000-000036000000}"/>
    <hyperlink ref="I74" r:id="rId56" tooltip="Click to Error Stats" display="https://10.18.41.38:11100/omega/createHTMLFile.mis?__report=error_desc_main_stats_yearly.rptdesign&amp;__overwrite=true&amp;msg_type=%5B3%5D&amp;hour=%5B-%5D&amp;day=%5B2020-02-01%5D" xr:uid="{00000000-0004-0000-0000-000037000000}"/>
    <hyperlink ref="M74" r:id="rId57" tooltip="Click to Error Stats" display="https://10.18.41.38:11100/omega/createHTMLFile.mis?__report=error_desc_main_stats_yearly.rptdesign&amp;__overwrite=true&amp;msg_type=%5B2%5D&amp;hour=%5B-%5D&amp;day=%5B2020-02-01%5D" xr:uid="{00000000-0004-0000-0000-000038000000}"/>
    <hyperlink ref="E75" r:id="rId58" tooltip="Click to Error Stats Daily" display="https://10.18.41.38:11100/omega/createHTMLFile.mis?__report=error_desc_main_stats_yearly.rptdesign&amp;__overwrite=true&amp;msg_type=%5B1%5D&amp;hour=%5B-%5D&amp;day=%5B2020-02-02%5D" xr:uid="{00000000-0004-0000-0000-000039000000}"/>
    <hyperlink ref="I75" r:id="rId59" tooltip="Click to Error Stats" display="https://10.18.41.38:11100/omega/createHTMLFile.mis?__report=error_desc_main_stats_yearly.rptdesign&amp;__overwrite=true&amp;msg_type=%5B3%5D&amp;hour=%5B-%5D&amp;day=%5B2020-02-02%5D" xr:uid="{00000000-0004-0000-0000-00003A000000}"/>
    <hyperlink ref="M75" r:id="rId60" tooltip="Click to Error Stats" display="https://10.18.41.38:11100/omega/createHTMLFile.mis?__report=error_desc_main_stats_yearly.rptdesign&amp;__overwrite=true&amp;msg_type=%5B2%5D&amp;hour=%5B-%5D&amp;day=%5B2020-02-02%5D" xr:uid="{00000000-0004-0000-0000-00003B000000}"/>
    <hyperlink ref="M76" r:id="rId61" tooltip="Click to Error Stats" display="https://10.18.41.38:11100/omega/createHTMLFile.mis?__report=error_desc_main_stats_yearly.rptdesign&amp;__overwrite=true&amp;msg_type=%5B2%5D&amp;hour=%5B-%5D&amp;day=%5B2020-02-03%5D" xr:uid="{00000000-0004-0000-0000-00003C000000}"/>
    <hyperlink ref="E76" r:id="rId62" tooltip="Click to Error Stats Daily" display="https://10.18.41.38:11100/omega/createHTMLFile.mis?__report=error_desc_main_stats_yearly.rptdesign&amp;__overwrite=true&amp;msg_type=%5B1%5D&amp;hour=%5B-%5D&amp;day=%5B2020-02-03%5D" xr:uid="{00000000-0004-0000-0000-00003D000000}"/>
    <hyperlink ref="I76" r:id="rId63" tooltip="Click to Error Stats" display="https://10.18.41.38:11100/omega/createHTMLFile.mis?__report=error_desc_main_stats_yearly.rptdesign&amp;__overwrite=true&amp;msg_type=%5B3%5D&amp;hour=%5B-%5D&amp;day=%5B2020-02-03%5D" xr:uid="{00000000-0004-0000-0000-00003E000000}"/>
    <hyperlink ref="E77" r:id="rId64" tooltip="Click to Error Stats Daily" display="https://10.18.41.38:11100/omega/createHTMLFile.mis?__report=error_desc_main_stats_yearly.rptdesign&amp;__overwrite=true&amp;msg_type=%5B1%5D&amp;hour=%5B-%5D&amp;day=%5B2020-02-04%5D" xr:uid="{00000000-0004-0000-0000-00003F000000}"/>
    <hyperlink ref="I77" r:id="rId65" tooltip="Click to Error Stats" display="https://10.18.41.38:11100/omega/createHTMLFile.mis?__report=error_desc_main_stats_yearly.rptdesign&amp;__overwrite=true&amp;msg_type=%5B3%5D&amp;hour=%5B-%5D&amp;day=%5B2020-02-04%5D" xr:uid="{00000000-0004-0000-0000-000040000000}"/>
    <hyperlink ref="M77" r:id="rId66" tooltip="Click to Error Stats" display="https://10.18.41.38:11100/omega/createHTMLFile.mis?__report=error_desc_main_stats_yearly.rptdesign&amp;__overwrite=true&amp;msg_type=%5B2%5D&amp;hour=%5B-%5D&amp;day=%5B2020-02-04%5D" xr:uid="{00000000-0004-0000-0000-000041000000}"/>
    <hyperlink ref="E78" r:id="rId67" tooltip="Click to Error Stats Daily" display="https://10.18.41.38:11100/omega/createHTMLFile.mis?__report=error_desc_main_stats_yearly.rptdesign&amp;__overwrite=true&amp;msg_type=%5B1%5D&amp;hour=%5B-%5D&amp;day=%5B2020-02-05%5D" xr:uid="{00000000-0004-0000-0000-000042000000}"/>
    <hyperlink ref="I78" r:id="rId68" tooltip="Click to Error Stats" display="https://10.18.41.38:11100/omega/createHTMLFile.mis?__report=error_desc_main_stats_yearly.rptdesign&amp;__overwrite=true&amp;msg_type=%5B3%5D&amp;hour=%5B-%5D&amp;day=%5B2020-02-05%5D" xr:uid="{00000000-0004-0000-0000-000043000000}"/>
    <hyperlink ref="M78" r:id="rId69" tooltip="Click to Error Stats" display="https://10.18.41.38:11100/omega/createHTMLFile.mis?__report=error_desc_main_stats_yearly.rptdesign&amp;__overwrite=true&amp;msg_type=%5B2%5D&amp;hour=%5B-%5D&amp;day=%5B2020-02-05%5D" xr:uid="{00000000-0004-0000-0000-000044000000}"/>
    <hyperlink ref="E79" r:id="rId70" tooltip="Click to Error Stats Daily" display="https://10.18.41.38:11100/omega/createHTMLFile.mis?__report=error_desc_main_stats_yearly.rptdesign&amp;__overwrite=true&amp;msg_type=%5B1%5D&amp;hour=%5B-%5D&amp;day=%5B2020-02-06%5D" xr:uid="{00000000-0004-0000-0000-000045000000}"/>
    <hyperlink ref="E80" r:id="rId71" tooltip="Click to Error Stats Daily" display="https://10.18.41.38:11100/omega/createHTMLFile.mis?__report=error_desc_main_stats_yearly.rptdesign&amp;__overwrite=true&amp;msg_type=%5B1%5D&amp;hour=%5B-%5D&amp;day=%5B2020-02-07%5D" xr:uid="{00000000-0004-0000-0000-000046000000}"/>
    <hyperlink ref="I80" r:id="rId72" tooltip="Click to Error Stats" display="https://10.18.41.38:11100/omega/createHTMLFile.mis?__report=error_desc_main_stats_yearly.rptdesign&amp;__overwrite=true&amp;msg_type=%5B3%5D&amp;hour=%5B-%5D&amp;day=%5B2020-02-07%5D" xr:uid="{00000000-0004-0000-0000-000047000000}"/>
    <hyperlink ref="M80" r:id="rId73" tooltip="Click to Error Stats" display="https://10.18.41.38:11100/omega/createHTMLFile.mis?__report=error_desc_main_stats_yearly.rptdesign&amp;__overwrite=true&amp;msg_type=%5B2%5D&amp;hour=%5B-%5D&amp;day=%5B2020-02-07%5D" xr:uid="{00000000-0004-0000-0000-000048000000}"/>
    <hyperlink ref="E81" r:id="rId74" tooltip="Click to Error Stats Daily" display="https://10.18.41.38:11100/omega/createHTMLFile.mis?__report=error_desc_main_stats_yearly.rptdesign&amp;__overwrite=true&amp;msg_type=%5B1%5D&amp;hour=%5B-%5D&amp;day=%5B2020-02-08%5D" xr:uid="{00000000-0004-0000-0000-000049000000}"/>
    <hyperlink ref="I81" r:id="rId75" tooltip="Click to Error Stats" display="https://10.18.41.38:11100/omega/createHTMLFile.mis?__report=error_desc_main_stats_yearly.rptdesign&amp;__overwrite=true&amp;msg_type=%5B3%5D&amp;hour=%5B-%5D&amp;day=%5B2020-02-08%5D" xr:uid="{00000000-0004-0000-0000-00004A000000}"/>
    <hyperlink ref="M81" r:id="rId76" tooltip="Click to Error Stats" display="https://10.18.41.38:11100/omega/createHTMLFile.mis?__report=error_desc_main_stats_yearly.rptdesign&amp;__overwrite=true&amp;msg_type=%5B2%5D&amp;hour=%5B-%5D&amp;day=%5B2020-02-08%5D" xr:uid="{00000000-0004-0000-0000-00004B000000}"/>
    <hyperlink ref="E82" r:id="rId77" tooltip="Click to Error Stats Daily" display="https://10.18.41.38:11100/omega/createHTMLFile.mis?__report=error_desc_main_stats_yearly.rptdesign&amp;__overwrite=true&amp;msg_type=%5B1%5D&amp;hour=%5B-%5D&amp;day=%5B2020-02-09%5D" xr:uid="{00000000-0004-0000-0000-00004C000000}"/>
    <hyperlink ref="I82" r:id="rId78" tooltip="Click to Error Stats" display="https://10.18.41.38:11100/omega/createHTMLFile.mis?__report=error_desc_main_stats_yearly.rptdesign&amp;__overwrite=true&amp;msg_type=%5B3%5D&amp;hour=%5B-%5D&amp;day=%5B2020-02-09%5D" xr:uid="{00000000-0004-0000-0000-00004D000000}"/>
    <hyperlink ref="M82" r:id="rId79" tooltip="Click to Error Stats" display="https://10.18.41.38:11100/omega/createHTMLFile.mis?__report=error_desc_main_stats_yearly.rptdesign&amp;__overwrite=true&amp;msg_type=%5B2%5D&amp;hour=%5B-%5D&amp;day=%5B2020-02-09%5D" xr:uid="{00000000-0004-0000-0000-00004E000000}"/>
    <hyperlink ref="E83" r:id="rId80" tooltip="Click to Error Stats Daily" display="https://10.18.41.38:11100/omega/createHTMLFile.mis?__report=error_desc_main_stats_yearly.rptdesign&amp;__overwrite=true&amp;msg_type=%5B1%5D&amp;hour=%5B-%5D&amp;day=%5B2020-02-10%5D" xr:uid="{00000000-0004-0000-0000-00004F000000}"/>
    <hyperlink ref="I83" r:id="rId81" tooltip="Click to Error Stats" display="https://10.18.41.38:11100/omega/createHTMLFile.mis?__report=error_desc_main_stats_yearly.rptdesign&amp;__overwrite=true&amp;msg_type=%5B3%5D&amp;hour=%5B-%5D&amp;day=%5B2020-02-10%5D" xr:uid="{00000000-0004-0000-0000-000050000000}"/>
    <hyperlink ref="E84" r:id="rId82" tooltip="Click to Error Stats Daily" display="https://10.18.41.38:11100/omega/createHTMLFile.mis?__report=error_desc_main_stats_yearly.rptdesign&amp;__overwrite=true&amp;msg_type=%5B1%5D&amp;hour=%5B-%5D&amp;day=%5B2020-02-11%5D" xr:uid="{00000000-0004-0000-0000-000051000000}"/>
    <hyperlink ref="I84" r:id="rId83" tooltip="Click to Error Stats" display="https://10.18.41.38:11100/omega/createHTMLFile.mis?__report=error_desc_main_stats_yearly.rptdesign&amp;__overwrite=true&amp;msg_type=%5B3%5D&amp;hour=%5B-%5D&amp;day=%5B2020-02-11%5D" xr:uid="{00000000-0004-0000-0000-000052000000}"/>
    <hyperlink ref="E85" r:id="rId84" tooltip="Click to Error Stats Daily" display="https://10.18.41.38:11100/omega/createHTMLFile.mis?__report=error_desc_main_stats_yearly.rptdesign&amp;__overwrite=true&amp;msg_type=%5B1%5D&amp;hour=%5B-%5D&amp;day=%5B2020-02-12%5D" xr:uid="{00000000-0004-0000-0000-000053000000}"/>
    <hyperlink ref="I85" r:id="rId85" tooltip="Click to Error Stats" display="https://10.18.41.38:11100/omega/createHTMLFile.mis?__report=error_desc_main_stats_yearly.rptdesign&amp;__overwrite=true&amp;msg_type=%5B3%5D&amp;hour=%5B-%5D&amp;day=%5B2020-02-12%5D" xr:uid="{00000000-0004-0000-0000-000054000000}"/>
    <hyperlink ref="M86" r:id="rId86" tooltip="Click to Error Stats" display="https://10.18.41.38:11100/omega/createHTMLFile.mis?__report=error_desc_main_stats_yearly.rptdesign&amp;__overwrite=true&amp;msg_type=%5B2%5D&amp;hour=%5B-%5D&amp;day=%5B2020-02-13%5D" xr:uid="{00000000-0004-0000-0000-000055000000}"/>
    <hyperlink ref="I86" r:id="rId87" tooltip="Click to Error Stats" display="https://10.18.41.38:11100/omega/createHTMLFile.mis?__report=error_desc_main_stats_yearly.rptdesign&amp;__overwrite=true&amp;msg_type=%5B3%5D&amp;hour=%5B-%5D&amp;day=%5B2020-02-13%5D" xr:uid="{00000000-0004-0000-0000-000056000000}"/>
    <hyperlink ref="E86" r:id="rId88" tooltip="Click to Error Stats Daily" display="https://10.18.41.38:11100/omega/createHTMLFile.mis?__report=error_desc_main_stats_yearly.rptdesign&amp;__overwrite=true&amp;msg_type=%5B1%5D&amp;hour=%5B-%5D&amp;day=%5B2020-02-13%5D" xr:uid="{00000000-0004-0000-0000-000057000000}"/>
    <hyperlink ref="E87" r:id="rId89" tooltip="Click to Error Stats Daily" display="https://10.18.41.38:11100/omega/createHTMLFile.mis?__report=error_desc_main_stats_yearly.rptdesign&amp;__overwrite=true&amp;msg_type=%5B1%5D&amp;hour=%5B-%5D&amp;day=%5B2020-02-14%5D" xr:uid="{00000000-0004-0000-0000-000058000000}"/>
    <hyperlink ref="I87" r:id="rId90" tooltip="Click to Error Stats" display="https://10.18.41.38:11100/omega/createHTMLFile.mis?__report=error_desc_main_stats_yearly.rptdesign&amp;__overwrite=true&amp;msg_type=%5B3%5D&amp;hour=%5B-%5D&amp;day=%5B2020-02-14%5D" xr:uid="{00000000-0004-0000-0000-000059000000}"/>
    <hyperlink ref="E88" r:id="rId91" tooltip="Click to Error Stats Daily" display="https://10.18.41.38:11100/omega/createHTMLFile.mis?__report=error_desc_main_stats_yearly.rptdesign&amp;__overwrite=true&amp;msg_type=%5B1%5D&amp;hour=%5B-%5D&amp;day=%5B2020-02-15%5D" xr:uid="{00000000-0004-0000-0000-00005A000000}"/>
    <hyperlink ref="I88" r:id="rId92" tooltip="Click to Error Stats" display="https://10.18.41.38:11100/omega/createHTMLFile.mis?__report=error_desc_main_stats_yearly.rptdesign&amp;__overwrite=true&amp;msg_type=%5B3%5D&amp;hour=%5B-%5D&amp;day=%5B2020-02-15%5D" xr:uid="{00000000-0004-0000-0000-00005B000000}"/>
    <hyperlink ref="E89" r:id="rId93" tooltip="Click to Error Stats Daily" display="https://10.18.41.38:11100/omega/createHTMLFile.mis?__report=error_desc_main_stats_yearly.rptdesign&amp;__overwrite=true&amp;msg_type=%5B1%5D&amp;hour=%5B-%5D&amp;day=%5B2020-02-16%5D" xr:uid="{00000000-0004-0000-0000-00005C000000}"/>
    <hyperlink ref="I89" r:id="rId94" tooltip="Click to Error Stats" display="https://10.18.41.38:11100/omega/createHTMLFile.mis?__report=error_desc_main_stats_yearly.rptdesign&amp;__overwrite=true&amp;msg_type=%5B3%5D&amp;hour=%5B-%5D&amp;day=%5B2020-02-16%5D" xr:uid="{00000000-0004-0000-0000-00005D000000}"/>
    <hyperlink ref="E90" r:id="rId95" tooltip="Click to Error Stats Daily" display="https://10.18.41.38:11100/omega/createHTMLFile.mis?__report=error_desc_main_stats_yearly.rptdesign&amp;__overwrite=true&amp;msg_type=%5B1%5D&amp;hour=%5B-%5D&amp;day=%5B2020-02-17%5D" xr:uid="{00000000-0004-0000-0000-00005E000000}"/>
    <hyperlink ref="I90" r:id="rId96" tooltip="Click to Error Stats" display="https://10.18.41.38:11100/omega/createHTMLFile.mis?__report=error_desc_main_stats_yearly.rptdesign&amp;__overwrite=true&amp;msg_type=%5B3%5D&amp;hour=%5B-%5D&amp;day=%5B2020-02-17%5D" xr:uid="{00000000-0004-0000-0000-00005F000000}"/>
    <hyperlink ref="M90" r:id="rId97" tooltip="Click to Error Stats" display="https://10.18.41.38:11100/omega/createHTMLFile.mis?__report=error_desc_main_stats_yearly.rptdesign&amp;__overwrite=true&amp;msg_type=%5B2%5D&amp;hour=%5B-%5D&amp;day=%5B2020-02-17%5D" xr:uid="{00000000-0004-0000-0000-000060000000}"/>
    <hyperlink ref="M91" r:id="rId98" tooltip="Click to Error Stats" display="https://10.18.41.38:11100/omega/createHTMLFile.mis?__report=error_desc_main_stats_yearly.rptdesign&amp;__overwrite=true&amp;msg_type=%5B2%5D&amp;hour=%5B-%5D&amp;day=%5B2020-02-18%5D" xr:uid="{00000000-0004-0000-0000-000061000000}"/>
    <hyperlink ref="E91" r:id="rId99" tooltip="Click to Error Stats Daily" display="https://10.18.41.38:11100/omega/createHTMLFile.mis?__report=error_desc_main_stats_yearly.rptdesign&amp;__overwrite=true&amp;msg_type=%5B1%5D&amp;hour=%5B-%5D&amp;day=%5B2020-02-18%5D" xr:uid="{00000000-0004-0000-0000-000062000000}"/>
    <hyperlink ref="I91" r:id="rId100" tooltip="Click to Error Stats" display="https://10.18.41.38:11100/omega/createHTMLFile.mis?__report=error_desc_main_stats_yearly.rptdesign&amp;__overwrite=true&amp;msg_type=%5B3%5D&amp;hour=%5B-%5D&amp;day=%5B2020-02-18%5D" xr:uid="{00000000-0004-0000-0000-000063000000}"/>
    <hyperlink ref="M92" r:id="rId101" tooltip="Click to Error Stats" display="https://10.18.41.38:11100/omega/createHTMLFile.mis?__report=error_desc_main_stats_yearly.rptdesign&amp;__overwrite=true&amp;msg_type=%5B2%5D&amp;hour=%5B-%5D&amp;day=%5B2020-02-19%5D" xr:uid="{00000000-0004-0000-0000-000064000000}"/>
    <hyperlink ref="E92" r:id="rId102" tooltip="Click to Error Stats Daily" display="https://10.18.41.38:11100/omega/createHTMLFile.mis?__report=error_desc_main_stats_yearly.rptdesign&amp;__overwrite=true&amp;msg_type=%5B1%5D&amp;hour=%5B-%5D&amp;day=%5B2020-02-19%5D" xr:uid="{00000000-0004-0000-0000-000065000000}"/>
    <hyperlink ref="I92" r:id="rId103" tooltip="Click to Error Stats" display="https://10.18.41.38:11100/omega/createHTMLFile.mis?__report=error_desc_main_stats_yearly.rptdesign&amp;__overwrite=true&amp;msg_type=%5B3%5D&amp;hour=%5B-%5D&amp;day=%5B2020-02-19%5D" xr:uid="{00000000-0004-0000-0000-000066000000}"/>
    <hyperlink ref="E93" r:id="rId104" tooltip="Click to Error Stats Daily" display="https://10.18.41.38:11100/omega/createHTMLFile.mis?__report=error_desc_main_stats_yearly.rptdesign&amp;__overwrite=true&amp;msg_type=%5B1%5D&amp;hour=%5B-%5D&amp;day=%5B2020-02-20%5D" xr:uid="{00000000-0004-0000-0000-000067000000}"/>
    <hyperlink ref="I93" r:id="rId105" tooltip="Click to Error Stats" display="https://10.18.41.38:11100/omega/createHTMLFile.mis?__report=error_desc_main_stats_yearly.rptdesign&amp;__overwrite=true&amp;msg_type=%5B3%5D&amp;hour=%5B-%5D&amp;day=%5B2020-02-20%5D" xr:uid="{00000000-0004-0000-0000-000068000000}"/>
    <hyperlink ref="M93" r:id="rId106" tooltip="Click to Error Stats" display="https://10.18.41.38:11100/omega/createHTMLFile.mis?__report=error_desc_main_stats_yearly.rptdesign&amp;__overwrite=true&amp;msg_type=%5B2%5D&amp;hour=%5B-%5D&amp;day=%5B2020-02-20%5D" xr:uid="{00000000-0004-0000-0000-000069000000}"/>
    <hyperlink ref="E94" r:id="rId107" tooltip="Click to Error Stats Daily" display="https://10.18.41.38:11100/omega/createHTMLFile.mis?__report=error_desc_main_stats_yearly.rptdesign&amp;__overwrite=true&amp;msg_type=%5B1%5D&amp;hour=%5B-%5D&amp;day=%5B2020-02-21%5D" xr:uid="{00000000-0004-0000-0000-00006A000000}"/>
    <hyperlink ref="I94" r:id="rId108" tooltip="Click to Error Stats" display="https://10.18.41.38:11100/omega/createHTMLFile.mis?__report=error_desc_main_stats_yearly.rptdesign&amp;__overwrite=true&amp;msg_type=%5B3%5D&amp;hour=%5B-%5D&amp;day=%5B2020-02-21%5D" xr:uid="{00000000-0004-0000-0000-00006B000000}"/>
    <hyperlink ref="M94" r:id="rId109" tooltip="Click to Error Stats" display="https://10.18.41.38:11100/omega/createHTMLFile.mis?__report=error_desc_main_stats_yearly.rptdesign&amp;__overwrite=true&amp;msg_type=%5B2%5D&amp;hour=%5B-%5D&amp;day=%5B2020-02-21%5D" xr:uid="{00000000-0004-0000-0000-00006C000000}"/>
    <hyperlink ref="E95" r:id="rId110" tooltip="Click to Error Stats Daily" display="https://10.18.41.38:11100/omega/createHTMLFile.mis?__report=error_desc_main_stats_yearly.rptdesign&amp;__overwrite=true&amp;msg_type=%5B1%5D&amp;hour=%5B-%5D&amp;day=%5B2020-02-22%5D" xr:uid="{00000000-0004-0000-0000-00006D000000}"/>
    <hyperlink ref="I95" r:id="rId111" tooltip="Click to Error Stats" display="https://10.18.41.38:11100/omega/createHTMLFile.mis?__report=error_desc_main_stats_yearly.rptdesign&amp;__overwrite=true&amp;msg_type=%5B3%5D&amp;hour=%5B-%5D&amp;day=%5B2020-02-22%5D" xr:uid="{00000000-0004-0000-0000-00006E000000}"/>
    <hyperlink ref="M95" r:id="rId112" tooltip="Click to Error Stats" display="https://10.18.41.38:11100/omega/createHTMLFile.mis?__report=error_desc_main_stats_yearly.rptdesign&amp;__overwrite=true&amp;msg_type=%5B2%5D&amp;hour=%5B-%5D&amp;day=%5B2020-02-22%5D" xr:uid="{00000000-0004-0000-0000-00006F000000}"/>
    <hyperlink ref="E96" r:id="rId113" tooltip="Click to Error Stats Daily" display="https://10.18.41.38:11100/omega/createHTMLFile.mis?__report=error_desc_main_stats_yearly.rptdesign&amp;__overwrite=true&amp;msg_type=%5B1%5D&amp;hour=%5B-%5D&amp;day=%5B2020-02-23%5D" xr:uid="{00000000-0004-0000-0000-000070000000}"/>
    <hyperlink ref="I96" r:id="rId114" tooltip="Click to Error Stats" display="https://10.18.41.38:11100/omega/createHTMLFile.mis?__report=error_desc_main_stats_yearly.rptdesign&amp;__overwrite=true&amp;msg_type=%5B3%5D&amp;hour=%5B-%5D&amp;day=%5B2020-02-23%5D" xr:uid="{00000000-0004-0000-0000-000071000000}"/>
    <hyperlink ref="M96" r:id="rId115" tooltip="Click to Error Stats" display="https://10.18.41.38:11100/omega/createHTMLFile.mis?__report=error_desc_main_stats_yearly.rptdesign&amp;__overwrite=true&amp;msg_type=%5B2%5D&amp;hour=%5B-%5D&amp;day=%5B2020-02-23%5D" xr:uid="{00000000-0004-0000-0000-000072000000}"/>
    <hyperlink ref="E97" r:id="rId116" tooltip="Click to Error Stats Daily" display="https://10.18.41.38:11100/omega/createHTMLFile.mis?__report=error_desc_main_stats_yearly.rptdesign&amp;__overwrite=true&amp;msg_type=%5B1%5D&amp;hour=%5B-%5D&amp;day=%5B2020-02-24%5D" xr:uid="{00000000-0004-0000-0000-000073000000}"/>
    <hyperlink ref="I97" r:id="rId117" tooltip="Click to Error Stats" display="https://10.18.41.38:11100/omega/createHTMLFile.mis?__report=error_desc_main_stats_yearly.rptdesign&amp;__overwrite=true&amp;msg_type=%5B3%5D&amp;hour=%5B-%5D&amp;day=%5B2020-02-24%5D" xr:uid="{00000000-0004-0000-0000-000074000000}"/>
    <hyperlink ref="M97" r:id="rId118" tooltip="Click to Error Stats" display="https://10.18.41.38:11100/omega/createHTMLFile.mis?__report=error_desc_main_stats_yearly.rptdesign&amp;__overwrite=true&amp;msg_type=%5B2%5D&amp;hour=%5B-%5D&amp;day=%5B2020-02-24%5D" xr:uid="{00000000-0004-0000-0000-000075000000}"/>
    <hyperlink ref="E98" r:id="rId119" tooltip="Click to Error Stats Daily" display="https://10.18.41.38:11100/omega/createHTMLFile.mis?__report=error_desc_main_stats_yearly.rptdesign&amp;__overwrite=true&amp;msg_type=%5B1%5D&amp;hour=%5B-%5D&amp;day=%5B2020-02-25%5D" xr:uid="{00000000-0004-0000-0000-000076000000}"/>
    <hyperlink ref="I98" r:id="rId120" tooltip="Click to Error Stats" display="https://10.18.41.38:11100/omega/createHTMLFile.mis?__report=error_desc_main_stats_yearly.rptdesign&amp;__overwrite=true&amp;msg_type=%5B3%5D&amp;hour=%5B-%5D&amp;day=%5B2020-02-25%5D" xr:uid="{00000000-0004-0000-0000-000077000000}"/>
    <hyperlink ref="M98" r:id="rId121" tooltip="Click to Error Stats" display="https://10.18.41.38:11100/omega/createHTMLFile.mis?__report=error_desc_main_stats_yearly.rptdesign&amp;__overwrite=true&amp;msg_type=%5B2%5D&amp;hour=%5B-%5D&amp;day=%5B2020-02-25%5D" xr:uid="{00000000-0004-0000-0000-000078000000}"/>
    <hyperlink ref="E99" r:id="rId122" tooltip="Click to Error Stats Daily" display="https://10.18.41.38:11100/omega/createHTMLFile.mis?__report=error_desc_main_stats_yearly.rptdesign&amp;__overwrite=true&amp;msg_type=%5B1%5D&amp;hour=%5B-%5D&amp;day=%5B2020-02-26%5D" xr:uid="{00000000-0004-0000-0000-000079000000}"/>
    <hyperlink ref="I99" r:id="rId123" tooltip="Click to Error Stats" display="https://10.18.41.38:11100/omega/createHTMLFile.mis?__report=error_desc_main_stats_yearly.rptdesign&amp;__overwrite=true&amp;msg_type=%5B3%5D&amp;hour=%5B-%5D&amp;day=%5B2020-02-26%5D" xr:uid="{00000000-0004-0000-0000-00007A000000}"/>
    <hyperlink ref="M99" r:id="rId124" tooltip="Click to Error Stats" display="https://10.18.41.38:11100/omega/createHTMLFile.mis?__report=error_desc_main_stats_yearly.rptdesign&amp;__overwrite=true&amp;msg_type=%5B2%5D&amp;hour=%5B-%5D&amp;day=%5B2020-02-26%5D" xr:uid="{00000000-0004-0000-0000-00007B000000}"/>
    <hyperlink ref="E100" r:id="rId125" tooltip="Click to Error Stats Daily" display="https://10.18.41.38:11100/omega/createHTMLFile.mis?__report=error_desc_main_stats_yearly.rptdesign&amp;__overwrite=true&amp;msg_type=%5B1%5D&amp;hour=%5B-%5D&amp;day=%5B2020-02-27%5D" xr:uid="{00000000-0004-0000-0000-00007C000000}"/>
    <hyperlink ref="I100" r:id="rId126" tooltip="Click to Error Stats" display="https://10.18.41.38:11100/omega/createHTMLFile.mis?__report=error_desc_main_stats_yearly.rptdesign&amp;__overwrite=true&amp;msg_type=%5B3%5D&amp;hour=%5B-%5D&amp;day=%5B2020-02-27%5D" xr:uid="{00000000-0004-0000-0000-00007D000000}"/>
    <hyperlink ref="M100" r:id="rId127" tooltip="Click to Error Stats" display="https://10.18.41.38:11100/omega/createHTMLFile.mis?__report=error_desc_main_stats_yearly.rptdesign&amp;__overwrite=true&amp;msg_type=%5B2%5D&amp;hour=%5B-%5D&amp;day=%5B2020-02-27%5D" xr:uid="{00000000-0004-0000-0000-00007E000000}"/>
    <hyperlink ref="E101" r:id="rId128" tooltip="Click to Error Stats Daily" display="https://10.18.41.38:11100/omega/createHTMLFile.mis?__report=error_desc_main_stats_yearly.rptdesign&amp;__overwrite=true&amp;msg_type=%5B1%5D&amp;hour=%5B-%5D&amp;day=%5B2020-02-28%5D" xr:uid="{00000000-0004-0000-0000-00007F000000}"/>
    <hyperlink ref="I101" r:id="rId129" tooltip="Click to Error Stats" display="https://10.18.41.38:11100/omega/createHTMLFile.mis?__report=error_desc_main_stats_yearly.rptdesign&amp;__overwrite=true&amp;msg_type=%5B3%5D&amp;hour=%5B-%5D&amp;day=%5B2020-02-28%5D" xr:uid="{00000000-0004-0000-0000-000080000000}"/>
    <hyperlink ref="M101" r:id="rId130" tooltip="Click to Error Stats" display="https://10.18.41.38:11100/omega/createHTMLFile.mis?__report=error_desc_main_stats_yearly.rptdesign&amp;__overwrite=true&amp;msg_type=%5B2%5D&amp;hour=%5B-%5D&amp;day=%5B2020-02-28%5D" xr:uid="{00000000-0004-0000-0000-000081000000}"/>
    <hyperlink ref="E102" r:id="rId131" tooltip="Click to Error Stats Daily" display="https://10.18.41.38:11100/omega/createHTMLFile.mis?__report=error_desc_main_stats_yearly.rptdesign&amp;__overwrite=true&amp;msg_type=%5B1%5D&amp;hour=%5B-%5D&amp;day=%5B2020-02-29%5D" xr:uid="{00000000-0004-0000-0000-000082000000}"/>
    <hyperlink ref="I102" r:id="rId132" tooltip="Click to Error Stats" display="https://10.18.41.38:11100/omega/createHTMLFile.mis?__report=error_desc_main_stats_yearly.rptdesign&amp;__overwrite=true&amp;msg_type=%5B3%5D&amp;hour=%5B-%5D&amp;day=%5B2020-02-29%5D" xr:uid="{00000000-0004-0000-0000-000083000000}"/>
    <hyperlink ref="M103" r:id="rId133" tooltip="Click to Error Stats" display="https://10.18.41.38:11100/omega/createHTMLFile.mis?__report=error_desc_main_stats_yearly.rptdesign&amp;__overwrite=true&amp;msg_type=%5B2%5D&amp;hour=%5B-%5D&amp;day=%5B2020-03-01%5D" xr:uid="{00000000-0004-0000-0000-000084000000}"/>
    <hyperlink ref="M104" r:id="rId134" tooltip="Click to Error Stats" display="https://10.18.41.38:11100/omega/createHTMLFile.mis?__report=error_desc_main_stats_yearly.rptdesign&amp;__overwrite=true&amp;msg_type=%5B2%5D&amp;hour=%5B-%5D&amp;day=%5B2020-03-02%5D" xr:uid="{00000000-0004-0000-0000-000085000000}"/>
    <hyperlink ref="E104" r:id="rId135" tooltip="Click to Error Stats Daily" display="https://10.18.41.38:11100/omega/createHTMLFile.mis?__report=error_desc_main_stats_yearly.rptdesign&amp;__overwrite=true&amp;msg_type=%5B1%5D&amp;hour=%5B-%5D&amp;day=%5B2020-03-02%5D" xr:uid="{00000000-0004-0000-0000-000086000000}"/>
    <hyperlink ref="I104" r:id="rId136" tooltip="Click to Error Stats" display="https://10.18.41.38:11100/omega/createHTMLFile.mis?__report=error_desc_main_stats_yearly.rptdesign&amp;__overwrite=true&amp;msg_type=%5B3%5D&amp;hour=%5B-%5D&amp;day=%5B2020-03-02%5D" xr:uid="{00000000-0004-0000-0000-000087000000}"/>
    <hyperlink ref="E105" r:id="rId137" tooltip="Click to Error Stats Daily" display="https://10.18.41.38:11100/omega/createHTMLFile.mis?__report=error_desc_main_stats_yearly.rptdesign&amp;__overwrite=true&amp;msg_type=%5B1%5D&amp;hour=%5B-%5D&amp;day=%5B2020-03-03%5D" xr:uid="{00000000-0004-0000-0000-000088000000}"/>
    <hyperlink ref="I105" r:id="rId138" tooltip="Click to Error Stats" display="https://10.18.41.38:11100/omega/createHTMLFile.mis?__report=error_desc_main_stats_yearly.rptdesign&amp;__overwrite=true&amp;msg_type=%5B3%5D&amp;hour=%5B-%5D&amp;day=%5B2020-03-03%5D" xr:uid="{00000000-0004-0000-0000-000089000000}"/>
    <hyperlink ref="M105" r:id="rId139" tooltip="Click to Error Stats" display="https://10.18.41.38:11100/omega/createHTMLFile.mis?__report=error_desc_main_stats_yearly.rptdesign&amp;__overwrite=true&amp;msg_type=%5B2%5D&amp;hour=%5B-%5D&amp;day=%5B2020-03-03%5D" xr:uid="{00000000-0004-0000-0000-00008A000000}"/>
    <hyperlink ref="E106" r:id="rId140" tooltip="Click to Error Stats Daily" display="https://10.18.41.38:11100/omega/createHTMLFile.mis?__report=error_desc_main_stats_yearly.rptdesign&amp;__overwrite=true&amp;msg_type=%5B1%5D&amp;hour=%5B-%5D&amp;day=%5B2020-03-04%5D" xr:uid="{00000000-0004-0000-0000-00008B000000}"/>
    <hyperlink ref="I106" r:id="rId141" tooltip="Click to Error Stats" display="https://10.18.41.38:11100/omega/createHTMLFile.mis?__report=error_desc_main_stats_yearly.rptdesign&amp;__overwrite=true&amp;msg_type=%5B3%5D&amp;hour=%5B-%5D&amp;day=%5B2020-03-04%5D" xr:uid="{00000000-0004-0000-0000-00008C000000}"/>
    <hyperlink ref="M106" r:id="rId142" tooltip="Click to Error Stats" display="https://10.18.41.38:11100/omega/createHTMLFile.mis?__report=error_desc_main_stats_yearly.rptdesign&amp;__overwrite=true&amp;msg_type=%5B2%5D&amp;hour=%5B-%5D&amp;day=%5B2020-03-04%5D" xr:uid="{00000000-0004-0000-0000-00008D000000}"/>
    <hyperlink ref="E107" r:id="rId143" tooltip="Click to Error Stats Daily" display="https://10.18.41.38:11100/omega/createHTMLFile.mis?__report=error_desc_main_stats_yearly.rptdesign&amp;__overwrite=true&amp;msg_type=%5B1%5D&amp;hour=%5B-%5D&amp;day=%5B2020-03-05%5D" xr:uid="{00000000-0004-0000-0000-00008E000000}"/>
    <hyperlink ref="I107" r:id="rId144" tooltip="Click to Error Stats" display="https://10.18.41.38:11100/omega/createHTMLFile.mis?__report=error_desc_main_stats_yearly.rptdesign&amp;__overwrite=true&amp;msg_type=%5B3%5D&amp;hour=%5B-%5D&amp;day=%5B2020-03-05%5D" xr:uid="{00000000-0004-0000-0000-00008F000000}"/>
    <hyperlink ref="M107" r:id="rId145" tooltip="Click to Error Stats" display="https://10.18.41.38:11100/omega/createHTMLFile.mis?__report=error_desc_main_stats_yearly.rptdesign&amp;__overwrite=true&amp;msg_type=%5B2%5D&amp;hour=%5B-%5D&amp;day=%5B2020-03-05%5D" xr:uid="{00000000-0004-0000-0000-000090000000}"/>
    <hyperlink ref="E109" r:id="rId146" tooltip="Click to Error Stats Daily" display="https://10.18.41.38:11100/omega/createHTMLFile.mis?__report=error_desc_main_stats_yearly.rptdesign&amp;__overwrite=true&amp;msg_type=%5B1%5D&amp;hour=%5B-%5D&amp;day=%5B2020-03-07%5D" xr:uid="{00000000-0004-0000-0000-000091000000}"/>
    <hyperlink ref="I109" r:id="rId147" tooltip="Click to Error Stats" display="https://10.18.41.38:11100/omega/createHTMLFile.mis?__report=error_desc_main_stats_yearly.rptdesign&amp;__overwrite=true&amp;msg_type=%5B3%5D&amp;hour=%5B-%5D&amp;day=%5B2020-03-07%5D" xr:uid="{00000000-0004-0000-0000-000092000000}"/>
    <hyperlink ref="M109" r:id="rId148" tooltip="Click to Error Stats" display="https://10.18.41.38:11100/omega/createHTMLFile.mis?__report=error_desc_main_stats_yearly.rptdesign&amp;__overwrite=true&amp;msg_type=%5B2%5D&amp;hour=%5B-%5D&amp;day=%5B2020-03-07%5D" xr:uid="{00000000-0004-0000-0000-000093000000}"/>
    <hyperlink ref="E108" r:id="rId149" tooltip="Click to Error Stats Daily" display="https://10.18.41.38:11100/omega/createHTMLFile.mis?__report=error_desc_main_stats_yearly.rptdesign&amp;__overwrite=true&amp;msg_type=%5B1%5D&amp;hour=%5B-%5D&amp;day=%5B2020-03-06%5D" xr:uid="{00000000-0004-0000-0000-000094000000}"/>
    <hyperlink ref="I108" r:id="rId150" tooltip="Click to Error Stats" display="https://10.18.41.38:11100/omega/createHTMLFile.mis?__report=error_desc_main_stats_yearly.rptdesign&amp;__overwrite=true&amp;msg_type=%5B3%5D&amp;hour=%5B-%5D&amp;day=%5B2020-03-06%5D" xr:uid="{00000000-0004-0000-0000-000095000000}"/>
    <hyperlink ref="M108" r:id="rId151" tooltip="Click to Error Stats" display="https://10.18.41.38:11100/omega/createHTMLFile.mis?__report=error_desc_main_stats_yearly.rptdesign&amp;__overwrite=true&amp;msg_type=%5B2%5D&amp;hour=%5B-%5D&amp;day=%5B2020-03-06%5D" xr:uid="{00000000-0004-0000-0000-000096000000}"/>
    <hyperlink ref="E110" r:id="rId152" tooltip="Click to Error Stats Daily" display="https://10.18.41.38:11100/omega/createHTMLFile.mis?__report=error_desc_main_stats_yearly.rptdesign&amp;__overwrite=true&amp;msg_type=%5B1%5D&amp;hour=%5B-%5D&amp;day=%5B2020-03-08%5D" xr:uid="{00000000-0004-0000-0000-000097000000}"/>
    <hyperlink ref="I110" r:id="rId153" tooltip="Click to Error Stats" display="https://10.18.41.38:11100/omega/createHTMLFile.mis?__report=error_desc_main_stats_yearly.rptdesign&amp;__overwrite=true&amp;msg_type=%5B3%5D&amp;hour=%5B-%5D&amp;day=%5B2020-03-08%5D" xr:uid="{00000000-0004-0000-0000-000098000000}"/>
    <hyperlink ref="E103" r:id="rId154" tooltip="Click to Error Stats Daily" display="https://10.18.41.38:11100/omega/createHTMLFile.mis?__report=error_desc_main_stats_yearly.rptdesign&amp;__overwrite=true&amp;msg_type=%5B1%5D&amp;hour=%5B-%5D&amp;day=%5B2020-03-01%5D" xr:uid="{00000000-0004-0000-0000-000099000000}"/>
    <hyperlink ref="I103" r:id="rId155" tooltip="Click to Error Stats" display="https://10.18.41.38:11100/omega/createHTMLFile.mis?__report=error_desc_main_stats_yearly.rptdesign&amp;__overwrite=true&amp;msg_type=%5B3%5D&amp;hour=%5B-%5D&amp;day=%5B2020-03-01%5D" xr:uid="{00000000-0004-0000-0000-00009A000000}"/>
    <hyperlink ref="E111" r:id="rId156" tooltip="Click to Error Stats Daily" display="https://10.18.41.38:11100/omega/createHTMLFile.mis?__report=error_desc_main_stats_yearly.rptdesign&amp;__overwrite=true&amp;msg_type=%5B1%5D&amp;hour=%5B-%5D&amp;day=%5B2020-03-09%5D" xr:uid="{00000000-0004-0000-0000-00009B000000}"/>
    <hyperlink ref="I111" r:id="rId157" tooltip="Click to Error Stats" display="https://10.18.41.38:11100/omega/createHTMLFile.mis?__report=error_desc_main_stats_yearly.rptdesign&amp;__overwrite=true&amp;msg_type=%5B3%5D&amp;hour=%5B-%5D&amp;day=%5B2020-03-09%5D" xr:uid="{00000000-0004-0000-0000-00009C000000}"/>
    <hyperlink ref="M111" r:id="rId158" tooltip="Click to Error Stats" display="https://10.18.41.38:11100/omega/createHTMLFile.mis?__report=error_desc_main_stats_yearly.rptdesign&amp;__overwrite=true&amp;msg_type=%5B2%5D&amp;hour=%5B-%5D&amp;day=%5B2020-03-09%5D" xr:uid="{00000000-0004-0000-0000-00009D000000}"/>
  </hyperlinks>
  <pageMargins left="0.7" right="0.7" top="0.75" bottom="0.75" header="0.3" footer="0.3"/>
  <pageSetup paperSize="9" orientation="portrait" r:id="rId159"/>
  <drawing r:id="rId1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D1112"/>
  <sheetViews>
    <sheetView zoomScale="80" zoomScaleNormal="80" workbookViewId="0">
      <pane ySplit="71" topLeftCell="A634" activePane="bottomLeft" state="frozen"/>
      <selection pane="bottomLeft" activeCell="G659" sqref="G659"/>
    </sheetView>
  </sheetViews>
  <sheetFormatPr defaultColWidth="9.140625" defaultRowHeight="15" x14ac:dyDescent="0.25"/>
  <cols>
    <col min="1" max="1" width="10.7109375" bestFit="1" customWidth="1"/>
    <col min="2" max="2" width="13.5703125" customWidth="1"/>
    <col min="3" max="3" width="14" customWidth="1"/>
    <col min="4" max="4" width="12.28515625" customWidth="1"/>
  </cols>
  <sheetData>
    <row r="1" spans="1:4" x14ac:dyDescent="0.25">
      <c r="A1" s="233" t="s">
        <v>23</v>
      </c>
      <c r="B1" s="233" t="s">
        <v>41</v>
      </c>
      <c r="C1" s="233" t="s">
        <v>42</v>
      </c>
      <c r="D1" s="233" t="s">
        <v>43</v>
      </c>
    </row>
    <row r="2" spans="1:4" hidden="1" x14ac:dyDescent="0.25">
      <c r="A2" s="6">
        <v>43814</v>
      </c>
      <c r="B2" s="48">
        <v>3300</v>
      </c>
      <c r="C2" s="48">
        <v>447</v>
      </c>
      <c r="D2" s="48">
        <v>3544</v>
      </c>
    </row>
    <row r="3" spans="1:4" hidden="1" x14ac:dyDescent="0.25">
      <c r="A3" s="6">
        <v>43815</v>
      </c>
      <c r="B3" s="48">
        <v>3865</v>
      </c>
      <c r="C3" s="48">
        <v>900</v>
      </c>
      <c r="D3" s="48">
        <v>4166</v>
      </c>
    </row>
    <row r="4" spans="1:4" hidden="1" x14ac:dyDescent="0.25">
      <c r="A4" s="6">
        <v>43816</v>
      </c>
      <c r="B4" s="48">
        <v>3869</v>
      </c>
      <c r="C4" s="48">
        <v>512</v>
      </c>
      <c r="D4" s="48">
        <v>4197</v>
      </c>
    </row>
    <row r="5" spans="1:4" hidden="1" x14ac:dyDescent="0.25">
      <c r="A5" s="6">
        <v>43817</v>
      </c>
      <c r="B5" s="48">
        <v>3957</v>
      </c>
      <c r="C5" s="48">
        <v>466</v>
      </c>
      <c r="D5" s="48">
        <v>4293</v>
      </c>
    </row>
    <row r="6" spans="1:4" hidden="1" x14ac:dyDescent="0.25">
      <c r="A6" s="6">
        <v>43818</v>
      </c>
      <c r="B6" s="48">
        <v>3794</v>
      </c>
      <c r="C6" s="48">
        <v>467</v>
      </c>
      <c r="D6" s="48">
        <v>4119</v>
      </c>
    </row>
    <row r="7" spans="1:4" hidden="1" x14ac:dyDescent="0.25">
      <c r="A7" s="6">
        <v>43819</v>
      </c>
      <c r="B7" s="48">
        <v>3337</v>
      </c>
      <c r="C7" s="48">
        <v>837</v>
      </c>
      <c r="D7" s="48">
        <v>4090</v>
      </c>
    </row>
    <row r="8" spans="1:4" hidden="1" x14ac:dyDescent="0.25">
      <c r="A8" s="6">
        <v>43820</v>
      </c>
      <c r="B8" s="48">
        <v>3666</v>
      </c>
      <c r="C8" s="48">
        <v>525</v>
      </c>
      <c r="D8" s="48">
        <v>3994</v>
      </c>
    </row>
    <row r="9" spans="1:4" hidden="1" x14ac:dyDescent="0.25">
      <c r="A9" s="6">
        <v>43821</v>
      </c>
      <c r="B9" s="48">
        <v>2996</v>
      </c>
      <c r="C9" s="48">
        <v>479</v>
      </c>
      <c r="D9" s="48">
        <v>3228</v>
      </c>
    </row>
    <row r="10" spans="1:4" hidden="1" x14ac:dyDescent="0.25">
      <c r="A10" s="6">
        <v>43822</v>
      </c>
      <c r="B10" s="48">
        <v>3827</v>
      </c>
      <c r="C10" s="48">
        <v>731</v>
      </c>
      <c r="D10" s="48">
        <v>4473</v>
      </c>
    </row>
    <row r="11" spans="1:4" hidden="1" x14ac:dyDescent="0.25">
      <c r="A11" s="6">
        <v>43823</v>
      </c>
      <c r="B11" s="48">
        <v>2986</v>
      </c>
      <c r="C11" s="48">
        <v>631</v>
      </c>
      <c r="D11" s="48">
        <v>3174</v>
      </c>
    </row>
    <row r="12" spans="1:4" hidden="1" x14ac:dyDescent="0.25">
      <c r="A12" s="6">
        <v>43824</v>
      </c>
      <c r="B12" s="48">
        <v>3069</v>
      </c>
      <c r="C12" s="48">
        <v>390</v>
      </c>
      <c r="D12" s="48">
        <v>3272</v>
      </c>
    </row>
    <row r="13" spans="1:4" hidden="1" x14ac:dyDescent="0.25">
      <c r="A13" s="6">
        <v>43825</v>
      </c>
      <c r="B13" s="48">
        <v>3656</v>
      </c>
      <c r="C13" s="48">
        <v>426</v>
      </c>
      <c r="D13" s="48">
        <v>4010</v>
      </c>
    </row>
    <row r="14" spans="1:4" hidden="1" x14ac:dyDescent="0.25">
      <c r="A14" s="6">
        <v>43826</v>
      </c>
      <c r="B14" s="48">
        <v>3034</v>
      </c>
      <c r="C14" s="48">
        <v>435</v>
      </c>
      <c r="D14" s="48">
        <v>3357</v>
      </c>
    </row>
    <row r="15" spans="1:4" hidden="1" x14ac:dyDescent="0.25">
      <c r="A15" s="6">
        <v>43827</v>
      </c>
      <c r="B15" s="48">
        <v>4081</v>
      </c>
      <c r="C15" s="48">
        <v>520</v>
      </c>
      <c r="D15" s="48">
        <v>4423</v>
      </c>
    </row>
    <row r="16" spans="1:4" hidden="1" x14ac:dyDescent="0.25">
      <c r="A16" s="6">
        <v>43828</v>
      </c>
      <c r="B16" s="48">
        <v>2977</v>
      </c>
      <c r="C16" s="48">
        <v>417</v>
      </c>
      <c r="D16" s="48">
        <v>3122</v>
      </c>
    </row>
    <row r="17" spans="1:4" hidden="1" x14ac:dyDescent="0.25">
      <c r="A17" s="6">
        <v>43829</v>
      </c>
      <c r="B17" s="48">
        <v>3036</v>
      </c>
      <c r="C17" s="48">
        <v>716</v>
      </c>
      <c r="D17" s="48">
        <v>3435</v>
      </c>
    </row>
    <row r="18" spans="1:4" hidden="1" x14ac:dyDescent="0.25">
      <c r="A18" s="6">
        <v>43830</v>
      </c>
      <c r="B18" s="48">
        <v>2268</v>
      </c>
      <c r="C18" s="48">
        <v>571</v>
      </c>
      <c r="D18" s="48">
        <v>2631</v>
      </c>
    </row>
    <row r="19" spans="1:4" hidden="1" x14ac:dyDescent="0.25">
      <c r="A19" s="6">
        <v>43831</v>
      </c>
      <c r="B19" s="48">
        <v>2225</v>
      </c>
      <c r="C19" s="48">
        <v>349</v>
      </c>
      <c r="D19" s="48">
        <v>2400</v>
      </c>
    </row>
    <row r="20" spans="1:4" hidden="1" x14ac:dyDescent="0.25">
      <c r="A20" s="6">
        <v>43832</v>
      </c>
      <c r="B20" s="48">
        <v>3412</v>
      </c>
      <c r="C20" s="48">
        <v>501</v>
      </c>
      <c r="D20" s="48">
        <v>3783</v>
      </c>
    </row>
    <row r="21" spans="1:4" hidden="1" x14ac:dyDescent="0.25">
      <c r="A21" s="6">
        <v>43833</v>
      </c>
      <c r="B21" s="48">
        <v>3501</v>
      </c>
      <c r="C21" s="48">
        <v>398</v>
      </c>
      <c r="D21" s="48">
        <v>3793</v>
      </c>
    </row>
    <row r="22" spans="1:4" hidden="1" x14ac:dyDescent="0.25">
      <c r="A22" s="6">
        <v>43834</v>
      </c>
      <c r="B22" s="48">
        <v>3175</v>
      </c>
      <c r="C22" s="48">
        <v>505</v>
      </c>
      <c r="D22" s="48">
        <v>3486</v>
      </c>
    </row>
    <row r="23" spans="1:4" hidden="1" x14ac:dyDescent="0.25">
      <c r="A23" s="6">
        <v>43835</v>
      </c>
      <c r="B23" s="48">
        <v>2520</v>
      </c>
      <c r="C23" s="48">
        <v>484</v>
      </c>
      <c r="D23" s="48">
        <v>2737</v>
      </c>
    </row>
    <row r="24" spans="1:4" hidden="1" x14ac:dyDescent="0.25">
      <c r="A24" s="6">
        <v>43836</v>
      </c>
      <c r="B24" s="48">
        <v>3174</v>
      </c>
      <c r="C24" s="48">
        <v>667</v>
      </c>
      <c r="D24" s="48">
        <v>3490</v>
      </c>
    </row>
    <row r="25" spans="1:4" hidden="1" x14ac:dyDescent="0.25">
      <c r="A25" s="6">
        <v>43837</v>
      </c>
      <c r="B25" s="48">
        <v>3328</v>
      </c>
      <c r="C25" s="48">
        <v>479</v>
      </c>
      <c r="D25" s="48">
        <v>3656</v>
      </c>
    </row>
    <row r="26" spans="1:4" hidden="1" x14ac:dyDescent="0.25">
      <c r="A26" s="6">
        <v>43838</v>
      </c>
      <c r="B26" s="48">
        <v>3704</v>
      </c>
      <c r="C26" s="48">
        <v>457</v>
      </c>
      <c r="D26" s="48">
        <v>4018</v>
      </c>
    </row>
    <row r="27" spans="1:4" hidden="1" x14ac:dyDescent="0.25">
      <c r="A27" s="6">
        <v>43839</v>
      </c>
      <c r="B27" s="48">
        <v>3338</v>
      </c>
      <c r="C27" s="48">
        <v>440</v>
      </c>
      <c r="D27" s="48">
        <v>3636</v>
      </c>
    </row>
    <row r="28" spans="1:4" hidden="1" x14ac:dyDescent="0.25">
      <c r="A28" s="6">
        <v>43840</v>
      </c>
      <c r="B28" s="48">
        <v>3160</v>
      </c>
      <c r="C28" s="48">
        <v>542</v>
      </c>
      <c r="D28" s="48">
        <v>3440</v>
      </c>
    </row>
    <row r="29" spans="1:4" hidden="1" x14ac:dyDescent="0.25">
      <c r="A29" s="6">
        <v>43841</v>
      </c>
      <c r="B29" s="48">
        <v>3155</v>
      </c>
      <c r="C29" s="48">
        <v>558</v>
      </c>
      <c r="D29" s="48">
        <v>3489</v>
      </c>
    </row>
    <row r="30" spans="1:4" hidden="1" x14ac:dyDescent="0.25">
      <c r="A30" s="6">
        <v>43842</v>
      </c>
      <c r="B30" s="48">
        <v>2541</v>
      </c>
      <c r="C30" s="48">
        <v>481</v>
      </c>
      <c r="D30" s="48">
        <v>2757</v>
      </c>
    </row>
    <row r="31" spans="1:4" hidden="1" x14ac:dyDescent="0.25">
      <c r="A31" s="6">
        <v>43843</v>
      </c>
      <c r="B31" s="48">
        <v>3397</v>
      </c>
      <c r="C31" s="48">
        <v>608</v>
      </c>
      <c r="D31" s="48">
        <v>3719</v>
      </c>
    </row>
    <row r="32" spans="1:4" hidden="1" x14ac:dyDescent="0.25">
      <c r="A32" s="6">
        <v>43844</v>
      </c>
      <c r="B32" s="48">
        <v>4189</v>
      </c>
      <c r="C32" s="48">
        <v>460</v>
      </c>
      <c r="D32" s="48">
        <v>4543</v>
      </c>
    </row>
    <row r="33" spans="1:4" hidden="1" x14ac:dyDescent="0.25">
      <c r="A33" s="6">
        <v>43845</v>
      </c>
      <c r="B33" s="48">
        <v>3627</v>
      </c>
      <c r="C33" s="48">
        <v>585</v>
      </c>
      <c r="D33" s="48">
        <v>3949</v>
      </c>
    </row>
    <row r="34" spans="1:4" hidden="1" x14ac:dyDescent="0.25">
      <c r="A34" s="6">
        <v>43846</v>
      </c>
      <c r="B34" s="48">
        <v>3261</v>
      </c>
      <c r="C34" s="48">
        <v>465</v>
      </c>
      <c r="D34" s="48">
        <v>3530</v>
      </c>
    </row>
    <row r="35" spans="1:4" hidden="1" x14ac:dyDescent="0.25">
      <c r="A35" s="6">
        <v>43847</v>
      </c>
      <c r="B35" s="48">
        <v>3124</v>
      </c>
      <c r="C35" s="48">
        <v>442</v>
      </c>
      <c r="D35" s="48">
        <v>3293</v>
      </c>
    </row>
    <row r="36" spans="1:4" hidden="1" x14ac:dyDescent="0.25">
      <c r="A36" s="6">
        <v>43848</v>
      </c>
      <c r="B36" s="48">
        <v>3097</v>
      </c>
      <c r="C36" s="48">
        <v>445</v>
      </c>
      <c r="D36" s="48">
        <v>3286</v>
      </c>
    </row>
    <row r="37" spans="1:4" hidden="1" x14ac:dyDescent="0.25">
      <c r="A37" s="6">
        <v>43849</v>
      </c>
      <c r="B37" s="48">
        <v>2634</v>
      </c>
      <c r="C37" s="48">
        <v>436</v>
      </c>
      <c r="D37" s="48">
        <v>2884</v>
      </c>
    </row>
    <row r="38" spans="1:4" hidden="1" x14ac:dyDescent="0.25">
      <c r="A38" s="6">
        <v>43850</v>
      </c>
      <c r="B38" s="48">
        <v>3118</v>
      </c>
      <c r="C38" s="48">
        <v>477</v>
      </c>
      <c r="D38" s="48">
        <v>3385</v>
      </c>
    </row>
    <row r="39" spans="1:4" hidden="1" x14ac:dyDescent="0.25">
      <c r="A39" s="6">
        <v>43851</v>
      </c>
      <c r="B39" s="48">
        <v>3557</v>
      </c>
      <c r="C39" s="48">
        <v>481</v>
      </c>
      <c r="D39" s="48">
        <v>3887</v>
      </c>
    </row>
    <row r="40" spans="1:4" hidden="1" x14ac:dyDescent="0.25">
      <c r="A40" s="6">
        <v>43852</v>
      </c>
      <c r="B40" s="48">
        <v>3007</v>
      </c>
      <c r="C40" s="48">
        <v>476</v>
      </c>
      <c r="D40" s="48">
        <v>3285</v>
      </c>
    </row>
    <row r="41" spans="1:4" hidden="1" x14ac:dyDescent="0.25">
      <c r="A41" s="6">
        <v>43853</v>
      </c>
      <c r="B41" s="48">
        <v>3154</v>
      </c>
      <c r="C41" s="48">
        <v>463</v>
      </c>
      <c r="D41" s="48">
        <v>3428</v>
      </c>
    </row>
    <row r="42" spans="1:4" hidden="1" x14ac:dyDescent="0.25">
      <c r="A42" s="6">
        <v>43854</v>
      </c>
      <c r="B42" s="48">
        <v>3092</v>
      </c>
      <c r="C42" s="48">
        <v>414</v>
      </c>
      <c r="D42" s="48">
        <v>3341</v>
      </c>
    </row>
    <row r="43" spans="1:4" hidden="1" x14ac:dyDescent="0.25">
      <c r="A43" s="6">
        <v>43855</v>
      </c>
      <c r="B43" s="48">
        <v>3099</v>
      </c>
      <c r="C43" s="48">
        <v>398</v>
      </c>
      <c r="D43" s="48">
        <v>3284</v>
      </c>
    </row>
    <row r="44" spans="1:4" hidden="1" x14ac:dyDescent="0.25">
      <c r="A44" s="6">
        <v>43856</v>
      </c>
      <c r="B44" s="48">
        <v>2827</v>
      </c>
      <c r="C44" s="48">
        <v>401</v>
      </c>
      <c r="D44" s="48">
        <v>3036</v>
      </c>
    </row>
    <row r="45" spans="1:4" hidden="1" x14ac:dyDescent="0.25">
      <c r="A45" s="6">
        <v>43857</v>
      </c>
      <c r="B45" s="48">
        <v>3939</v>
      </c>
      <c r="C45" s="48">
        <v>564</v>
      </c>
      <c r="D45" s="48">
        <v>4253</v>
      </c>
    </row>
    <row r="46" spans="1:4" hidden="1" x14ac:dyDescent="0.25">
      <c r="A46" s="6">
        <v>43858</v>
      </c>
      <c r="B46" s="48">
        <v>3305</v>
      </c>
      <c r="C46" s="48">
        <v>433</v>
      </c>
      <c r="D46" s="48">
        <v>3570</v>
      </c>
    </row>
    <row r="47" spans="1:4" hidden="1" x14ac:dyDescent="0.25">
      <c r="A47" s="6">
        <v>43859</v>
      </c>
      <c r="B47" s="48">
        <v>3542</v>
      </c>
      <c r="C47" s="48">
        <v>480</v>
      </c>
      <c r="D47" s="48">
        <v>3811</v>
      </c>
    </row>
    <row r="48" spans="1:4" hidden="1" x14ac:dyDescent="0.25">
      <c r="A48" s="6">
        <v>43860</v>
      </c>
      <c r="B48" s="48">
        <v>3703</v>
      </c>
      <c r="C48" s="48">
        <v>661</v>
      </c>
      <c r="D48" s="48">
        <v>3986</v>
      </c>
    </row>
    <row r="49" spans="1:4" hidden="1" x14ac:dyDescent="0.25">
      <c r="A49" s="6">
        <v>43861</v>
      </c>
      <c r="B49" s="48">
        <v>2878</v>
      </c>
      <c r="C49" s="48">
        <v>453</v>
      </c>
      <c r="D49" s="48">
        <v>3137</v>
      </c>
    </row>
    <row r="50" spans="1:4" hidden="1" x14ac:dyDescent="0.25">
      <c r="A50" s="6">
        <v>43862</v>
      </c>
      <c r="B50" s="48">
        <v>3167</v>
      </c>
      <c r="C50" s="48">
        <v>424</v>
      </c>
      <c r="D50" s="48">
        <v>3463</v>
      </c>
    </row>
    <row r="51" spans="1:4" hidden="1" x14ac:dyDescent="0.25">
      <c r="A51" s="6">
        <v>43863</v>
      </c>
      <c r="B51" s="48">
        <v>2560</v>
      </c>
      <c r="C51" s="48">
        <v>829</v>
      </c>
      <c r="D51" s="48">
        <v>2769</v>
      </c>
    </row>
    <row r="52" spans="1:4" hidden="1" x14ac:dyDescent="0.25">
      <c r="A52" s="6">
        <v>43864</v>
      </c>
      <c r="B52" s="48">
        <v>3397</v>
      </c>
      <c r="C52" s="48">
        <v>474</v>
      </c>
      <c r="D52" s="48">
        <v>3737</v>
      </c>
    </row>
    <row r="53" spans="1:4" hidden="1" x14ac:dyDescent="0.25">
      <c r="A53" s="6">
        <v>43865</v>
      </c>
      <c r="B53" s="48">
        <v>3032</v>
      </c>
      <c r="C53" s="48">
        <v>464</v>
      </c>
      <c r="D53" s="48">
        <v>3293</v>
      </c>
    </row>
    <row r="54" spans="1:4" hidden="1" x14ac:dyDescent="0.25">
      <c r="A54" s="6">
        <v>43866</v>
      </c>
      <c r="B54" s="48">
        <v>3430</v>
      </c>
      <c r="C54" s="48">
        <v>468</v>
      </c>
      <c r="D54" s="48">
        <v>3741</v>
      </c>
    </row>
    <row r="55" spans="1:4" hidden="1" x14ac:dyDescent="0.25">
      <c r="A55" s="6">
        <v>43867</v>
      </c>
      <c r="B55" s="48">
        <v>3338</v>
      </c>
      <c r="C55" s="48">
        <v>612</v>
      </c>
      <c r="D55" s="48">
        <v>3674</v>
      </c>
    </row>
    <row r="56" spans="1:4" hidden="1" x14ac:dyDescent="0.25">
      <c r="A56" s="6">
        <v>43868</v>
      </c>
      <c r="B56" s="48">
        <v>3218</v>
      </c>
      <c r="C56" s="48">
        <v>508</v>
      </c>
      <c r="D56" s="48">
        <v>3579</v>
      </c>
    </row>
    <row r="57" spans="1:4" hidden="1" x14ac:dyDescent="0.25">
      <c r="A57" s="6">
        <v>43869</v>
      </c>
      <c r="B57" s="48">
        <v>3378</v>
      </c>
      <c r="C57" s="48">
        <v>548</v>
      </c>
      <c r="D57" s="48">
        <v>3663</v>
      </c>
    </row>
    <row r="58" spans="1:4" hidden="1" x14ac:dyDescent="0.25">
      <c r="A58" s="6">
        <v>43870</v>
      </c>
      <c r="B58" s="48">
        <v>2969</v>
      </c>
      <c r="C58" s="48">
        <v>509</v>
      </c>
      <c r="D58" s="48">
        <v>3230</v>
      </c>
    </row>
    <row r="59" spans="1:4" hidden="1" x14ac:dyDescent="0.25">
      <c r="A59" s="6">
        <v>43871</v>
      </c>
      <c r="B59" s="48">
        <v>3884</v>
      </c>
      <c r="C59" s="48">
        <v>541</v>
      </c>
      <c r="D59" s="48">
        <v>4225</v>
      </c>
    </row>
    <row r="60" spans="1:4" hidden="1" x14ac:dyDescent="0.25">
      <c r="A60" s="6">
        <v>43872</v>
      </c>
      <c r="B60" s="48">
        <v>4077</v>
      </c>
      <c r="C60" s="48">
        <v>515</v>
      </c>
      <c r="D60" s="48">
        <v>4391</v>
      </c>
    </row>
    <row r="61" spans="1:4" hidden="1" x14ac:dyDescent="0.25">
      <c r="A61" s="6">
        <v>43873</v>
      </c>
      <c r="B61" s="48">
        <v>3718</v>
      </c>
      <c r="C61" s="48">
        <v>506</v>
      </c>
      <c r="D61" s="48">
        <v>3914</v>
      </c>
    </row>
    <row r="62" spans="1:4" hidden="1" x14ac:dyDescent="0.25">
      <c r="A62" s="6">
        <v>43874</v>
      </c>
      <c r="B62" s="48">
        <v>3882</v>
      </c>
      <c r="C62" s="48">
        <v>521</v>
      </c>
      <c r="D62" s="48">
        <v>4202</v>
      </c>
    </row>
    <row r="63" spans="1:4" hidden="1" x14ac:dyDescent="0.25">
      <c r="A63" s="6">
        <v>43875</v>
      </c>
      <c r="B63" s="48">
        <v>3994</v>
      </c>
      <c r="C63" s="48">
        <v>501</v>
      </c>
      <c r="D63" s="48">
        <v>4308</v>
      </c>
    </row>
    <row r="64" spans="1:4" hidden="1" x14ac:dyDescent="0.25">
      <c r="A64" s="6">
        <v>43876</v>
      </c>
      <c r="B64" s="48">
        <v>3395</v>
      </c>
      <c r="C64" s="48">
        <v>487</v>
      </c>
      <c r="D64" s="48">
        <v>3681</v>
      </c>
    </row>
    <row r="65" spans="1:4" hidden="1" x14ac:dyDescent="0.25">
      <c r="A65" s="6">
        <v>43877</v>
      </c>
      <c r="B65" s="48">
        <v>3160</v>
      </c>
      <c r="C65" s="48">
        <v>606</v>
      </c>
      <c r="D65" s="48">
        <v>3365</v>
      </c>
    </row>
    <row r="66" spans="1:4" hidden="1" x14ac:dyDescent="0.25">
      <c r="A66" s="6">
        <v>43878</v>
      </c>
      <c r="B66" s="48">
        <v>4471</v>
      </c>
      <c r="C66" s="48">
        <v>599</v>
      </c>
      <c r="D66" s="48">
        <v>4802</v>
      </c>
    </row>
    <row r="67" spans="1:4" hidden="1" x14ac:dyDescent="0.25">
      <c r="A67" s="6">
        <v>43879</v>
      </c>
      <c r="B67" s="48">
        <v>4045</v>
      </c>
      <c r="C67" s="48">
        <v>439</v>
      </c>
      <c r="D67" s="48">
        <v>4328</v>
      </c>
    </row>
    <row r="68" spans="1:4" hidden="1" x14ac:dyDescent="0.25">
      <c r="A68" s="6">
        <v>43880</v>
      </c>
      <c r="B68" s="48">
        <v>3727</v>
      </c>
      <c r="C68" s="48">
        <v>527</v>
      </c>
      <c r="D68" s="48">
        <v>4078</v>
      </c>
    </row>
    <row r="69" spans="1:4" hidden="1" x14ac:dyDescent="0.25">
      <c r="A69" s="6">
        <v>43881</v>
      </c>
      <c r="B69" s="48">
        <v>4192</v>
      </c>
      <c r="C69" s="48">
        <v>596</v>
      </c>
      <c r="D69" s="48">
        <v>4459</v>
      </c>
    </row>
    <row r="70" spans="1:4" hidden="1" x14ac:dyDescent="0.25">
      <c r="A70" s="6">
        <v>43882</v>
      </c>
      <c r="B70" s="48">
        <v>3647</v>
      </c>
      <c r="C70" s="48">
        <v>444</v>
      </c>
      <c r="D70" s="48">
        <v>3969</v>
      </c>
    </row>
    <row r="71" spans="1:4" hidden="1" x14ac:dyDescent="0.25">
      <c r="A71" s="6">
        <v>43883</v>
      </c>
      <c r="B71" s="48">
        <v>3446</v>
      </c>
      <c r="C71" s="48">
        <v>491</v>
      </c>
      <c r="D71" s="48">
        <v>3685</v>
      </c>
    </row>
    <row r="72" spans="1:4" hidden="1" x14ac:dyDescent="0.25">
      <c r="A72" s="6">
        <v>44927</v>
      </c>
      <c r="B72" s="48">
        <v>3542</v>
      </c>
      <c r="C72" s="48">
        <v>1004</v>
      </c>
      <c r="D72" s="48">
        <v>4238</v>
      </c>
    </row>
    <row r="73" spans="1:4" hidden="1" x14ac:dyDescent="0.25">
      <c r="A73" s="6">
        <v>44928</v>
      </c>
      <c r="B73" s="48">
        <v>10449</v>
      </c>
      <c r="C73" s="48">
        <v>902</v>
      </c>
      <c r="D73" s="48">
        <v>11033</v>
      </c>
    </row>
    <row r="74" spans="1:4" hidden="1" x14ac:dyDescent="0.25">
      <c r="A74" s="6">
        <v>44929</v>
      </c>
      <c r="B74" s="48">
        <v>11072</v>
      </c>
      <c r="C74" s="48">
        <v>1029</v>
      </c>
      <c r="D74" s="48">
        <v>11532</v>
      </c>
    </row>
    <row r="75" spans="1:4" hidden="1" x14ac:dyDescent="0.25">
      <c r="A75" s="6">
        <v>44930</v>
      </c>
      <c r="B75" s="48">
        <v>9582</v>
      </c>
      <c r="C75" s="48">
        <v>1144</v>
      </c>
      <c r="D75" s="48">
        <v>10250</v>
      </c>
    </row>
    <row r="76" spans="1:4" hidden="1" x14ac:dyDescent="0.25">
      <c r="A76" s="6">
        <v>44931</v>
      </c>
      <c r="B76" s="48">
        <v>10657</v>
      </c>
      <c r="C76" s="48">
        <v>1097</v>
      </c>
      <c r="D76" s="48">
        <v>11183</v>
      </c>
    </row>
    <row r="77" spans="1:4" hidden="1" x14ac:dyDescent="0.25">
      <c r="A77" s="6">
        <v>44932</v>
      </c>
      <c r="B77" s="48">
        <v>6655</v>
      </c>
      <c r="C77" s="48">
        <v>1154</v>
      </c>
      <c r="D77" s="48">
        <v>7320</v>
      </c>
    </row>
    <row r="78" spans="1:4" hidden="1" x14ac:dyDescent="0.25">
      <c r="A78" s="6">
        <v>44933</v>
      </c>
      <c r="B78" s="48">
        <v>7822</v>
      </c>
      <c r="C78" s="48">
        <v>1090</v>
      </c>
      <c r="D78" s="48">
        <v>8441</v>
      </c>
    </row>
    <row r="79" spans="1:4" hidden="1" x14ac:dyDescent="0.25">
      <c r="A79" s="6">
        <v>44934</v>
      </c>
      <c r="B79" s="48">
        <v>6073</v>
      </c>
      <c r="C79" s="48">
        <v>1167</v>
      </c>
      <c r="D79" s="48">
        <v>6618</v>
      </c>
    </row>
    <row r="80" spans="1:4" hidden="1" x14ac:dyDescent="0.25">
      <c r="A80" s="6">
        <v>44935</v>
      </c>
      <c r="B80" s="48">
        <v>7038</v>
      </c>
      <c r="C80" s="48">
        <v>1077</v>
      </c>
      <c r="D80" s="48">
        <v>7627</v>
      </c>
    </row>
    <row r="81" spans="1:4" hidden="1" x14ac:dyDescent="0.25">
      <c r="A81" s="6">
        <v>44936</v>
      </c>
      <c r="B81" s="48">
        <v>10322</v>
      </c>
      <c r="C81" s="48">
        <v>1130</v>
      </c>
      <c r="D81" s="48">
        <v>10972</v>
      </c>
    </row>
    <row r="82" spans="1:4" hidden="1" x14ac:dyDescent="0.25">
      <c r="A82" s="6">
        <v>44937</v>
      </c>
      <c r="B82" s="48">
        <v>10215</v>
      </c>
      <c r="C82" s="48">
        <v>1110</v>
      </c>
      <c r="D82" s="48">
        <v>10767</v>
      </c>
    </row>
    <row r="83" spans="1:4" hidden="1" x14ac:dyDescent="0.25">
      <c r="A83" s="6">
        <v>44938</v>
      </c>
      <c r="B83" s="48">
        <v>10455</v>
      </c>
      <c r="C83" s="48">
        <v>1153</v>
      </c>
      <c r="D83" s="48">
        <v>10916</v>
      </c>
    </row>
    <row r="84" spans="1:4" hidden="1" x14ac:dyDescent="0.25">
      <c r="A84" s="6">
        <v>44939</v>
      </c>
      <c r="B84" s="48">
        <v>9466</v>
      </c>
      <c r="C84" s="48">
        <v>1094</v>
      </c>
      <c r="D84" s="48">
        <v>10041</v>
      </c>
    </row>
    <row r="85" spans="1:4" hidden="1" x14ac:dyDescent="0.25">
      <c r="A85" s="6">
        <v>44940</v>
      </c>
      <c r="B85" s="48">
        <v>6945</v>
      </c>
      <c r="C85" s="48">
        <v>1031</v>
      </c>
      <c r="D85" s="48">
        <v>7478</v>
      </c>
    </row>
    <row r="86" spans="1:4" hidden="1" x14ac:dyDescent="0.25">
      <c r="A86" s="6">
        <v>44941</v>
      </c>
      <c r="B86" s="48">
        <v>6283</v>
      </c>
      <c r="C86" s="48">
        <v>972</v>
      </c>
      <c r="D86" s="48">
        <v>6776</v>
      </c>
    </row>
    <row r="87" spans="1:4" hidden="1" x14ac:dyDescent="0.25">
      <c r="A87" s="6">
        <v>44942</v>
      </c>
      <c r="B87" s="48">
        <v>8126</v>
      </c>
      <c r="C87" s="48">
        <v>1073</v>
      </c>
      <c r="D87" s="48">
        <v>8743</v>
      </c>
    </row>
    <row r="88" spans="1:4" hidden="1" x14ac:dyDescent="0.25">
      <c r="A88" s="6">
        <v>44943</v>
      </c>
      <c r="B88" s="48">
        <v>7433</v>
      </c>
      <c r="C88" s="48">
        <v>1074</v>
      </c>
      <c r="D88" s="48">
        <v>7953</v>
      </c>
    </row>
    <row r="89" spans="1:4" hidden="1" x14ac:dyDescent="0.25">
      <c r="A89" s="6">
        <v>44944</v>
      </c>
      <c r="B89" s="48">
        <v>7394</v>
      </c>
      <c r="C89" s="48">
        <v>1239</v>
      </c>
      <c r="D89" s="48">
        <v>7988</v>
      </c>
    </row>
    <row r="90" spans="1:4" hidden="1" x14ac:dyDescent="0.25">
      <c r="A90" s="6">
        <v>44945</v>
      </c>
      <c r="B90" s="48">
        <v>7616</v>
      </c>
      <c r="C90" s="48">
        <v>1092</v>
      </c>
      <c r="D90" s="48">
        <v>8094</v>
      </c>
    </row>
    <row r="91" spans="1:4" hidden="1" x14ac:dyDescent="0.25">
      <c r="A91" s="6">
        <v>44946</v>
      </c>
      <c r="B91" s="48">
        <v>9670</v>
      </c>
      <c r="C91" s="48">
        <v>1064</v>
      </c>
      <c r="D91" s="48">
        <v>10248</v>
      </c>
    </row>
    <row r="92" spans="1:4" hidden="1" x14ac:dyDescent="0.25">
      <c r="A92" s="6">
        <v>44947</v>
      </c>
      <c r="B92" s="48">
        <v>7414</v>
      </c>
      <c r="C92" s="48">
        <v>1068</v>
      </c>
      <c r="D92" s="48">
        <v>7941</v>
      </c>
    </row>
    <row r="93" spans="1:4" hidden="1" x14ac:dyDescent="0.25">
      <c r="A93" s="6">
        <v>44948</v>
      </c>
      <c r="B93" s="48">
        <v>6231</v>
      </c>
      <c r="C93" s="48">
        <v>965</v>
      </c>
      <c r="D93" s="48">
        <v>6742</v>
      </c>
    </row>
    <row r="94" spans="1:4" hidden="1" x14ac:dyDescent="0.25">
      <c r="A94" s="6">
        <v>44949</v>
      </c>
      <c r="B94" s="48">
        <v>8998</v>
      </c>
      <c r="C94" s="48">
        <v>1109</v>
      </c>
      <c r="D94" s="48">
        <v>9617</v>
      </c>
    </row>
    <row r="95" spans="1:4" hidden="1" x14ac:dyDescent="0.25">
      <c r="A95" s="6">
        <v>44950</v>
      </c>
      <c r="B95" s="48">
        <v>8996</v>
      </c>
      <c r="C95" s="48">
        <v>1152</v>
      </c>
      <c r="D95" s="48">
        <v>9630</v>
      </c>
    </row>
    <row r="96" spans="1:4" hidden="1" x14ac:dyDescent="0.25">
      <c r="A96" s="6">
        <v>44951</v>
      </c>
      <c r="B96" s="48">
        <v>8570</v>
      </c>
      <c r="C96" s="48">
        <v>1109</v>
      </c>
      <c r="D96" s="48">
        <v>9402</v>
      </c>
    </row>
    <row r="97" spans="1:4" hidden="1" x14ac:dyDescent="0.25">
      <c r="A97" s="6">
        <v>44952</v>
      </c>
      <c r="B97" s="48">
        <v>1693</v>
      </c>
      <c r="C97" s="48">
        <v>311</v>
      </c>
      <c r="D97" s="48">
        <v>1930</v>
      </c>
    </row>
    <row r="98" spans="1:4" hidden="1" x14ac:dyDescent="0.25">
      <c r="A98" s="6">
        <v>44953</v>
      </c>
      <c r="B98" s="48"/>
      <c r="C98" s="48"/>
      <c r="D98" s="48"/>
    </row>
    <row r="99" spans="1:4" hidden="1" x14ac:dyDescent="0.25">
      <c r="A99" s="6">
        <v>44954</v>
      </c>
      <c r="B99" s="48"/>
      <c r="C99" s="48"/>
      <c r="D99" s="48"/>
    </row>
    <row r="100" spans="1:4" hidden="1" x14ac:dyDescent="0.25">
      <c r="A100" s="6">
        <v>44955</v>
      </c>
      <c r="B100" s="48">
        <v>10596</v>
      </c>
      <c r="C100" s="48">
        <v>1179</v>
      </c>
      <c r="D100" s="48">
        <v>11291</v>
      </c>
    </row>
    <row r="101" spans="1:4" hidden="1" x14ac:dyDescent="0.25">
      <c r="A101" s="6">
        <v>44956</v>
      </c>
      <c r="B101" s="48">
        <v>10758</v>
      </c>
      <c r="C101" s="48">
        <v>1152</v>
      </c>
      <c r="D101" s="48">
        <v>11431</v>
      </c>
    </row>
    <row r="102" spans="1:4" hidden="1" x14ac:dyDescent="0.25">
      <c r="A102" s="6">
        <v>44957</v>
      </c>
      <c r="B102" s="48">
        <v>11042</v>
      </c>
      <c r="C102" s="48">
        <v>1275</v>
      </c>
      <c r="D102" s="48">
        <v>11694</v>
      </c>
    </row>
    <row r="103" spans="1:4" hidden="1" x14ac:dyDescent="0.25">
      <c r="A103" s="6">
        <v>44958</v>
      </c>
      <c r="B103" s="48">
        <v>10480</v>
      </c>
      <c r="C103" s="48">
        <v>1261</v>
      </c>
      <c r="D103" s="48">
        <v>11084</v>
      </c>
    </row>
    <row r="104" spans="1:4" hidden="1" x14ac:dyDescent="0.25">
      <c r="A104" s="6">
        <v>44959</v>
      </c>
      <c r="B104" s="48">
        <v>10430</v>
      </c>
      <c r="C104" s="48">
        <v>1120</v>
      </c>
      <c r="D104" s="48">
        <v>10970</v>
      </c>
    </row>
    <row r="105" spans="1:4" hidden="1" x14ac:dyDescent="0.25">
      <c r="A105" s="6">
        <v>44960</v>
      </c>
      <c r="B105" s="48">
        <v>10829</v>
      </c>
      <c r="C105" s="48">
        <v>1309</v>
      </c>
      <c r="D105" s="48">
        <v>11620</v>
      </c>
    </row>
    <row r="106" spans="1:4" hidden="1" x14ac:dyDescent="0.25">
      <c r="A106" s="6">
        <v>44961</v>
      </c>
      <c r="B106" s="48">
        <v>8743</v>
      </c>
      <c r="C106" s="48">
        <v>1030</v>
      </c>
      <c r="D106" s="48">
        <v>9309</v>
      </c>
    </row>
    <row r="107" spans="1:4" hidden="1" x14ac:dyDescent="0.25">
      <c r="A107" s="6">
        <v>44962</v>
      </c>
      <c r="B107" s="48">
        <v>6562</v>
      </c>
      <c r="C107" s="48">
        <v>981</v>
      </c>
      <c r="D107" s="48">
        <v>7103</v>
      </c>
    </row>
    <row r="108" spans="1:4" hidden="1" x14ac:dyDescent="0.25">
      <c r="A108" s="6">
        <v>44963</v>
      </c>
      <c r="B108" s="48">
        <v>9659</v>
      </c>
      <c r="C108" s="48">
        <v>1270</v>
      </c>
      <c r="D108" s="48">
        <v>10416</v>
      </c>
    </row>
    <row r="109" spans="1:4" hidden="1" x14ac:dyDescent="0.25">
      <c r="A109" s="6">
        <v>44964</v>
      </c>
      <c r="B109" s="48">
        <v>8553</v>
      </c>
      <c r="C109" s="48">
        <v>1398</v>
      </c>
      <c r="D109" s="48">
        <v>9048</v>
      </c>
    </row>
    <row r="110" spans="1:4" hidden="1" x14ac:dyDescent="0.25">
      <c r="A110" s="6">
        <v>44965</v>
      </c>
      <c r="B110" s="48">
        <v>10930</v>
      </c>
      <c r="C110" s="48">
        <v>1119</v>
      </c>
      <c r="D110" s="48">
        <v>11341</v>
      </c>
    </row>
    <row r="111" spans="1:4" hidden="1" x14ac:dyDescent="0.25">
      <c r="A111" s="6">
        <v>44966</v>
      </c>
      <c r="B111" s="48">
        <v>10288</v>
      </c>
      <c r="C111" s="48">
        <v>1098</v>
      </c>
      <c r="D111" s="48">
        <v>10818</v>
      </c>
    </row>
    <row r="112" spans="1:4" hidden="1" x14ac:dyDescent="0.25">
      <c r="A112" s="6">
        <v>44967</v>
      </c>
      <c r="B112" s="48">
        <v>13145</v>
      </c>
      <c r="C112" s="48">
        <v>1810</v>
      </c>
      <c r="D112" s="48">
        <v>14955</v>
      </c>
    </row>
    <row r="113" spans="1:4" hidden="1" x14ac:dyDescent="0.25">
      <c r="A113" s="6">
        <v>44968</v>
      </c>
      <c r="B113" s="48">
        <v>6599</v>
      </c>
      <c r="C113" s="48">
        <v>1077</v>
      </c>
      <c r="D113" s="48">
        <v>7252</v>
      </c>
    </row>
    <row r="114" spans="1:4" hidden="1" x14ac:dyDescent="0.25">
      <c r="A114" s="6">
        <v>44969</v>
      </c>
      <c r="B114" s="48">
        <v>6142</v>
      </c>
      <c r="C114" s="48">
        <v>949</v>
      </c>
      <c r="D114" s="48">
        <v>6605</v>
      </c>
    </row>
    <row r="115" spans="1:4" hidden="1" x14ac:dyDescent="0.25">
      <c r="A115" s="6">
        <v>44970</v>
      </c>
      <c r="B115" s="48">
        <v>6981</v>
      </c>
      <c r="C115" s="48">
        <v>1101</v>
      </c>
      <c r="D115" s="48">
        <v>7692</v>
      </c>
    </row>
    <row r="116" spans="1:4" hidden="1" x14ac:dyDescent="0.25">
      <c r="A116" s="6">
        <v>44971</v>
      </c>
      <c r="B116" s="48">
        <v>9832</v>
      </c>
      <c r="C116" s="48">
        <v>1219</v>
      </c>
      <c r="D116" s="48">
        <v>10302</v>
      </c>
    </row>
    <row r="117" spans="1:4" hidden="1" x14ac:dyDescent="0.25">
      <c r="A117" s="6">
        <v>44972</v>
      </c>
      <c r="B117" s="48">
        <v>6596</v>
      </c>
      <c r="C117" s="48">
        <v>1245</v>
      </c>
      <c r="D117" s="48">
        <v>7286</v>
      </c>
    </row>
    <row r="118" spans="1:4" hidden="1" x14ac:dyDescent="0.25">
      <c r="A118" s="6">
        <v>44973</v>
      </c>
      <c r="B118" s="48">
        <v>6772</v>
      </c>
      <c r="C118" s="48">
        <v>1367</v>
      </c>
      <c r="D118" s="48">
        <v>7445</v>
      </c>
    </row>
    <row r="119" spans="1:4" hidden="1" x14ac:dyDescent="0.25">
      <c r="A119" s="6">
        <v>44974</v>
      </c>
      <c r="B119" s="48">
        <v>6938</v>
      </c>
      <c r="C119" s="48">
        <v>1158</v>
      </c>
      <c r="D119" s="48">
        <v>7644</v>
      </c>
    </row>
    <row r="120" spans="1:4" hidden="1" x14ac:dyDescent="0.25">
      <c r="A120" s="6">
        <v>44975</v>
      </c>
      <c r="B120" s="48">
        <v>6513</v>
      </c>
      <c r="C120" s="48">
        <v>1240</v>
      </c>
      <c r="D120" s="48">
        <v>7120</v>
      </c>
    </row>
    <row r="121" spans="1:4" hidden="1" x14ac:dyDescent="0.25">
      <c r="A121" s="6">
        <v>44976</v>
      </c>
      <c r="B121" s="48">
        <v>4809</v>
      </c>
      <c r="C121" s="48">
        <v>1140</v>
      </c>
      <c r="D121" s="48">
        <v>5554</v>
      </c>
    </row>
    <row r="122" spans="1:4" hidden="1" x14ac:dyDescent="0.25">
      <c r="A122" s="6">
        <v>44977</v>
      </c>
      <c r="B122" s="48">
        <v>6817</v>
      </c>
      <c r="C122" s="48">
        <v>1307</v>
      </c>
      <c r="D122" s="48">
        <v>7557</v>
      </c>
    </row>
    <row r="123" spans="1:4" hidden="1" x14ac:dyDescent="0.25">
      <c r="A123" s="6">
        <v>44978</v>
      </c>
      <c r="B123" s="48">
        <v>7254</v>
      </c>
      <c r="C123" s="48">
        <v>1178</v>
      </c>
      <c r="D123" s="48">
        <v>7796</v>
      </c>
    </row>
    <row r="124" spans="1:4" hidden="1" x14ac:dyDescent="0.25">
      <c r="A124" s="6">
        <v>44979</v>
      </c>
      <c r="B124" s="48">
        <v>8857</v>
      </c>
      <c r="C124" s="48">
        <v>1034</v>
      </c>
      <c r="D124" s="48">
        <v>9447</v>
      </c>
    </row>
    <row r="125" spans="1:4" hidden="1" x14ac:dyDescent="0.25">
      <c r="A125" s="6">
        <v>44980</v>
      </c>
      <c r="B125" s="48">
        <v>14903</v>
      </c>
      <c r="C125" s="48">
        <v>13588</v>
      </c>
      <c r="D125" s="48">
        <v>28491</v>
      </c>
    </row>
    <row r="126" spans="1:4" hidden="1" x14ac:dyDescent="0.25">
      <c r="A126" s="6">
        <v>44981</v>
      </c>
      <c r="B126" s="48"/>
      <c r="C126" s="48"/>
      <c r="D126" s="48"/>
    </row>
    <row r="127" spans="1:4" hidden="1" x14ac:dyDescent="0.25">
      <c r="A127" s="6">
        <v>44982</v>
      </c>
      <c r="B127" s="48"/>
      <c r="C127" s="48"/>
      <c r="D127" s="48"/>
    </row>
    <row r="128" spans="1:4" hidden="1" x14ac:dyDescent="0.25">
      <c r="A128" s="6">
        <v>44983</v>
      </c>
      <c r="B128" s="48"/>
      <c r="C128" s="48"/>
      <c r="D128" s="48"/>
    </row>
    <row r="129" spans="1:4" hidden="1" x14ac:dyDescent="0.25">
      <c r="A129" s="6">
        <v>44984</v>
      </c>
      <c r="B129" s="48"/>
      <c r="C129" s="48"/>
      <c r="D129" s="48"/>
    </row>
    <row r="130" spans="1:4" hidden="1" x14ac:dyDescent="0.25">
      <c r="A130" s="6">
        <v>44985</v>
      </c>
      <c r="B130" s="48"/>
      <c r="C130" s="48"/>
      <c r="D130" s="48"/>
    </row>
    <row r="131" spans="1:4" hidden="1" x14ac:dyDescent="0.25">
      <c r="A131" s="6">
        <v>44986</v>
      </c>
      <c r="B131" s="48"/>
      <c r="C131" s="48"/>
      <c r="D131" s="48"/>
    </row>
    <row r="132" spans="1:4" hidden="1" x14ac:dyDescent="0.25">
      <c r="A132" s="6">
        <v>44987</v>
      </c>
      <c r="B132" s="48">
        <v>8622</v>
      </c>
      <c r="C132" s="48">
        <v>1553</v>
      </c>
      <c r="D132" s="48">
        <v>9087</v>
      </c>
    </row>
    <row r="133" spans="1:4" hidden="1" x14ac:dyDescent="0.25">
      <c r="A133" s="6">
        <v>44988</v>
      </c>
      <c r="B133" s="48">
        <v>10336</v>
      </c>
      <c r="C133" s="48">
        <v>1339</v>
      </c>
      <c r="D133" s="48">
        <v>10842</v>
      </c>
    </row>
    <row r="134" spans="1:4" hidden="1" x14ac:dyDescent="0.25">
      <c r="A134" s="6">
        <v>44989</v>
      </c>
      <c r="B134" s="48">
        <v>9697</v>
      </c>
      <c r="C134" s="48">
        <v>1166</v>
      </c>
      <c r="D134" s="48">
        <v>10397</v>
      </c>
    </row>
    <row r="135" spans="1:4" hidden="1" x14ac:dyDescent="0.25">
      <c r="A135" s="6">
        <v>44990</v>
      </c>
      <c r="B135" s="48">
        <v>6651</v>
      </c>
      <c r="C135" s="48">
        <v>1039</v>
      </c>
      <c r="D135" s="48">
        <v>7234</v>
      </c>
    </row>
    <row r="136" spans="1:4" hidden="1" x14ac:dyDescent="0.25">
      <c r="A136" s="6">
        <v>44991</v>
      </c>
      <c r="B136" s="48">
        <v>10041</v>
      </c>
      <c r="C136" s="48">
        <v>1104</v>
      </c>
      <c r="D136" s="48">
        <v>10682</v>
      </c>
    </row>
    <row r="137" spans="1:4" hidden="1" x14ac:dyDescent="0.25">
      <c r="A137" s="6">
        <v>44992</v>
      </c>
      <c r="B137" s="48">
        <v>10041</v>
      </c>
      <c r="C137" s="48">
        <v>1089</v>
      </c>
      <c r="D137" s="48">
        <v>10654</v>
      </c>
    </row>
    <row r="138" spans="1:4" hidden="1" x14ac:dyDescent="0.25">
      <c r="A138" s="6">
        <v>44993</v>
      </c>
      <c r="B138" s="48">
        <v>7900</v>
      </c>
      <c r="C138" s="48">
        <v>1093</v>
      </c>
      <c r="D138" s="48">
        <v>8497</v>
      </c>
    </row>
    <row r="139" spans="1:4" hidden="1" x14ac:dyDescent="0.25">
      <c r="A139" s="6">
        <v>44994</v>
      </c>
      <c r="B139" s="48">
        <v>10092</v>
      </c>
      <c r="C139" s="48">
        <v>1079</v>
      </c>
      <c r="D139" s="48">
        <v>10654</v>
      </c>
    </row>
    <row r="140" spans="1:4" hidden="1" x14ac:dyDescent="0.25">
      <c r="A140" s="6">
        <v>44995</v>
      </c>
      <c r="B140" s="48">
        <v>10106</v>
      </c>
      <c r="C140" s="48">
        <v>1056</v>
      </c>
      <c r="D140" s="48">
        <v>10573</v>
      </c>
    </row>
    <row r="141" spans="1:4" hidden="1" x14ac:dyDescent="0.25">
      <c r="A141" s="6">
        <v>44996</v>
      </c>
      <c r="B141" s="48">
        <v>9323</v>
      </c>
      <c r="C141" s="48">
        <v>1169</v>
      </c>
      <c r="D141" s="48">
        <v>10006</v>
      </c>
    </row>
    <row r="142" spans="1:4" hidden="1" x14ac:dyDescent="0.25">
      <c r="A142" s="6">
        <v>44997</v>
      </c>
      <c r="B142" s="48">
        <v>9813</v>
      </c>
      <c r="C142" s="48">
        <v>1106</v>
      </c>
      <c r="D142" s="48">
        <v>10371</v>
      </c>
    </row>
    <row r="143" spans="1:4" hidden="1" x14ac:dyDescent="0.25">
      <c r="A143" s="6">
        <v>44998</v>
      </c>
      <c r="B143" s="48">
        <v>10020</v>
      </c>
      <c r="C143" s="48">
        <v>1410</v>
      </c>
      <c r="D143" s="48">
        <v>10698</v>
      </c>
    </row>
    <row r="144" spans="1:4" hidden="1" x14ac:dyDescent="0.25">
      <c r="A144" s="6">
        <v>44999</v>
      </c>
      <c r="B144" s="48">
        <v>7409</v>
      </c>
      <c r="C144" s="48">
        <v>1040</v>
      </c>
      <c r="D144" s="48">
        <v>8136</v>
      </c>
    </row>
    <row r="145" spans="1:4" hidden="1" x14ac:dyDescent="0.25">
      <c r="A145" s="6">
        <v>45000</v>
      </c>
      <c r="B145" s="48">
        <v>9746</v>
      </c>
      <c r="C145" s="48">
        <v>982</v>
      </c>
      <c r="D145" s="48">
        <v>10352</v>
      </c>
    </row>
    <row r="146" spans="1:4" hidden="1" x14ac:dyDescent="0.25">
      <c r="A146" s="6">
        <v>45001</v>
      </c>
      <c r="B146" s="48">
        <v>7036</v>
      </c>
      <c r="C146" s="48">
        <v>1195</v>
      </c>
      <c r="D146" s="48">
        <v>7655</v>
      </c>
    </row>
    <row r="147" spans="1:4" hidden="1" x14ac:dyDescent="0.25">
      <c r="A147" s="6">
        <v>45002</v>
      </c>
      <c r="B147" s="48">
        <v>9708</v>
      </c>
      <c r="C147" s="48">
        <v>1453</v>
      </c>
      <c r="D147" s="48">
        <v>10383</v>
      </c>
    </row>
    <row r="148" spans="1:4" hidden="1" x14ac:dyDescent="0.25">
      <c r="A148" s="6">
        <v>45003</v>
      </c>
      <c r="B148" s="48">
        <v>9887</v>
      </c>
      <c r="C148" s="48">
        <v>1161</v>
      </c>
      <c r="D148" s="48">
        <v>10443</v>
      </c>
    </row>
    <row r="149" spans="1:4" hidden="1" x14ac:dyDescent="0.25">
      <c r="A149" s="6">
        <v>45004</v>
      </c>
      <c r="B149" s="48">
        <v>6537</v>
      </c>
      <c r="C149" s="48">
        <v>961</v>
      </c>
      <c r="D149" s="48">
        <v>7293</v>
      </c>
    </row>
    <row r="150" spans="1:4" hidden="1" x14ac:dyDescent="0.25">
      <c r="A150" s="6">
        <v>45005</v>
      </c>
      <c r="B150" s="48">
        <v>8053</v>
      </c>
      <c r="C150" s="48">
        <v>1082</v>
      </c>
      <c r="D150" s="48">
        <v>8838</v>
      </c>
    </row>
    <row r="151" spans="1:4" hidden="1" x14ac:dyDescent="0.25">
      <c r="A151" s="6">
        <v>45006</v>
      </c>
      <c r="B151" s="48">
        <v>10111</v>
      </c>
      <c r="C151" s="48">
        <v>1217</v>
      </c>
      <c r="D151" s="48">
        <v>10788</v>
      </c>
    </row>
    <row r="152" spans="1:4" hidden="1" x14ac:dyDescent="0.25">
      <c r="A152" s="6">
        <v>45007</v>
      </c>
      <c r="B152" s="48">
        <v>9973</v>
      </c>
      <c r="C152" s="48">
        <v>1195</v>
      </c>
      <c r="D152" s="48">
        <v>10546</v>
      </c>
    </row>
    <row r="153" spans="1:4" hidden="1" x14ac:dyDescent="0.25">
      <c r="A153" s="6">
        <v>45008</v>
      </c>
      <c r="B153" s="48">
        <v>7652</v>
      </c>
      <c r="C153" s="48">
        <v>1010</v>
      </c>
      <c r="D153" s="48">
        <v>8202</v>
      </c>
    </row>
    <row r="154" spans="1:4" hidden="1" x14ac:dyDescent="0.25">
      <c r="A154" s="6">
        <v>45009</v>
      </c>
      <c r="B154" s="48">
        <v>9995</v>
      </c>
      <c r="C154" s="48">
        <v>1008</v>
      </c>
      <c r="D154" s="48">
        <v>10583</v>
      </c>
    </row>
    <row r="155" spans="1:4" hidden="1" x14ac:dyDescent="0.25">
      <c r="A155" s="6">
        <v>45010</v>
      </c>
      <c r="B155" s="48">
        <v>9873</v>
      </c>
      <c r="C155" s="48">
        <v>1058</v>
      </c>
      <c r="D155" s="48">
        <v>10422</v>
      </c>
    </row>
    <row r="156" spans="1:4" hidden="1" x14ac:dyDescent="0.25">
      <c r="A156" s="6">
        <v>45011</v>
      </c>
      <c r="B156" s="48">
        <v>7450</v>
      </c>
      <c r="C156" s="48">
        <v>992</v>
      </c>
      <c r="D156" s="48">
        <v>7962</v>
      </c>
    </row>
    <row r="157" spans="1:4" hidden="1" x14ac:dyDescent="0.25">
      <c r="A157" s="6">
        <v>45012</v>
      </c>
      <c r="B157" s="48">
        <v>9508</v>
      </c>
      <c r="C157" s="48">
        <v>1068</v>
      </c>
      <c r="D157" s="48">
        <v>9978</v>
      </c>
    </row>
    <row r="158" spans="1:4" hidden="1" x14ac:dyDescent="0.25">
      <c r="A158" s="6">
        <v>45013</v>
      </c>
      <c r="B158" s="48">
        <v>9902</v>
      </c>
      <c r="C158" s="48">
        <v>1047</v>
      </c>
      <c r="D158" s="48">
        <v>10431</v>
      </c>
    </row>
    <row r="159" spans="1:4" hidden="1" x14ac:dyDescent="0.25">
      <c r="A159" s="6">
        <v>45014</v>
      </c>
      <c r="B159" s="48">
        <v>7728</v>
      </c>
      <c r="C159" s="48">
        <v>1106</v>
      </c>
      <c r="D159" s="48">
        <v>8289</v>
      </c>
    </row>
    <row r="160" spans="1:4" hidden="1" x14ac:dyDescent="0.25">
      <c r="A160" s="6">
        <v>45015</v>
      </c>
      <c r="B160" s="48">
        <v>7741</v>
      </c>
      <c r="C160" s="48">
        <v>1090</v>
      </c>
      <c r="D160" s="48">
        <v>8302</v>
      </c>
    </row>
    <row r="161" spans="1:4" hidden="1" x14ac:dyDescent="0.25">
      <c r="A161" s="6">
        <v>45016</v>
      </c>
      <c r="B161" s="48">
        <v>9000</v>
      </c>
      <c r="C161" s="48">
        <v>1310</v>
      </c>
      <c r="D161" s="48">
        <v>9581</v>
      </c>
    </row>
    <row r="162" spans="1:4" hidden="1" x14ac:dyDescent="0.25">
      <c r="A162" s="6">
        <v>45017</v>
      </c>
      <c r="B162" s="48">
        <v>7475</v>
      </c>
      <c r="C162" s="48">
        <v>1078</v>
      </c>
      <c r="D162" s="48">
        <v>8038</v>
      </c>
    </row>
    <row r="163" spans="1:4" hidden="1" x14ac:dyDescent="0.25">
      <c r="A163" s="6">
        <v>45018</v>
      </c>
      <c r="B163" s="48">
        <v>5779</v>
      </c>
      <c r="C163" s="48">
        <v>953</v>
      </c>
      <c r="D163" s="48">
        <v>6406</v>
      </c>
    </row>
    <row r="164" spans="1:4" hidden="1" x14ac:dyDescent="0.25">
      <c r="A164" s="6">
        <v>45019</v>
      </c>
      <c r="B164" s="48">
        <v>8219</v>
      </c>
      <c r="C164" s="48">
        <v>1122</v>
      </c>
      <c r="D164" s="48">
        <v>8956</v>
      </c>
    </row>
    <row r="165" spans="1:4" hidden="1" x14ac:dyDescent="0.25">
      <c r="A165" s="6">
        <v>45020</v>
      </c>
      <c r="B165" s="48">
        <v>6726</v>
      </c>
      <c r="C165" s="48">
        <v>1054</v>
      </c>
      <c r="D165" s="48">
        <v>7277</v>
      </c>
    </row>
    <row r="166" spans="1:4" hidden="1" x14ac:dyDescent="0.25">
      <c r="A166" s="6">
        <v>45021</v>
      </c>
      <c r="B166" s="48">
        <v>5853</v>
      </c>
      <c r="C166" s="48">
        <v>1091</v>
      </c>
      <c r="D166" s="48">
        <v>6596</v>
      </c>
    </row>
    <row r="167" spans="1:4" hidden="1" x14ac:dyDescent="0.25">
      <c r="A167" s="6">
        <v>45022</v>
      </c>
      <c r="B167" s="48">
        <v>7409</v>
      </c>
      <c r="C167" s="48">
        <v>1040</v>
      </c>
      <c r="D167" s="48">
        <v>8136</v>
      </c>
    </row>
    <row r="168" spans="1:4" hidden="1" x14ac:dyDescent="0.25">
      <c r="A168" s="6">
        <v>45023</v>
      </c>
      <c r="B168" s="48">
        <v>9000</v>
      </c>
      <c r="C168" s="48">
        <v>2377</v>
      </c>
      <c r="D168" s="48">
        <v>9761</v>
      </c>
    </row>
    <row r="169" spans="1:4" hidden="1" x14ac:dyDescent="0.25">
      <c r="A169" s="6">
        <v>45024</v>
      </c>
      <c r="B169" s="48">
        <v>6497</v>
      </c>
      <c r="C169" s="48">
        <v>1080</v>
      </c>
      <c r="D169" s="48">
        <v>7245</v>
      </c>
    </row>
    <row r="170" spans="1:4" hidden="1" x14ac:dyDescent="0.25">
      <c r="A170" s="6">
        <v>45025</v>
      </c>
      <c r="B170" s="48">
        <v>6366</v>
      </c>
      <c r="C170" s="48">
        <v>1024</v>
      </c>
      <c r="D170" s="48">
        <v>6925</v>
      </c>
    </row>
    <row r="171" spans="1:4" hidden="1" x14ac:dyDescent="0.25">
      <c r="A171" s="6">
        <v>45026</v>
      </c>
      <c r="B171" s="48">
        <v>4803</v>
      </c>
      <c r="C171" s="48">
        <v>1095</v>
      </c>
      <c r="D171" s="48">
        <v>5482</v>
      </c>
    </row>
    <row r="172" spans="1:4" hidden="1" x14ac:dyDescent="0.25">
      <c r="A172" s="6">
        <v>45027</v>
      </c>
      <c r="B172" s="48">
        <v>7182</v>
      </c>
      <c r="C172" s="48">
        <v>1115</v>
      </c>
      <c r="D172" s="48">
        <v>8034</v>
      </c>
    </row>
    <row r="173" spans="1:4" hidden="1" x14ac:dyDescent="0.25">
      <c r="A173" s="6">
        <v>45028</v>
      </c>
      <c r="B173" s="48">
        <v>8386</v>
      </c>
      <c r="C173" s="48">
        <v>1026</v>
      </c>
      <c r="D173" s="48">
        <v>8849</v>
      </c>
    </row>
    <row r="174" spans="1:4" hidden="1" x14ac:dyDescent="0.25">
      <c r="A174" s="6">
        <v>45029</v>
      </c>
      <c r="B174" s="48">
        <v>7409</v>
      </c>
      <c r="C174" s="48">
        <v>1040</v>
      </c>
      <c r="D174" s="48">
        <v>8136</v>
      </c>
    </row>
    <row r="175" spans="1:4" hidden="1" x14ac:dyDescent="0.25">
      <c r="A175" s="6">
        <v>45030</v>
      </c>
      <c r="B175" s="48">
        <v>7617</v>
      </c>
      <c r="C175" s="48">
        <v>1106</v>
      </c>
      <c r="D175" s="48">
        <v>8370</v>
      </c>
    </row>
    <row r="176" spans="1:4" hidden="1" x14ac:dyDescent="0.25">
      <c r="A176" s="6">
        <v>45031</v>
      </c>
      <c r="B176" s="48">
        <v>6811</v>
      </c>
      <c r="C176" s="48">
        <v>1073</v>
      </c>
      <c r="D176" s="48">
        <v>7467</v>
      </c>
    </row>
    <row r="177" spans="1:4" hidden="1" x14ac:dyDescent="0.25">
      <c r="A177" s="6">
        <v>45032</v>
      </c>
      <c r="B177" s="48">
        <v>3007</v>
      </c>
      <c r="C177" s="48">
        <v>989</v>
      </c>
      <c r="D177" s="48">
        <v>3499</v>
      </c>
    </row>
    <row r="178" spans="1:4" hidden="1" x14ac:dyDescent="0.25">
      <c r="A178" s="6">
        <v>45033</v>
      </c>
      <c r="B178" s="48">
        <v>7786</v>
      </c>
      <c r="C178" s="48">
        <v>1069</v>
      </c>
      <c r="D178" s="48">
        <v>8601</v>
      </c>
    </row>
    <row r="179" spans="1:4" hidden="1" x14ac:dyDescent="0.25">
      <c r="A179" s="6">
        <v>45034</v>
      </c>
      <c r="B179" s="48">
        <v>6945</v>
      </c>
      <c r="C179" s="48">
        <v>976</v>
      </c>
      <c r="D179" s="48">
        <v>7564</v>
      </c>
    </row>
    <row r="180" spans="1:4" hidden="1" x14ac:dyDescent="0.25">
      <c r="A180" s="6">
        <v>45035</v>
      </c>
      <c r="B180" s="48">
        <v>7114</v>
      </c>
      <c r="C180" s="48">
        <v>930</v>
      </c>
      <c r="D180" s="48">
        <v>7739</v>
      </c>
    </row>
    <row r="181" spans="1:4" hidden="1" x14ac:dyDescent="0.25">
      <c r="A181" s="6">
        <v>45036</v>
      </c>
      <c r="B181" s="48">
        <v>8445</v>
      </c>
      <c r="C181" s="48">
        <v>1106</v>
      </c>
      <c r="D181" s="48">
        <v>9092</v>
      </c>
    </row>
    <row r="182" spans="1:4" hidden="1" x14ac:dyDescent="0.25">
      <c r="A182" s="6">
        <v>45037</v>
      </c>
      <c r="B182" s="48">
        <v>4106</v>
      </c>
      <c r="C182" s="48">
        <v>1024</v>
      </c>
      <c r="D182" s="48">
        <v>4846</v>
      </c>
    </row>
    <row r="183" spans="1:4" hidden="1" x14ac:dyDescent="0.25">
      <c r="A183" s="6">
        <v>45038</v>
      </c>
      <c r="B183" s="48">
        <v>9000</v>
      </c>
      <c r="C183" s="48">
        <v>1043</v>
      </c>
      <c r="D183" s="48">
        <v>9487</v>
      </c>
    </row>
    <row r="184" spans="1:4" hidden="1" x14ac:dyDescent="0.25">
      <c r="A184" s="6">
        <v>45039</v>
      </c>
      <c r="B184" s="48">
        <v>2897</v>
      </c>
      <c r="C184" s="48">
        <v>993</v>
      </c>
      <c r="D184" s="48">
        <v>3638</v>
      </c>
    </row>
    <row r="185" spans="1:4" hidden="1" x14ac:dyDescent="0.25">
      <c r="A185" s="6">
        <v>45040</v>
      </c>
      <c r="B185" s="48">
        <v>8402</v>
      </c>
      <c r="C185" s="48">
        <v>1099</v>
      </c>
      <c r="D185" s="48">
        <v>8952</v>
      </c>
    </row>
    <row r="186" spans="1:4" hidden="1" x14ac:dyDescent="0.25">
      <c r="A186" s="6">
        <v>45041</v>
      </c>
      <c r="B186" s="48">
        <v>8682</v>
      </c>
      <c r="C186" s="48">
        <v>1422</v>
      </c>
      <c r="D186" s="48">
        <v>9249</v>
      </c>
    </row>
    <row r="187" spans="1:4" hidden="1" x14ac:dyDescent="0.25">
      <c r="A187" s="107">
        <v>45042</v>
      </c>
      <c r="B187" s="48">
        <v>9000</v>
      </c>
      <c r="C187" s="48">
        <v>2023</v>
      </c>
      <c r="D187" s="48">
        <v>9595</v>
      </c>
    </row>
    <row r="188" spans="1:4" hidden="1" x14ac:dyDescent="0.25">
      <c r="A188" s="107">
        <v>45043</v>
      </c>
      <c r="B188" s="48">
        <v>9000</v>
      </c>
      <c r="C188" s="48">
        <v>1512</v>
      </c>
      <c r="D188" s="48">
        <v>9760</v>
      </c>
    </row>
    <row r="189" spans="1:4" hidden="1" x14ac:dyDescent="0.25">
      <c r="A189" s="106">
        <v>45044</v>
      </c>
      <c r="B189" s="48">
        <v>8301</v>
      </c>
      <c r="C189" s="48">
        <v>1100</v>
      </c>
      <c r="D189" s="48">
        <v>8865</v>
      </c>
    </row>
    <row r="190" spans="1:4" hidden="1" x14ac:dyDescent="0.25">
      <c r="A190" s="6">
        <v>45045</v>
      </c>
      <c r="B190" s="48">
        <v>9000</v>
      </c>
      <c r="C190" s="48">
        <v>1604</v>
      </c>
      <c r="D190" s="48">
        <v>9736</v>
      </c>
    </row>
    <row r="191" spans="1:4" hidden="1" x14ac:dyDescent="0.25">
      <c r="A191" s="6">
        <v>45046</v>
      </c>
      <c r="B191" s="48">
        <v>8739</v>
      </c>
      <c r="C191" s="48">
        <v>2555</v>
      </c>
      <c r="D191" s="48">
        <v>9421</v>
      </c>
    </row>
    <row r="192" spans="1:4" hidden="1" x14ac:dyDescent="0.25">
      <c r="A192" s="6">
        <v>45047</v>
      </c>
      <c r="B192" s="48">
        <v>5937</v>
      </c>
      <c r="C192" s="48">
        <v>933</v>
      </c>
      <c r="D192" s="48">
        <v>6601</v>
      </c>
    </row>
    <row r="193" spans="1:4" hidden="1" x14ac:dyDescent="0.25">
      <c r="A193" s="6">
        <v>45048</v>
      </c>
      <c r="B193" s="48">
        <v>7115</v>
      </c>
      <c r="C193" s="48">
        <v>1068</v>
      </c>
      <c r="D193" s="48">
        <v>7708</v>
      </c>
    </row>
    <row r="194" spans="1:4" hidden="1" x14ac:dyDescent="0.25">
      <c r="A194" s="6">
        <v>45049</v>
      </c>
      <c r="B194" s="48">
        <v>6631</v>
      </c>
      <c r="C194" s="48">
        <v>982</v>
      </c>
      <c r="D194" s="48">
        <v>7225</v>
      </c>
    </row>
    <row r="195" spans="1:4" hidden="1" x14ac:dyDescent="0.25">
      <c r="A195" s="6">
        <v>45050</v>
      </c>
      <c r="B195" s="48">
        <v>9000</v>
      </c>
      <c r="C195" s="48">
        <v>1719</v>
      </c>
      <c r="D195" s="48">
        <v>9553</v>
      </c>
    </row>
    <row r="196" spans="1:4" hidden="1" x14ac:dyDescent="0.25">
      <c r="A196" s="6">
        <v>45051</v>
      </c>
      <c r="B196" s="48">
        <v>7352</v>
      </c>
      <c r="C196" s="48">
        <v>1074</v>
      </c>
      <c r="D196" s="48">
        <v>8096</v>
      </c>
    </row>
    <row r="197" spans="1:4" hidden="1" x14ac:dyDescent="0.25">
      <c r="A197" s="6">
        <v>45052</v>
      </c>
      <c r="B197" s="48">
        <v>9000</v>
      </c>
      <c r="C197" s="48">
        <v>1387</v>
      </c>
      <c r="D197" s="48">
        <v>9515</v>
      </c>
    </row>
    <row r="198" spans="1:4" hidden="1" x14ac:dyDescent="0.25">
      <c r="A198" s="6">
        <v>45053</v>
      </c>
      <c r="B198" s="48">
        <v>4925</v>
      </c>
      <c r="C198" s="48">
        <v>949</v>
      </c>
      <c r="D198" s="48">
        <v>5385</v>
      </c>
    </row>
    <row r="199" spans="1:4" hidden="1" x14ac:dyDescent="0.25">
      <c r="A199" s="6">
        <v>45054</v>
      </c>
      <c r="B199" s="48">
        <v>9000</v>
      </c>
      <c r="C199" s="48">
        <v>1643</v>
      </c>
      <c r="D199" s="48">
        <v>9730</v>
      </c>
    </row>
    <row r="200" spans="1:4" hidden="1" x14ac:dyDescent="0.25">
      <c r="A200" s="6">
        <v>45055</v>
      </c>
      <c r="B200" s="48">
        <v>9000</v>
      </c>
      <c r="C200" s="48">
        <v>1000</v>
      </c>
      <c r="D200" s="48">
        <v>10000</v>
      </c>
    </row>
    <row r="201" spans="1:4" hidden="1" x14ac:dyDescent="0.25">
      <c r="A201" s="6">
        <v>45056</v>
      </c>
      <c r="B201" s="48">
        <v>7726</v>
      </c>
      <c r="C201" s="48">
        <v>1038</v>
      </c>
      <c r="D201" s="48">
        <v>8280</v>
      </c>
    </row>
    <row r="202" spans="1:4" hidden="1" x14ac:dyDescent="0.25">
      <c r="A202" s="6">
        <v>45057</v>
      </c>
      <c r="B202" s="48">
        <v>9000</v>
      </c>
      <c r="C202" s="48">
        <v>997</v>
      </c>
      <c r="D202" s="48">
        <v>9471</v>
      </c>
    </row>
    <row r="203" spans="1:4" hidden="1" x14ac:dyDescent="0.25">
      <c r="A203" s="6">
        <v>45058</v>
      </c>
      <c r="B203" s="48">
        <v>9000</v>
      </c>
      <c r="C203" s="48">
        <v>1089</v>
      </c>
      <c r="D203" s="48">
        <v>9591</v>
      </c>
    </row>
    <row r="204" spans="1:4" hidden="1" x14ac:dyDescent="0.25">
      <c r="A204" s="6">
        <v>45059</v>
      </c>
      <c r="B204" s="48">
        <v>9000</v>
      </c>
      <c r="C204" s="48">
        <v>2742</v>
      </c>
      <c r="D204" s="48">
        <v>10000</v>
      </c>
    </row>
    <row r="205" spans="1:4" hidden="1" x14ac:dyDescent="0.25">
      <c r="A205" s="6">
        <v>45060</v>
      </c>
      <c r="B205" s="48">
        <v>5257</v>
      </c>
      <c r="C205" s="48">
        <v>873</v>
      </c>
      <c r="D205" s="48">
        <v>5777</v>
      </c>
    </row>
    <row r="206" spans="1:4" hidden="1" x14ac:dyDescent="0.25">
      <c r="A206" s="6">
        <v>45061</v>
      </c>
      <c r="B206" s="48">
        <v>9000</v>
      </c>
      <c r="C206" s="48">
        <v>2741</v>
      </c>
      <c r="D206" s="48">
        <v>9564</v>
      </c>
    </row>
    <row r="207" spans="1:4" hidden="1" x14ac:dyDescent="0.25">
      <c r="A207" s="6">
        <v>45062</v>
      </c>
      <c r="B207" s="48">
        <v>9000</v>
      </c>
      <c r="C207" s="48">
        <v>1084</v>
      </c>
      <c r="D207" s="48">
        <v>9552</v>
      </c>
    </row>
    <row r="208" spans="1:4" hidden="1" x14ac:dyDescent="0.25">
      <c r="A208" s="6">
        <v>45063</v>
      </c>
      <c r="B208" s="48">
        <v>9000</v>
      </c>
      <c r="C208" s="48">
        <v>1033</v>
      </c>
      <c r="D208" s="48">
        <v>9467</v>
      </c>
    </row>
    <row r="209" spans="1:4" hidden="1" x14ac:dyDescent="0.25">
      <c r="A209" s="6">
        <v>45064</v>
      </c>
      <c r="B209" s="48">
        <v>8088</v>
      </c>
      <c r="C209" s="48">
        <v>885</v>
      </c>
      <c r="D209" s="48">
        <v>8653</v>
      </c>
    </row>
    <row r="210" spans="1:4" hidden="1" x14ac:dyDescent="0.25">
      <c r="A210" s="6">
        <v>45065</v>
      </c>
      <c r="B210" s="48">
        <v>8491</v>
      </c>
      <c r="C210" s="48">
        <v>1229</v>
      </c>
      <c r="D210" s="48">
        <v>9130</v>
      </c>
    </row>
    <row r="211" spans="1:4" hidden="1" x14ac:dyDescent="0.25">
      <c r="A211" s="6">
        <v>45066</v>
      </c>
      <c r="B211" s="48">
        <v>9000</v>
      </c>
      <c r="C211" s="48">
        <v>959</v>
      </c>
      <c r="D211" s="48">
        <v>9552</v>
      </c>
    </row>
    <row r="212" spans="1:4" hidden="1" x14ac:dyDescent="0.25">
      <c r="A212" s="6">
        <v>45067</v>
      </c>
      <c r="B212" s="48">
        <v>5132</v>
      </c>
      <c r="C212" s="48">
        <v>927</v>
      </c>
      <c r="D212" s="48">
        <v>5683</v>
      </c>
    </row>
    <row r="213" spans="1:4" hidden="1" x14ac:dyDescent="0.25">
      <c r="A213" s="6">
        <v>45068</v>
      </c>
      <c r="B213" s="48">
        <v>9000</v>
      </c>
      <c r="C213" s="48">
        <v>998</v>
      </c>
      <c r="D213" s="48">
        <v>9543</v>
      </c>
    </row>
    <row r="214" spans="1:4" hidden="1" x14ac:dyDescent="0.25">
      <c r="A214" s="6">
        <v>45069</v>
      </c>
      <c r="B214" s="48">
        <v>9000</v>
      </c>
      <c r="C214" s="48">
        <v>1537</v>
      </c>
      <c r="D214" s="48">
        <v>9936</v>
      </c>
    </row>
    <row r="215" spans="1:4" hidden="1" x14ac:dyDescent="0.25">
      <c r="A215" s="6">
        <v>45070</v>
      </c>
      <c r="B215" s="48">
        <v>9000</v>
      </c>
      <c r="C215" s="48">
        <v>980</v>
      </c>
      <c r="D215" s="48">
        <v>9497</v>
      </c>
    </row>
    <row r="216" spans="1:4" hidden="1" x14ac:dyDescent="0.25">
      <c r="A216" s="6">
        <v>45071</v>
      </c>
      <c r="B216" s="48">
        <v>9000</v>
      </c>
      <c r="C216" s="48">
        <v>952</v>
      </c>
      <c r="D216" s="48">
        <v>9513</v>
      </c>
    </row>
    <row r="217" spans="1:4" hidden="1" x14ac:dyDescent="0.25">
      <c r="A217" s="6">
        <v>45072</v>
      </c>
      <c r="B217" s="48">
        <v>9000</v>
      </c>
      <c r="C217" s="48">
        <v>1126</v>
      </c>
      <c r="D217" s="48">
        <v>9479</v>
      </c>
    </row>
    <row r="218" spans="1:4" hidden="1" x14ac:dyDescent="0.25">
      <c r="A218" s="6">
        <v>45073</v>
      </c>
      <c r="B218" s="48">
        <v>9000</v>
      </c>
      <c r="C218" s="48">
        <v>982</v>
      </c>
      <c r="D218" s="48">
        <v>9595</v>
      </c>
    </row>
    <row r="219" spans="1:4" hidden="1" x14ac:dyDescent="0.25">
      <c r="A219" s="6">
        <v>45074</v>
      </c>
      <c r="B219" s="48">
        <v>5862</v>
      </c>
      <c r="C219" s="48">
        <v>907</v>
      </c>
      <c r="D219" s="48">
        <v>6398</v>
      </c>
    </row>
    <row r="220" spans="1:4" hidden="1" x14ac:dyDescent="0.25">
      <c r="A220" s="6">
        <v>45075</v>
      </c>
      <c r="B220" s="48">
        <v>9000</v>
      </c>
      <c r="C220" s="48">
        <v>1101</v>
      </c>
      <c r="D220" s="48">
        <v>9456</v>
      </c>
    </row>
    <row r="221" spans="1:4" hidden="1" x14ac:dyDescent="0.25">
      <c r="A221" s="6">
        <v>45076</v>
      </c>
      <c r="B221" s="48">
        <v>9000</v>
      </c>
      <c r="C221" s="48">
        <v>1060</v>
      </c>
      <c r="D221" s="48">
        <v>9440</v>
      </c>
    </row>
    <row r="222" spans="1:4" hidden="1" x14ac:dyDescent="0.25">
      <c r="A222" s="6">
        <v>45077</v>
      </c>
      <c r="B222" s="48">
        <v>9000</v>
      </c>
      <c r="C222" s="48">
        <v>1821</v>
      </c>
      <c r="D222" s="48">
        <v>10000</v>
      </c>
    </row>
    <row r="223" spans="1:4" hidden="1" x14ac:dyDescent="0.25">
      <c r="A223" s="6">
        <v>45078</v>
      </c>
      <c r="B223" s="48">
        <v>6240</v>
      </c>
      <c r="C223" s="48">
        <v>973</v>
      </c>
      <c r="D223" s="48">
        <v>6743</v>
      </c>
    </row>
    <row r="224" spans="1:4" hidden="1" x14ac:dyDescent="0.25">
      <c r="A224" s="6">
        <v>45079</v>
      </c>
      <c r="B224" s="48">
        <v>7434</v>
      </c>
      <c r="C224" s="48">
        <v>1025</v>
      </c>
      <c r="D224" s="48">
        <v>8196</v>
      </c>
    </row>
    <row r="225" spans="1:4" hidden="1" x14ac:dyDescent="0.25">
      <c r="A225" s="6">
        <v>45080</v>
      </c>
      <c r="B225" s="48">
        <v>9000</v>
      </c>
      <c r="C225" s="48">
        <v>2224</v>
      </c>
      <c r="D225" s="48">
        <v>10000</v>
      </c>
    </row>
    <row r="226" spans="1:4" hidden="1" x14ac:dyDescent="0.25">
      <c r="A226" s="6">
        <v>45081</v>
      </c>
      <c r="B226" s="48">
        <v>5211</v>
      </c>
      <c r="C226" s="48">
        <v>925</v>
      </c>
      <c r="D226" s="48">
        <v>5767</v>
      </c>
    </row>
    <row r="227" spans="1:4" hidden="1" x14ac:dyDescent="0.25">
      <c r="A227" s="6">
        <v>45082</v>
      </c>
      <c r="B227" s="48">
        <v>9000</v>
      </c>
      <c r="C227" s="48">
        <v>1001</v>
      </c>
      <c r="D227" s="48">
        <v>9503</v>
      </c>
    </row>
    <row r="228" spans="1:4" hidden="1" x14ac:dyDescent="0.25">
      <c r="A228" s="6">
        <v>45083</v>
      </c>
      <c r="B228" s="48">
        <v>9000</v>
      </c>
      <c r="C228" s="48">
        <v>1069</v>
      </c>
      <c r="D228" s="48">
        <v>9571</v>
      </c>
    </row>
    <row r="229" spans="1:4" hidden="1" x14ac:dyDescent="0.25">
      <c r="A229" s="6">
        <v>45084</v>
      </c>
      <c r="B229" s="48">
        <v>9000</v>
      </c>
      <c r="C229" s="48">
        <v>935</v>
      </c>
      <c r="D229" s="48">
        <v>9635</v>
      </c>
    </row>
    <row r="230" spans="1:4" hidden="1" x14ac:dyDescent="0.25">
      <c r="A230" s="6">
        <v>45085</v>
      </c>
      <c r="B230" s="48">
        <v>9000</v>
      </c>
      <c r="C230" s="48">
        <v>1060</v>
      </c>
      <c r="D230" s="48">
        <v>9593</v>
      </c>
    </row>
    <row r="231" spans="1:4" hidden="1" x14ac:dyDescent="0.25">
      <c r="A231" s="6">
        <v>45086</v>
      </c>
      <c r="B231" s="48">
        <v>8410</v>
      </c>
      <c r="C231" s="48">
        <v>1002</v>
      </c>
      <c r="D231" s="48">
        <v>9055</v>
      </c>
    </row>
    <row r="232" spans="1:4" hidden="1" x14ac:dyDescent="0.25">
      <c r="A232" s="6">
        <v>45087</v>
      </c>
      <c r="B232" s="48">
        <v>7000</v>
      </c>
      <c r="C232" s="48">
        <v>907</v>
      </c>
      <c r="D232" s="48">
        <v>7566</v>
      </c>
    </row>
    <row r="233" spans="1:4" hidden="1" x14ac:dyDescent="0.25">
      <c r="A233" s="6">
        <v>45088</v>
      </c>
      <c r="B233" s="48">
        <v>4281</v>
      </c>
      <c r="C233" s="48">
        <v>910</v>
      </c>
      <c r="D233" s="48">
        <v>4772</v>
      </c>
    </row>
    <row r="234" spans="1:4" hidden="1" x14ac:dyDescent="0.25">
      <c r="A234" s="6">
        <v>45089</v>
      </c>
      <c r="B234" s="48">
        <v>6998</v>
      </c>
      <c r="C234" s="48">
        <v>964</v>
      </c>
      <c r="D234" s="48">
        <v>7660</v>
      </c>
    </row>
    <row r="235" spans="1:4" hidden="1" x14ac:dyDescent="0.25">
      <c r="A235" s="6">
        <v>45090</v>
      </c>
      <c r="B235" s="48">
        <v>9000</v>
      </c>
      <c r="C235" s="48">
        <v>1022</v>
      </c>
      <c r="D235" s="48">
        <v>9597</v>
      </c>
    </row>
    <row r="236" spans="1:4" hidden="1" x14ac:dyDescent="0.25">
      <c r="A236" s="6">
        <v>45091</v>
      </c>
      <c r="B236" s="48">
        <v>6555</v>
      </c>
      <c r="C236" s="48">
        <v>946</v>
      </c>
      <c r="D236" s="48">
        <v>7111</v>
      </c>
    </row>
    <row r="237" spans="1:4" hidden="1" x14ac:dyDescent="0.25">
      <c r="A237" s="6">
        <v>45092</v>
      </c>
      <c r="B237" s="48">
        <v>6050</v>
      </c>
      <c r="C237" s="48">
        <v>4259</v>
      </c>
      <c r="D237" s="48">
        <v>6785</v>
      </c>
    </row>
    <row r="238" spans="1:4" hidden="1" x14ac:dyDescent="0.25">
      <c r="A238" s="6">
        <v>45093</v>
      </c>
      <c r="B238" s="48">
        <v>9000</v>
      </c>
      <c r="C238" s="48">
        <v>999</v>
      </c>
      <c r="D238" s="48">
        <v>9556</v>
      </c>
    </row>
    <row r="239" spans="1:4" hidden="1" x14ac:dyDescent="0.25">
      <c r="A239" s="6">
        <v>45094</v>
      </c>
      <c r="B239" s="48">
        <v>7299</v>
      </c>
      <c r="C239" s="48">
        <v>929</v>
      </c>
      <c r="D239" s="48">
        <v>7914</v>
      </c>
    </row>
    <row r="240" spans="1:4" hidden="1" x14ac:dyDescent="0.25">
      <c r="A240" s="6">
        <v>45095</v>
      </c>
      <c r="B240" s="48">
        <v>7910</v>
      </c>
      <c r="C240" s="48">
        <v>1496</v>
      </c>
      <c r="D240" s="48">
        <v>8541</v>
      </c>
    </row>
    <row r="241" spans="1:4" hidden="1" x14ac:dyDescent="0.25">
      <c r="A241" s="6">
        <v>45096</v>
      </c>
      <c r="B241" s="48">
        <v>9000</v>
      </c>
      <c r="C241" s="48">
        <v>918</v>
      </c>
      <c r="D241" s="48">
        <v>9570</v>
      </c>
    </row>
    <row r="242" spans="1:4" hidden="1" x14ac:dyDescent="0.25">
      <c r="A242" s="6">
        <v>45097</v>
      </c>
      <c r="B242" s="48">
        <v>9000</v>
      </c>
      <c r="C242" s="48">
        <v>986</v>
      </c>
      <c r="D242" s="48">
        <v>9592</v>
      </c>
    </row>
    <row r="243" spans="1:4" hidden="1" x14ac:dyDescent="0.25">
      <c r="A243" s="6">
        <v>45098</v>
      </c>
      <c r="B243" s="48">
        <v>9000</v>
      </c>
      <c r="C243" s="48">
        <v>875</v>
      </c>
      <c r="D243" s="48">
        <v>9576</v>
      </c>
    </row>
    <row r="244" spans="1:4" hidden="1" x14ac:dyDescent="0.25">
      <c r="A244" s="6">
        <v>45099</v>
      </c>
      <c r="B244" s="48">
        <v>9000</v>
      </c>
      <c r="C244" s="48">
        <v>1415</v>
      </c>
      <c r="D244" s="48">
        <v>10000</v>
      </c>
    </row>
    <row r="245" spans="1:4" hidden="1" x14ac:dyDescent="0.25">
      <c r="A245" s="6">
        <v>45100</v>
      </c>
      <c r="B245" s="48">
        <v>10000</v>
      </c>
      <c r="C245" s="48">
        <v>1809</v>
      </c>
      <c r="D245" s="48">
        <v>9544</v>
      </c>
    </row>
    <row r="246" spans="1:4" hidden="1" x14ac:dyDescent="0.25">
      <c r="A246" s="6">
        <v>45101</v>
      </c>
      <c r="B246" s="48">
        <v>10000</v>
      </c>
      <c r="C246" s="48">
        <v>964</v>
      </c>
      <c r="D246" s="48">
        <v>9575</v>
      </c>
    </row>
    <row r="247" spans="1:4" hidden="1" x14ac:dyDescent="0.25">
      <c r="A247" s="6">
        <v>45102</v>
      </c>
      <c r="B247" s="48">
        <v>10000</v>
      </c>
      <c r="C247" s="48">
        <v>887</v>
      </c>
      <c r="D247" s="48">
        <v>6109</v>
      </c>
    </row>
    <row r="248" spans="1:4" hidden="1" x14ac:dyDescent="0.25">
      <c r="A248" s="6">
        <v>45103</v>
      </c>
      <c r="B248" s="48">
        <v>9000</v>
      </c>
      <c r="C248" s="48">
        <v>1154</v>
      </c>
      <c r="D248" s="48">
        <v>10000</v>
      </c>
    </row>
    <row r="249" spans="1:4" hidden="1" x14ac:dyDescent="0.25">
      <c r="A249" s="6">
        <v>45104</v>
      </c>
      <c r="B249" s="48">
        <v>9000</v>
      </c>
      <c r="C249" s="48">
        <v>1024</v>
      </c>
      <c r="D249" s="48">
        <v>9757</v>
      </c>
    </row>
    <row r="250" spans="1:4" hidden="1" x14ac:dyDescent="0.25">
      <c r="A250" s="6">
        <v>45105</v>
      </c>
      <c r="B250" s="48">
        <v>7229</v>
      </c>
      <c r="C250" s="48">
        <v>852</v>
      </c>
      <c r="D250" s="48">
        <v>7829</v>
      </c>
    </row>
    <row r="251" spans="1:4" hidden="1" x14ac:dyDescent="0.25">
      <c r="A251" s="6">
        <v>45106</v>
      </c>
      <c r="B251" s="48">
        <v>9000</v>
      </c>
      <c r="C251" s="48">
        <v>870</v>
      </c>
      <c r="D251" s="48">
        <v>9472</v>
      </c>
    </row>
    <row r="252" spans="1:4" hidden="1" x14ac:dyDescent="0.25">
      <c r="A252" s="6">
        <v>45107</v>
      </c>
      <c r="B252" s="48">
        <v>9000</v>
      </c>
      <c r="C252" s="48">
        <v>1293</v>
      </c>
      <c r="D252" s="48">
        <v>9411</v>
      </c>
    </row>
    <row r="253" spans="1:4" hidden="1" x14ac:dyDescent="0.25">
      <c r="A253" s="6">
        <v>45108</v>
      </c>
      <c r="B253" s="48">
        <v>9000</v>
      </c>
      <c r="C253" s="48">
        <v>1477</v>
      </c>
      <c r="D253" s="48">
        <v>9438</v>
      </c>
    </row>
    <row r="254" spans="1:4" hidden="1" x14ac:dyDescent="0.25">
      <c r="A254" s="6">
        <v>45109</v>
      </c>
      <c r="B254" s="48">
        <v>6623</v>
      </c>
      <c r="C254" s="48">
        <v>863</v>
      </c>
      <c r="D254" s="48">
        <v>7109</v>
      </c>
    </row>
    <row r="255" spans="1:4" hidden="1" x14ac:dyDescent="0.25">
      <c r="A255" s="6">
        <v>45110</v>
      </c>
      <c r="B255" s="48">
        <v>7155</v>
      </c>
      <c r="C255" s="48">
        <v>936</v>
      </c>
      <c r="D255" s="48">
        <v>10000</v>
      </c>
    </row>
    <row r="256" spans="1:4" hidden="1" x14ac:dyDescent="0.25">
      <c r="A256" s="6">
        <v>45111</v>
      </c>
      <c r="B256" s="48">
        <v>7529</v>
      </c>
      <c r="C256" s="48">
        <v>1079</v>
      </c>
      <c r="D256" s="48">
        <v>5767</v>
      </c>
    </row>
    <row r="257" spans="1:4" hidden="1" x14ac:dyDescent="0.25">
      <c r="A257" s="6">
        <v>45112</v>
      </c>
      <c r="B257" s="48">
        <v>9000</v>
      </c>
      <c r="C257" s="48">
        <v>932</v>
      </c>
      <c r="D257" s="48">
        <v>9503</v>
      </c>
    </row>
    <row r="258" spans="1:4" hidden="1" x14ac:dyDescent="0.25">
      <c r="A258" s="6">
        <v>45113</v>
      </c>
      <c r="B258" s="48">
        <v>9000</v>
      </c>
      <c r="C258" s="48">
        <v>944</v>
      </c>
      <c r="D258" s="48">
        <v>9618</v>
      </c>
    </row>
    <row r="259" spans="1:4" hidden="1" x14ac:dyDescent="0.25">
      <c r="A259" s="6">
        <v>45114</v>
      </c>
      <c r="B259" s="48">
        <v>9000</v>
      </c>
      <c r="C259" s="48">
        <v>981</v>
      </c>
      <c r="D259" s="48">
        <v>9641</v>
      </c>
    </row>
    <row r="260" spans="1:4" hidden="1" x14ac:dyDescent="0.25">
      <c r="A260" s="6">
        <v>45115</v>
      </c>
      <c r="B260" s="48">
        <v>9000</v>
      </c>
      <c r="C260" s="48">
        <v>955</v>
      </c>
      <c r="D260" s="48">
        <v>9427</v>
      </c>
    </row>
    <row r="261" spans="1:4" hidden="1" x14ac:dyDescent="0.25">
      <c r="A261" s="6">
        <v>45116</v>
      </c>
      <c r="B261" s="48">
        <v>5398</v>
      </c>
      <c r="C261" s="48">
        <v>923</v>
      </c>
      <c r="D261" s="48">
        <v>5856</v>
      </c>
    </row>
    <row r="262" spans="1:4" hidden="1" x14ac:dyDescent="0.25">
      <c r="A262" s="6">
        <v>45117</v>
      </c>
      <c r="B262" s="48">
        <v>11000</v>
      </c>
      <c r="C262" s="48">
        <v>981</v>
      </c>
      <c r="D262" s="48">
        <v>11621</v>
      </c>
    </row>
    <row r="263" spans="1:4" hidden="1" x14ac:dyDescent="0.25">
      <c r="A263" s="6">
        <v>45118</v>
      </c>
      <c r="B263" s="48">
        <v>11000</v>
      </c>
      <c r="C263" s="48">
        <v>1377</v>
      </c>
      <c r="D263" s="48">
        <v>11591</v>
      </c>
    </row>
    <row r="264" spans="1:4" hidden="1" x14ac:dyDescent="0.25">
      <c r="A264" s="6">
        <v>45119</v>
      </c>
      <c r="B264" s="48">
        <v>7751</v>
      </c>
      <c r="C264" s="48">
        <v>926</v>
      </c>
      <c r="D264" s="48">
        <v>8374</v>
      </c>
    </row>
    <row r="265" spans="1:4" hidden="1" x14ac:dyDescent="0.25">
      <c r="A265" s="6">
        <v>45120</v>
      </c>
      <c r="B265" s="48">
        <v>11000</v>
      </c>
      <c r="C265" s="48">
        <v>1056</v>
      </c>
      <c r="D265" s="48">
        <v>11382</v>
      </c>
    </row>
    <row r="266" spans="1:4" hidden="1" x14ac:dyDescent="0.25">
      <c r="A266" s="6">
        <v>45121</v>
      </c>
      <c r="B266" s="48">
        <v>10063</v>
      </c>
      <c r="C266" s="48">
        <v>1023</v>
      </c>
      <c r="D266" s="48">
        <v>10647</v>
      </c>
    </row>
    <row r="267" spans="1:4" hidden="1" x14ac:dyDescent="0.25">
      <c r="A267" s="6">
        <v>45122</v>
      </c>
      <c r="B267" s="48">
        <v>7202</v>
      </c>
      <c r="C267" s="48">
        <v>1048</v>
      </c>
      <c r="D267" s="48">
        <v>8117</v>
      </c>
    </row>
    <row r="268" spans="1:4" hidden="1" x14ac:dyDescent="0.25">
      <c r="A268" s="6">
        <v>45123</v>
      </c>
      <c r="B268" s="48">
        <v>7854</v>
      </c>
      <c r="C268" s="48">
        <v>1037</v>
      </c>
      <c r="D268" s="48">
        <v>8891</v>
      </c>
    </row>
    <row r="269" spans="1:4" hidden="1" x14ac:dyDescent="0.25">
      <c r="A269" s="6">
        <v>45124</v>
      </c>
      <c r="B269" s="48">
        <v>10394</v>
      </c>
      <c r="C269" s="48">
        <v>961</v>
      </c>
      <c r="D269" s="48">
        <v>11114</v>
      </c>
    </row>
    <row r="270" spans="1:4" hidden="1" x14ac:dyDescent="0.25">
      <c r="A270" s="6">
        <v>45125</v>
      </c>
      <c r="B270" s="48">
        <v>7383</v>
      </c>
      <c r="C270" s="48">
        <v>1067</v>
      </c>
      <c r="D270" s="48">
        <v>8013</v>
      </c>
    </row>
    <row r="271" spans="1:4" hidden="1" x14ac:dyDescent="0.25">
      <c r="A271" s="6">
        <v>45126</v>
      </c>
      <c r="B271" s="48">
        <v>10495</v>
      </c>
      <c r="C271" s="48">
        <v>1072</v>
      </c>
      <c r="D271" s="48">
        <v>10980</v>
      </c>
    </row>
    <row r="272" spans="1:4" hidden="1" x14ac:dyDescent="0.25">
      <c r="A272" s="6">
        <v>45127</v>
      </c>
      <c r="B272" s="2">
        <v>7365</v>
      </c>
      <c r="C272" s="2">
        <v>905</v>
      </c>
      <c r="D272" s="2">
        <v>7934</v>
      </c>
    </row>
    <row r="273" spans="1:4" hidden="1" x14ac:dyDescent="0.25">
      <c r="A273" s="6">
        <v>45128</v>
      </c>
      <c r="B273" s="2">
        <v>7169</v>
      </c>
      <c r="C273" s="2">
        <v>980</v>
      </c>
      <c r="D273" s="2">
        <v>7881</v>
      </c>
    </row>
    <row r="274" spans="1:4" hidden="1" x14ac:dyDescent="0.25">
      <c r="A274" s="6">
        <v>45129</v>
      </c>
      <c r="B274" s="2">
        <v>11000</v>
      </c>
      <c r="C274" s="2">
        <v>941</v>
      </c>
      <c r="D274" s="2">
        <v>11370</v>
      </c>
    </row>
    <row r="275" spans="1:4" hidden="1" x14ac:dyDescent="0.25">
      <c r="A275" s="6">
        <v>45130</v>
      </c>
      <c r="B275" s="2">
        <v>6488</v>
      </c>
      <c r="C275" s="2">
        <v>887</v>
      </c>
      <c r="D275" s="2">
        <v>6966</v>
      </c>
    </row>
    <row r="276" spans="1:4" hidden="1" x14ac:dyDescent="0.25">
      <c r="A276" s="6">
        <v>45131</v>
      </c>
      <c r="B276" s="2">
        <v>10081</v>
      </c>
      <c r="C276" s="2">
        <v>1110</v>
      </c>
      <c r="D276" s="2">
        <v>10687</v>
      </c>
    </row>
    <row r="277" spans="1:4" hidden="1" x14ac:dyDescent="0.25">
      <c r="A277" s="6">
        <v>45132</v>
      </c>
      <c r="B277" s="2">
        <v>5475</v>
      </c>
      <c r="C277" s="2">
        <v>997</v>
      </c>
      <c r="D277" s="2">
        <v>6101</v>
      </c>
    </row>
    <row r="278" spans="1:4" hidden="1" x14ac:dyDescent="0.25">
      <c r="A278" s="6">
        <v>45133</v>
      </c>
      <c r="B278" s="2">
        <v>4182</v>
      </c>
      <c r="C278" s="2">
        <v>1273</v>
      </c>
      <c r="D278" s="2">
        <v>4987</v>
      </c>
    </row>
    <row r="279" spans="1:4" hidden="1" x14ac:dyDescent="0.25">
      <c r="A279" s="6">
        <v>45134</v>
      </c>
      <c r="B279" s="2">
        <v>10441</v>
      </c>
      <c r="C279" s="2">
        <v>983</v>
      </c>
      <c r="D279" s="2">
        <v>10916</v>
      </c>
    </row>
    <row r="280" spans="1:4" hidden="1" x14ac:dyDescent="0.25">
      <c r="A280" s="6">
        <v>45135</v>
      </c>
      <c r="B280" s="2">
        <v>6064</v>
      </c>
      <c r="C280" s="2">
        <v>1022</v>
      </c>
      <c r="D280" s="2">
        <v>6667</v>
      </c>
    </row>
    <row r="281" spans="1:4" hidden="1" x14ac:dyDescent="0.25">
      <c r="A281" s="6">
        <v>45136</v>
      </c>
      <c r="B281" s="2">
        <v>7402</v>
      </c>
      <c r="C281" s="2">
        <v>974</v>
      </c>
      <c r="D281" s="2">
        <v>7920</v>
      </c>
    </row>
    <row r="282" spans="1:4" hidden="1" x14ac:dyDescent="0.25">
      <c r="A282" s="6">
        <v>45137</v>
      </c>
      <c r="B282" s="2">
        <v>5858</v>
      </c>
      <c r="C282" s="2">
        <v>934</v>
      </c>
      <c r="D282" s="2">
        <v>6350</v>
      </c>
    </row>
    <row r="283" spans="1:4" hidden="1" x14ac:dyDescent="0.25">
      <c r="A283" s="6">
        <v>45138</v>
      </c>
      <c r="B283" s="48">
        <v>8391</v>
      </c>
      <c r="C283" s="48">
        <v>939</v>
      </c>
      <c r="D283" s="2">
        <v>9211</v>
      </c>
    </row>
    <row r="284" spans="1:4" hidden="1" x14ac:dyDescent="0.25">
      <c r="A284" s="6">
        <v>45139</v>
      </c>
      <c r="B284" s="104">
        <v>11000</v>
      </c>
      <c r="C284" s="104">
        <v>990</v>
      </c>
      <c r="D284" s="2">
        <v>11607</v>
      </c>
    </row>
    <row r="285" spans="1:4" hidden="1" x14ac:dyDescent="0.25">
      <c r="A285" s="6">
        <v>45140</v>
      </c>
      <c r="B285" s="104">
        <v>7237</v>
      </c>
      <c r="C285" s="104">
        <v>1068</v>
      </c>
      <c r="D285" s="2">
        <v>7811</v>
      </c>
    </row>
    <row r="286" spans="1:4" hidden="1" x14ac:dyDescent="0.25">
      <c r="A286" s="6">
        <v>45141</v>
      </c>
      <c r="B286" s="104">
        <v>11098</v>
      </c>
      <c r="C286" s="104">
        <v>1027</v>
      </c>
      <c r="D286" s="104">
        <v>11592</v>
      </c>
    </row>
    <row r="287" spans="1:4" hidden="1" x14ac:dyDescent="0.25">
      <c r="A287" s="6">
        <v>45142</v>
      </c>
      <c r="B287" s="104">
        <v>8856</v>
      </c>
      <c r="C287" s="104">
        <v>978</v>
      </c>
      <c r="D287" s="104">
        <v>9484</v>
      </c>
    </row>
    <row r="288" spans="1:4" hidden="1" x14ac:dyDescent="0.25">
      <c r="A288" s="6">
        <v>45143</v>
      </c>
      <c r="B288" s="104">
        <v>10543</v>
      </c>
      <c r="C288" s="104">
        <v>931</v>
      </c>
      <c r="D288" s="104">
        <v>11018</v>
      </c>
    </row>
    <row r="289" spans="1:4" hidden="1" x14ac:dyDescent="0.25">
      <c r="A289" s="6">
        <v>45144</v>
      </c>
      <c r="B289" s="104">
        <v>5568</v>
      </c>
      <c r="C289" s="104">
        <v>899</v>
      </c>
      <c r="D289" s="104">
        <v>6051</v>
      </c>
    </row>
    <row r="290" spans="1:4" hidden="1" x14ac:dyDescent="0.25">
      <c r="A290" s="6">
        <v>45145</v>
      </c>
      <c r="B290" s="104">
        <v>7096</v>
      </c>
      <c r="C290" s="104">
        <v>960</v>
      </c>
      <c r="D290" s="104">
        <v>7613</v>
      </c>
    </row>
    <row r="291" spans="1:4" hidden="1" x14ac:dyDescent="0.25">
      <c r="A291" s="6">
        <v>45146</v>
      </c>
      <c r="B291" s="104">
        <v>9584</v>
      </c>
      <c r="C291" s="104">
        <v>1070</v>
      </c>
      <c r="D291" s="104">
        <v>10258</v>
      </c>
    </row>
    <row r="292" spans="1:4" hidden="1" x14ac:dyDescent="0.25">
      <c r="A292" s="6">
        <v>45147</v>
      </c>
      <c r="B292" s="104">
        <v>6611</v>
      </c>
      <c r="C292" s="104">
        <v>941</v>
      </c>
      <c r="D292" s="104">
        <v>7189</v>
      </c>
    </row>
    <row r="293" spans="1:4" hidden="1" x14ac:dyDescent="0.25">
      <c r="A293" s="6">
        <v>45148</v>
      </c>
      <c r="B293" s="104">
        <v>11926</v>
      </c>
      <c r="C293" s="104">
        <v>1499</v>
      </c>
      <c r="D293" s="104">
        <v>12452</v>
      </c>
    </row>
    <row r="294" spans="1:4" hidden="1" x14ac:dyDescent="0.25">
      <c r="A294" s="6">
        <v>45149</v>
      </c>
      <c r="B294" s="104">
        <v>6959</v>
      </c>
      <c r="C294" s="104">
        <v>958</v>
      </c>
      <c r="D294" s="104">
        <v>7579</v>
      </c>
    </row>
    <row r="295" spans="1:4" hidden="1" x14ac:dyDescent="0.25">
      <c r="A295" s="6">
        <v>45150</v>
      </c>
      <c r="B295" s="104">
        <v>9507</v>
      </c>
      <c r="C295" s="104">
        <v>1066</v>
      </c>
      <c r="D295" s="104">
        <v>10067</v>
      </c>
    </row>
    <row r="296" spans="1:4" hidden="1" x14ac:dyDescent="0.25">
      <c r="A296" s="6">
        <v>45151</v>
      </c>
      <c r="B296" s="104">
        <v>5199</v>
      </c>
      <c r="C296" s="104">
        <v>859</v>
      </c>
      <c r="D296" s="104">
        <v>5717</v>
      </c>
    </row>
    <row r="297" spans="1:4" hidden="1" x14ac:dyDescent="0.25">
      <c r="A297" s="6">
        <v>45152</v>
      </c>
      <c r="B297" s="104">
        <v>7868</v>
      </c>
      <c r="C297" s="104">
        <v>922</v>
      </c>
      <c r="D297" s="104">
        <v>8424</v>
      </c>
    </row>
    <row r="298" spans="1:4" hidden="1" x14ac:dyDescent="0.25">
      <c r="A298" s="6">
        <v>45153</v>
      </c>
      <c r="B298" s="104">
        <v>6775</v>
      </c>
      <c r="C298" s="104">
        <v>930</v>
      </c>
      <c r="D298" s="2">
        <v>7370</v>
      </c>
    </row>
    <row r="299" spans="1:4" hidden="1" x14ac:dyDescent="0.25">
      <c r="A299" s="6">
        <v>45154</v>
      </c>
      <c r="B299" s="104">
        <v>10402</v>
      </c>
      <c r="C299" s="104">
        <v>941</v>
      </c>
      <c r="D299" s="2">
        <v>10956</v>
      </c>
    </row>
    <row r="300" spans="1:4" hidden="1" x14ac:dyDescent="0.25">
      <c r="A300" s="6">
        <v>45155</v>
      </c>
      <c r="B300" s="104">
        <v>11000</v>
      </c>
      <c r="C300" s="104">
        <v>1000</v>
      </c>
      <c r="D300" s="104">
        <v>12000</v>
      </c>
    </row>
    <row r="301" spans="1:4" hidden="1" x14ac:dyDescent="0.25">
      <c r="A301" s="6">
        <v>45156</v>
      </c>
      <c r="B301" s="104">
        <v>7914</v>
      </c>
      <c r="C301" s="104">
        <v>1130</v>
      </c>
      <c r="D301" s="104">
        <v>8763</v>
      </c>
    </row>
    <row r="302" spans="1:4" hidden="1" x14ac:dyDescent="0.25">
      <c r="A302" s="6">
        <v>45157</v>
      </c>
      <c r="B302" s="104">
        <v>9270</v>
      </c>
      <c r="C302" s="104">
        <v>950</v>
      </c>
      <c r="D302" s="104">
        <v>10054</v>
      </c>
    </row>
    <row r="303" spans="1:4" hidden="1" x14ac:dyDescent="0.25">
      <c r="A303" s="6">
        <v>45158</v>
      </c>
      <c r="B303" s="104">
        <v>5643</v>
      </c>
      <c r="C303" s="104">
        <v>895</v>
      </c>
      <c r="D303" s="104">
        <v>6135</v>
      </c>
    </row>
    <row r="304" spans="1:4" hidden="1" x14ac:dyDescent="0.25">
      <c r="A304" s="6">
        <v>45159</v>
      </c>
      <c r="B304" s="104">
        <v>7385</v>
      </c>
      <c r="C304" s="104">
        <v>982</v>
      </c>
      <c r="D304" s="104">
        <v>8057</v>
      </c>
    </row>
    <row r="305" spans="1:4" hidden="1" x14ac:dyDescent="0.25">
      <c r="A305" s="6">
        <v>45160</v>
      </c>
      <c r="B305" s="104">
        <v>11000</v>
      </c>
      <c r="C305" s="104">
        <v>1074</v>
      </c>
      <c r="D305" s="104">
        <v>11530</v>
      </c>
    </row>
    <row r="306" spans="1:4" hidden="1" x14ac:dyDescent="0.25">
      <c r="A306" s="6">
        <v>45161</v>
      </c>
      <c r="B306" s="48">
        <v>6902</v>
      </c>
      <c r="C306" s="48">
        <v>946</v>
      </c>
      <c r="D306" s="48">
        <v>7537</v>
      </c>
    </row>
    <row r="307" spans="1:4" hidden="1" x14ac:dyDescent="0.25">
      <c r="A307" s="6">
        <v>45162</v>
      </c>
      <c r="B307" s="48">
        <v>6342</v>
      </c>
      <c r="C307" s="48">
        <v>965</v>
      </c>
      <c r="D307" s="48">
        <v>6910</v>
      </c>
    </row>
    <row r="308" spans="1:4" hidden="1" x14ac:dyDescent="0.25">
      <c r="A308" s="6">
        <v>45163</v>
      </c>
      <c r="B308" s="48">
        <v>10156</v>
      </c>
      <c r="C308" s="48">
        <v>973</v>
      </c>
      <c r="D308" s="48">
        <v>10732</v>
      </c>
    </row>
    <row r="309" spans="1:4" hidden="1" x14ac:dyDescent="0.25">
      <c r="A309" s="6">
        <v>45164</v>
      </c>
      <c r="B309" s="48">
        <v>7345</v>
      </c>
      <c r="C309" s="48">
        <v>945</v>
      </c>
      <c r="D309" s="48">
        <v>7920</v>
      </c>
    </row>
    <row r="310" spans="1:4" hidden="1" x14ac:dyDescent="0.25">
      <c r="A310" s="6">
        <v>45165</v>
      </c>
      <c r="B310" s="48">
        <v>8914</v>
      </c>
      <c r="C310" s="48">
        <v>926</v>
      </c>
      <c r="D310" s="48">
        <v>9394</v>
      </c>
    </row>
    <row r="311" spans="1:4" hidden="1" x14ac:dyDescent="0.25">
      <c r="A311" s="6">
        <v>45166</v>
      </c>
      <c r="B311" s="48">
        <v>6144</v>
      </c>
      <c r="C311" s="48">
        <v>969</v>
      </c>
      <c r="D311" s="48">
        <v>10732</v>
      </c>
    </row>
    <row r="312" spans="1:4" hidden="1" x14ac:dyDescent="0.25">
      <c r="A312" s="6">
        <v>45167</v>
      </c>
      <c r="B312" s="48">
        <v>11000</v>
      </c>
      <c r="C312" s="48">
        <v>1026</v>
      </c>
      <c r="D312" s="48">
        <v>11601</v>
      </c>
    </row>
    <row r="313" spans="1:4" hidden="1" x14ac:dyDescent="0.25">
      <c r="A313" s="6">
        <v>45168</v>
      </c>
      <c r="B313" s="48">
        <v>5900</v>
      </c>
      <c r="C313" s="48">
        <v>957</v>
      </c>
      <c r="D313" s="48">
        <v>6431</v>
      </c>
    </row>
    <row r="314" spans="1:4" hidden="1" x14ac:dyDescent="0.25">
      <c r="A314" s="6">
        <v>45169</v>
      </c>
      <c r="B314" s="48">
        <v>6149</v>
      </c>
      <c r="C314" s="48">
        <v>983</v>
      </c>
      <c r="D314" s="48">
        <v>6690</v>
      </c>
    </row>
    <row r="315" spans="1:4" hidden="1" x14ac:dyDescent="0.25">
      <c r="A315" s="6">
        <v>45170</v>
      </c>
      <c r="B315" s="48">
        <v>4223</v>
      </c>
      <c r="C315" s="48">
        <v>1049</v>
      </c>
      <c r="D315" s="48">
        <v>4925</v>
      </c>
    </row>
    <row r="316" spans="1:4" hidden="1" x14ac:dyDescent="0.25">
      <c r="A316" s="129">
        <v>45171</v>
      </c>
      <c r="B316" s="48">
        <v>5620</v>
      </c>
      <c r="C316" s="48">
        <v>1005</v>
      </c>
      <c r="D316" s="48">
        <v>6134</v>
      </c>
    </row>
    <row r="317" spans="1:4" hidden="1" x14ac:dyDescent="0.25">
      <c r="A317" s="129">
        <v>45172</v>
      </c>
      <c r="B317" s="48">
        <v>2741</v>
      </c>
      <c r="C317" s="48">
        <v>865</v>
      </c>
      <c r="D317" s="48">
        <v>3516</v>
      </c>
    </row>
    <row r="318" spans="1:4" hidden="1" x14ac:dyDescent="0.25">
      <c r="A318" s="6">
        <v>45173</v>
      </c>
      <c r="B318" s="48">
        <v>8548</v>
      </c>
      <c r="C318" s="48">
        <v>1131</v>
      </c>
      <c r="D318" s="48">
        <v>9244</v>
      </c>
    </row>
    <row r="319" spans="1:4" hidden="1" x14ac:dyDescent="0.25">
      <c r="A319" s="135">
        <v>45174</v>
      </c>
      <c r="B319" s="48">
        <v>5776</v>
      </c>
      <c r="C319" s="48">
        <v>1047</v>
      </c>
      <c r="D319" s="48">
        <v>6542</v>
      </c>
    </row>
    <row r="320" spans="1:4" hidden="1" x14ac:dyDescent="0.25">
      <c r="A320" s="135">
        <v>45175</v>
      </c>
      <c r="B320" s="48">
        <v>10190</v>
      </c>
      <c r="C320" s="48">
        <v>1055</v>
      </c>
      <c r="D320" s="48">
        <v>10811</v>
      </c>
    </row>
    <row r="321" spans="1:4" hidden="1" x14ac:dyDescent="0.25">
      <c r="A321" s="135">
        <v>45176</v>
      </c>
      <c r="B321" s="48">
        <v>4814</v>
      </c>
      <c r="C321" s="48">
        <v>1017</v>
      </c>
      <c r="D321" s="48">
        <v>5434</v>
      </c>
    </row>
    <row r="322" spans="1:4" hidden="1" x14ac:dyDescent="0.25">
      <c r="A322" s="135">
        <v>45177</v>
      </c>
      <c r="B322" s="48">
        <v>6502</v>
      </c>
      <c r="C322" s="48">
        <v>989</v>
      </c>
      <c r="D322" s="48">
        <v>7155</v>
      </c>
    </row>
    <row r="323" spans="1:4" hidden="1" x14ac:dyDescent="0.25">
      <c r="A323" s="135">
        <v>45178</v>
      </c>
      <c r="B323" s="48">
        <v>6348</v>
      </c>
      <c r="C323" s="48">
        <v>990</v>
      </c>
      <c r="D323" s="48">
        <v>7030</v>
      </c>
    </row>
    <row r="324" spans="1:4" hidden="1" x14ac:dyDescent="0.25">
      <c r="A324" s="135">
        <v>45179</v>
      </c>
      <c r="B324" s="48">
        <v>2709</v>
      </c>
      <c r="C324" s="48">
        <v>936</v>
      </c>
      <c r="D324" s="48">
        <v>3491</v>
      </c>
    </row>
    <row r="325" spans="1:4" hidden="1" x14ac:dyDescent="0.25">
      <c r="A325" s="106">
        <v>45180</v>
      </c>
      <c r="B325" s="48">
        <v>8824</v>
      </c>
      <c r="C325" s="48">
        <v>1045</v>
      </c>
      <c r="D325" s="48">
        <v>9467</v>
      </c>
    </row>
    <row r="326" spans="1:4" hidden="1" x14ac:dyDescent="0.25">
      <c r="A326" s="6">
        <v>45181</v>
      </c>
      <c r="B326" s="48">
        <v>8538</v>
      </c>
      <c r="C326" s="48">
        <v>973</v>
      </c>
      <c r="D326" s="48">
        <v>9266</v>
      </c>
    </row>
    <row r="327" spans="1:4" hidden="1" x14ac:dyDescent="0.25">
      <c r="A327" s="107">
        <v>45182</v>
      </c>
      <c r="B327" s="48">
        <v>7038</v>
      </c>
      <c r="C327" s="48">
        <v>941</v>
      </c>
      <c r="D327" s="48">
        <v>7647</v>
      </c>
    </row>
    <row r="328" spans="1:4" hidden="1" x14ac:dyDescent="0.25">
      <c r="A328" s="107">
        <v>45183</v>
      </c>
      <c r="B328" s="48">
        <v>9008</v>
      </c>
      <c r="C328" s="48">
        <v>1477</v>
      </c>
      <c r="D328" s="48">
        <v>9534</v>
      </c>
    </row>
    <row r="329" spans="1:4" hidden="1" x14ac:dyDescent="0.25">
      <c r="A329" s="107">
        <v>45184</v>
      </c>
      <c r="B329" s="48">
        <v>6252</v>
      </c>
      <c r="C329" s="48">
        <v>975</v>
      </c>
      <c r="D329" s="48">
        <v>6892</v>
      </c>
    </row>
    <row r="330" spans="1:4" hidden="1" x14ac:dyDescent="0.25">
      <c r="A330" s="107">
        <v>45185</v>
      </c>
      <c r="B330" s="48">
        <v>8077</v>
      </c>
      <c r="C330" s="48">
        <v>980</v>
      </c>
      <c r="D330" s="48">
        <v>8579</v>
      </c>
    </row>
    <row r="331" spans="1:4" hidden="1" x14ac:dyDescent="0.25">
      <c r="A331" s="135">
        <v>45186</v>
      </c>
      <c r="B331" s="48">
        <v>7099</v>
      </c>
      <c r="C331" s="48">
        <v>950</v>
      </c>
      <c r="D331" s="48">
        <v>7672</v>
      </c>
    </row>
    <row r="332" spans="1:4" hidden="1" x14ac:dyDescent="0.25">
      <c r="A332" s="135">
        <v>45187</v>
      </c>
      <c r="B332" s="48">
        <v>6079</v>
      </c>
      <c r="C332" s="48">
        <v>1027</v>
      </c>
      <c r="D332" s="48">
        <v>6820</v>
      </c>
    </row>
    <row r="333" spans="1:4" hidden="1" x14ac:dyDescent="0.25">
      <c r="A333" s="135">
        <v>45188</v>
      </c>
      <c r="B333" s="48">
        <v>9927</v>
      </c>
      <c r="C333" s="48">
        <v>1123</v>
      </c>
      <c r="D333" s="48">
        <v>10553</v>
      </c>
    </row>
    <row r="334" spans="1:4" hidden="1" x14ac:dyDescent="0.25">
      <c r="A334" s="135">
        <v>45189</v>
      </c>
      <c r="B334" s="48">
        <v>8476</v>
      </c>
      <c r="C334" s="48">
        <v>1031</v>
      </c>
      <c r="D334" s="48">
        <v>9060</v>
      </c>
    </row>
    <row r="335" spans="1:4" hidden="1" x14ac:dyDescent="0.25">
      <c r="A335" s="151">
        <v>45190</v>
      </c>
      <c r="B335" s="48">
        <v>8062</v>
      </c>
      <c r="C335" s="48">
        <v>1010</v>
      </c>
      <c r="D335" s="48">
        <v>8687</v>
      </c>
    </row>
    <row r="336" spans="1:4" hidden="1" x14ac:dyDescent="0.25">
      <c r="A336" s="152">
        <v>45191</v>
      </c>
      <c r="B336" s="48">
        <v>7678</v>
      </c>
      <c r="C336" s="48">
        <v>1164</v>
      </c>
      <c r="D336" s="48">
        <v>8576</v>
      </c>
    </row>
    <row r="337" spans="1:4" hidden="1" x14ac:dyDescent="0.25">
      <c r="A337" s="152">
        <v>45192</v>
      </c>
      <c r="B337" s="48">
        <v>6561</v>
      </c>
      <c r="C337" s="48">
        <v>1068</v>
      </c>
      <c r="D337" s="48">
        <v>7056</v>
      </c>
    </row>
    <row r="338" spans="1:4" hidden="1" x14ac:dyDescent="0.25">
      <c r="A338" s="152">
        <v>45193</v>
      </c>
      <c r="B338" s="48">
        <v>2702</v>
      </c>
      <c r="C338" s="48">
        <v>969</v>
      </c>
      <c r="D338" s="48">
        <v>3463</v>
      </c>
    </row>
    <row r="339" spans="1:4" hidden="1" x14ac:dyDescent="0.25">
      <c r="A339" s="152">
        <v>45194</v>
      </c>
      <c r="B339" s="48">
        <v>7358</v>
      </c>
      <c r="C339" s="48">
        <v>1010</v>
      </c>
      <c r="D339" s="48">
        <v>7951</v>
      </c>
    </row>
    <row r="340" spans="1:4" hidden="1" x14ac:dyDescent="0.25">
      <c r="A340" s="152">
        <v>45195</v>
      </c>
      <c r="B340" s="48">
        <v>4107</v>
      </c>
      <c r="C340" s="48">
        <v>1055</v>
      </c>
      <c r="D340" s="48">
        <v>4716</v>
      </c>
    </row>
    <row r="341" spans="1:4" hidden="1" x14ac:dyDescent="0.25">
      <c r="A341" s="152">
        <v>45196</v>
      </c>
      <c r="B341" s="48">
        <v>4234</v>
      </c>
      <c r="C341" s="48">
        <v>970</v>
      </c>
      <c r="D341" s="48">
        <v>4873</v>
      </c>
    </row>
    <row r="342" spans="1:4" hidden="1" x14ac:dyDescent="0.25">
      <c r="A342" s="152">
        <v>45197</v>
      </c>
      <c r="B342" s="48">
        <v>8217</v>
      </c>
      <c r="C342" s="48">
        <v>996</v>
      </c>
      <c r="D342" s="48">
        <v>8795</v>
      </c>
    </row>
    <row r="343" spans="1:4" hidden="1" x14ac:dyDescent="0.25">
      <c r="A343" s="152">
        <v>45198</v>
      </c>
      <c r="B343" s="48">
        <v>8644</v>
      </c>
      <c r="C343" s="48">
        <v>1060</v>
      </c>
      <c r="D343" s="48">
        <v>9292</v>
      </c>
    </row>
    <row r="344" spans="1:4" hidden="1" x14ac:dyDescent="0.25">
      <c r="A344" s="135">
        <v>45199</v>
      </c>
      <c r="B344" s="48">
        <v>11000</v>
      </c>
      <c r="C344" s="48">
        <v>998</v>
      </c>
      <c r="D344" s="48">
        <v>11391</v>
      </c>
    </row>
    <row r="345" spans="1:4" hidden="1" x14ac:dyDescent="0.25">
      <c r="A345" s="135">
        <v>45200</v>
      </c>
      <c r="B345" s="48">
        <v>2644</v>
      </c>
      <c r="C345" s="48">
        <v>1246</v>
      </c>
      <c r="D345" s="48">
        <v>3204</v>
      </c>
    </row>
    <row r="346" spans="1:4" hidden="1" x14ac:dyDescent="0.25">
      <c r="A346" s="135">
        <v>45201</v>
      </c>
      <c r="B346" s="48">
        <v>7434</v>
      </c>
      <c r="C346" s="48">
        <v>1097</v>
      </c>
      <c r="D346" s="48">
        <v>7982</v>
      </c>
    </row>
    <row r="347" spans="1:4" hidden="1" x14ac:dyDescent="0.25">
      <c r="A347" s="135">
        <v>45202</v>
      </c>
      <c r="B347" s="48">
        <v>6739</v>
      </c>
      <c r="C347" s="48">
        <v>1115</v>
      </c>
      <c r="D347" s="48">
        <v>7356</v>
      </c>
    </row>
    <row r="348" spans="1:4" hidden="1" x14ac:dyDescent="0.25">
      <c r="A348" s="135">
        <v>45203</v>
      </c>
      <c r="B348" s="48">
        <v>4926</v>
      </c>
      <c r="C348" s="48">
        <v>985</v>
      </c>
      <c r="D348" s="48">
        <v>5463</v>
      </c>
    </row>
    <row r="349" spans="1:4" hidden="1" x14ac:dyDescent="0.25">
      <c r="A349" s="107">
        <v>45204</v>
      </c>
      <c r="B349" s="48">
        <v>7978</v>
      </c>
      <c r="C349" s="48">
        <v>1128</v>
      </c>
      <c r="D349" s="48">
        <v>8562</v>
      </c>
    </row>
    <row r="350" spans="1:4" hidden="1" x14ac:dyDescent="0.25">
      <c r="A350" s="107">
        <v>45205</v>
      </c>
      <c r="B350" s="48">
        <v>11000</v>
      </c>
      <c r="C350" s="48">
        <v>9000</v>
      </c>
      <c r="D350" s="48">
        <v>11657</v>
      </c>
    </row>
    <row r="351" spans="1:4" hidden="1" x14ac:dyDescent="0.25">
      <c r="A351" s="107">
        <v>45206</v>
      </c>
      <c r="B351" s="48">
        <v>11000</v>
      </c>
      <c r="C351" s="48">
        <v>1243</v>
      </c>
      <c r="D351" s="48">
        <v>11658</v>
      </c>
    </row>
    <row r="352" spans="1:4" hidden="1" x14ac:dyDescent="0.25">
      <c r="A352" s="135">
        <v>45207</v>
      </c>
      <c r="B352" s="48">
        <v>5736</v>
      </c>
      <c r="C352" s="48">
        <v>1468</v>
      </c>
      <c r="D352" s="48">
        <v>6322</v>
      </c>
    </row>
    <row r="353" spans="1:4" hidden="1" x14ac:dyDescent="0.25">
      <c r="A353" s="135">
        <v>45208</v>
      </c>
      <c r="B353" s="48">
        <v>11000</v>
      </c>
      <c r="C353" s="48">
        <v>1147</v>
      </c>
      <c r="D353" s="48">
        <v>11596</v>
      </c>
    </row>
    <row r="354" spans="1:4" hidden="1" x14ac:dyDescent="0.25">
      <c r="A354" s="135">
        <v>45209</v>
      </c>
      <c r="B354" s="48">
        <v>11000</v>
      </c>
      <c r="C354" s="48">
        <v>1266</v>
      </c>
      <c r="D354" s="48">
        <v>11574</v>
      </c>
    </row>
    <row r="355" spans="1:4" hidden="1" x14ac:dyDescent="0.25">
      <c r="A355" s="135">
        <v>45210</v>
      </c>
      <c r="B355" s="48">
        <v>11000</v>
      </c>
      <c r="C355" s="48">
        <v>1331</v>
      </c>
      <c r="D355" s="48">
        <v>11724</v>
      </c>
    </row>
    <row r="356" spans="1:4" hidden="1" x14ac:dyDescent="0.25">
      <c r="A356" s="135">
        <v>45211</v>
      </c>
      <c r="B356" s="48">
        <v>11000</v>
      </c>
      <c r="C356" s="48">
        <v>1314</v>
      </c>
      <c r="D356" s="48">
        <v>12000</v>
      </c>
    </row>
    <row r="357" spans="1:4" hidden="1" x14ac:dyDescent="0.25">
      <c r="A357" s="135">
        <v>45212</v>
      </c>
      <c r="B357" s="48">
        <v>11000</v>
      </c>
      <c r="C357" s="48">
        <v>1276</v>
      </c>
      <c r="D357" s="48">
        <v>11795</v>
      </c>
    </row>
    <row r="358" spans="1:4" hidden="1" x14ac:dyDescent="0.25">
      <c r="A358" s="135">
        <v>45213</v>
      </c>
      <c r="B358" s="48">
        <v>11000</v>
      </c>
      <c r="C358" s="48">
        <v>1006</v>
      </c>
      <c r="D358" s="48">
        <v>11642</v>
      </c>
    </row>
    <row r="359" spans="1:4" hidden="1" x14ac:dyDescent="0.25">
      <c r="A359" s="135">
        <v>45214</v>
      </c>
      <c r="B359" s="48">
        <v>5710</v>
      </c>
      <c r="C359" s="48">
        <v>1080</v>
      </c>
      <c r="D359" s="48">
        <v>6422</v>
      </c>
    </row>
    <row r="360" spans="1:4" hidden="1" x14ac:dyDescent="0.25">
      <c r="A360" s="135">
        <v>45215</v>
      </c>
      <c r="B360" s="48">
        <v>11000</v>
      </c>
      <c r="C360" s="48">
        <v>1124</v>
      </c>
      <c r="D360" s="48">
        <v>11718</v>
      </c>
    </row>
    <row r="361" spans="1:4" hidden="1" x14ac:dyDescent="0.25">
      <c r="A361" s="135">
        <v>45216</v>
      </c>
      <c r="B361" s="48">
        <v>11000</v>
      </c>
      <c r="C361" s="48">
        <v>1189</v>
      </c>
      <c r="D361" s="48">
        <v>11876</v>
      </c>
    </row>
    <row r="362" spans="1:4" hidden="1" x14ac:dyDescent="0.25">
      <c r="A362" s="135">
        <v>45217</v>
      </c>
      <c r="B362" s="48">
        <v>11000</v>
      </c>
      <c r="C362" s="48">
        <v>1363</v>
      </c>
      <c r="D362" s="48">
        <v>11549</v>
      </c>
    </row>
    <row r="363" spans="1:4" hidden="1" x14ac:dyDescent="0.25">
      <c r="A363" s="107">
        <v>45218</v>
      </c>
      <c r="B363" s="48">
        <v>11000</v>
      </c>
      <c r="C363" s="48">
        <v>1593</v>
      </c>
      <c r="D363" s="48">
        <v>11545</v>
      </c>
    </row>
    <row r="364" spans="1:4" hidden="1" x14ac:dyDescent="0.25">
      <c r="A364" s="106">
        <v>45219</v>
      </c>
      <c r="B364" s="48">
        <v>9925</v>
      </c>
      <c r="C364" s="48">
        <v>2075</v>
      </c>
      <c r="D364" s="48">
        <v>12000</v>
      </c>
    </row>
    <row r="365" spans="1:4" hidden="1" x14ac:dyDescent="0.25">
      <c r="A365" s="6">
        <v>45220</v>
      </c>
      <c r="B365" s="48">
        <v>11000</v>
      </c>
      <c r="C365" s="48">
        <v>1062</v>
      </c>
      <c r="D365" s="48">
        <v>11649</v>
      </c>
    </row>
    <row r="366" spans="1:4" hidden="1" x14ac:dyDescent="0.25">
      <c r="A366" s="6">
        <v>45221</v>
      </c>
      <c r="B366" s="48">
        <v>5450</v>
      </c>
      <c r="C366" s="48">
        <v>977</v>
      </c>
      <c r="D366" s="48">
        <v>5982</v>
      </c>
    </row>
    <row r="367" spans="1:4" hidden="1" x14ac:dyDescent="0.25">
      <c r="A367" s="6">
        <v>45222</v>
      </c>
      <c r="B367" s="48">
        <v>8848</v>
      </c>
      <c r="C367" s="48">
        <v>1190</v>
      </c>
      <c r="D367" s="48">
        <v>9423</v>
      </c>
    </row>
    <row r="368" spans="1:4" hidden="1" x14ac:dyDescent="0.25">
      <c r="A368" s="6">
        <v>45223</v>
      </c>
      <c r="B368" s="48">
        <v>11000</v>
      </c>
      <c r="C368" s="48">
        <v>1250</v>
      </c>
      <c r="D368" s="48">
        <v>11596</v>
      </c>
    </row>
    <row r="369" spans="1:4" hidden="1" x14ac:dyDescent="0.25">
      <c r="A369" s="6">
        <v>45224</v>
      </c>
      <c r="B369" s="48">
        <v>8299</v>
      </c>
      <c r="C369" s="48">
        <v>1042</v>
      </c>
      <c r="D369" s="48">
        <v>8896</v>
      </c>
    </row>
    <row r="370" spans="1:4" hidden="1" x14ac:dyDescent="0.25">
      <c r="A370" s="6">
        <v>45225</v>
      </c>
      <c r="B370" s="48">
        <v>11000</v>
      </c>
      <c r="C370" s="48">
        <v>1088</v>
      </c>
      <c r="D370" s="48">
        <v>11568</v>
      </c>
    </row>
    <row r="371" spans="1:4" hidden="1" x14ac:dyDescent="0.25">
      <c r="A371" s="6">
        <v>45226</v>
      </c>
      <c r="B371" s="48">
        <v>7599</v>
      </c>
      <c r="C371" s="48">
        <v>1104</v>
      </c>
      <c r="D371" s="48">
        <v>8278</v>
      </c>
    </row>
    <row r="372" spans="1:4" hidden="1" x14ac:dyDescent="0.25">
      <c r="A372" s="6">
        <v>45227</v>
      </c>
      <c r="B372" s="48">
        <v>11000</v>
      </c>
      <c r="C372" s="48">
        <v>1299</v>
      </c>
      <c r="D372" s="48">
        <v>12000</v>
      </c>
    </row>
    <row r="373" spans="1:4" hidden="1" x14ac:dyDescent="0.25">
      <c r="A373" s="135">
        <v>45228</v>
      </c>
      <c r="B373" s="48">
        <v>5747</v>
      </c>
      <c r="C373" s="48">
        <v>1005</v>
      </c>
      <c r="D373" s="48">
        <v>6582</v>
      </c>
    </row>
    <row r="374" spans="1:4" hidden="1" x14ac:dyDescent="0.25">
      <c r="A374" s="135">
        <v>45229</v>
      </c>
      <c r="B374" s="48">
        <v>11000</v>
      </c>
      <c r="C374" s="48">
        <v>1170</v>
      </c>
      <c r="D374" s="48">
        <v>11553</v>
      </c>
    </row>
    <row r="375" spans="1:4" hidden="1" x14ac:dyDescent="0.25">
      <c r="A375" s="107">
        <v>45230</v>
      </c>
      <c r="B375" s="48">
        <v>11000</v>
      </c>
      <c r="C375" s="48">
        <v>2183</v>
      </c>
      <c r="D375" s="48">
        <v>12000</v>
      </c>
    </row>
    <row r="376" spans="1:4" hidden="1" x14ac:dyDescent="0.25">
      <c r="A376" s="106">
        <v>45231</v>
      </c>
      <c r="B376" s="48">
        <v>6828</v>
      </c>
      <c r="C376" s="48">
        <v>1055</v>
      </c>
      <c r="D376" s="48">
        <v>7536</v>
      </c>
    </row>
    <row r="377" spans="1:4" hidden="1" x14ac:dyDescent="0.25">
      <c r="A377" s="6">
        <v>45232</v>
      </c>
      <c r="B377" s="48">
        <v>11000</v>
      </c>
      <c r="C377" s="48">
        <v>1138</v>
      </c>
      <c r="D377" s="48">
        <v>11544</v>
      </c>
    </row>
    <row r="378" spans="1:4" hidden="1" x14ac:dyDescent="0.25">
      <c r="A378" s="6">
        <v>45233</v>
      </c>
      <c r="B378" s="48">
        <v>11000</v>
      </c>
      <c r="C378" s="48">
        <v>2708</v>
      </c>
      <c r="D378" s="48">
        <v>11911</v>
      </c>
    </row>
    <row r="379" spans="1:4" hidden="1" x14ac:dyDescent="0.25">
      <c r="A379" s="6">
        <v>45234</v>
      </c>
      <c r="B379" s="48">
        <v>11000</v>
      </c>
      <c r="C379" s="48">
        <v>2037</v>
      </c>
      <c r="D379" s="48">
        <v>11603</v>
      </c>
    </row>
    <row r="380" spans="1:4" hidden="1" x14ac:dyDescent="0.25">
      <c r="A380" s="6">
        <v>45235</v>
      </c>
      <c r="B380" s="48">
        <v>7324</v>
      </c>
      <c r="C380" s="48">
        <v>1012</v>
      </c>
      <c r="D380" s="48">
        <v>7821</v>
      </c>
    </row>
    <row r="381" spans="1:4" hidden="1" x14ac:dyDescent="0.25">
      <c r="A381" s="6">
        <v>45236</v>
      </c>
      <c r="B381" s="48">
        <v>11000</v>
      </c>
      <c r="C381" s="48">
        <v>9000</v>
      </c>
      <c r="D381" s="48">
        <v>11362</v>
      </c>
    </row>
    <row r="382" spans="1:4" hidden="1" x14ac:dyDescent="0.25">
      <c r="A382" s="6">
        <v>45237</v>
      </c>
      <c r="B382" s="48">
        <v>11000</v>
      </c>
      <c r="C382" s="48">
        <v>2315</v>
      </c>
      <c r="D382" s="48">
        <v>12000</v>
      </c>
    </row>
    <row r="383" spans="1:4" hidden="1" x14ac:dyDescent="0.25">
      <c r="A383" s="6">
        <v>45238</v>
      </c>
      <c r="B383" s="48">
        <v>11000</v>
      </c>
      <c r="C383" s="48">
        <v>1405</v>
      </c>
      <c r="D383" s="48">
        <v>11550</v>
      </c>
    </row>
    <row r="384" spans="1:4" hidden="1" x14ac:dyDescent="0.25">
      <c r="A384" s="6">
        <v>45239</v>
      </c>
      <c r="B384" s="48">
        <v>11000</v>
      </c>
      <c r="C384" s="48">
        <v>1405</v>
      </c>
      <c r="D384" s="48">
        <v>12000</v>
      </c>
    </row>
    <row r="385" spans="1:4" hidden="1" x14ac:dyDescent="0.25">
      <c r="A385" s="6">
        <v>45240</v>
      </c>
      <c r="B385" s="48">
        <v>11000</v>
      </c>
      <c r="C385" s="48">
        <v>1212</v>
      </c>
      <c r="D385" s="48">
        <v>11634</v>
      </c>
    </row>
    <row r="386" spans="1:4" hidden="1" x14ac:dyDescent="0.25">
      <c r="A386" s="6">
        <v>45241</v>
      </c>
      <c r="B386" s="48">
        <v>11000</v>
      </c>
      <c r="C386" s="48">
        <v>1092</v>
      </c>
      <c r="D386" s="48">
        <v>11713</v>
      </c>
    </row>
    <row r="387" spans="1:4" hidden="1" x14ac:dyDescent="0.25">
      <c r="A387" s="6">
        <v>45242</v>
      </c>
      <c r="B387" s="48">
        <v>5885</v>
      </c>
      <c r="C387" s="48">
        <v>1052</v>
      </c>
      <c r="D387" s="48">
        <v>6479</v>
      </c>
    </row>
    <row r="388" spans="1:4" hidden="1" x14ac:dyDescent="0.25">
      <c r="A388" s="6">
        <v>45243</v>
      </c>
      <c r="B388" s="48">
        <v>11000</v>
      </c>
      <c r="C388" s="48">
        <v>2094</v>
      </c>
      <c r="D388" s="48">
        <v>12000</v>
      </c>
    </row>
    <row r="389" spans="1:4" hidden="1" x14ac:dyDescent="0.25">
      <c r="A389" s="6">
        <v>45244</v>
      </c>
      <c r="B389" s="48">
        <v>8886</v>
      </c>
      <c r="C389" s="48">
        <v>1171</v>
      </c>
      <c r="D389" s="48">
        <v>9402</v>
      </c>
    </row>
    <row r="390" spans="1:4" hidden="1" x14ac:dyDescent="0.25">
      <c r="A390" s="6">
        <v>45245</v>
      </c>
      <c r="B390" s="48">
        <v>6122</v>
      </c>
      <c r="C390" s="48">
        <v>1040</v>
      </c>
      <c r="D390" s="48">
        <v>6774</v>
      </c>
    </row>
    <row r="391" spans="1:4" hidden="1" x14ac:dyDescent="0.25">
      <c r="A391" s="6">
        <v>45246</v>
      </c>
      <c r="B391" s="48">
        <v>11000</v>
      </c>
      <c r="C391" s="48">
        <v>1253</v>
      </c>
      <c r="D391" s="48">
        <v>11569</v>
      </c>
    </row>
    <row r="392" spans="1:4" hidden="1" x14ac:dyDescent="0.25">
      <c r="A392" s="6">
        <v>45247</v>
      </c>
      <c r="B392" s="48">
        <v>8074</v>
      </c>
      <c r="C392" s="48">
        <v>1353</v>
      </c>
      <c r="D392" s="48">
        <v>8727</v>
      </c>
    </row>
    <row r="393" spans="1:4" hidden="1" x14ac:dyDescent="0.25">
      <c r="A393" s="6">
        <v>45248</v>
      </c>
      <c r="B393" s="48">
        <v>5711</v>
      </c>
      <c r="C393" s="48">
        <v>1158</v>
      </c>
      <c r="D393" s="48">
        <v>6362</v>
      </c>
    </row>
    <row r="394" spans="1:4" hidden="1" x14ac:dyDescent="0.25">
      <c r="A394" s="6">
        <v>45249</v>
      </c>
      <c r="B394" s="48">
        <v>3017</v>
      </c>
      <c r="C394" s="48">
        <v>1102</v>
      </c>
      <c r="D394" s="48">
        <v>3894</v>
      </c>
    </row>
    <row r="395" spans="1:4" hidden="1" x14ac:dyDescent="0.25">
      <c r="A395" s="6">
        <v>45250</v>
      </c>
      <c r="B395" s="48">
        <v>4892</v>
      </c>
      <c r="C395" s="48">
        <v>1266</v>
      </c>
      <c r="D395" s="48">
        <v>5740</v>
      </c>
    </row>
    <row r="396" spans="1:4" hidden="1" x14ac:dyDescent="0.25">
      <c r="A396" s="6">
        <v>45251</v>
      </c>
      <c r="B396" s="48">
        <v>4651</v>
      </c>
      <c r="C396" s="48">
        <v>1245</v>
      </c>
      <c r="D396" s="48">
        <v>5783</v>
      </c>
    </row>
    <row r="397" spans="1:4" hidden="1" x14ac:dyDescent="0.25">
      <c r="A397" s="6">
        <v>45252</v>
      </c>
      <c r="B397" s="48">
        <v>4447</v>
      </c>
      <c r="C397" s="48">
        <v>1024</v>
      </c>
      <c r="D397" s="48">
        <v>5026</v>
      </c>
    </row>
    <row r="398" spans="1:4" hidden="1" x14ac:dyDescent="0.25">
      <c r="A398" s="6">
        <v>45253</v>
      </c>
      <c r="B398" s="48">
        <v>7184</v>
      </c>
      <c r="C398" s="48">
        <v>1135</v>
      </c>
      <c r="D398" s="48">
        <v>7895</v>
      </c>
    </row>
    <row r="399" spans="1:4" hidden="1" x14ac:dyDescent="0.25">
      <c r="A399" s="6">
        <v>45254</v>
      </c>
      <c r="B399" s="48">
        <v>4364</v>
      </c>
      <c r="C399" s="48">
        <v>1172</v>
      </c>
      <c r="D399" s="48">
        <v>5029</v>
      </c>
    </row>
    <row r="400" spans="1:4" hidden="1" x14ac:dyDescent="0.25">
      <c r="A400" s="6">
        <v>45255</v>
      </c>
      <c r="B400" s="48">
        <v>4327</v>
      </c>
      <c r="C400" s="48">
        <v>1092</v>
      </c>
      <c r="D400" s="48">
        <v>5065</v>
      </c>
    </row>
    <row r="401" spans="1:4" hidden="1" x14ac:dyDescent="0.25">
      <c r="A401" s="6">
        <v>45256</v>
      </c>
      <c r="B401" s="48">
        <v>8321</v>
      </c>
      <c r="C401" s="48">
        <v>3679</v>
      </c>
      <c r="D401" s="48">
        <v>12000</v>
      </c>
    </row>
    <row r="402" spans="1:4" hidden="1" x14ac:dyDescent="0.25">
      <c r="A402" s="6">
        <v>45257</v>
      </c>
      <c r="B402" s="48">
        <v>4339</v>
      </c>
      <c r="C402" s="48">
        <v>1180</v>
      </c>
      <c r="D402" s="48">
        <v>4939</v>
      </c>
    </row>
    <row r="403" spans="1:4" hidden="1" x14ac:dyDescent="0.25">
      <c r="A403" s="6">
        <v>45258</v>
      </c>
      <c r="B403" s="48">
        <v>5600</v>
      </c>
      <c r="C403" s="48">
        <v>1401</v>
      </c>
      <c r="D403" s="48">
        <v>6461</v>
      </c>
    </row>
    <row r="404" spans="1:4" hidden="1" x14ac:dyDescent="0.25">
      <c r="A404" s="6">
        <v>45259</v>
      </c>
      <c r="B404" s="48">
        <v>4590</v>
      </c>
      <c r="C404" s="48">
        <v>2238</v>
      </c>
      <c r="D404" s="48">
        <v>5573</v>
      </c>
    </row>
    <row r="405" spans="1:4" hidden="1" x14ac:dyDescent="0.25">
      <c r="A405" s="6">
        <v>45260</v>
      </c>
      <c r="B405" s="48">
        <v>7426</v>
      </c>
      <c r="C405" s="48">
        <v>1246</v>
      </c>
      <c r="D405" s="48">
        <v>7952</v>
      </c>
    </row>
    <row r="406" spans="1:4" hidden="1" x14ac:dyDescent="0.25">
      <c r="A406" s="6">
        <v>45261</v>
      </c>
      <c r="B406" s="48">
        <v>5672</v>
      </c>
      <c r="C406" s="48">
        <v>1285</v>
      </c>
      <c r="D406" s="48">
        <v>6748</v>
      </c>
    </row>
    <row r="407" spans="1:4" hidden="1" x14ac:dyDescent="0.25">
      <c r="A407" s="6">
        <v>45262</v>
      </c>
      <c r="B407" s="48">
        <v>4258</v>
      </c>
      <c r="C407" s="48">
        <v>1084</v>
      </c>
      <c r="D407" s="48">
        <v>4891</v>
      </c>
    </row>
    <row r="408" spans="1:4" hidden="1" x14ac:dyDescent="0.25">
      <c r="A408" s="6">
        <v>45263</v>
      </c>
      <c r="B408" s="48">
        <v>3139</v>
      </c>
      <c r="C408" s="48">
        <v>1046</v>
      </c>
      <c r="D408" s="48">
        <v>3743</v>
      </c>
    </row>
    <row r="409" spans="1:4" hidden="1" x14ac:dyDescent="0.25">
      <c r="A409" s="6">
        <v>45264</v>
      </c>
      <c r="B409" s="48">
        <v>5034</v>
      </c>
      <c r="C409" s="48">
        <v>1144</v>
      </c>
      <c r="D409" s="48">
        <v>5744</v>
      </c>
    </row>
    <row r="410" spans="1:4" hidden="1" x14ac:dyDescent="0.25">
      <c r="A410" s="6">
        <v>45265</v>
      </c>
      <c r="B410" s="48">
        <v>7438</v>
      </c>
      <c r="C410" s="48">
        <v>2054</v>
      </c>
      <c r="D410" s="48">
        <v>8169</v>
      </c>
    </row>
    <row r="411" spans="1:4" hidden="1" x14ac:dyDescent="0.25">
      <c r="A411" s="6">
        <v>45266</v>
      </c>
      <c r="B411" s="48">
        <v>3703</v>
      </c>
      <c r="C411" s="48">
        <v>1089</v>
      </c>
      <c r="D411" s="48">
        <v>4247</v>
      </c>
    </row>
    <row r="412" spans="1:4" hidden="1" x14ac:dyDescent="0.25">
      <c r="A412" s="6">
        <v>45267</v>
      </c>
      <c r="B412" s="48">
        <v>6186</v>
      </c>
      <c r="C412" s="48">
        <v>1136</v>
      </c>
      <c r="D412" s="48">
        <v>6819</v>
      </c>
    </row>
    <row r="413" spans="1:4" hidden="1" x14ac:dyDescent="0.25">
      <c r="A413" s="6">
        <v>45268</v>
      </c>
      <c r="B413" s="48">
        <v>11000</v>
      </c>
      <c r="C413" s="48">
        <v>1197</v>
      </c>
      <c r="D413" s="48">
        <v>11666</v>
      </c>
    </row>
    <row r="414" spans="1:4" hidden="1" x14ac:dyDescent="0.25">
      <c r="A414" s="6">
        <v>45269</v>
      </c>
      <c r="B414" s="48">
        <v>8036</v>
      </c>
      <c r="C414" s="48">
        <v>1054</v>
      </c>
      <c r="D414" s="48">
        <v>8681</v>
      </c>
    </row>
    <row r="415" spans="1:4" hidden="1" x14ac:dyDescent="0.25">
      <c r="A415" s="6">
        <v>45270</v>
      </c>
      <c r="B415" s="48">
        <v>3421</v>
      </c>
      <c r="C415" s="48">
        <v>1026</v>
      </c>
      <c r="D415" s="48">
        <v>3753</v>
      </c>
    </row>
    <row r="416" spans="1:4" hidden="1" x14ac:dyDescent="0.25">
      <c r="A416" s="6">
        <v>45271</v>
      </c>
      <c r="B416" s="48">
        <v>5557</v>
      </c>
      <c r="C416" s="48">
        <v>1130</v>
      </c>
      <c r="D416" s="48">
        <v>6220</v>
      </c>
    </row>
    <row r="417" spans="1:4" hidden="1" x14ac:dyDescent="0.25">
      <c r="A417" s="6">
        <v>45272</v>
      </c>
      <c r="B417" s="48">
        <v>12213</v>
      </c>
      <c r="C417" s="48">
        <v>705</v>
      </c>
      <c r="D417" s="48">
        <v>12279</v>
      </c>
    </row>
    <row r="418" spans="1:4" hidden="1" x14ac:dyDescent="0.25">
      <c r="A418" s="6">
        <v>45273</v>
      </c>
      <c r="B418" s="48">
        <v>12450</v>
      </c>
      <c r="C418" s="48">
        <v>1030</v>
      </c>
      <c r="D418" s="48">
        <v>12938</v>
      </c>
    </row>
    <row r="419" spans="1:4" hidden="1" x14ac:dyDescent="0.25">
      <c r="A419" s="6">
        <v>45274</v>
      </c>
      <c r="B419" s="48">
        <v>7549</v>
      </c>
      <c r="C419" s="48">
        <v>9000</v>
      </c>
      <c r="D419" s="48">
        <v>12000</v>
      </c>
    </row>
    <row r="420" spans="1:4" hidden="1" x14ac:dyDescent="0.25">
      <c r="A420" s="6">
        <v>45275</v>
      </c>
      <c r="B420" s="48">
        <v>11000</v>
      </c>
      <c r="C420" s="48">
        <v>1677</v>
      </c>
      <c r="D420" s="48">
        <v>11621</v>
      </c>
    </row>
    <row r="421" spans="1:4" hidden="1" x14ac:dyDescent="0.25">
      <c r="A421" s="6">
        <v>45276</v>
      </c>
      <c r="B421" s="48">
        <v>11000</v>
      </c>
      <c r="C421" s="48">
        <v>1588</v>
      </c>
      <c r="D421" s="48">
        <v>11577</v>
      </c>
    </row>
    <row r="422" spans="1:4" hidden="1" x14ac:dyDescent="0.25">
      <c r="A422" s="6">
        <v>45277</v>
      </c>
      <c r="B422" s="48">
        <v>5793</v>
      </c>
      <c r="C422" s="48">
        <v>1144</v>
      </c>
      <c r="D422" s="48">
        <v>6252</v>
      </c>
    </row>
    <row r="423" spans="1:4" hidden="1" x14ac:dyDescent="0.25">
      <c r="A423" s="6">
        <v>45278</v>
      </c>
      <c r="B423" s="48">
        <v>8063</v>
      </c>
      <c r="C423" s="48">
        <v>1176</v>
      </c>
      <c r="D423" s="48">
        <v>8636</v>
      </c>
    </row>
    <row r="424" spans="1:4" hidden="1" x14ac:dyDescent="0.25">
      <c r="A424" s="6">
        <v>45279</v>
      </c>
      <c r="B424" s="48">
        <v>7244</v>
      </c>
      <c r="C424" s="48">
        <v>1222</v>
      </c>
      <c r="D424" s="48">
        <v>8242</v>
      </c>
    </row>
    <row r="425" spans="1:4" hidden="1" x14ac:dyDescent="0.25">
      <c r="A425" s="6">
        <v>45280</v>
      </c>
      <c r="B425" s="48">
        <v>10232</v>
      </c>
      <c r="C425" s="48">
        <v>1241</v>
      </c>
      <c r="D425" s="48">
        <v>11473</v>
      </c>
    </row>
    <row r="426" spans="1:4" hidden="1" x14ac:dyDescent="0.25">
      <c r="A426" s="6">
        <v>45281</v>
      </c>
      <c r="B426" s="48">
        <v>11845</v>
      </c>
      <c r="C426" s="48">
        <v>1575</v>
      </c>
      <c r="D426" s="48">
        <v>12855</v>
      </c>
    </row>
    <row r="427" spans="1:4" hidden="1" x14ac:dyDescent="0.25">
      <c r="A427" s="6">
        <v>45282</v>
      </c>
      <c r="B427" s="48">
        <v>8443</v>
      </c>
      <c r="C427" s="48">
        <v>1576</v>
      </c>
      <c r="D427" s="48">
        <v>10019</v>
      </c>
    </row>
    <row r="428" spans="1:4" hidden="1" x14ac:dyDescent="0.25">
      <c r="A428" s="6">
        <v>45283</v>
      </c>
      <c r="B428" s="48">
        <v>8917</v>
      </c>
      <c r="C428" s="48">
        <v>1102</v>
      </c>
      <c r="D428" s="48">
        <v>9598</v>
      </c>
    </row>
    <row r="429" spans="1:4" hidden="1" x14ac:dyDescent="0.25">
      <c r="A429" s="6">
        <v>45284</v>
      </c>
      <c r="B429" s="48">
        <v>3406</v>
      </c>
      <c r="C429" s="48">
        <v>1001</v>
      </c>
      <c r="D429" s="48">
        <v>3950</v>
      </c>
    </row>
    <row r="430" spans="1:4" hidden="1" x14ac:dyDescent="0.25">
      <c r="A430" s="6">
        <v>45285</v>
      </c>
      <c r="B430" s="48">
        <v>3924</v>
      </c>
      <c r="C430" s="48">
        <v>968</v>
      </c>
      <c r="D430" s="48">
        <v>4556</v>
      </c>
    </row>
    <row r="431" spans="1:4" hidden="1" x14ac:dyDescent="0.25">
      <c r="A431" s="6">
        <v>45286</v>
      </c>
      <c r="B431" s="48">
        <v>11000</v>
      </c>
      <c r="C431" s="48">
        <v>1058</v>
      </c>
      <c r="D431" s="48">
        <v>11482</v>
      </c>
    </row>
    <row r="432" spans="1:4" hidden="1" x14ac:dyDescent="0.25">
      <c r="A432" s="6">
        <v>45287</v>
      </c>
      <c r="B432" s="48">
        <v>7705</v>
      </c>
      <c r="C432" s="48">
        <v>1048</v>
      </c>
      <c r="D432" s="48">
        <v>8332</v>
      </c>
    </row>
    <row r="433" spans="1:4" hidden="1" x14ac:dyDescent="0.25">
      <c r="A433" s="6">
        <v>45288</v>
      </c>
      <c r="B433" s="48">
        <v>8736</v>
      </c>
      <c r="C433" s="48">
        <v>1127</v>
      </c>
      <c r="D433" s="48">
        <v>9724</v>
      </c>
    </row>
    <row r="434" spans="1:4" hidden="1" x14ac:dyDescent="0.25">
      <c r="A434" s="6">
        <v>45289</v>
      </c>
      <c r="B434" s="48">
        <v>8097</v>
      </c>
      <c r="C434" s="48">
        <v>1074</v>
      </c>
      <c r="D434" s="48">
        <v>8795</v>
      </c>
    </row>
    <row r="435" spans="1:4" hidden="1" x14ac:dyDescent="0.25">
      <c r="A435" s="6">
        <v>45290</v>
      </c>
      <c r="B435" s="48">
        <v>7328</v>
      </c>
      <c r="C435" s="48">
        <v>1128</v>
      </c>
      <c r="D435" s="48">
        <v>8042</v>
      </c>
    </row>
    <row r="436" spans="1:4" hidden="1" x14ac:dyDescent="0.25">
      <c r="A436" s="6">
        <v>45291</v>
      </c>
      <c r="B436" s="48">
        <v>3195</v>
      </c>
      <c r="C436" s="48">
        <v>1100</v>
      </c>
      <c r="D436" s="48">
        <v>3805</v>
      </c>
    </row>
    <row r="437" spans="1:4" hidden="1" x14ac:dyDescent="0.25">
      <c r="A437" s="6">
        <v>45292</v>
      </c>
      <c r="B437" s="48">
        <v>3494</v>
      </c>
      <c r="C437" s="48">
        <v>825</v>
      </c>
      <c r="D437" s="48">
        <v>3948</v>
      </c>
    </row>
    <row r="438" spans="1:4" hidden="1" x14ac:dyDescent="0.25">
      <c r="A438" s="6">
        <v>45293</v>
      </c>
      <c r="B438" s="48">
        <v>7566</v>
      </c>
      <c r="C438" s="48">
        <v>1007</v>
      </c>
      <c r="D438" s="48">
        <v>8262</v>
      </c>
    </row>
    <row r="439" spans="1:4" hidden="1" x14ac:dyDescent="0.25">
      <c r="A439" s="6">
        <v>45294</v>
      </c>
      <c r="B439" s="48">
        <v>5393</v>
      </c>
      <c r="C439" s="48">
        <v>986</v>
      </c>
      <c r="D439" s="48">
        <v>6041</v>
      </c>
    </row>
    <row r="440" spans="1:4" hidden="1" x14ac:dyDescent="0.25">
      <c r="A440" s="6">
        <v>45295</v>
      </c>
      <c r="B440" s="48">
        <v>5574</v>
      </c>
      <c r="C440" s="48">
        <v>984</v>
      </c>
      <c r="D440" s="48">
        <v>6166</v>
      </c>
    </row>
    <row r="441" spans="1:4" hidden="1" x14ac:dyDescent="0.25">
      <c r="A441" s="107">
        <v>45296</v>
      </c>
      <c r="B441" s="48">
        <v>5691</v>
      </c>
      <c r="C441" s="48">
        <v>1072</v>
      </c>
      <c r="D441" s="48">
        <v>6378</v>
      </c>
    </row>
    <row r="442" spans="1:4" hidden="1" x14ac:dyDescent="0.25">
      <c r="A442" s="107">
        <v>45297</v>
      </c>
      <c r="B442" s="48">
        <v>4734</v>
      </c>
      <c r="C442" s="48">
        <v>1066</v>
      </c>
      <c r="D442" s="48">
        <v>5342</v>
      </c>
    </row>
    <row r="443" spans="1:4" hidden="1" x14ac:dyDescent="0.25">
      <c r="A443" s="107">
        <v>45298</v>
      </c>
      <c r="B443" s="48">
        <v>2933</v>
      </c>
      <c r="C443" s="48">
        <v>988</v>
      </c>
      <c r="D443" s="48">
        <v>3621</v>
      </c>
    </row>
    <row r="444" spans="1:4" hidden="1" x14ac:dyDescent="0.25">
      <c r="A444" s="107">
        <v>45299</v>
      </c>
      <c r="B444" s="48">
        <v>4966</v>
      </c>
      <c r="C444" s="48">
        <v>1332</v>
      </c>
      <c r="D444" s="48">
        <v>5498</v>
      </c>
    </row>
    <row r="445" spans="1:4" hidden="1" x14ac:dyDescent="0.25">
      <c r="A445" s="107">
        <v>45300</v>
      </c>
      <c r="B445" s="48">
        <v>5041</v>
      </c>
      <c r="C445" s="48">
        <v>1163</v>
      </c>
      <c r="D445" s="48">
        <v>5662</v>
      </c>
    </row>
    <row r="446" spans="1:4" hidden="1" x14ac:dyDescent="0.25">
      <c r="A446" s="107">
        <v>45301</v>
      </c>
      <c r="B446" s="48">
        <v>4914</v>
      </c>
      <c r="C446" s="48">
        <v>1129</v>
      </c>
      <c r="D446" s="48">
        <v>5468</v>
      </c>
    </row>
    <row r="447" spans="1:4" hidden="1" x14ac:dyDescent="0.25">
      <c r="A447" s="107">
        <v>45302</v>
      </c>
      <c r="B447" s="48">
        <v>4994</v>
      </c>
      <c r="C447" s="48">
        <v>1130</v>
      </c>
      <c r="D447" s="48">
        <v>5536</v>
      </c>
    </row>
    <row r="448" spans="1:4" hidden="1" x14ac:dyDescent="0.25">
      <c r="A448" s="107">
        <v>45303</v>
      </c>
      <c r="B448" s="48">
        <v>5993</v>
      </c>
      <c r="C448" s="48">
        <v>1183</v>
      </c>
      <c r="D448" s="48">
        <v>6619</v>
      </c>
    </row>
    <row r="449" spans="1:4" hidden="1" x14ac:dyDescent="0.25">
      <c r="A449" s="107">
        <v>45304</v>
      </c>
      <c r="B449" s="48">
        <v>5989</v>
      </c>
      <c r="C449" s="48">
        <v>1028</v>
      </c>
      <c r="D449" s="48">
        <v>6698</v>
      </c>
    </row>
    <row r="450" spans="1:4" hidden="1" x14ac:dyDescent="0.25">
      <c r="A450" s="107">
        <v>45305</v>
      </c>
      <c r="B450" s="48">
        <v>3401</v>
      </c>
      <c r="C450" s="48">
        <v>985</v>
      </c>
      <c r="D450" s="48">
        <v>4041</v>
      </c>
    </row>
    <row r="451" spans="1:4" hidden="1" x14ac:dyDescent="0.25">
      <c r="A451" s="107">
        <v>45306</v>
      </c>
      <c r="B451" s="48">
        <v>4797</v>
      </c>
      <c r="C451" s="48">
        <v>1184</v>
      </c>
      <c r="D451" s="48">
        <v>5380</v>
      </c>
    </row>
    <row r="452" spans="1:4" hidden="1" x14ac:dyDescent="0.25">
      <c r="A452" s="107">
        <v>45307</v>
      </c>
      <c r="B452" s="48">
        <v>5484</v>
      </c>
      <c r="C452" s="48">
        <v>1228</v>
      </c>
      <c r="D452" s="48">
        <v>6204</v>
      </c>
    </row>
    <row r="453" spans="1:4" hidden="1" x14ac:dyDescent="0.25">
      <c r="A453" s="107">
        <v>45308</v>
      </c>
      <c r="B453" s="48">
        <v>4484</v>
      </c>
      <c r="C453" s="48">
        <v>1106</v>
      </c>
      <c r="D453" s="48">
        <v>5354</v>
      </c>
    </row>
    <row r="454" spans="1:4" hidden="1" x14ac:dyDescent="0.25">
      <c r="A454" s="107">
        <v>45309</v>
      </c>
      <c r="B454" s="48">
        <v>5287</v>
      </c>
      <c r="C454" s="48">
        <v>1117</v>
      </c>
      <c r="D454" s="48">
        <v>6104</v>
      </c>
    </row>
    <row r="455" spans="1:4" hidden="1" x14ac:dyDescent="0.25">
      <c r="A455" s="107">
        <v>45310</v>
      </c>
      <c r="B455" s="48">
        <v>5006</v>
      </c>
      <c r="C455" s="48">
        <v>1176</v>
      </c>
      <c r="D455" s="48">
        <v>5617</v>
      </c>
    </row>
    <row r="456" spans="1:4" hidden="1" x14ac:dyDescent="0.25">
      <c r="A456" s="107">
        <v>45311</v>
      </c>
      <c r="B456" s="48">
        <v>4156</v>
      </c>
      <c r="C456" s="48">
        <v>1108</v>
      </c>
      <c r="D456" s="48">
        <v>4746</v>
      </c>
    </row>
    <row r="457" spans="1:4" hidden="1" x14ac:dyDescent="0.25">
      <c r="A457" s="107">
        <v>45312</v>
      </c>
      <c r="B457" s="48">
        <v>3141</v>
      </c>
      <c r="C457" s="48">
        <v>983</v>
      </c>
      <c r="D457" s="48">
        <v>3919</v>
      </c>
    </row>
    <row r="458" spans="1:4" hidden="1" x14ac:dyDescent="0.25">
      <c r="A458" s="107">
        <v>45313</v>
      </c>
      <c r="B458" s="48">
        <v>5750</v>
      </c>
      <c r="C458" s="48">
        <v>1095</v>
      </c>
      <c r="D458" s="48">
        <v>6399</v>
      </c>
    </row>
    <row r="459" spans="1:4" hidden="1" x14ac:dyDescent="0.25">
      <c r="A459" s="107">
        <v>45314</v>
      </c>
      <c r="B459" s="48">
        <v>4517</v>
      </c>
      <c r="C459" s="48">
        <v>1139</v>
      </c>
      <c r="D459" s="48">
        <v>5107</v>
      </c>
    </row>
    <row r="460" spans="1:4" hidden="1" x14ac:dyDescent="0.25">
      <c r="A460" s="135">
        <v>45315</v>
      </c>
      <c r="B460" s="48">
        <v>4301</v>
      </c>
      <c r="C460" s="48">
        <v>1089</v>
      </c>
      <c r="D460" s="48">
        <v>5199</v>
      </c>
    </row>
    <row r="461" spans="1:4" hidden="1" x14ac:dyDescent="0.25">
      <c r="A461" s="135">
        <v>45316</v>
      </c>
      <c r="B461" s="48">
        <v>4292</v>
      </c>
      <c r="C461" s="48">
        <v>1103</v>
      </c>
      <c r="D461" s="48">
        <v>4922</v>
      </c>
    </row>
    <row r="462" spans="1:4" hidden="1" x14ac:dyDescent="0.25">
      <c r="A462" s="135">
        <v>45317</v>
      </c>
      <c r="B462" s="48">
        <v>4948</v>
      </c>
      <c r="C462" s="48">
        <v>1201</v>
      </c>
      <c r="D462" s="48">
        <v>5566</v>
      </c>
    </row>
    <row r="463" spans="1:4" hidden="1" x14ac:dyDescent="0.25">
      <c r="A463" s="135">
        <v>45318</v>
      </c>
      <c r="B463" s="48">
        <v>4006</v>
      </c>
      <c r="C463" s="48">
        <v>1102</v>
      </c>
      <c r="D463" s="48">
        <v>4623</v>
      </c>
    </row>
    <row r="464" spans="1:4" hidden="1" x14ac:dyDescent="0.25">
      <c r="A464" s="135">
        <v>45319</v>
      </c>
      <c r="B464" s="48">
        <v>3014</v>
      </c>
      <c r="C464" s="48">
        <v>983</v>
      </c>
      <c r="D464" s="48">
        <v>3675</v>
      </c>
    </row>
    <row r="465" spans="1:4" hidden="1" x14ac:dyDescent="0.25">
      <c r="A465" s="135">
        <v>45320</v>
      </c>
      <c r="B465" s="48">
        <v>4954</v>
      </c>
      <c r="C465" s="48">
        <v>1206</v>
      </c>
      <c r="D465" s="48">
        <v>5626</v>
      </c>
    </row>
    <row r="466" spans="1:4" hidden="1" x14ac:dyDescent="0.25">
      <c r="A466" s="135">
        <v>45321</v>
      </c>
      <c r="B466" s="48">
        <v>5830</v>
      </c>
      <c r="C466" s="48">
        <v>1148</v>
      </c>
      <c r="D466" s="48">
        <v>6734</v>
      </c>
    </row>
    <row r="467" spans="1:4" hidden="1" x14ac:dyDescent="0.25">
      <c r="A467" s="135">
        <v>45322</v>
      </c>
      <c r="B467" s="48">
        <v>4159</v>
      </c>
      <c r="C467" s="48">
        <v>1421</v>
      </c>
      <c r="D467" s="48">
        <v>4752</v>
      </c>
    </row>
    <row r="468" spans="1:4" hidden="1" x14ac:dyDescent="0.25">
      <c r="A468" s="135">
        <v>45323</v>
      </c>
      <c r="B468" s="48">
        <v>4317</v>
      </c>
      <c r="C468" s="48">
        <v>1181</v>
      </c>
      <c r="D468" s="48">
        <v>5051</v>
      </c>
    </row>
    <row r="469" spans="1:4" hidden="1" x14ac:dyDescent="0.25">
      <c r="A469" s="135">
        <v>45324</v>
      </c>
      <c r="B469" s="48">
        <v>4643</v>
      </c>
      <c r="C469" s="48">
        <v>1179</v>
      </c>
      <c r="D469" s="48">
        <v>5245</v>
      </c>
    </row>
    <row r="470" spans="1:4" hidden="1" x14ac:dyDescent="0.25">
      <c r="A470" s="135">
        <v>45325</v>
      </c>
      <c r="B470" s="48">
        <v>5036</v>
      </c>
      <c r="C470" s="48">
        <v>956</v>
      </c>
      <c r="D470" s="48">
        <v>5698</v>
      </c>
    </row>
    <row r="471" spans="1:4" hidden="1" x14ac:dyDescent="0.25">
      <c r="A471" s="135">
        <v>45326</v>
      </c>
      <c r="B471" s="48">
        <v>2840</v>
      </c>
      <c r="C471" s="48">
        <v>1029</v>
      </c>
      <c r="D471" s="48">
        <v>3649</v>
      </c>
    </row>
    <row r="472" spans="1:4" hidden="1" x14ac:dyDescent="0.25">
      <c r="A472" s="135">
        <v>45327</v>
      </c>
      <c r="B472" s="48">
        <v>4259</v>
      </c>
      <c r="C472" s="48">
        <v>1218</v>
      </c>
      <c r="D472" s="48">
        <v>5023</v>
      </c>
    </row>
    <row r="473" spans="1:4" hidden="1" x14ac:dyDescent="0.25">
      <c r="A473" s="135">
        <v>45328</v>
      </c>
      <c r="B473" s="48">
        <v>4359</v>
      </c>
      <c r="C473" s="48">
        <v>1225</v>
      </c>
      <c r="D473" s="48">
        <v>5012</v>
      </c>
    </row>
    <row r="474" spans="1:4" hidden="1" x14ac:dyDescent="0.25">
      <c r="A474" s="135">
        <v>45329</v>
      </c>
      <c r="B474" s="48">
        <v>4449</v>
      </c>
      <c r="C474" s="48">
        <v>1012</v>
      </c>
      <c r="D474" s="48">
        <v>5137</v>
      </c>
    </row>
    <row r="475" spans="1:4" hidden="1" x14ac:dyDescent="0.25">
      <c r="A475" s="135">
        <v>45330</v>
      </c>
      <c r="B475" s="48">
        <v>5753</v>
      </c>
      <c r="C475" s="48">
        <v>1130</v>
      </c>
      <c r="D475" s="48">
        <v>6429</v>
      </c>
    </row>
    <row r="476" spans="1:4" hidden="1" x14ac:dyDescent="0.25">
      <c r="A476" s="135">
        <v>45331</v>
      </c>
      <c r="B476" s="48">
        <v>4951</v>
      </c>
      <c r="C476" s="48">
        <v>1214</v>
      </c>
      <c r="D476" s="48">
        <v>6052</v>
      </c>
    </row>
    <row r="477" spans="1:4" hidden="1" x14ac:dyDescent="0.25">
      <c r="A477" s="135">
        <v>45332</v>
      </c>
      <c r="B477" s="48">
        <v>4956</v>
      </c>
      <c r="C477" s="48">
        <v>1362</v>
      </c>
      <c r="D477" s="48">
        <v>5732</v>
      </c>
    </row>
    <row r="478" spans="1:4" hidden="1" x14ac:dyDescent="0.25">
      <c r="A478" s="135">
        <v>45333</v>
      </c>
      <c r="B478" s="48">
        <v>2846</v>
      </c>
      <c r="C478" s="48">
        <v>1002</v>
      </c>
      <c r="D478" s="48">
        <v>3582</v>
      </c>
    </row>
    <row r="479" spans="1:4" hidden="1" x14ac:dyDescent="0.25">
      <c r="A479" s="135">
        <v>45334</v>
      </c>
      <c r="B479" s="48">
        <v>4385</v>
      </c>
      <c r="C479" s="48">
        <v>1178</v>
      </c>
      <c r="D479" s="48">
        <v>5198</v>
      </c>
    </row>
    <row r="480" spans="1:4" hidden="1" x14ac:dyDescent="0.25">
      <c r="A480" s="135">
        <v>45335</v>
      </c>
      <c r="B480" s="48">
        <v>4873</v>
      </c>
      <c r="C480" s="48">
        <v>1287</v>
      </c>
      <c r="D480" s="48">
        <v>5725</v>
      </c>
    </row>
    <row r="481" spans="1:4" hidden="1" x14ac:dyDescent="0.25">
      <c r="A481" s="135">
        <v>45336</v>
      </c>
      <c r="B481" s="48">
        <v>4484</v>
      </c>
      <c r="C481" s="48">
        <v>1335</v>
      </c>
      <c r="D481" s="48">
        <v>5288</v>
      </c>
    </row>
    <row r="482" spans="1:4" hidden="1" x14ac:dyDescent="0.25">
      <c r="A482" s="135">
        <v>45337</v>
      </c>
      <c r="B482" s="48">
        <v>5312</v>
      </c>
      <c r="C482" s="48">
        <v>1265</v>
      </c>
      <c r="D482" s="48">
        <v>10917</v>
      </c>
    </row>
    <row r="483" spans="1:4" hidden="1" x14ac:dyDescent="0.25">
      <c r="A483" s="135">
        <v>45338</v>
      </c>
      <c r="B483" s="48">
        <v>8171</v>
      </c>
      <c r="C483" s="48">
        <v>1114</v>
      </c>
      <c r="D483" s="48">
        <v>8202</v>
      </c>
    </row>
    <row r="484" spans="1:4" hidden="1" x14ac:dyDescent="0.25">
      <c r="A484" s="135">
        <v>45339</v>
      </c>
      <c r="B484" s="48">
        <v>10436</v>
      </c>
      <c r="C484" s="48">
        <v>1109</v>
      </c>
      <c r="D484" s="48">
        <v>10860</v>
      </c>
    </row>
    <row r="485" spans="1:4" hidden="1" x14ac:dyDescent="0.25">
      <c r="A485" s="135">
        <v>45340</v>
      </c>
      <c r="B485" s="48">
        <v>5292</v>
      </c>
      <c r="C485" s="48">
        <v>1067</v>
      </c>
      <c r="D485" s="48">
        <v>5943</v>
      </c>
    </row>
    <row r="486" spans="1:4" hidden="1" x14ac:dyDescent="0.25">
      <c r="A486" s="135">
        <v>45341</v>
      </c>
      <c r="B486" s="48">
        <v>4738</v>
      </c>
      <c r="C486" s="48">
        <v>1170</v>
      </c>
      <c r="D486" s="48">
        <v>5381</v>
      </c>
    </row>
    <row r="487" spans="1:4" hidden="1" x14ac:dyDescent="0.25">
      <c r="A487" s="135">
        <v>45342</v>
      </c>
      <c r="B487" s="48">
        <v>6248</v>
      </c>
      <c r="C487" s="48">
        <v>1125</v>
      </c>
      <c r="D487" s="48">
        <v>6977</v>
      </c>
    </row>
    <row r="488" spans="1:4" hidden="1" x14ac:dyDescent="0.25">
      <c r="A488" s="135">
        <v>45343</v>
      </c>
      <c r="B488" s="48">
        <v>3738</v>
      </c>
      <c r="C488" s="48">
        <v>1068</v>
      </c>
      <c r="D488" s="48">
        <v>4339</v>
      </c>
    </row>
    <row r="489" spans="1:4" hidden="1" x14ac:dyDescent="0.25">
      <c r="A489" s="135">
        <v>45344</v>
      </c>
      <c r="B489" s="48">
        <v>5939</v>
      </c>
      <c r="C489" s="48">
        <v>1106</v>
      </c>
      <c r="D489" s="48">
        <v>6427</v>
      </c>
    </row>
    <row r="490" spans="1:4" hidden="1" x14ac:dyDescent="0.25">
      <c r="A490" s="135">
        <v>45345</v>
      </c>
      <c r="B490" s="48">
        <v>5209</v>
      </c>
      <c r="C490" s="48">
        <v>1118</v>
      </c>
      <c r="D490" s="48">
        <v>5820</v>
      </c>
    </row>
    <row r="491" spans="1:4" hidden="1" x14ac:dyDescent="0.25">
      <c r="A491" s="135">
        <v>45346</v>
      </c>
      <c r="B491" s="48">
        <v>5489</v>
      </c>
      <c r="C491" s="48">
        <v>1107</v>
      </c>
      <c r="D491" s="48">
        <v>6215</v>
      </c>
    </row>
    <row r="492" spans="1:4" ht="15.75" hidden="1" customHeight="1" x14ac:dyDescent="0.25">
      <c r="A492" s="135">
        <v>45347</v>
      </c>
      <c r="B492" s="48">
        <v>3237</v>
      </c>
      <c r="C492" s="48">
        <v>1029</v>
      </c>
      <c r="D492" s="48">
        <v>3888</v>
      </c>
    </row>
    <row r="493" spans="1:4" ht="12.75" hidden="1" customHeight="1" x14ac:dyDescent="0.25">
      <c r="A493" s="135">
        <v>45348</v>
      </c>
      <c r="B493" s="48">
        <v>5711</v>
      </c>
      <c r="C493" s="48">
        <v>1252</v>
      </c>
      <c r="D493" s="48">
        <v>6351</v>
      </c>
    </row>
    <row r="494" spans="1:4" ht="14.25" hidden="1" customHeight="1" x14ac:dyDescent="0.25">
      <c r="A494" s="135">
        <v>45349</v>
      </c>
      <c r="B494" s="48">
        <v>5186</v>
      </c>
      <c r="C494" s="48">
        <v>1159</v>
      </c>
      <c r="D494" s="48">
        <v>6146</v>
      </c>
    </row>
    <row r="495" spans="1:4" ht="15.75" hidden="1" customHeight="1" x14ac:dyDescent="0.25">
      <c r="A495" s="135">
        <v>45350</v>
      </c>
      <c r="B495" s="48">
        <v>6172</v>
      </c>
      <c r="C495" s="48">
        <v>1106</v>
      </c>
      <c r="D495" s="48">
        <v>6740</v>
      </c>
    </row>
    <row r="496" spans="1:4" hidden="1" x14ac:dyDescent="0.25">
      <c r="A496" s="135">
        <v>45351</v>
      </c>
      <c r="B496" s="48">
        <v>5834</v>
      </c>
      <c r="C496" s="48">
        <v>1208</v>
      </c>
      <c r="D496" s="48">
        <v>6501</v>
      </c>
    </row>
    <row r="497" spans="1:4" hidden="1" x14ac:dyDescent="0.25">
      <c r="A497" s="135">
        <v>45352</v>
      </c>
      <c r="B497" s="48">
        <v>11000</v>
      </c>
      <c r="C497" s="48">
        <v>1138</v>
      </c>
      <c r="D497" s="48">
        <v>11684</v>
      </c>
    </row>
    <row r="498" spans="1:4" hidden="1" x14ac:dyDescent="0.25">
      <c r="A498" s="135">
        <v>45353</v>
      </c>
      <c r="B498" s="48">
        <v>11000</v>
      </c>
      <c r="C498" s="48">
        <v>1266</v>
      </c>
      <c r="D498" s="48">
        <v>11674</v>
      </c>
    </row>
    <row r="499" spans="1:4" hidden="1" x14ac:dyDescent="0.25">
      <c r="A499" s="135">
        <v>45354</v>
      </c>
      <c r="B499" s="48">
        <v>4825</v>
      </c>
      <c r="C499" s="48">
        <v>962</v>
      </c>
      <c r="D499" s="48">
        <v>5384</v>
      </c>
    </row>
    <row r="500" spans="1:4" hidden="1" x14ac:dyDescent="0.25">
      <c r="A500" s="135">
        <v>45355</v>
      </c>
      <c r="B500" s="48">
        <v>6776</v>
      </c>
      <c r="C500" s="48">
        <v>1289</v>
      </c>
      <c r="D500" s="48">
        <v>7467</v>
      </c>
    </row>
    <row r="501" spans="1:4" hidden="1" x14ac:dyDescent="0.25">
      <c r="A501" s="135">
        <v>45356</v>
      </c>
      <c r="B501" s="48">
        <v>4243</v>
      </c>
      <c r="C501" s="48">
        <v>1213</v>
      </c>
      <c r="D501" s="48">
        <v>4935</v>
      </c>
    </row>
    <row r="502" spans="1:4" hidden="1" x14ac:dyDescent="0.25">
      <c r="A502" s="135">
        <v>45357</v>
      </c>
      <c r="B502" s="48">
        <v>4514</v>
      </c>
      <c r="C502" s="48">
        <v>1151</v>
      </c>
      <c r="D502" s="48">
        <v>5151</v>
      </c>
    </row>
    <row r="503" spans="1:4" hidden="1" x14ac:dyDescent="0.25">
      <c r="A503" s="135">
        <v>45358</v>
      </c>
      <c r="B503" s="48">
        <v>11114</v>
      </c>
      <c r="C503" s="48">
        <v>1142</v>
      </c>
      <c r="D503" s="48">
        <v>11767</v>
      </c>
    </row>
    <row r="504" spans="1:4" hidden="1" x14ac:dyDescent="0.25">
      <c r="A504" s="135">
        <v>45359</v>
      </c>
      <c r="B504" s="48">
        <v>12267</v>
      </c>
      <c r="C504" s="48">
        <v>1381</v>
      </c>
      <c r="D504" s="48">
        <v>13019</v>
      </c>
    </row>
    <row r="505" spans="1:4" hidden="1" x14ac:dyDescent="0.25">
      <c r="A505" s="135">
        <v>45360</v>
      </c>
      <c r="B505" s="48">
        <v>7646</v>
      </c>
      <c r="C505" s="48">
        <v>1489</v>
      </c>
      <c r="D505" s="48">
        <v>8318</v>
      </c>
    </row>
    <row r="506" spans="1:4" hidden="1" x14ac:dyDescent="0.25">
      <c r="A506" s="135">
        <v>45361</v>
      </c>
      <c r="B506" s="48">
        <v>6070</v>
      </c>
      <c r="C506" s="48">
        <v>5438</v>
      </c>
      <c r="D506" s="48">
        <v>8373</v>
      </c>
    </row>
    <row r="507" spans="1:4" hidden="1" x14ac:dyDescent="0.25">
      <c r="A507" s="135">
        <v>45362</v>
      </c>
      <c r="B507" s="48">
        <v>11000</v>
      </c>
      <c r="C507" s="48">
        <v>1302</v>
      </c>
      <c r="D507" s="48">
        <v>11684</v>
      </c>
    </row>
    <row r="508" spans="1:4" hidden="1" x14ac:dyDescent="0.25">
      <c r="A508" s="135">
        <v>45363</v>
      </c>
      <c r="B508" s="48">
        <v>11000</v>
      </c>
      <c r="C508" s="48">
        <v>1537</v>
      </c>
      <c r="D508" s="48">
        <v>11633</v>
      </c>
    </row>
    <row r="509" spans="1:4" hidden="1" x14ac:dyDescent="0.25">
      <c r="A509" s="135">
        <v>45364</v>
      </c>
      <c r="B509" s="48">
        <v>9522</v>
      </c>
      <c r="C509" s="48">
        <v>2043</v>
      </c>
      <c r="D509" s="48">
        <v>9958</v>
      </c>
    </row>
    <row r="510" spans="1:4" hidden="1" x14ac:dyDescent="0.25">
      <c r="A510" s="135">
        <v>45365</v>
      </c>
      <c r="B510" s="48">
        <v>8201</v>
      </c>
      <c r="C510" s="48">
        <v>1458</v>
      </c>
      <c r="D510" s="48">
        <v>9659</v>
      </c>
    </row>
    <row r="511" spans="1:4" hidden="1" x14ac:dyDescent="0.25">
      <c r="A511" s="135">
        <v>45366</v>
      </c>
      <c r="B511" s="48">
        <v>6095</v>
      </c>
      <c r="C511" s="48">
        <v>1080</v>
      </c>
      <c r="D511" s="48">
        <v>6804</v>
      </c>
    </row>
    <row r="512" spans="1:4" hidden="1" x14ac:dyDescent="0.25">
      <c r="A512" s="135">
        <v>45367</v>
      </c>
      <c r="B512" s="48">
        <v>6366</v>
      </c>
      <c r="C512" s="48">
        <v>1143</v>
      </c>
      <c r="D512" s="48">
        <v>7237</v>
      </c>
    </row>
    <row r="513" spans="1:4" hidden="1" x14ac:dyDescent="0.25">
      <c r="A513" s="135">
        <v>45368</v>
      </c>
      <c r="B513" s="48">
        <v>6701</v>
      </c>
      <c r="C513" s="48">
        <v>1077</v>
      </c>
      <c r="D513" s="48">
        <v>7289</v>
      </c>
    </row>
    <row r="514" spans="1:4" hidden="1" x14ac:dyDescent="0.25">
      <c r="A514" s="135">
        <v>45369</v>
      </c>
      <c r="B514" s="48">
        <v>7408</v>
      </c>
      <c r="C514" s="48">
        <v>1149</v>
      </c>
      <c r="D514" s="48">
        <v>8054</v>
      </c>
    </row>
    <row r="515" spans="1:4" hidden="1" x14ac:dyDescent="0.25">
      <c r="A515" s="135">
        <v>45370</v>
      </c>
      <c r="B515" s="48">
        <v>7925</v>
      </c>
      <c r="C515" s="48">
        <v>1136</v>
      </c>
      <c r="D515" s="48">
        <v>8672</v>
      </c>
    </row>
    <row r="516" spans="1:4" hidden="1" x14ac:dyDescent="0.25">
      <c r="A516" s="135">
        <v>45371</v>
      </c>
      <c r="B516" s="48">
        <v>8516</v>
      </c>
      <c r="C516" s="48">
        <v>1064</v>
      </c>
      <c r="D516" s="48">
        <v>9192</v>
      </c>
    </row>
    <row r="517" spans="1:4" hidden="1" x14ac:dyDescent="0.25">
      <c r="A517" s="135">
        <v>45372</v>
      </c>
      <c r="B517" s="48">
        <v>8013</v>
      </c>
      <c r="C517" s="48">
        <v>1125</v>
      </c>
      <c r="D517" s="48">
        <v>8633</v>
      </c>
    </row>
    <row r="518" spans="1:4" hidden="1" x14ac:dyDescent="0.25">
      <c r="A518" s="135">
        <v>45373</v>
      </c>
      <c r="B518" s="48">
        <v>9973</v>
      </c>
      <c r="C518" s="48">
        <v>1196</v>
      </c>
      <c r="D518" s="48">
        <v>10998</v>
      </c>
    </row>
    <row r="519" spans="1:4" hidden="1" x14ac:dyDescent="0.25">
      <c r="A519" s="135">
        <v>45374</v>
      </c>
      <c r="B519" s="48">
        <v>9139</v>
      </c>
      <c r="C519" s="48">
        <v>1125</v>
      </c>
      <c r="D519" s="48">
        <v>10010</v>
      </c>
    </row>
    <row r="520" spans="1:4" hidden="1" x14ac:dyDescent="0.25">
      <c r="A520" s="135">
        <v>45375</v>
      </c>
      <c r="B520" s="48">
        <v>5124</v>
      </c>
      <c r="C520" s="48">
        <v>1111</v>
      </c>
      <c r="D520" s="48">
        <v>5613</v>
      </c>
    </row>
    <row r="521" spans="1:4" hidden="1" x14ac:dyDescent="0.25">
      <c r="A521" s="135">
        <v>45376</v>
      </c>
      <c r="B521" s="48">
        <v>6337</v>
      </c>
      <c r="C521" s="48">
        <v>1196</v>
      </c>
      <c r="D521" s="48">
        <v>7012</v>
      </c>
    </row>
    <row r="522" spans="1:4" hidden="1" x14ac:dyDescent="0.25">
      <c r="A522" s="135">
        <v>45377</v>
      </c>
      <c r="B522" s="48">
        <v>6929</v>
      </c>
      <c r="C522" s="48">
        <v>1115</v>
      </c>
      <c r="D522" s="48">
        <v>7609</v>
      </c>
    </row>
    <row r="523" spans="1:4" hidden="1" x14ac:dyDescent="0.25">
      <c r="A523" s="135">
        <v>45378</v>
      </c>
      <c r="B523" s="48">
        <v>7437</v>
      </c>
      <c r="C523" s="48">
        <v>1317</v>
      </c>
      <c r="D523" s="48">
        <v>8073</v>
      </c>
    </row>
    <row r="524" spans="1:4" hidden="1" x14ac:dyDescent="0.25">
      <c r="A524" s="135">
        <v>45379</v>
      </c>
      <c r="B524" s="48">
        <v>7958</v>
      </c>
      <c r="C524" s="48">
        <v>1141</v>
      </c>
      <c r="D524" s="48">
        <v>9099</v>
      </c>
    </row>
    <row r="525" spans="1:4" hidden="1" x14ac:dyDescent="0.25">
      <c r="A525" s="135">
        <v>45380</v>
      </c>
      <c r="B525" s="48">
        <v>9358</v>
      </c>
      <c r="C525" s="48">
        <v>1126</v>
      </c>
      <c r="D525" s="48">
        <v>10140</v>
      </c>
    </row>
    <row r="526" spans="1:4" hidden="1" x14ac:dyDescent="0.25">
      <c r="A526" s="135">
        <v>45381</v>
      </c>
      <c r="B526" s="48">
        <v>6788</v>
      </c>
      <c r="C526" s="48">
        <v>1207</v>
      </c>
      <c r="D526" s="48">
        <v>7581</v>
      </c>
    </row>
    <row r="527" spans="1:4" hidden="1" x14ac:dyDescent="0.25">
      <c r="A527" s="135">
        <v>45382</v>
      </c>
      <c r="B527" s="48">
        <v>6172</v>
      </c>
      <c r="C527" s="48">
        <v>972</v>
      </c>
      <c r="D527" s="48">
        <v>6960</v>
      </c>
    </row>
    <row r="528" spans="1:4" hidden="1" x14ac:dyDescent="0.25">
      <c r="A528" s="135">
        <v>45383</v>
      </c>
      <c r="B528" s="48">
        <v>11000</v>
      </c>
      <c r="C528" s="48">
        <v>995</v>
      </c>
      <c r="D528" s="48">
        <v>11445</v>
      </c>
    </row>
    <row r="529" spans="1:4" hidden="1" x14ac:dyDescent="0.25">
      <c r="A529" s="135">
        <v>45384</v>
      </c>
      <c r="B529" s="48">
        <v>7951</v>
      </c>
      <c r="C529" s="48">
        <v>1097</v>
      </c>
      <c r="D529" s="48">
        <v>8661</v>
      </c>
    </row>
    <row r="530" spans="1:4" hidden="1" x14ac:dyDescent="0.25">
      <c r="A530" s="135">
        <v>45385</v>
      </c>
      <c r="B530" s="48">
        <v>11000</v>
      </c>
      <c r="C530" s="48">
        <v>992</v>
      </c>
      <c r="D530" s="48">
        <v>11955</v>
      </c>
    </row>
    <row r="531" spans="1:4" hidden="1" x14ac:dyDescent="0.25">
      <c r="A531" s="135">
        <v>45386</v>
      </c>
      <c r="B531" s="48">
        <v>11000</v>
      </c>
      <c r="C531" s="48">
        <v>1176</v>
      </c>
      <c r="D531" s="48">
        <v>11642</v>
      </c>
    </row>
    <row r="532" spans="1:4" hidden="1" x14ac:dyDescent="0.25">
      <c r="A532" s="135">
        <v>45387</v>
      </c>
      <c r="B532" s="48">
        <v>9003</v>
      </c>
      <c r="C532" s="48">
        <v>1148</v>
      </c>
      <c r="D532" s="48">
        <v>9729</v>
      </c>
    </row>
    <row r="533" spans="1:4" hidden="1" x14ac:dyDescent="0.25">
      <c r="A533" s="135">
        <v>45388</v>
      </c>
      <c r="B533" s="48">
        <v>10807</v>
      </c>
      <c r="C533" s="48">
        <v>1174</v>
      </c>
      <c r="D533" s="48">
        <v>11417</v>
      </c>
    </row>
    <row r="534" spans="1:4" hidden="1" x14ac:dyDescent="0.25">
      <c r="A534" s="135">
        <v>45389</v>
      </c>
      <c r="B534" s="48">
        <v>5604</v>
      </c>
      <c r="C534" s="48">
        <v>1011</v>
      </c>
      <c r="D534" s="48">
        <v>6091</v>
      </c>
    </row>
    <row r="535" spans="1:4" hidden="1" x14ac:dyDescent="0.25">
      <c r="A535" s="135">
        <v>45390</v>
      </c>
      <c r="B535" s="48">
        <v>11000</v>
      </c>
      <c r="C535" s="48">
        <v>1223</v>
      </c>
      <c r="D535" s="48">
        <v>11684</v>
      </c>
    </row>
    <row r="536" spans="1:4" hidden="1" x14ac:dyDescent="0.25">
      <c r="A536" s="135">
        <v>45391</v>
      </c>
      <c r="B536" s="48">
        <v>9934</v>
      </c>
      <c r="C536" s="48">
        <v>1224</v>
      </c>
      <c r="D536" s="48">
        <v>10694</v>
      </c>
    </row>
    <row r="537" spans="1:4" hidden="1" x14ac:dyDescent="0.25">
      <c r="A537" s="135">
        <v>45392</v>
      </c>
      <c r="B537" s="48">
        <v>9894</v>
      </c>
      <c r="C537" s="48">
        <v>1183</v>
      </c>
      <c r="D537" s="48">
        <v>10062</v>
      </c>
    </row>
    <row r="538" spans="1:4" hidden="1" x14ac:dyDescent="0.25">
      <c r="A538" s="135">
        <v>45393</v>
      </c>
      <c r="B538" s="48">
        <v>8285</v>
      </c>
      <c r="C538" s="48">
        <v>1139</v>
      </c>
      <c r="D538" s="48">
        <v>8947</v>
      </c>
    </row>
    <row r="539" spans="1:4" hidden="1" x14ac:dyDescent="0.25">
      <c r="A539" s="135">
        <v>45394</v>
      </c>
      <c r="B539" s="48">
        <v>11000</v>
      </c>
      <c r="C539" s="48">
        <v>1076</v>
      </c>
      <c r="D539" s="48">
        <v>11694</v>
      </c>
    </row>
    <row r="540" spans="1:4" hidden="1" x14ac:dyDescent="0.25">
      <c r="A540" s="135">
        <v>45395</v>
      </c>
      <c r="B540" s="48">
        <v>10127</v>
      </c>
      <c r="C540" s="48">
        <v>1001</v>
      </c>
      <c r="D540" s="48">
        <v>10870</v>
      </c>
    </row>
    <row r="541" spans="1:4" hidden="1" x14ac:dyDescent="0.25">
      <c r="A541" s="135">
        <v>45396</v>
      </c>
      <c r="B541" s="48">
        <v>5708</v>
      </c>
      <c r="C541" s="48">
        <v>946</v>
      </c>
      <c r="D541" s="48">
        <v>6257</v>
      </c>
    </row>
    <row r="542" spans="1:4" hidden="1" x14ac:dyDescent="0.25">
      <c r="A542" s="135">
        <v>45397</v>
      </c>
      <c r="B542" s="48">
        <v>7518</v>
      </c>
      <c r="C542" s="48">
        <v>1061</v>
      </c>
      <c r="D542" s="48">
        <v>8162</v>
      </c>
    </row>
    <row r="543" spans="1:4" hidden="1" x14ac:dyDescent="0.25">
      <c r="A543" s="135">
        <v>45398</v>
      </c>
      <c r="B543" s="48">
        <v>11000</v>
      </c>
      <c r="C543" s="48">
        <v>1741</v>
      </c>
      <c r="D543" s="48">
        <v>11692</v>
      </c>
    </row>
    <row r="544" spans="1:4" hidden="1" x14ac:dyDescent="0.25">
      <c r="A544" s="135">
        <v>45399</v>
      </c>
      <c r="B544" s="48">
        <v>11000</v>
      </c>
      <c r="C544" s="48">
        <v>1060</v>
      </c>
      <c r="D544" s="48">
        <v>11531</v>
      </c>
    </row>
    <row r="545" spans="1:4" hidden="1" x14ac:dyDescent="0.25">
      <c r="A545" s="135">
        <v>45400</v>
      </c>
      <c r="B545" s="48">
        <v>7431</v>
      </c>
      <c r="C545" s="48">
        <v>1038</v>
      </c>
      <c r="D545" s="48">
        <v>8029</v>
      </c>
    </row>
    <row r="546" spans="1:4" hidden="1" x14ac:dyDescent="0.25">
      <c r="A546" s="135">
        <v>45401</v>
      </c>
      <c r="B546" s="48">
        <v>9146</v>
      </c>
      <c r="C546" s="48">
        <v>1115</v>
      </c>
      <c r="D546" s="48">
        <v>9679</v>
      </c>
    </row>
    <row r="547" spans="1:4" hidden="1" x14ac:dyDescent="0.25">
      <c r="A547" s="135">
        <v>45402</v>
      </c>
      <c r="B547" s="48">
        <v>8692</v>
      </c>
      <c r="C547" s="48">
        <v>1132</v>
      </c>
      <c r="D547" s="48">
        <v>9309</v>
      </c>
    </row>
    <row r="548" spans="1:4" hidden="1" x14ac:dyDescent="0.25">
      <c r="A548" s="135">
        <v>45403</v>
      </c>
      <c r="B548" s="48">
        <v>5260</v>
      </c>
      <c r="C548" s="48">
        <v>927</v>
      </c>
      <c r="D548" s="48">
        <v>5707</v>
      </c>
    </row>
    <row r="549" spans="1:4" hidden="1" x14ac:dyDescent="0.25">
      <c r="A549" s="135">
        <v>45404</v>
      </c>
      <c r="B549" s="48">
        <v>9608</v>
      </c>
      <c r="C549" s="48">
        <v>1189</v>
      </c>
      <c r="D549" s="48">
        <v>10192</v>
      </c>
    </row>
    <row r="550" spans="1:4" hidden="1" x14ac:dyDescent="0.25">
      <c r="A550" s="135">
        <v>45405</v>
      </c>
      <c r="B550" s="48">
        <v>8695</v>
      </c>
      <c r="C550" s="48">
        <v>1066</v>
      </c>
      <c r="D550" s="48">
        <v>9461</v>
      </c>
    </row>
    <row r="551" spans="1:4" hidden="1" x14ac:dyDescent="0.25">
      <c r="A551" s="135">
        <v>45406</v>
      </c>
      <c r="B551" s="48">
        <v>8503</v>
      </c>
      <c r="C551" s="48">
        <v>1130</v>
      </c>
      <c r="D551" s="48">
        <v>9185</v>
      </c>
    </row>
    <row r="552" spans="1:4" hidden="1" x14ac:dyDescent="0.25">
      <c r="A552" s="135">
        <v>45407</v>
      </c>
      <c r="B552" s="48">
        <v>11000</v>
      </c>
      <c r="C552" s="48">
        <v>1212</v>
      </c>
      <c r="D552" s="48">
        <v>11546</v>
      </c>
    </row>
    <row r="553" spans="1:4" hidden="1" x14ac:dyDescent="0.25">
      <c r="A553" s="135">
        <v>45408</v>
      </c>
      <c r="B553" s="48">
        <v>11000</v>
      </c>
      <c r="C553" s="48">
        <v>1242</v>
      </c>
      <c r="D553" s="48">
        <v>11610</v>
      </c>
    </row>
    <row r="554" spans="1:4" hidden="1" x14ac:dyDescent="0.25">
      <c r="A554" s="135">
        <v>45409</v>
      </c>
      <c r="B554" s="48">
        <v>7319</v>
      </c>
      <c r="C554" s="48">
        <v>1149</v>
      </c>
      <c r="D554" s="48">
        <v>7924</v>
      </c>
    </row>
    <row r="555" spans="1:4" hidden="1" x14ac:dyDescent="0.25">
      <c r="A555" s="135">
        <v>45410</v>
      </c>
      <c r="B555" s="48">
        <v>5533</v>
      </c>
      <c r="C555" s="48">
        <v>1072</v>
      </c>
      <c r="D555" s="48">
        <v>5990</v>
      </c>
    </row>
    <row r="556" spans="1:4" hidden="1" x14ac:dyDescent="0.25">
      <c r="A556" s="135">
        <v>45411</v>
      </c>
      <c r="B556" s="48">
        <v>11000</v>
      </c>
      <c r="C556" s="48">
        <v>1216</v>
      </c>
      <c r="D556" s="48">
        <v>11677</v>
      </c>
    </row>
    <row r="557" spans="1:4" hidden="1" x14ac:dyDescent="0.25">
      <c r="A557" s="135">
        <v>45412</v>
      </c>
      <c r="B557" s="48">
        <v>10325</v>
      </c>
      <c r="C557" s="48">
        <v>1675</v>
      </c>
      <c r="D557" s="48">
        <v>11583</v>
      </c>
    </row>
    <row r="558" spans="1:4" hidden="1" x14ac:dyDescent="0.25">
      <c r="A558" s="135">
        <v>45413</v>
      </c>
      <c r="B558" s="48">
        <v>10756</v>
      </c>
      <c r="C558" s="48">
        <v>1058</v>
      </c>
      <c r="D558" s="48">
        <v>11249</v>
      </c>
    </row>
    <row r="559" spans="1:4" hidden="1" x14ac:dyDescent="0.25">
      <c r="A559" s="135">
        <v>45414</v>
      </c>
      <c r="B559" s="48">
        <v>10994</v>
      </c>
      <c r="C559" s="48">
        <v>1258</v>
      </c>
      <c r="D559" s="48">
        <v>11594</v>
      </c>
    </row>
    <row r="560" spans="1:4" hidden="1" x14ac:dyDescent="0.25">
      <c r="A560" s="135">
        <v>45415</v>
      </c>
      <c r="B560" s="48">
        <v>10107</v>
      </c>
      <c r="C560" s="48">
        <v>1249</v>
      </c>
      <c r="D560" s="48">
        <v>10690</v>
      </c>
    </row>
    <row r="561" spans="1:4" hidden="1" x14ac:dyDescent="0.25">
      <c r="A561" s="135">
        <v>45416</v>
      </c>
      <c r="B561" s="48">
        <v>8016</v>
      </c>
      <c r="C561" s="48">
        <v>1055</v>
      </c>
      <c r="D561" s="48">
        <v>8958</v>
      </c>
    </row>
    <row r="562" spans="1:4" hidden="1" x14ac:dyDescent="0.25">
      <c r="A562" s="135">
        <v>45417</v>
      </c>
      <c r="B562" s="48">
        <v>5801</v>
      </c>
      <c r="C562" s="48">
        <v>934</v>
      </c>
      <c r="D562" s="48">
        <v>6295</v>
      </c>
    </row>
    <row r="563" spans="1:4" hidden="1" x14ac:dyDescent="0.25">
      <c r="A563" s="135">
        <v>45418</v>
      </c>
      <c r="B563" s="48">
        <v>6713</v>
      </c>
      <c r="C563" s="48">
        <v>1098</v>
      </c>
      <c r="D563" s="48">
        <v>7360</v>
      </c>
    </row>
    <row r="564" spans="1:4" hidden="1" x14ac:dyDescent="0.25">
      <c r="A564" s="135">
        <v>45419</v>
      </c>
      <c r="B564" s="48">
        <v>9129</v>
      </c>
      <c r="C564" s="48">
        <v>1052</v>
      </c>
      <c r="D564" s="48">
        <v>9931</v>
      </c>
    </row>
    <row r="565" spans="1:4" hidden="1" x14ac:dyDescent="0.25">
      <c r="A565" s="135">
        <v>45420</v>
      </c>
      <c r="B565" s="48">
        <v>11992</v>
      </c>
      <c r="C565" s="48">
        <v>1075</v>
      </c>
      <c r="D565" s="48">
        <v>12602</v>
      </c>
    </row>
    <row r="566" spans="1:4" hidden="1" x14ac:dyDescent="0.25">
      <c r="A566" s="135">
        <v>45421</v>
      </c>
      <c r="B566" s="48">
        <v>11987</v>
      </c>
      <c r="C566" s="48">
        <v>1157</v>
      </c>
      <c r="D566" s="48">
        <v>12642</v>
      </c>
    </row>
    <row r="567" spans="1:4" hidden="1" x14ac:dyDescent="0.25">
      <c r="A567" s="135">
        <v>45422</v>
      </c>
      <c r="B567" s="48">
        <v>9084</v>
      </c>
      <c r="C567" s="48">
        <v>1266</v>
      </c>
      <c r="D567" s="48">
        <v>10184</v>
      </c>
    </row>
    <row r="568" spans="1:4" hidden="1" x14ac:dyDescent="0.25">
      <c r="A568" s="135">
        <v>45423</v>
      </c>
      <c r="B568" s="48">
        <v>11737</v>
      </c>
      <c r="C568" s="48">
        <v>2915</v>
      </c>
      <c r="D568" s="48">
        <v>12194</v>
      </c>
    </row>
    <row r="569" spans="1:4" hidden="1" x14ac:dyDescent="0.25">
      <c r="A569" s="135">
        <v>45424</v>
      </c>
      <c r="B569" s="48">
        <v>10735</v>
      </c>
      <c r="C569" s="48">
        <v>2471</v>
      </c>
      <c r="D569" s="48">
        <v>12000</v>
      </c>
    </row>
    <row r="570" spans="1:4" hidden="1" x14ac:dyDescent="0.25">
      <c r="A570" s="135">
        <v>45425</v>
      </c>
      <c r="B570" s="48">
        <v>11000</v>
      </c>
      <c r="C570" s="48">
        <v>1805</v>
      </c>
      <c r="D570" s="48">
        <v>12000</v>
      </c>
    </row>
    <row r="571" spans="1:4" hidden="1" x14ac:dyDescent="0.25">
      <c r="A571" s="135">
        <v>45426</v>
      </c>
      <c r="B571" s="48">
        <v>9987</v>
      </c>
      <c r="C571" s="48">
        <v>2472</v>
      </c>
      <c r="D571" s="48">
        <v>11196</v>
      </c>
    </row>
    <row r="572" spans="1:4" hidden="1" x14ac:dyDescent="0.25">
      <c r="A572" s="135">
        <v>45427</v>
      </c>
      <c r="B572" s="48">
        <v>10129</v>
      </c>
      <c r="C572" s="48">
        <v>2991</v>
      </c>
      <c r="D572" s="48">
        <v>11532</v>
      </c>
    </row>
    <row r="573" spans="1:4" hidden="1" x14ac:dyDescent="0.25">
      <c r="A573" s="135">
        <v>45428</v>
      </c>
      <c r="B573" s="48">
        <v>11000</v>
      </c>
      <c r="C573" s="48">
        <v>1248</v>
      </c>
      <c r="D573" s="48">
        <v>11605</v>
      </c>
    </row>
    <row r="574" spans="1:4" hidden="1" x14ac:dyDescent="0.25">
      <c r="A574" s="135">
        <v>45429</v>
      </c>
      <c r="B574" s="48">
        <v>10228</v>
      </c>
      <c r="C574" s="48">
        <v>1167</v>
      </c>
      <c r="D574" s="48">
        <v>10879</v>
      </c>
    </row>
    <row r="575" spans="1:4" hidden="1" x14ac:dyDescent="0.25">
      <c r="A575" s="135">
        <v>45430</v>
      </c>
      <c r="B575" s="48">
        <v>10417</v>
      </c>
      <c r="C575" s="48">
        <v>1129</v>
      </c>
      <c r="D575" s="48">
        <v>11571</v>
      </c>
    </row>
    <row r="576" spans="1:4" hidden="1" x14ac:dyDescent="0.25">
      <c r="A576" s="135">
        <v>45431</v>
      </c>
      <c r="B576" s="48">
        <v>6490</v>
      </c>
      <c r="C576" s="48">
        <v>919</v>
      </c>
      <c r="D576" s="48">
        <v>7179</v>
      </c>
    </row>
    <row r="577" spans="1:4" hidden="1" x14ac:dyDescent="0.25">
      <c r="A577" s="135">
        <v>45432</v>
      </c>
      <c r="B577" s="48">
        <v>7810</v>
      </c>
      <c r="C577" s="48">
        <v>946</v>
      </c>
      <c r="D577" s="48">
        <v>8367</v>
      </c>
    </row>
    <row r="578" spans="1:4" hidden="1" x14ac:dyDescent="0.25">
      <c r="A578" s="135">
        <v>45433</v>
      </c>
      <c r="B578" s="48">
        <v>11000</v>
      </c>
      <c r="C578" s="48">
        <v>1022</v>
      </c>
      <c r="D578" s="48">
        <v>11629</v>
      </c>
    </row>
    <row r="579" spans="1:4" hidden="1" x14ac:dyDescent="0.25">
      <c r="A579" s="135">
        <v>45434</v>
      </c>
      <c r="B579" s="48">
        <v>11000</v>
      </c>
      <c r="C579" s="48">
        <v>1401</v>
      </c>
      <c r="D579" s="48">
        <v>11534</v>
      </c>
    </row>
    <row r="580" spans="1:4" hidden="1" x14ac:dyDescent="0.25">
      <c r="A580" s="135">
        <v>45435</v>
      </c>
      <c r="B580" s="48">
        <v>7163</v>
      </c>
      <c r="C580" s="48">
        <v>1083</v>
      </c>
      <c r="D580" s="48">
        <v>7737</v>
      </c>
    </row>
    <row r="581" spans="1:4" hidden="1" x14ac:dyDescent="0.25">
      <c r="A581" s="135">
        <v>45436</v>
      </c>
      <c r="B581" s="48">
        <v>11000</v>
      </c>
      <c r="C581" s="48">
        <v>1166</v>
      </c>
      <c r="D581" s="48">
        <v>11700</v>
      </c>
    </row>
    <row r="582" spans="1:4" hidden="1" x14ac:dyDescent="0.25">
      <c r="A582" s="135">
        <v>45437</v>
      </c>
      <c r="B582" s="48">
        <v>6060</v>
      </c>
      <c r="C582" s="48">
        <v>1091</v>
      </c>
      <c r="D582" s="48">
        <v>6733</v>
      </c>
    </row>
    <row r="583" spans="1:4" hidden="1" x14ac:dyDescent="0.25">
      <c r="A583" s="135">
        <v>45438</v>
      </c>
      <c r="B583" s="48">
        <v>4911</v>
      </c>
      <c r="C583" s="48">
        <v>936</v>
      </c>
      <c r="D583" s="48">
        <v>5713</v>
      </c>
    </row>
    <row r="584" spans="1:4" hidden="1" x14ac:dyDescent="0.25">
      <c r="A584" s="135">
        <v>45439</v>
      </c>
      <c r="B584" s="48">
        <v>8666</v>
      </c>
      <c r="C584" s="48">
        <v>1262</v>
      </c>
      <c r="D584" s="48">
        <v>9573</v>
      </c>
    </row>
    <row r="585" spans="1:4" hidden="1" x14ac:dyDescent="0.25">
      <c r="A585" s="135">
        <v>45440</v>
      </c>
      <c r="B585" s="48">
        <v>10032</v>
      </c>
      <c r="C585" s="48">
        <v>1073</v>
      </c>
      <c r="D585" s="48">
        <v>10582</v>
      </c>
    </row>
    <row r="586" spans="1:4" hidden="1" x14ac:dyDescent="0.25">
      <c r="A586" s="135">
        <v>45441</v>
      </c>
      <c r="B586" s="48">
        <v>9856</v>
      </c>
      <c r="C586" s="48">
        <v>975</v>
      </c>
      <c r="D586" s="48">
        <v>10417</v>
      </c>
    </row>
    <row r="587" spans="1:4" hidden="1" x14ac:dyDescent="0.25">
      <c r="A587" s="135">
        <v>45442</v>
      </c>
      <c r="B587" s="48">
        <v>10885</v>
      </c>
      <c r="C587" s="48">
        <v>1115</v>
      </c>
      <c r="D587" s="48">
        <v>11567</v>
      </c>
    </row>
    <row r="588" spans="1:4" hidden="1" x14ac:dyDescent="0.25">
      <c r="A588" s="135">
        <v>45443</v>
      </c>
      <c r="B588" s="48">
        <v>11000</v>
      </c>
      <c r="C588" s="48">
        <v>1187</v>
      </c>
      <c r="D588" s="48">
        <v>11685</v>
      </c>
    </row>
    <row r="589" spans="1:4" hidden="1" x14ac:dyDescent="0.25">
      <c r="A589" s="135">
        <v>45444</v>
      </c>
      <c r="B589" s="48">
        <v>7678</v>
      </c>
      <c r="C589" s="48">
        <v>1078</v>
      </c>
      <c r="D589" s="48">
        <v>8312</v>
      </c>
    </row>
    <row r="590" spans="1:4" hidden="1" x14ac:dyDescent="0.25">
      <c r="A590" s="135">
        <v>45445</v>
      </c>
      <c r="B590" s="48">
        <v>5687</v>
      </c>
      <c r="C590" s="48">
        <v>914</v>
      </c>
      <c r="D590" s="48">
        <v>6138</v>
      </c>
    </row>
    <row r="591" spans="1:4" hidden="1" x14ac:dyDescent="0.25">
      <c r="A591" s="135">
        <v>45446</v>
      </c>
      <c r="B591" s="48">
        <v>11000</v>
      </c>
      <c r="C591" s="48">
        <v>1745</v>
      </c>
      <c r="D591" s="48">
        <v>11806</v>
      </c>
    </row>
    <row r="592" spans="1:4" hidden="1" x14ac:dyDescent="0.25">
      <c r="A592" s="135">
        <v>45447</v>
      </c>
      <c r="B592" s="48">
        <v>11000</v>
      </c>
      <c r="C592" s="48">
        <v>1109</v>
      </c>
      <c r="D592" s="48">
        <v>11578</v>
      </c>
    </row>
    <row r="593" spans="1:4" hidden="1" x14ac:dyDescent="0.25">
      <c r="A593" s="135">
        <v>45448</v>
      </c>
      <c r="B593" s="48">
        <v>11000</v>
      </c>
      <c r="C593" s="48">
        <v>1176</v>
      </c>
      <c r="D593" s="48">
        <v>11502</v>
      </c>
    </row>
    <row r="594" spans="1:4" hidden="1" x14ac:dyDescent="0.25">
      <c r="A594" s="135">
        <v>45449</v>
      </c>
      <c r="B594" s="48">
        <v>11000</v>
      </c>
      <c r="C594" s="48">
        <v>1247</v>
      </c>
      <c r="D594" s="48">
        <v>12000</v>
      </c>
    </row>
    <row r="595" spans="1:4" hidden="1" x14ac:dyDescent="0.25">
      <c r="A595" s="135">
        <v>45450</v>
      </c>
      <c r="B595" s="48">
        <v>11000</v>
      </c>
      <c r="C595" s="48">
        <v>2514</v>
      </c>
      <c r="D595" s="48">
        <v>12000</v>
      </c>
    </row>
    <row r="596" spans="1:4" hidden="1" x14ac:dyDescent="0.25">
      <c r="A596" s="135">
        <v>45451</v>
      </c>
      <c r="B596" s="48">
        <v>11000</v>
      </c>
      <c r="C596" s="48">
        <v>1028</v>
      </c>
      <c r="D596" s="48">
        <v>11540</v>
      </c>
    </row>
    <row r="597" spans="1:4" hidden="1" x14ac:dyDescent="0.25">
      <c r="A597" s="135">
        <v>45452</v>
      </c>
      <c r="B597" s="48">
        <v>6051</v>
      </c>
      <c r="C597" s="48">
        <v>1067</v>
      </c>
      <c r="D597" s="48">
        <v>6525</v>
      </c>
    </row>
    <row r="598" spans="1:4" hidden="1" x14ac:dyDescent="0.25">
      <c r="A598" s="135">
        <v>45453</v>
      </c>
      <c r="B598" s="48">
        <v>11000</v>
      </c>
      <c r="C598" s="48">
        <v>984</v>
      </c>
      <c r="D598" s="48">
        <v>11696</v>
      </c>
    </row>
    <row r="599" spans="1:4" hidden="1" x14ac:dyDescent="0.25">
      <c r="A599" s="135">
        <v>45454</v>
      </c>
      <c r="B599" s="48">
        <v>11000</v>
      </c>
      <c r="C599" s="48">
        <v>988</v>
      </c>
      <c r="D599" s="48">
        <v>11669</v>
      </c>
    </row>
    <row r="600" spans="1:4" hidden="1" x14ac:dyDescent="0.25">
      <c r="A600" s="135">
        <v>45455</v>
      </c>
      <c r="B600" s="48">
        <v>11000</v>
      </c>
      <c r="C600" s="48">
        <v>1197</v>
      </c>
      <c r="D600" s="48">
        <v>12000</v>
      </c>
    </row>
    <row r="601" spans="1:4" hidden="1" x14ac:dyDescent="0.25">
      <c r="A601" s="135">
        <v>45456</v>
      </c>
      <c r="B601" s="48">
        <v>11000</v>
      </c>
      <c r="C601" s="48">
        <v>1151</v>
      </c>
      <c r="D601" s="48">
        <v>12000</v>
      </c>
    </row>
    <row r="602" spans="1:4" hidden="1" x14ac:dyDescent="0.25">
      <c r="A602" s="135">
        <v>45457</v>
      </c>
      <c r="B602" s="104">
        <v>11000</v>
      </c>
      <c r="C602" s="104">
        <v>1086</v>
      </c>
      <c r="D602" s="48">
        <v>11614</v>
      </c>
    </row>
    <row r="603" spans="1:4" hidden="1" x14ac:dyDescent="0.25">
      <c r="A603" s="135">
        <v>45458</v>
      </c>
      <c r="B603" s="104">
        <v>10600</v>
      </c>
      <c r="C603" s="104">
        <v>1400</v>
      </c>
      <c r="D603" s="48">
        <v>12000</v>
      </c>
    </row>
    <row r="604" spans="1:4" hidden="1" x14ac:dyDescent="0.25">
      <c r="A604" s="135">
        <v>45459</v>
      </c>
      <c r="B604" s="104">
        <v>4203</v>
      </c>
      <c r="C604" s="104">
        <v>748</v>
      </c>
      <c r="D604" s="104">
        <v>4305</v>
      </c>
    </row>
    <row r="605" spans="1:4" hidden="1" x14ac:dyDescent="0.25">
      <c r="A605" s="135">
        <v>45460</v>
      </c>
      <c r="B605" s="104">
        <v>11000</v>
      </c>
      <c r="C605" s="104">
        <v>840</v>
      </c>
      <c r="D605" s="104">
        <v>11622</v>
      </c>
    </row>
    <row r="606" spans="1:4" hidden="1" x14ac:dyDescent="0.25">
      <c r="A606" s="135">
        <v>45461</v>
      </c>
      <c r="B606" s="104">
        <v>11000</v>
      </c>
      <c r="C606" s="104">
        <v>1454</v>
      </c>
      <c r="D606" s="104">
        <v>11941</v>
      </c>
    </row>
    <row r="607" spans="1:4" hidden="1" x14ac:dyDescent="0.25">
      <c r="A607" s="135">
        <v>45462</v>
      </c>
      <c r="B607" s="104">
        <v>11000</v>
      </c>
      <c r="C607" s="104">
        <v>1128</v>
      </c>
      <c r="D607" s="104">
        <v>11524</v>
      </c>
    </row>
    <row r="608" spans="1:4" hidden="1" x14ac:dyDescent="0.25">
      <c r="A608" s="135">
        <v>45463</v>
      </c>
      <c r="B608" s="104">
        <v>11000</v>
      </c>
      <c r="C608" s="104">
        <v>1014</v>
      </c>
      <c r="D608" s="104">
        <v>11539</v>
      </c>
    </row>
    <row r="609" spans="1:4" hidden="1" x14ac:dyDescent="0.25">
      <c r="A609" s="135">
        <v>45464</v>
      </c>
      <c r="B609" s="104">
        <v>11000</v>
      </c>
      <c r="C609" s="104">
        <v>1034</v>
      </c>
      <c r="D609" s="104">
        <v>11782</v>
      </c>
    </row>
    <row r="610" spans="1:4" hidden="1" x14ac:dyDescent="0.25">
      <c r="A610" s="135">
        <v>45465</v>
      </c>
      <c r="B610" s="104">
        <v>10713</v>
      </c>
      <c r="C610" s="104">
        <v>1090</v>
      </c>
      <c r="D610" s="104">
        <v>11247</v>
      </c>
    </row>
    <row r="611" spans="1:4" hidden="1" x14ac:dyDescent="0.25">
      <c r="A611" s="135">
        <v>45466</v>
      </c>
      <c r="B611" s="48">
        <v>3985</v>
      </c>
      <c r="C611" s="48">
        <v>872</v>
      </c>
      <c r="D611" s="48">
        <v>4514</v>
      </c>
    </row>
    <row r="612" spans="1:4" hidden="1" x14ac:dyDescent="0.25">
      <c r="A612" s="135">
        <v>45467</v>
      </c>
      <c r="B612" s="48">
        <v>11551</v>
      </c>
      <c r="C612" s="48">
        <v>1256</v>
      </c>
      <c r="D612" s="48">
        <v>11549</v>
      </c>
    </row>
    <row r="613" spans="1:4" hidden="1" x14ac:dyDescent="0.25">
      <c r="A613" s="135">
        <v>45468</v>
      </c>
      <c r="B613" s="48">
        <v>10097</v>
      </c>
      <c r="C613" s="48">
        <v>958</v>
      </c>
      <c r="D613" s="48">
        <v>10350</v>
      </c>
    </row>
    <row r="614" spans="1:4" hidden="1" x14ac:dyDescent="0.25">
      <c r="A614" s="135">
        <v>45469</v>
      </c>
      <c r="B614" s="48">
        <v>8451</v>
      </c>
      <c r="C614" s="48">
        <v>947</v>
      </c>
      <c r="D614" s="48">
        <v>8978</v>
      </c>
    </row>
    <row r="615" spans="1:4" hidden="1" x14ac:dyDescent="0.25">
      <c r="A615" s="135">
        <v>45470</v>
      </c>
      <c r="B615" s="48">
        <v>11000</v>
      </c>
      <c r="C615" s="48">
        <v>2823</v>
      </c>
      <c r="D615" s="48">
        <v>12000</v>
      </c>
    </row>
    <row r="616" spans="1:4" hidden="1" x14ac:dyDescent="0.25">
      <c r="A616" s="135">
        <v>45471</v>
      </c>
      <c r="B616" s="48">
        <v>10857</v>
      </c>
      <c r="C616" s="48">
        <v>1143</v>
      </c>
      <c r="D616" s="48">
        <v>12000</v>
      </c>
    </row>
    <row r="617" spans="1:4" hidden="1" x14ac:dyDescent="0.25">
      <c r="A617" s="135">
        <v>45472</v>
      </c>
      <c r="B617" s="48">
        <v>11000</v>
      </c>
      <c r="C617" s="48">
        <v>1011</v>
      </c>
      <c r="D617" s="48">
        <v>11626</v>
      </c>
    </row>
    <row r="618" spans="1:4" hidden="1" x14ac:dyDescent="0.25">
      <c r="A618" s="135">
        <v>45473</v>
      </c>
      <c r="B618" s="48">
        <v>5535</v>
      </c>
      <c r="C618" s="48">
        <v>877</v>
      </c>
      <c r="D618" s="48">
        <v>6001</v>
      </c>
    </row>
    <row r="619" spans="1:4" hidden="1" x14ac:dyDescent="0.25">
      <c r="A619" s="135">
        <v>45474</v>
      </c>
      <c r="B619" s="48">
        <v>11000</v>
      </c>
      <c r="C619" s="48">
        <v>1230</v>
      </c>
      <c r="D619" s="48">
        <v>11553</v>
      </c>
    </row>
    <row r="620" spans="1:4" hidden="1" x14ac:dyDescent="0.25">
      <c r="A620" s="135">
        <v>45475</v>
      </c>
      <c r="B620" s="48">
        <v>11000</v>
      </c>
      <c r="C620" s="48">
        <v>2080</v>
      </c>
      <c r="D620" s="48">
        <v>11600</v>
      </c>
    </row>
    <row r="621" spans="1:4" hidden="1" x14ac:dyDescent="0.25">
      <c r="A621" s="135">
        <v>45476</v>
      </c>
      <c r="B621" s="48">
        <v>9352</v>
      </c>
      <c r="C621" s="48">
        <v>904</v>
      </c>
      <c r="D621" s="48">
        <v>9865</v>
      </c>
    </row>
    <row r="622" spans="1:4" hidden="1" x14ac:dyDescent="0.25">
      <c r="A622" s="135">
        <v>45477</v>
      </c>
      <c r="B622" s="48">
        <v>10385</v>
      </c>
      <c r="C622" s="48">
        <v>940</v>
      </c>
      <c r="D622" s="48">
        <v>10944</v>
      </c>
    </row>
    <row r="623" spans="1:4" hidden="1" x14ac:dyDescent="0.25">
      <c r="A623" s="135">
        <v>45478</v>
      </c>
      <c r="B623" s="48">
        <v>11000</v>
      </c>
      <c r="C623" s="48">
        <v>1489</v>
      </c>
      <c r="D623" s="48">
        <v>12000</v>
      </c>
    </row>
    <row r="624" spans="1:4" hidden="1" x14ac:dyDescent="0.25">
      <c r="A624" s="135">
        <v>45479</v>
      </c>
      <c r="B624" s="48">
        <v>11000</v>
      </c>
      <c r="C624" s="48">
        <v>914</v>
      </c>
      <c r="D624" s="48">
        <v>11589</v>
      </c>
    </row>
    <row r="625" spans="1:4" hidden="1" x14ac:dyDescent="0.25">
      <c r="A625" s="135">
        <v>45480</v>
      </c>
      <c r="B625" s="48">
        <v>7597</v>
      </c>
      <c r="C625" s="48">
        <v>885</v>
      </c>
      <c r="D625" s="48">
        <v>8098</v>
      </c>
    </row>
    <row r="626" spans="1:4" hidden="1" x14ac:dyDescent="0.25">
      <c r="A626" s="135">
        <v>45481</v>
      </c>
      <c r="B626" s="48">
        <v>11257</v>
      </c>
      <c r="C626" s="48">
        <v>949</v>
      </c>
      <c r="D626" s="48">
        <v>11843</v>
      </c>
    </row>
    <row r="627" spans="1:4" hidden="1" x14ac:dyDescent="0.25">
      <c r="A627" s="135">
        <v>45482</v>
      </c>
      <c r="B627" s="48">
        <v>11567</v>
      </c>
      <c r="C627" s="48">
        <v>1023</v>
      </c>
      <c r="D627" s="48">
        <v>11838</v>
      </c>
    </row>
    <row r="628" spans="1:4" hidden="1" x14ac:dyDescent="0.25">
      <c r="A628" s="135">
        <v>45483</v>
      </c>
      <c r="B628" s="48">
        <v>11000</v>
      </c>
      <c r="C628" s="48">
        <v>1795</v>
      </c>
      <c r="D628" s="48">
        <v>11797</v>
      </c>
    </row>
    <row r="629" spans="1:4" hidden="1" x14ac:dyDescent="0.25">
      <c r="A629" s="135">
        <v>45484</v>
      </c>
      <c r="B629" s="48">
        <v>11000</v>
      </c>
      <c r="C629" s="48">
        <v>999</v>
      </c>
      <c r="D629" s="48">
        <v>11584</v>
      </c>
    </row>
    <row r="630" spans="1:4" hidden="1" x14ac:dyDescent="0.25">
      <c r="A630" s="135">
        <v>45485</v>
      </c>
      <c r="B630" s="48">
        <v>11000</v>
      </c>
      <c r="C630" s="48">
        <v>941</v>
      </c>
      <c r="D630" s="48">
        <v>11612</v>
      </c>
    </row>
    <row r="631" spans="1:4" hidden="1" x14ac:dyDescent="0.25">
      <c r="A631" s="135">
        <v>45486</v>
      </c>
      <c r="B631" s="48">
        <v>11000</v>
      </c>
      <c r="C631" s="48">
        <v>1032</v>
      </c>
      <c r="D631" s="48">
        <v>11573</v>
      </c>
    </row>
    <row r="632" spans="1:4" hidden="1" x14ac:dyDescent="0.25">
      <c r="A632" s="135">
        <v>45487</v>
      </c>
      <c r="B632" s="48">
        <v>5443</v>
      </c>
      <c r="C632" s="48">
        <v>777</v>
      </c>
      <c r="D632" s="48">
        <v>5868</v>
      </c>
    </row>
    <row r="633" spans="1:4" hidden="1" x14ac:dyDescent="0.25">
      <c r="A633" s="135">
        <v>45488</v>
      </c>
      <c r="B633" s="48">
        <v>11000</v>
      </c>
      <c r="C633" s="48">
        <v>1156</v>
      </c>
      <c r="D633" s="48">
        <v>11629</v>
      </c>
    </row>
    <row r="634" spans="1:4" hidden="1" x14ac:dyDescent="0.25">
      <c r="A634" s="135">
        <v>45489</v>
      </c>
      <c r="B634" s="48">
        <v>10928</v>
      </c>
      <c r="C634" s="48">
        <v>960</v>
      </c>
      <c r="D634" s="48">
        <v>11488</v>
      </c>
    </row>
    <row r="635" spans="1:4" hidden="1" x14ac:dyDescent="0.25">
      <c r="A635" s="135">
        <v>45490</v>
      </c>
      <c r="B635" s="48">
        <v>11000</v>
      </c>
      <c r="C635" s="48">
        <v>996</v>
      </c>
      <c r="D635" s="48">
        <v>11585</v>
      </c>
    </row>
    <row r="636" spans="1:4" hidden="1" x14ac:dyDescent="0.25">
      <c r="A636" s="135">
        <v>45491</v>
      </c>
      <c r="B636" s="48">
        <v>9080</v>
      </c>
      <c r="C636" s="48">
        <v>1405</v>
      </c>
      <c r="D636" s="48">
        <v>10103</v>
      </c>
    </row>
    <row r="637" spans="1:4" hidden="1" x14ac:dyDescent="0.25">
      <c r="A637" s="135">
        <v>45492</v>
      </c>
      <c r="B637" s="48">
        <v>7664</v>
      </c>
      <c r="C637" s="48">
        <v>939</v>
      </c>
      <c r="D637" s="48">
        <v>8069</v>
      </c>
    </row>
    <row r="638" spans="1:4" hidden="1" x14ac:dyDescent="0.25">
      <c r="A638" s="135">
        <v>45493</v>
      </c>
      <c r="B638" s="48">
        <v>11000</v>
      </c>
      <c r="C638" s="48">
        <v>1000</v>
      </c>
      <c r="D638" s="48">
        <v>11713</v>
      </c>
    </row>
    <row r="639" spans="1:4" x14ac:dyDescent="0.25">
      <c r="A639" s="135">
        <v>45494</v>
      </c>
      <c r="B639" s="48">
        <v>5859</v>
      </c>
      <c r="C639" s="48">
        <v>902</v>
      </c>
      <c r="D639" s="48">
        <v>6345</v>
      </c>
    </row>
    <row r="640" spans="1:4" x14ac:dyDescent="0.25">
      <c r="A640" s="135">
        <v>45495</v>
      </c>
      <c r="B640" s="48">
        <v>10584</v>
      </c>
      <c r="C640" s="48">
        <v>1416</v>
      </c>
      <c r="D640" s="48">
        <v>11861</v>
      </c>
    </row>
    <row r="641" spans="1:4" x14ac:dyDescent="0.25">
      <c r="A641" s="135">
        <v>45496</v>
      </c>
      <c r="B641" s="48">
        <v>11000</v>
      </c>
      <c r="C641" s="48">
        <v>1047</v>
      </c>
      <c r="D641" s="48">
        <v>11628</v>
      </c>
    </row>
    <row r="642" spans="1:4" x14ac:dyDescent="0.25">
      <c r="A642" s="135">
        <v>45497</v>
      </c>
      <c r="B642" s="48">
        <v>11000</v>
      </c>
      <c r="C642" s="48">
        <v>1024</v>
      </c>
      <c r="D642" s="48">
        <v>11608</v>
      </c>
    </row>
    <row r="643" spans="1:4" x14ac:dyDescent="0.25">
      <c r="A643" s="135">
        <v>45498</v>
      </c>
      <c r="B643" s="48">
        <v>11000</v>
      </c>
      <c r="C643" s="48">
        <v>895</v>
      </c>
      <c r="D643" s="48">
        <v>11535</v>
      </c>
    </row>
    <row r="644" spans="1:4" x14ac:dyDescent="0.25">
      <c r="A644" s="135">
        <v>45499</v>
      </c>
      <c r="B644" s="48">
        <v>11000</v>
      </c>
      <c r="C644" s="48">
        <v>1372</v>
      </c>
      <c r="D644" s="48">
        <v>12000</v>
      </c>
    </row>
    <row r="645" spans="1:4" x14ac:dyDescent="0.25">
      <c r="A645" s="135">
        <v>45500</v>
      </c>
      <c r="B645" s="48">
        <v>9110</v>
      </c>
      <c r="C645" s="48">
        <v>1031</v>
      </c>
      <c r="D645" s="48">
        <v>10056</v>
      </c>
    </row>
    <row r="646" spans="1:4" x14ac:dyDescent="0.25">
      <c r="A646" s="135">
        <v>45501</v>
      </c>
      <c r="B646" s="48">
        <v>5309</v>
      </c>
      <c r="C646" s="48">
        <v>879</v>
      </c>
      <c r="D646" s="48">
        <v>5697</v>
      </c>
    </row>
    <row r="647" spans="1:4" x14ac:dyDescent="0.25">
      <c r="A647" s="135">
        <v>45502</v>
      </c>
      <c r="B647" s="48">
        <v>9309</v>
      </c>
      <c r="C647" s="48">
        <v>1054</v>
      </c>
      <c r="D647" s="48">
        <v>9968</v>
      </c>
    </row>
    <row r="648" spans="1:4" x14ac:dyDescent="0.25">
      <c r="A648" s="135">
        <v>45503</v>
      </c>
      <c r="B648" s="48">
        <v>9819</v>
      </c>
      <c r="C648" s="48">
        <v>1176</v>
      </c>
      <c r="D648" s="48">
        <v>10421</v>
      </c>
    </row>
    <row r="649" spans="1:4" x14ac:dyDescent="0.25">
      <c r="A649" s="135">
        <v>45504</v>
      </c>
      <c r="B649" s="48">
        <v>11000</v>
      </c>
      <c r="C649" s="48">
        <v>1563</v>
      </c>
      <c r="D649" s="48">
        <v>12000</v>
      </c>
    </row>
    <row r="650" spans="1:4" x14ac:dyDescent="0.25">
      <c r="A650" s="135">
        <v>45505</v>
      </c>
      <c r="B650" s="48">
        <v>11000</v>
      </c>
      <c r="C650" s="48">
        <v>1184</v>
      </c>
      <c r="D650" s="48">
        <v>11619</v>
      </c>
    </row>
    <row r="651" spans="1:4" x14ac:dyDescent="0.25">
      <c r="A651" s="135">
        <v>45506</v>
      </c>
      <c r="B651" s="48">
        <v>8774</v>
      </c>
      <c r="C651" s="48">
        <v>1146</v>
      </c>
      <c r="D651" s="48">
        <v>9920</v>
      </c>
    </row>
    <row r="652" spans="1:4" x14ac:dyDescent="0.25">
      <c r="A652" s="135">
        <v>45507</v>
      </c>
      <c r="B652" s="48">
        <v>9258</v>
      </c>
      <c r="C652" s="48">
        <v>1032</v>
      </c>
      <c r="D652" s="48">
        <v>10263</v>
      </c>
    </row>
    <row r="653" spans="1:4" x14ac:dyDescent="0.25">
      <c r="A653" s="135">
        <v>45508</v>
      </c>
      <c r="B653" s="48">
        <v>8022</v>
      </c>
      <c r="C653" s="48">
        <v>871</v>
      </c>
      <c r="D653" s="48">
        <v>8517</v>
      </c>
    </row>
    <row r="654" spans="1:4" x14ac:dyDescent="0.25">
      <c r="A654" s="135">
        <v>45509</v>
      </c>
      <c r="B654" s="48">
        <v>8600</v>
      </c>
      <c r="C654" s="48">
        <v>1051</v>
      </c>
      <c r="D654" s="48">
        <v>9127</v>
      </c>
    </row>
    <row r="655" spans="1:4" x14ac:dyDescent="0.25">
      <c r="A655" s="135">
        <v>45510</v>
      </c>
      <c r="B655" s="48">
        <v>9477</v>
      </c>
      <c r="C655" s="48">
        <v>999</v>
      </c>
      <c r="D655" s="48">
        <v>10107</v>
      </c>
    </row>
    <row r="656" spans="1:4" x14ac:dyDescent="0.25">
      <c r="A656" s="135">
        <v>45511</v>
      </c>
      <c r="B656" s="48">
        <v>11000</v>
      </c>
      <c r="C656" s="48">
        <v>1020</v>
      </c>
      <c r="D656" s="48">
        <v>11530</v>
      </c>
    </row>
    <row r="657" spans="1:4" x14ac:dyDescent="0.25">
      <c r="A657" s="135">
        <v>45512</v>
      </c>
      <c r="B657" s="48">
        <v>11000</v>
      </c>
      <c r="C657" s="48">
        <v>1531</v>
      </c>
      <c r="D657" s="48">
        <v>11610</v>
      </c>
    </row>
    <row r="658" spans="1:4" x14ac:dyDescent="0.25">
      <c r="A658" s="135">
        <v>45513</v>
      </c>
      <c r="B658" s="48">
        <v>10323</v>
      </c>
      <c r="C658" s="48">
        <v>984</v>
      </c>
      <c r="D658" s="48">
        <v>10904</v>
      </c>
    </row>
    <row r="659" spans="1:4" x14ac:dyDescent="0.25">
      <c r="A659" s="135">
        <v>45514</v>
      </c>
      <c r="B659" s="48">
        <v>11000</v>
      </c>
      <c r="C659" s="48">
        <v>1091</v>
      </c>
      <c r="D659" s="48">
        <v>11592</v>
      </c>
    </row>
    <row r="660" spans="1:4" x14ac:dyDescent="0.25">
      <c r="A660" s="135">
        <v>45515</v>
      </c>
      <c r="B660" s="48">
        <v>5161</v>
      </c>
      <c r="C660" s="48">
        <v>894</v>
      </c>
      <c r="D660" s="48">
        <v>5610</v>
      </c>
    </row>
    <row r="661" spans="1:4" x14ac:dyDescent="0.25">
      <c r="A661" s="106"/>
    </row>
    <row r="662" spans="1:4" x14ac:dyDescent="0.25">
      <c r="A662" s="6"/>
    </row>
    <row r="663" spans="1:4" x14ac:dyDescent="0.25">
      <c r="A663" s="6"/>
    </row>
    <row r="664" spans="1:4" x14ac:dyDescent="0.25">
      <c r="A664" s="6"/>
    </row>
    <row r="665" spans="1:4" x14ac:dyDescent="0.25">
      <c r="A665" s="6"/>
    </row>
    <row r="666" spans="1:4" x14ac:dyDescent="0.25">
      <c r="A666" s="6"/>
    </row>
    <row r="667" spans="1:4" x14ac:dyDescent="0.25">
      <c r="A667" s="6"/>
    </row>
    <row r="668" spans="1:4" x14ac:dyDescent="0.25">
      <c r="A668" s="6"/>
    </row>
    <row r="669" spans="1:4" x14ac:dyDescent="0.25">
      <c r="A669" s="6"/>
    </row>
    <row r="670" spans="1:4" x14ac:dyDescent="0.25">
      <c r="A670" s="6"/>
    </row>
    <row r="671" spans="1:4" x14ac:dyDescent="0.25">
      <c r="A671" s="6"/>
    </row>
    <row r="672" spans="1:4" x14ac:dyDescent="0.25">
      <c r="A672" s="6"/>
    </row>
    <row r="673" spans="1:1" x14ac:dyDescent="0.25">
      <c r="A673" s="6"/>
    </row>
    <row r="674" spans="1:1" x14ac:dyDescent="0.25">
      <c r="A674" s="6"/>
    </row>
    <row r="675" spans="1:1" x14ac:dyDescent="0.25">
      <c r="A675" s="6"/>
    </row>
    <row r="676" spans="1:1" x14ac:dyDescent="0.25">
      <c r="A676" s="6"/>
    </row>
    <row r="677" spans="1:1" x14ac:dyDescent="0.25">
      <c r="A677" s="6"/>
    </row>
    <row r="678" spans="1:1" x14ac:dyDescent="0.25">
      <c r="A678" s="6"/>
    </row>
    <row r="679" spans="1:1" x14ac:dyDescent="0.25">
      <c r="A679" s="6"/>
    </row>
    <row r="680" spans="1:1" x14ac:dyDescent="0.25">
      <c r="A680" s="6"/>
    </row>
    <row r="681" spans="1:1" x14ac:dyDescent="0.25">
      <c r="A681" s="6"/>
    </row>
    <row r="682" spans="1:1" x14ac:dyDescent="0.25">
      <c r="A682" s="6"/>
    </row>
    <row r="683" spans="1:1" x14ac:dyDescent="0.25">
      <c r="A683" s="6"/>
    </row>
    <row r="684" spans="1:1" x14ac:dyDescent="0.25">
      <c r="A684" s="6"/>
    </row>
    <row r="685" spans="1:1" x14ac:dyDescent="0.25">
      <c r="A685" s="6"/>
    </row>
    <row r="686" spans="1:1" x14ac:dyDescent="0.25">
      <c r="A686" s="6"/>
    </row>
    <row r="687" spans="1:1" x14ac:dyDescent="0.25">
      <c r="A687" s="6"/>
    </row>
    <row r="688" spans="1:1" x14ac:dyDescent="0.25">
      <c r="A688" s="6"/>
    </row>
    <row r="689" spans="1:1" x14ac:dyDescent="0.25">
      <c r="A689" s="6"/>
    </row>
    <row r="690" spans="1:1" x14ac:dyDescent="0.25">
      <c r="A690" s="6"/>
    </row>
    <row r="691" spans="1:1" x14ac:dyDescent="0.25">
      <c r="A691" s="6"/>
    </row>
    <row r="692" spans="1:1" x14ac:dyDescent="0.25">
      <c r="A692" s="6"/>
    </row>
    <row r="693" spans="1:1" x14ac:dyDescent="0.25">
      <c r="A693" s="6"/>
    </row>
    <row r="694" spans="1:1" x14ac:dyDescent="0.25">
      <c r="A694" s="6"/>
    </row>
    <row r="695" spans="1:1" x14ac:dyDescent="0.25">
      <c r="A695" s="6"/>
    </row>
    <row r="696" spans="1:1" x14ac:dyDescent="0.25">
      <c r="A696" s="6"/>
    </row>
    <row r="697" spans="1:1" x14ac:dyDescent="0.25">
      <c r="A697" s="6"/>
    </row>
    <row r="698" spans="1:1" x14ac:dyDescent="0.25">
      <c r="A698" s="6"/>
    </row>
    <row r="699" spans="1:1" x14ac:dyDescent="0.25">
      <c r="A699" s="6"/>
    </row>
    <row r="700" spans="1:1" x14ac:dyDescent="0.25">
      <c r="A700" s="6"/>
    </row>
    <row r="701" spans="1:1" x14ac:dyDescent="0.25">
      <c r="A701" s="6"/>
    </row>
    <row r="702" spans="1:1" x14ac:dyDescent="0.25">
      <c r="A702" s="6"/>
    </row>
    <row r="703" spans="1:1" x14ac:dyDescent="0.25">
      <c r="A703" s="6"/>
    </row>
    <row r="704" spans="1:1" x14ac:dyDescent="0.25">
      <c r="A704" s="6"/>
    </row>
    <row r="705" spans="1:1" x14ac:dyDescent="0.25">
      <c r="A705" s="6"/>
    </row>
    <row r="706" spans="1:1" x14ac:dyDescent="0.25">
      <c r="A706" s="6"/>
    </row>
    <row r="707" spans="1:1" x14ac:dyDescent="0.25">
      <c r="A707" s="6"/>
    </row>
    <row r="708" spans="1:1" x14ac:dyDescent="0.25">
      <c r="A708" s="6"/>
    </row>
    <row r="709" spans="1:1" x14ac:dyDescent="0.25">
      <c r="A709" s="6"/>
    </row>
    <row r="710" spans="1:1" x14ac:dyDescent="0.25">
      <c r="A710" s="6"/>
    </row>
    <row r="711" spans="1:1" x14ac:dyDescent="0.25">
      <c r="A711" s="6"/>
    </row>
    <row r="712" spans="1:1" x14ac:dyDescent="0.25">
      <c r="A712" s="6"/>
    </row>
    <row r="713" spans="1:1" x14ac:dyDescent="0.25">
      <c r="A713" s="6"/>
    </row>
    <row r="714" spans="1:1" x14ac:dyDescent="0.25">
      <c r="A714" s="6"/>
    </row>
    <row r="715" spans="1:1" x14ac:dyDescent="0.25">
      <c r="A715" s="6"/>
    </row>
    <row r="716" spans="1:1" x14ac:dyDescent="0.25">
      <c r="A716" s="6"/>
    </row>
    <row r="717" spans="1:1" x14ac:dyDescent="0.25">
      <c r="A717" s="6"/>
    </row>
    <row r="718" spans="1:1" x14ac:dyDescent="0.25">
      <c r="A718" s="6"/>
    </row>
    <row r="719" spans="1:1" x14ac:dyDescent="0.25">
      <c r="A719" s="6"/>
    </row>
    <row r="720" spans="1:1" x14ac:dyDescent="0.25">
      <c r="A720" s="6"/>
    </row>
    <row r="721" spans="1:1" x14ac:dyDescent="0.25">
      <c r="A721" s="6"/>
    </row>
    <row r="722" spans="1:1" x14ac:dyDescent="0.25">
      <c r="A722" s="6"/>
    </row>
    <row r="723" spans="1:1" x14ac:dyDescent="0.25">
      <c r="A723" s="6"/>
    </row>
    <row r="724" spans="1:1" x14ac:dyDescent="0.25">
      <c r="A724" s="6"/>
    </row>
    <row r="725" spans="1:1" x14ac:dyDescent="0.25">
      <c r="A725" s="6"/>
    </row>
    <row r="726" spans="1:1" x14ac:dyDescent="0.25">
      <c r="A726" s="6"/>
    </row>
    <row r="727" spans="1:1" x14ac:dyDescent="0.25">
      <c r="A727" s="6"/>
    </row>
    <row r="728" spans="1:1" x14ac:dyDescent="0.25">
      <c r="A728" s="6"/>
    </row>
    <row r="729" spans="1:1" x14ac:dyDescent="0.25">
      <c r="A729" s="6"/>
    </row>
    <row r="730" spans="1:1" x14ac:dyDescent="0.25">
      <c r="A730" s="6"/>
    </row>
    <row r="731" spans="1:1" x14ac:dyDescent="0.25">
      <c r="A731" s="6"/>
    </row>
    <row r="732" spans="1:1" x14ac:dyDescent="0.25">
      <c r="A732" s="6"/>
    </row>
    <row r="733" spans="1:1" x14ac:dyDescent="0.25">
      <c r="A733" s="6"/>
    </row>
    <row r="734" spans="1:1" x14ac:dyDescent="0.25">
      <c r="A734" s="6"/>
    </row>
    <row r="735" spans="1:1" x14ac:dyDescent="0.25">
      <c r="A735" s="6"/>
    </row>
    <row r="736" spans="1:1" x14ac:dyDescent="0.25">
      <c r="A736" s="6"/>
    </row>
    <row r="737" spans="1:1" x14ac:dyDescent="0.25">
      <c r="A737" s="6"/>
    </row>
    <row r="738" spans="1:1" x14ac:dyDescent="0.25">
      <c r="A738" s="6"/>
    </row>
    <row r="739" spans="1:1" x14ac:dyDescent="0.25">
      <c r="A739" s="6"/>
    </row>
    <row r="740" spans="1:1" x14ac:dyDescent="0.25">
      <c r="A740" s="6"/>
    </row>
    <row r="741" spans="1:1" x14ac:dyDescent="0.25">
      <c r="A741" s="6"/>
    </row>
    <row r="742" spans="1:1" x14ac:dyDescent="0.25">
      <c r="A742" s="6"/>
    </row>
    <row r="743" spans="1:1" x14ac:dyDescent="0.25">
      <c r="A743" s="6"/>
    </row>
    <row r="744" spans="1:1" x14ac:dyDescent="0.25">
      <c r="A744" s="6"/>
    </row>
    <row r="745" spans="1:1" x14ac:dyDescent="0.25">
      <c r="A745" s="6"/>
    </row>
    <row r="746" spans="1:1" x14ac:dyDescent="0.25">
      <c r="A746" s="6"/>
    </row>
    <row r="747" spans="1:1" x14ac:dyDescent="0.25">
      <c r="A747" s="6"/>
    </row>
    <row r="748" spans="1:1" x14ac:dyDescent="0.25">
      <c r="A748" s="6"/>
    </row>
    <row r="749" spans="1:1" x14ac:dyDescent="0.25">
      <c r="A749" s="6"/>
    </row>
    <row r="750" spans="1:1" x14ac:dyDescent="0.25">
      <c r="A750" s="6"/>
    </row>
    <row r="751" spans="1:1" x14ac:dyDescent="0.25">
      <c r="A751" s="6"/>
    </row>
    <row r="752" spans="1:1" x14ac:dyDescent="0.25">
      <c r="A752" s="6"/>
    </row>
    <row r="753" spans="1:1" x14ac:dyDescent="0.25">
      <c r="A753" s="6"/>
    </row>
    <row r="754" spans="1:1" x14ac:dyDescent="0.25">
      <c r="A754" s="6"/>
    </row>
    <row r="755" spans="1:1" x14ac:dyDescent="0.25">
      <c r="A755" s="6"/>
    </row>
    <row r="756" spans="1:1" x14ac:dyDescent="0.25">
      <c r="A756" s="6"/>
    </row>
    <row r="757" spans="1:1" x14ac:dyDescent="0.25">
      <c r="A757" s="6"/>
    </row>
    <row r="758" spans="1:1" x14ac:dyDescent="0.25">
      <c r="A758" s="6"/>
    </row>
    <row r="759" spans="1:1" x14ac:dyDescent="0.25">
      <c r="A759" s="6"/>
    </row>
    <row r="760" spans="1:1" x14ac:dyDescent="0.25">
      <c r="A760" s="6"/>
    </row>
    <row r="761" spans="1:1" x14ac:dyDescent="0.25">
      <c r="A761" s="6"/>
    </row>
    <row r="762" spans="1:1" x14ac:dyDescent="0.25">
      <c r="A762" s="6"/>
    </row>
    <row r="763" spans="1:1" x14ac:dyDescent="0.25">
      <c r="A763" s="6"/>
    </row>
    <row r="764" spans="1:1" x14ac:dyDescent="0.25">
      <c r="A764" s="6"/>
    </row>
    <row r="765" spans="1:1" x14ac:dyDescent="0.25">
      <c r="A765" s="6"/>
    </row>
    <row r="766" spans="1:1" x14ac:dyDescent="0.25">
      <c r="A766" s="6"/>
    </row>
    <row r="767" spans="1:1" x14ac:dyDescent="0.25">
      <c r="A767" s="6"/>
    </row>
    <row r="768" spans="1:1" x14ac:dyDescent="0.25">
      <c r="A768" s="6"/>
    </row>
    <row r="769" spans="1:1" x14ac:dyDescent="0.25">
      <c r="A769" s="6"/>
    </row>
    <row r="770" spans="1:1" x14ac:dyDescent="0.25">
      <c r="A770" s="6"/>
    </row>
    <row r="771" spans="1:1" x14ac:dyDescent="0.25">
      <c r="A771" s="6"/>
    </row>
    <row r="772" spans="1:1" x14ac:dyDescent="0.25">
      <c r="A772" s="6"/>
    </row>
    <row r="773" spans="1:1" x14ac:dyDescent="0.25">
      <c r="A773" s="6"/>
    </row>
    <row r="774" spans="1:1" x14ac:dyDescent="0.25">
      <c r="A774" s="6"/>
    </row>
    <row r="775" spans="1:1" x14ac:dyDescent="0.25">
      <c r="A775" s="6"/>
    </row>
    <row r="776" spans="1:1" x14ac:dyDescent="0.25">
      <c r="A776" s="6"/>
    </row>
    <row r="777" spans="1:1" x14ac:dyDescent="0.25">
      <c r="A777" s="6"/>
    </row>
    <row r="778" spans="1:1" x14ac:dyDescent="0.25">
      <c r="A778" s="6"/>
    </row>
    <row r="779" spans="1:1" x14ac:dyDescent="0.25">
      <c r="A779" s="6"/>
    </row>
    <row r="780" spans="1:1" x14ac:dyDescent="0.25">
      <c r="A780" s="6"/>
    </row>
    <row r="781" spans="1:1" x14ac:dyDescent="0.25">
      <c r="A781" s="6"/>
    </row>
    <row r="782" spans="1:1" x14ac:dyDescent="0.25">
      <c r="A782" s="6"/>
    </row>
    <row r="783" spans="1:1" x14ac:dyDescent="0.25">
      <c r="A783" s="6"/>
    </row>
    <row r="784" spans="1:1" x14ac:dyDescent="0.25">
      <c r="A784" s="6"/>
    </row>
    <row r="785" spans="1:1" x14ac:dyDescent="0.25">
      <c r="A785" s="6"/>
    </row>
    <row r="786" spans="1:1" x14ac:dyDescent="0.25">
      <c r="A786" s="6"/>
    </row>
    <row r="787" spans="1:1" x14ac:dyDescent="0.25">
      <c r="A787" s="6"/>
    </row>
    <row r="788" spans="1:1" x14ac:dyDescent="0.25">
      <c r="A788" s="6"/>
    </row>
    <row r="789" spans="1:1" x14ac:dyDescent="0.25">
      <c r="A789" s="6"/>
    </row>
    <row r="790" spans="1:1" x14ac:dyDescent="0.25">
      <c r="A790" s="6"/>
    </row>
    <row r="791" spans="1:1" x14ac:dyDescent="0.25">
      <c r="A791" s="6"/>
    </row>
    <row r="792" spans="1:1" x14ac:dyDescent="0.25">
      <c r="A792" s="6"/>
    </row>
    <row r="793" spans="1:1" x14ac:dyDescent="0.25">
      <c r="A793" s="6"/>
    </row>
    <row r="794" spans="1:1" x14ac:dyDescent="0.25">
      <c r="A794" s="6"/>
    </row>
    <row r="795" spans="1:1" x14ac:dyDescent="0.25">
      <c r="A795" s="6"/>
    </row>
    <row r="796" spans="1:1" x14ac:dyDescent="0.25">
      <c r="A796" s="6"/>
    </row>
    <row r="797" spans="1:1" x14ac:dyDescent="0.25">
      <c r="A797" s="6"/>
    </row>
    <row r="798" spans="1:1" x14ac:dyDescent="0.25">
      <c r="A798" s="6"/>
    </row>
    <row r="799" spans="1:1" x14ac:dyDescent="0.25">
      <c r="A799" s="6"/>
    </row>
    <row r="800" spans="1:1" x14ac:dyDescent="0.25">
      <c r="A800" s="6"/>
    </row>
    <row r="801" spans="1:1" x14ac:dyDescent="0.25">
      <c r="A801" s="6"/>
    </row>
    <row r="802" spans="1:1" x14ac:dyDescent="0.25">
      <c r="A802" s="6"/>
    </row>
    <row r="803" spans="1:1" x14ac:dyDescent="0.25">
      <c r="A803" s="6"/>
    </row>
    <row r="804" spans="1:1" x14ac:dyDescent="0.25">
      <c r="A804" s="6"/>
    </row>
    <row r="805" spans="1:1" x14ac:dyDescent="0.25">
      <c r="A805" s="6"/>
    </row>
    <row r="806" spans="1:1" x14ac:dyDescent="0.25">
      <c r="A806" s="6"/>
    </row>
    <row r="807" spans="1:1" x14ac:dyDescent="0.25">
      <c r="A807" s="6"/>
    </row>
    <row r="808" spans="1:1" x14ac:dyDescent="0.25">
      <c r="A808" s="6"/>
    </row>
    <row r="809" spans="1:1" x14ac:dyDescent="0.25">
      <c r="A809" s="6"/>
    </row>
    <row r="810" spans="1:1" x14ac:dyDescent="0.25">
      <c r="A810" s="6"/>
    </row>
    <row r="811" spans="1:1" x14ac:dyDescent="0.25">
      <c r="A811" s="6"/>
    </row>
    <row r="812" spans="1:1" x14ac:dyDescent="0.25">
      <c r="A812" s="6"/>
    </row>
    <row r="813" spans="1:1" x14ac:dyDescent="0.25">
      <c r="A813" s="6"/>
    </row>
    <row r="814" spans="1:1" x14ac:dyDescent="0.25">
      <c r="A814" s="6"/>
    </row>
    <row r="815" spans="1:1" x14ac:dyDescent="0.25">
      <c r="A815" s="6"/>
    </row>
    <row r="816" spans="1:1" x14ac:dyDescent="0.25">
      <c r="A816" s="6"/>
    </row>
    <row r="817" spans="1:1" x14ac:dyDescent="0.25">
      <c r="A817" s="6"/>
    </row>
    <row r="818" spans="1:1" x14ac:dyDescent="0.25">
      <c r="A818" s="6"/>
    </row>
    <row r="819" spans="1:1" x14ac:dyDescent="0.25">
      <c r="A819" s="6"/>
    </row>
    <row r="820" spans="1:1" x14ac:dyDescent="0.25">
      <c r="A820" s="6"/>
    </row>
    <row r="821" spans="1:1" x14ac:dyDescent="0.25">
      <c r="A821" s="6"/>
    </row>
    <row r="822" spans="1:1" x14ac:dyDescent="0.25">
      <c r="A822" s="6"/>
    </row>
    <row r="823" spans="1:1" x14ac:dyDescent="0.25">
      <c r="A823" s="6"/>
    </row>
    <row r="824" spans="1:1" x14ac:dyDescent="0.25">
      <c r="A824" s="6"/>
    </row>
    <row r="825" spans="1:1" x14ac:dyDescent="0.25">
      <c r="A825" s="6"/>
    </row>
    <row r="826" spans="1:1" x14ac:dyDescent="0.25">
      <c r="A826" s="6"/>
    </row>
    <row r="827" spans="1:1" x14ac:dyDescent="0.25">
      <c r="A827" s="6"/>
    </row>
    <row r="828" spans="1:1" x14ac:dyDescent="0.25">
      <c r="A828" s="6"/>
    </row>
    <row r="829" spans="1:1" x14ac:dyDescent="0.25">
      <c r="A829" s="6"/>
    </row>
    <row r="830" spans="1:1" x14ac:dyDescent="0.25">
      <c r="A830" s="6"/>
    </row>
    <row r="831" spans="1:1" x14ac:dyDescent="0.25">
      <c r="A831" s="6"/>
    </row>
    <row r="832" spans="1:1" x14ac:dyDescent="0.25">
      <c r="A832" s="6"/>
    </row>
    <row r="833" spans="1:1" x14ac:dyDescent="0.25">
      <c r="A833" s="6"/>
    </row>
    <row r="834" spans="1:1" x14ac:dyDescent="0.25">
      <c r="A834" s="6"/>
    </row>
    <row r="835" spans="1:1" x14ac:dyDescent="0.25">
      <c r="A835" s="6"/>
    </row>
    <row r="836" spans="1:1" x14ac:dyDescent="0.25">
      <c r="A836" s="6"/>
    </row>
    <row r="837" spans="1:1" x14ac:dyDescent="0.25">
      <c r="A837" s="6"/>
    </row>
    <row r="838" spans="1:1" x14ac:dyDescent="0.25">
      <c r="A838" s="6"/>
    </row>
    <row r="839" spans="1:1" x14ac:dyDescent="0.25">
      <c r="A839" s="6"/>
    </row>
    <row r="840" spans="1:1" x14ac:dyDescent="0.25">
      <c r="A840" s="6"/>
    </row>
    <row r="841" spans="1:1" x14ac:dyDescent="0.25">
      <c r="A841" s="6"/>
    </row>
    <row r="842" spans="1:1" x14ac:dyDescent="0.25">
      <c r="A842" s="6"/>
    </row>
    <row r="843" spans="1:1" x14ac:dyDescent="0.25">
      <c r="A843" s="6"/>
    </row>
    <row r="844" spans="1:1" x14ac:dyDescent="0.25">
      <c r="A844" s="6"/>
    </row>
    <row r="845" spans="1:1" x14ac:dyDescent="0.25">
      <c r="A845" s="6"/>
    </row>
    <row r="846" spans="1:1" x14ac:dyDescent="0.25">
      <c r="A846" s="6"/>
    </row>
    <row r="847" spans="1:1" x14ac:dyDescent="0.25">
      <c r="A847" s="6"/>
    </row>
    <row r="848" spans="1:1" x14ac:dyDescent="0.25">
      <c r="A848" s="6"/>
    </row>
    <row r="849" spans="1:1" x14ac:dyDescent="0.25">
      <c r="A849" s="6"/>
    </row>
    <row r="850" spans="1:1" x14ac:dyDescent="0.25">
      <c r="A850" s="6"/>
    </row>
    <row r="851" spans="1:1" x14ac:dyDescent="0.25">
      <c r="A851" s="6"/>
    </row>
    <row r="852" spans="1:1" x14ac:dyDescent="0.25">
      <c r="A852" s="6"/>
    </row>
    <row r="853" spans="1:1" x14ac:dyDescent="0.25">
      <c r="A853" s="6"/>
    </row>
    <row r="854" spans="1:1" x14ac:dyDescent="0.25">
      <c r="A854" s="6"/>
    </row>
    <row r="855" spans="1:1" x14ac:dyDescent="0.25">
      <c r="A855" s="6"/>
    </row>
    <row r="856" spans="1:1" x14ac:dyDescent="0.25">
      <c r="A856" s="6"/>
    </row>
    <row r="857" spans="1:1" x14ac:dyDescent="0.25">
      <c r="A857" s="6"/>
    </row>
    <row r="858" spans="1:1" x14ac:dyDescent="0.25">
      <c r="A858" s="6"/>
    </row>
    <row r="859" spans="1:1" x14ac:dyDescent="0.25">
      <c r="A859" s="6"/>
    </row>
    <row r="860" spans="1:1" x14ac:dyDescent="0.25">
      <c r="A860" s="6"/>
    </row>
    <row r="861" spans="1:1" x14ac:dyDescent="0.25">
      <c r="A861" s="6"/>
    </row>
    <row r="862" spans="1:1" x14ac:dyDescent="0.25">
      <c r="A862" s="6"/>
    </row>
    <row r="863" spans="1:1" x14ac:dyDescent="0.25">
      <c r="A863" s="6"/>
    </row>
    <row r="864" spans="1:1" x14ac:dyDescent="0.25">
      <c r="A864" s="6"/>
    </row>
    <row r="865" spans="1:1" x14ac:dyDescent="0.25">
      <c r="A865" s="6"/>
    </row>
    <row r="866" spans="1:1" x14ac:dyDescent="0.25">
      <c r="A866" s="6"/>
    </row>
    <row r="867" spans="1:1" x14ac:dyDescent="0.25">
      <c r="A867" s="6"/>
    </row>
    <row r="868" spans="1:1" x14ac:dyDescent="0.25">
      <c r="A868" s="6"/>
    </row>
    <row r="869" spans="1:1" x14ac:dyDescent="0.25">
      <c r="A869" s="6"/>
    </row>
    <row r="870" spans="1:1" x14ac:dyDescent="0.25">
      <c r="A870" s="6"/>
    </row>
    <row r="871" spans="1:1" x14ac:dyDescent="0.25">
      <c r="A871" s="6"/>
    </row>
    <row r="872" spans="1:1" x14ac:dyDescent="0.25">
      <c r="A872" s="6"/>
    </row>
    <row r="873" spans="1:1" x14ac:dyDescent="0.25">
      <c r="A873" s="6"/>
    </row>
    <row r="874" spans="1:1" x14ac:dyDescent="0.25">
      <c r="A874" s="6"/>
    </row>
    <row r="875" spans="1:1" x14ac:dyDescent="0.25">
      <c r="A875" s="6"/>
    </row>
    <row r="876" spans="1:1" x14ac:dyDescent="0.25">
      <c r="A876" s="6"/>
    </row>
    <row r="877" spans="1:1" x14ac:dyDescent="0.25">
      <c r="A877" s="6"/>
    </row>
    <row r="878" spans="1:1" x14ac:dyDescent="0.25">
      <c r="A878" s="6"/>
    </row>
    <row r="879" spans="1:1" x14ac:dyDescent="0.25">
      <c r="A879" s="6"/>
    </row>
    <row r="880" spans="1:1" x14ac:dyDescent="0.25">
      <c r="A880" s="6"/>
    </row>
    <row r="881" spans="1:1" x14ac:dyDescent="0.25">
      <c r="A881" s="6"/>
    </row>
    <row r="882" spans="1:1" x14ac:dyDescent="0.25">
      <c r="A882" s="6"/>
    </row>
    <row r="883" spans="1:1" x14ac:dyDescent="0.25">
      <c r="A883" s="6"/>
    </row>
    <row r="884" spans="1:1" x14ac:dyDescent="0.25">
      <c r="A884" s="6"/>
    </row>
    <row r="885" spans="1:1" x14ac:dyDescent="0.25">
      <c r="A885" s="6"/>
    </row>
    <row r="886" spans="1:1" x14ac:dyDescent="0.25">
      <c r="A886" s="6"/>
    </row>
    <row r="887" spans="1:1" x14ac:dyDescent="0.25">
      <c r="A887" s="6"/>
    </row>
    <row r="888" spans="1:1" x14ac:dyDescent="0.25">
      <c r="A888" s="6"/>
    </row>
    <row r="889" spans="1:1" x14ac:dyDescent="0.25">
      <c r="A889" s="6"/>
    </row>
    <row r="890" spans="1:1" x14ac:dyDescent="0.25">
      <c r="A890" s="6"/>
    </row>
    <row r="891" spans="1:1" x14ac:dyDescent="0.25">
      <c r="A891" s="6"/>
    </row>
    <row r="892" spans="1:1" x14ac:dyDescent="0.25">
      <c r="A892" s="6"/>
    </row>
    <row r="893" spans="1:1" x14ac:dyDescent="0.25">
      <c r="A893" s="6"/>
    </row>
    <row r="894" spans="1:1" x14ac:dyDescent="0.25">
      <c r="A894" s="6"/>
    </row>
    <row r="895" spans="1:1" x14ac:dyDescent="0.25">
      <c r="A895" s="6"/>
    </row>
    <row r="896" spans="1:1" x14ac:dyDescent="0.25">
      <c r="A896" s="6"/>
    </row>
    <row r="897" spans="1:1" x14ac:dyDescent="0.25">
      <c r="A897" s="6"/>
    </row>
    <row r="898" spans="1:1" x14ac:dyDescent="0.25">
      <c r="A898" s="6"/>
    </row>
    <row r="899" spans="1:1" x14ac:dyDescent="0.25">
      <c r="A899" s="6"/>
    </row>
    <row r="900" spans="1:1" x14ac:dyDescent="0.25">
      <c r="A900" s="6"/>
    </row>
    <row r="901" spans="1:1" x14ac:dyDescent="0.25">
      <c r="A901" s="6"/>
    </row>
    <row r="902" spans="1:1" x14ac:dyDescent="0.25">
      <c r="A902" s="6"/>
    </row>
    <row r="903" spans="1:1" x14ac:dyDescent="0.25">
      <c r="A903" s="6"/>
    </row>
    <row r="904" spans="1:1" x14ac:dyDescent="0.25">
      <c r="A904" s="6"/>
    </row>
    <row r="905" spans="1:1" x14ac:dyDescent="0.25">
      <c r="A905" s="6"/>
    </row>
    <row r="906" spans="1:1" x14ac:dyDescent="0.25">
      <c r="A906" s="6"/>
    </row>
    <row r="907" spans="1:1" x14ac:dyDescent="0.25">
      <c r="A907" s="6"/>
    </row>
    <row r="908" spans="1:1" x14ac:dyDescent="0.25">
      <c r="A908" s="6"/>
    </row>
    <row r="909" spans="1:1" x14ac:dyDescent="0.25">
      <c r="A909" s="6"/>
    </row>
    <row r="910" spans="1:1" x14ac:dyDescent="0.25">
      <c r="A910" s="6"/>
    </row>
    <row r="911" spans="1:1" x14ac:dyDescent="0.25">
      <c r="A911" s="6"/>
    </row>
    <row r="912" spans="1:1" x14ac:dyDescent="0.25">
      <c r="A912" s="6"/>
    </row>
    <row r="913" spans="1:1" x14ac:dyDescent="0.25">
      <c r="A913" s="6"/>
    </row>
    <row r="914" spans="1:1" x14ac:dyDescent="0.25">
      <c r="A914" s="6"/>
    </row>
    <row r="915" spans="1:1" x14ac:dyDescent="0.25">
      <c r="A915" s="6"/>
    </row>
    <row r="916" spans="1:1" x14ac:dyDescent="0.25">
      <c r="A916" s="6"/>
    </row>
    <row r="917" spans="1:1" x14ac:dyDescent="0.25">
      <c r="A917" s="6"/>
    </row>
    <row r="918" spans="1:1" x14ac:dyDescent="0.25">
      <c r="A918" s="6"/>
    </row>
    <row r="919" spans="1:1" x14ac:dyDescent="0.25">
      <c r="A919" s="6"/>
    </row>
    <row r="920" spans="1:1" x14ac:dyDescent="0.25">
      <c r="A920" s="6"/>
    </row>
    <row r="921" spans="1:1" x14ac:dyDescent="0.25">
      <c r="A921" s="6"/>
    </row>
    <row r="922" spans="1:1" x14ac:dyDescent="0.25">
      <c r="A922" s="6"/>
    </row>
    <row r="923" spans="1:1" x14ac:dyDescent="0.25">
      <c r="A923" s="6"/>
    </row>
    <row r="924" spans="1:1" x14ac:dyDescent="0.25">
      <c r="A924" s="6"/>
    </row>
    <row r="925" spans="1:1" x14ac:dyDescent="0.25">
      <c r="A925" s="6"/>
    </row>
    <row r="926" spans="1:1" x14ac:dyDescent="0.25">
      <c r="A926" s="6"/>
    </row>
    <row r="927" spans="1:1" x14ac:dyDescent="0.25">
      <c r="A927" s="6"/>
    </row>
    <row r="928" spans="1:1" x14ac:dyDescent="0.25">
      <c r="A928" s="6"/>
    </row>
    <row r="929" spans="1:1" x14ac:dyDescent="0.25">
      <c r="A929" s="6"/>
    </row>
    <row r="930" spans="1:1" x14ac:dyDescent="0.25">
      <c r="A930" s="6"/>
    </row>
    <row r="931" spans="1:1" x14ac:dyDescent="0.25">
      <c r="A931" s="6"/>
    </row>
    <row r="932" spans="1:1" x14ac:dyDescent="0.25">
      <c r="A932" s="6"/>
    </row>
    <row r="933" spans="1:1" x14ac:dyDescent="0.25">
      <c r="A933" s="6"/>
    </row>
    <row r="934" spans="1:1" x14ac:dyDescent="0.25">
      <c r="A934" s="6"/>
    </row>
    <row r="935" spans="1:1" x14ac:dyDescent="0.25">
      <c r="A935" s="6"/>
    </row>
    <row r="936" spans="1:1" x14ac:dyDescent="0.25">
      <c r="A936" s="6"/>
    </row>
    <row r="937" spans="1:1" x14ac:dyDescent="0.25">
      <c r="A937" s="6"/>
    </row>
    <row r="938" spans="1:1" x14ac:dyDescent="0.25">
      <c r="A938" s="6"/>
    </row>
    <row r="939" spans="1:1" x14ac:dyDescent="0.25">
      <c r="A939" s="6"/>
    </row>
    <row r="940" spans="1:1" x14ac:dyDescent="0.25">
      <c r="A940" s="6"/>
    </row>
    <row r="941" spans="1:1" x14ac:dyDescent="0.25">
      <c r="A941" s="6"/>
    </row>
    <row r="942" spans="1:1" x14ac:dyDescent="0.25">
      <c r="A942" s="6"/>
    </row>
    <row r="943" spans="1:1" x14ac:dyDescent="0.25">
      <c r="A943" s="6"/>
    </row>
    <row r="944" spans="1:1" x14ac:dyDescent="0.25">
      <c r="A944" s="6"/>
    </row>
    <row r="945" spans="1:1" x14ac:dyDescent="0.25">
      <c r="A945" s="6"/>
    </row>
    <row r="946" spans="1:1" x14ac:dyDescent="0.25">
      <c r="A946" s="6"/>
    </row>
    <row r="947" spans="1:1" x14ac:dyDescent="0.25">
      <c r="A947" s="6"/>
    </row>
    <row r="948" spans="1:1" x14ac:dyDescent="0.25">
      <c r="A948" s="6"/>
    </row>
    <row r="949" spans="1:1" x14ac:dyDescent="0.25">
      <c r="A949" s="6"/>
    </row>
    <row r="950" spans="1:1" x14ac:dyDescent="0.25">
      <c r="A950" s="6"/>
    </row>
    <row r="951" spans="1:1" x14ac:dyDescent="0.25">
      <c r="A951" s="6"/>
    </row>
    <row r="952" spans="1:1" x14ac:dyDescent="0.25">
      <c r="A952" s="6"/>
    </row>
    <row r="953" spans="1:1" x14ac:dyDescent="0.25">
      <c r="A953" s="6"/>
    </row>
    <row r="954" spans="1:1" x14ac:dyDescent="0.25">
      <c r="A954" s="6"/>
    </row>
    <row r="955" spans="1:1" x14ac:dyDescent="0.25">
      <c r="A955" s="6"/>
    </row>
    <row r="956" spans="1:1" x14ac:dyDescent="0.25">
      <c r="A956" s="6"/>
    </row>
    <row r="957" spans="1:1" x14ac:dyDescent="0.25">
      <c r="A957" s="6"/>
    </row>
    <row r="958" spans="1:1" x14ac:dyDescent="0.25">
      <c r="A958" s="6"/>
    </row>
    <row r="959" spans="1:1" x14ac:dyDescent="0.25">
      <c r="A959" s="6"/>
    </row>
    <row r="960" spans="1:1" x14ac:dyDescent="0.25">
      <c r="A960" s="6"/>
    </row>
    <row r="961" spans="1:1" x14ac:dyDescent="0.25">
      <c r="A961" s="6"/>
    </row>
    <row r="962" spans="1:1" x14ac:dyDescent="0.25">
      <c r="A962" s="6"/>
    </row>
    <row r="963" spans="1:1" x14ac:dyDescent="0.25">
      <c r="A963" s="6"/>
    </row>
    <row r="964" spans="1:1" x14ac:dyDescent="0.25">
      <c r="A964" s="6"/>
    </row>
    <row r="965" spans="1:1" x14ac:dyDescent="0.25">
      <c r="A965" s="6"/>
    </row>
    <row r="966" spans="1:1" x14ac:dyDescent="0.25">
      <c r="A966" s="6"/>
    </row>
    <row r="967" spans="1:1" x14ac:dyDescent="0.25">
      <c r="A967" s="6"/>
    </row>
    <row r="968" spans="1:1" x14ac:dyDescent="0.25">
      <c r="A968" s="6"/>
    </row>
    <row r="969" spans="1:1" x14ac:dyDescent="0.25">
      <c r="A969" s="6"/>
    </row>
    <row r="970" spans="1:1" x14ac:dyDescent="0.25">
      <c r="A970" s="6"/>
    </row>
    <row r="971" spans="1:1" x14ac:dyDescent="0.25">
      <c r="A971" s="6"/>
    </row>
    <row r="972" spans="1:1" x14ac:dyDescent="0.25">
      <c r="A972" s="6"/>
    </row>
    <row r="973" spans="1:1" x14ac:dyDescent="0.25">
      <c r="A973" s="6"/>
    </row>
    <row r="974" spans="1:1" x14ac:dyDescent="0.25">
      <c r="A974" s="6"/>
    </row>
    <row r="975" spans="1:1" x14ac:dyDescent="0.25">
      <c r="A975" s="6"/>
    </row>
    <row r="976" spans="1:1" x14ac:dyDescent="0.25">
      <c r="A976" s="6"/>
    </row>
    <row r="977" spans="1:1" x14ac:dyDescent="0.25">
      <c r="A977" s="6"/>
    </row>
    <row r="978" spans="1:1" x14ac:dyDescent="0.25">
      <c r="A978" s="6"/>
    </row>
    <row r="979" spans="1:1" x14ac:dyDescent="0.25">
      <c r="A979" s="6"/>
    </row>
    <row r="980" spans="1:1" x14ac:dyDescent="0.25">
      <c r="A980" s="6"/>
    </row>
    <row r="981" spans="1:1" x14ac:dyDescent="0.25">
      <c r="A981" s="6"/>
    </row>
    <row r="982" spans="1:1" x14ac:dyDescent="0.25">
      <c r="A982" s="6"/>
    </row>
    <row r="983" spans="1:1" x14ac:dyDescent="0.25">
      <c r="A983" s="6"/>
    </row>
    <row r="984" spans="1:1" x14ac:dyDescent="0.25">
      <c r="A984" s="6"/>
    </row>
    <row r="985" spans="1:1" x14ac:dyDescent="0.25">
      <c r="A985" s="6"/>
    </row>
    <row r="986" spans="1:1" x14ac:dyDescent="0.25">
      <c r="A986" s="6"/>
    </row>
    <row r="987" spans="1:1" x14ac:dyDescent="0.25">
      <c r="A987" s="6"/>
    </row>
    <row r="988" spans="1:1" x14ac:dyDescent="0.25">
      <c r="A988" s="6"/>
    </row>
    <row r="989" spans="1:1" x14ac:dyDescent="0.25">
      <c r="A989" s="6"/>
    </row>
    <row r="990" spans="1:1" x14ac:dyDescent="0.25">
      <c r="A990" s="6"/>
    </row>
    <row r="991" spans="1:1" x14ac:dyDescent="0.25">
      <c r="A991" s="6"/>
    </row>
    <row r="992" spans="1:1" x14ac:dyDescent="0.25">
      <c r="A992" s="6"/>
    </row>
    <row r="993" spans="1:1" x14ac:dyDescent="0.25">
      <c r="A993" s="6"/>
    </row>
    <row r="994" spans="1:1" x14ac:dyDescent="0.25">
      <c r="A994" s="6"/>
    </row>
    <row r="995" spans="1:1" x14ac:dyDescent="0.25">
      <c r="A995" s="6"/>
    </row>
    <row r="996" spans="1:1" x14ac:dyDescent="0.25">
      <c r="A996" s="6"/>
    </row>
    <row r="997" spans="1:1" x14ac:dyDescent="0.25">
      <c r="A997" s="6"/>
    </row>
    <row r="998" spans="1:1" x14ac:dyDescent="0.25">
      <c r="A998" s="6"/>
    </row>
    <row r="999" spans="1:1" x14ac:dyDescent="0.25">
      <c r="A999" s="6"/>
    </row>
    <row r="1000" spans="1:1" x14ac:dyDescent="0.25">
      <c r="A1000" s="6"/>
    </row>
    <row r="1001" spans="1:1" x14ac:dyDescent="0.25">
      <c r="A1001" s="6"/>
    </row>
    <row r="1002" spans="1:1" x14ac:dyDescent="0.25">
      <c r="A1002" s="6"/>
    </row>
    <row r="1003" spans="1:1" x14ac:dyDescent="0.25">
      <c r="A1003" s="6"/>
    </row>
    <row r="1004" spans="1:1" x14ac:dyDescent="0.25">
      <c r="A1004" s="6"/>
    </row>
    <row r="1005" spans="1:1" x14ac:dyDescent="0.25">
      <c r="A1005" s="6"/>
    </row>
    <row r="1006" spans="1:1" x14ac:dyDescent="0.25">
      <c r="A1006" s="6"/>
    </row>
    <row r="1007" spans="1:1" x14ac:dyDescent="0.25">
      <c r="A1007" s="6"/>
    </row>
    <row r="1008" spans="1:1" x14ac:dyDescent="0.25">
      <c r="A1008" s="6"/>
    </row>
    <row r="1009" spans="1:1" x14ac:dyDescent="0.25">
      <c r="A1009" s="6"/>
    </row>
    <row r="1010" spans="1:1" x14ac:dyDescent="0.25">
      <c r="A1010" s="6"/>
    </row>
    <row r="1011" spans="1:1" x14ac:dyDescent="0.25">
      <c r="A1011" s="6"/>
    </row>
    <row r="1012" spans="1:1" x14ac:dyDescent="0.25">
      <c r="A1012" s="6"/>
    </row>
    <row r="1013" spans="1:1" x14ac:dyDescent="0.25">
      <c r="A1013" s="6"/>
    </row>
    <row r="1014" spans="1:1" x14ac:dyDescent="0.25">
      <c r="A1014" s="6"/>
    </row>
    <row r="1015" spans="1:1" x14ac:dyDescent="0.25">
      <c r="A1015" s="6"/>
    </row>
    <row r="1016" spans="1:1" x14ac:dyDescent="0.25">
      <c r="A1016" s="6"/>
    </row>
    <row r="1017" spans="1:1" x14ac:dyDescent="0.25">
      <c r="A1017" s="6"/>
    </row>
    <row r="1018" spans="1:1" x14ac:dyDescent="0.25">
      <c r="A1018" s="6"/>
    </row>
    <row r="1019" spans="1:1" x14ac:dyDescent="0.25">
      <c r="A1019" s="6"/>
    </row>
    <row r="1020" spans="1:1" x14ac:dyDescent="0.25">
      <c r="A1020" s="6"/>
    </row>
    <row r="1021" spans="1:1" x14ac:dyDescent="0.25">
      <c r="A1021" s="6"/>
    </row>
    <row r="1022" spans="1:1" x14ac:dyDescent="0.25">
      <c r="A1022" s="6"/>
    </row>
    <row r="1023" spans="1:1" x14ac:dyDescent="0.25">
      <c r="A1023" s="6"/>
    </row>
    <row r="1024" spans="1:1" x14ac:dyDescent="0.25">
      <c r="A1024" s="6"/>
    </row>
    <row r="1025" spans="1:1" x14ac:dyDescent="0.25">
      <c r="A1025" s="6"/>
    </row>
    <row r="1026" spans="1:1" x14ac:dyDescent="0.25">
      <c r="A1026" s="6"/>
    </row>
    <row r="1027" spans="1:1" x14ac:dyDescent="0.25">
      <c r="A1027" s="6"/>
    </row>
    <row r="1028" spans="1:1" x14ac:dyDescent="0.25">
      <c r="A1028" s="6"/>
    </row>
    <row r="1029" spans="1:1" x14ac:dyDescent="0.25">
      <c r="A1029" s="6"/>
    </row>
    <row r="1030" spans="1:1" x14ac:dyDescent="0.25">
      <c r="A1030" s="6"/>
    </row>
    <row r="1031" spans="1:1" x14ac:dyDescent="0.25">
      <c r="A1031" s="6"/>
    </row>
    <row r="1032" spans="1:1" x14ac:dyDescent="0.25">
      <c r="A1032" s="6"/>
    </row>
    <row r="1033" spans="1:1" x14ac:dyDescent="0.25">
      <c r="A1033" s="6"/>
    </row>
    <row r="1034" spans="1:1" x14ac:dyDescent="0.25">
      <c r="A1034" s="6"/>
    </row>
    <row r="1035" spans="1:1" x14ac:dyDescent="0.25">
      <c r="A1035" s="6"/>
    </row>
    <row r="1036" spans="1:1" x14ac:dyDescent="0.25">
      <c r="A1036" s="6"/>
    </row>
    <row r="1037" spans="1:1" x14ac:dyDescent="0.25">
      <c r="A1037" s="6"/>
    </row>
    <row r="1038" spans="1:1" x14ac:dyDescent="0.25">
      <c r="A1038" s="6"/>
    </row>
    <row r="1039" spans="1:1" x14ac:dyDescent="0.25">
      <c r="A1039" s="6"/>
    </row>
    <row r="1040" spans="1:1" x14ac:dyDescent="0.25">
      <c r="A1040" s="6"/>
    </row>
    <row r="1041" spans="1:1" x14ac:dyDescent="0.25">
      <c r="A1041" s="6"/>
    </row>
    <row r="1042" spans="1:1" x14ac:dyDescent="0.25">
      <c r="A1042" s="6"/>
    </row>
    <row r="1043" spans="1:1" x14ac:dyDescent="0.25">
      <c r="A1043" s="6"/>
    </row>
    <row r="1044" spans="1:1" x14ac:dyDescent="0.25">
      <c r="A1044" s="6"/>
    </row>
    <row r="1045" spans="1:1" x14ac:dyDescent="0.25">
      <c r="A1045" s="6"/>
    </row>
    <row r="1046" spans="1:1" x14ac:dyDescent="0.25">
      <c r="A1046" s="6"/>
    </row>
    <row r="1047" spans="1:1" x14ac:dyDescent="0.25">
      <c r="A1047" s="6"/>
    </row>
    <row r="1048" spans="1:1" x14ac:dyDescent="0.25">
      <c r="A1048" s="6"/>
    </row>
    <row r="1049" spans="1:1" x14ac:dyDescent="0.25">
      <c r="A1049" s="6"/>
    </row>
    <row r="1050" spans="1:1" x14ac:dyDescent="0.25">
      <c r="A1050" s="6"/>
    </row>
    <row r="1051" spans="1:1" x14ac:dyDescent="0.25">
      <c r="A1051" s="6"/>
    </row>
    <row r="1052" spans="1:1" x14ac:dyDescent="0.25">
      <c r="A1052" s="6"/>
    </row>
    <row r="1053" spans="1:1" x14ac:dyDescent="0.25">
      <c r="A1053" s="6"/>
    </row>
    <row r="1054" spans="1:1" x14ac:dyDescent="0.25">
      <c r="A1054" s="6"/>
    </row>
    <row r="1055" spans="1:1" x14ac:dyDescent="0.25">
      <c r="A1055" s="6"/>
    </row>
    <row r="1056" spans="1:1" x14ac:dyDescent="0.25">
      <c r="A1056" s="6"/>
    </row>
    <row r="1057" spans="1:1" x14ac:dyDescent="0.25">
      <c r="A1057" s="6"/>
    </row>
    <row r="1058" spans="1:1" x14ac:dyDescent="0.25">
      <c r="A1058" s="6"/>
    </row>
    <row r="1059" spans="1:1" x14ac:dyDescent="0.25">
      <c r="A1059" s="6"/>
    </row>
    <row r="1060" spans="1:1" x14ac:dyDescent="0.25">
      <c r="A1060" s="6"/>
    </row>
    <row r="1061" spans="1:1" x14ac:dyDescent="0.25">
      <c r="A1061" s="6"/>
    </row>
    <row r="1062" spans="1:1" x14ac:dyDescent="0.25">
      <c r="A1062" s="6"/>
    </row>
    <row r="1063" spans="1:1" x14ac:dyDescent="0.25">
      <c r="A1063" s="6"/>
    </row>
    <row r="1064" spans="1:1" x14ac:dyDescent="0.25">
      <c r="A1064" s="6"/>
    </row>
    <row r="1065" spans="1:1" x14ac:dyDescent="0.25">
      <c r="A1065" s="6"/>
    </row>
    <row r="1066" spans="1:1" x14ac:dyDescent="0.25">
      <c r="A1066" s="6"/>
    </row>
    <row r="1067" spans="1:1" x14ac:dyDescent="0.25">
      <c r="A1067" s="6"/>
    </row>
    <row r="1068" spans="1:1" x14ac:dyDescent="0.25">
      <c r="A1068" s="6"/>
    </row>
    <row r="1069" spans="1:1" x14ac:dyDescent="0.25">
      <c r="A1069" s="6"/>
    </row>
    <row r="1070" spans="1:1" x14ac:dyDescent="0.25">
      <c r="A1070" s="6"/>
    </row>
    <row r="1071" spans="1:1" x14ac:dyDescent="0.25">
      <c r="A1071" s="6"/>
    </row>
    <row r="1072" spans="1:1" x14ac:dyDescent="0.25">
      <c r="A1072" s="6"/>
    </row>
    <row r="1073" spans="1:1" x14ac:dyDescent="0.25">
      <c r="A1073" s="6"/>
    </row>
    <row r="1074" spans="1:1" x14ac:dyDescent="0.25">
      <c r="A1074" s="6"/>
    </row>
    <row r="1075" spans="1:1" x14ac:dyDescent="0.25">
      <c r="A1075" s="6"/>
    </row>
    <row r="1076" spans="1:1" x14ac:dyDescent="0.25">
      <c r="A1076" s="6"/>
    </row>
    <row r="1077" spans="1:1" x14ac:dyDescent="0.25">
      <c r="A1077" s="6"/>
    </row>
    <row r="1078" spans="1:1" x14ac:dyDescent="0.25">
      <c r="A1078" s="6"/>
    </row>
    <row r="1079" spans="1:1" x14ac:dyDescent="0.25">
      <c r="A1079" s="6"/>
    </row>
    <row r="1080" spans="1:1" x14ac:dyDescent="0.25">
      <c r="A1080" s="6"/>
    </row>
    <row r="1081" spans="1:1" x14ac:dyDescent="0.25">
      <c r="A1081" s="6"/>
    </row>
    <row r="1082" spans="1:1" x14ac:dyDescent="0.25">
      <c r="A1082" s="6"/>
    </row>
    <row r="1083" spans="1:1" x14ac:dyDescent="0.25">
      <c r="A1083" s="6"/>
    </row>
    <row r="1084" spans="1:1" x14ac:dyDescent="0.25">
      <c r="A1084" s="6"/>
    </row>
    <row r="1085" spans="1:1" x14ac:dyDescent="0.25">
      <c r="A1085" s="6"/>
    </row>
    <row r="1086" spans="1:1" x14ac:dyDescent="0.25">
      <c r="A1086" s="6"/>
    </row>
    <row r="1087" spans="1:1" x14ac:dyDescent="0.25">
      <c r="A1087" s="6"/>
    </row>
    <row r="1088" spans="1:1" x14ac:dyDescent="0.25">
      <c r="A1088" s="6"/>
    </row>
    <row r="1089" spans="1:1" x14ac:dyDescent="0.25">
      <c r="A1089" s="6"/>
    </row>
    <row r="1090" spans="1:1" x14ac:dyDescent="0.25">
      <c r="A1090" s="6"/>
    </row>
    <row r="1091" spans="1:1" x14ac:dyDescent="0.25">
      <c r="A1091" s="6"/>
    </row>
    <row r="1092" spans="1:1" x14ac:dyDescent="0.25">
      <c r="A1092" s="6"/>
    </row>
    <row r="1093" spans="1:1" x14ac:dyDescent="0.25">
      <c r="A1093" s="6"/>
    </row>
    <row r="1094" spans="1:1" x14ac:dyDescent="0.25">
      <c r="A1094" s="6"/>
    </row>
    <row r="1095" spans="1:1" x14ac:dyDescent="0.25">
      <c r="A1095" s="6"/>
    </row>
    <row r="1096" spans="1:1" x14ac:dyDescent="0.25">
      <c r="A1096" s="6"/>
    </row>
    <row r="1097" spans="1:1" x14ac:dyDescent="0.25">
      <c r="A1097" s="6"/>
    </row>
    <row r="1098" spans="1:1" x14ac:dyDescent="0.25">
      <c r="A1098" s="6"/>
    </row>
    <row r="1099" spans="1:1" x14ac:dyDescent="0.25">
      <c r="A1099" s="6"/>
    </row>
    <row r="1100" spans="1:1" x14ac:dyDescent="0.25">
      <c r="A1100" s="6"/>
    </row>
    <row r="1101" spans="1:1" x14ac:dyDescent="0.25">
      <c r="A1101" s="6"/>
    </row>
    <row r="1102" spans="1:1" x14ac:dyDescent="0.25">
      <c r="A1102" s="6"/>
    </row>
    <row r="1103" spans="1:1" x14ac:dyDescent="0.25">
      <c r="A1103" s="6"/>
    </row>
    <row r="1104" spans="1:1" x14ac:dyDescent="0.25">
      <c r="A1104" s="6"/>
    </row>
    <row r="1105" spans="1:1" x14ac:dyDescent="0.25">
      <c r="A1105" s="6"/>
    </row>
    <row r="1106" spans="1:1" x14ac:dyDescent="0.25">
      <c r="A1106" s="6"/>
    </row>
    <row r="1107" spans="1:1" x14ac:dyDescent="0.25">
      <c r="A1107" s="6"/>
    </row>
    <row r="1108" spans="1:1" x14ac:dyDescent="0.25">
      <c r="A1108" s="6"/>
    </row>
    <row r="1109" spans="1:1" x14ac:dyDescent="0.25">
      <c r="A1109" s="6"/>
    </row>
    <row r="1110" spans="1:1" x14ac:dyDescent="0.25">
      <c r="A1110" s="6"/>
    </row>
    <row r="1111" spans="1:1" x14ac:dyDescent="0.25">
      <c r="A1111" s="6"/>
    </row>
    <row r="1112" spans="1:1" x14ac:dyDescent="0.25">
      <c r="A1112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5"/>
  <dimension ref="A1:H1088"/>
  <sheetViews>
    <sheetView zoomScale="90" zoomScaleNormal="90" workbookViewId="0">
      <pane ySplit="70" topLeftCell="A649" activePane="bottomLeft" state="frozen"/>
      <selection pane="bottomLeft" activeCell="J660" sqref="J660"/>
    </sheetView>
  </sheetViews>
  <sheetFormatPr defaultColWidth="9.140625" defaultRowHeight="15" x14ac:dyDescent="0.25"/>
  <cols>
    <col min="1" max="1" width="10.7109375" bestFit="1" customWidth="1"/>
    <col min="2" max="2" width="14" bestFit="1" customWidth="1"/>
    <col min="3" max="3" width="15.85546875" bestFit="1" customWidth="1"/>
    <col min="4" max="4" width="12.7109375" bestFit="1" customWidth="1"/>
    <col min="5" max="5" width="12.140625" bestFit="1" customWidth="1"/>
    <col min="6" max="6" width="18.85546875" bestFit="1" customWidth="1"/>
  </cols>
  <sheetData>
    <row r="1" spans="1:6" ht="15.75" thickBot="1" x14ac:dyDescent="0.3">
      <c r="A1" s="372" t="s">
        <v>26</v>
      </c>
      <c r="B1" s="373"/>
      <c r="C1" s="373"/>
      <c r="D1" s="373"/>
      <c r="E1" s="373"/>
      <c r="F1" s="375"/>
    </row>
    <row r="2" spans="1:6" x14ac:dyDescent="0.25">
      <c r="A2" s="7" t="s">
        <v>23</v>
      </c>
      <c r="B2" s="8" t="s">
        <v>61</v>
      </c>
      <c r="C2" s="8" t="s">
        <v>44</v>
      </c>
      <c r="D2" s="8" t="s">
        <v>45</v>
      </c>
      <c r="E2" s="342" t="s">
        <v>47</v>
      </c>
      <c r="F2" s="345" t="s">
        <v>46</v>
      </c>
    </row>
    <row r="3" spans="1:6" hidden="1" x14ac:dyDescent="0.25">
      <c r="A3" s="12">
        <v>43821</v>
      </c>
      <c r="B3" s="1"/>
      <c r="C3" s="1">
        <v>99.88</v>
      </c>
      <c r="D3" s="1">
        <v>97.89</v>
      </c>
      <c r="E3" s="313">
        <v>99.97</v>
      </c>
      <c r="F3" s="1">
        <v>99.87</v>
      </c>
    </row>
    <row r="4" spans="1:6" hidden="1" x14ac:dyDescent="0.25">
      <c r="A4" s="12">
        <v>43822</v>
      </c>
      <c r="B4" s="11">
        <v>99.89</v>
      </c>
      <c r="C4" s="11">
        <v>99.96</v>
      </c>
      <c r="D4" s="11">
        <v>97.92</v>
      </c>
      <c r="E4" s="25">
        <v>99.98</v>
      </c>
      <c r="F4" s="2">
        <v>99.92</v>
      </c>
    </row>
    <row r="5" spans="1:6" hidden="1" x14ac:dyDescent="0.25">
      <c r="A5" s="12">
        <v>43823</v>
      </c>
      <c r="B5" s="11">
        <v>99.88</v>
      </c>
      <c r="C5" s="11">
        <v>99.96</v>
      </c>
      <c r="D5" s="11">
        <v>97.9</v>
      </c>
      <c r="E5" s="25">
        <v>99.99</v>
      </c>
      <c r="F5" s="2">
        <v>99.91</v>
      </c>
    </row>
    <row r="6" spans="1:6" hidden="1" x14ac:dyDescent="0.25">
      <c r="A6" s="12">
        <v>43824</v>
      </c>
      <c r="B6" s="11">
        <v>99.9</v>
      </c>
      <c r="C6" s="11">
        <v>99.96</v>
      </c>
      <c r="D6" s="11">
        <v>97.91</v>
      </c>
      <c r="E6" s="25">
        <v>99.98</v>
      </c>
      <c r="F6" s="2">
        <v>99.9</v>
      </c>
    </row>
    <row r="7" spans="1:6" hidden="1" x14ac:dyDescent="0.25">
      <c r="A7" s="12">
        <v>43825</v>
      </c>
      <c r="B7" s="11">
        <v>99.89</v>
      </c>
      <c r="C7" s="11">
        <v>99.96</v>
      </c>
      <c r="D7" s="11">
        <v>97.96</v>
      </c>
      <c r="E7" s="25">
        <v>100</v>
      </c>
      <c r="F7" s="2">
        <v>99.91</v>
      </c>
    </row>
    <row r="8" spans="1:6" hidden="1" x14ac:dyDescent="0.25">
      <c r="A8" s="12">
        <v>43826</v>
      </c>
      <c r="B8" s="11">
        <v>99.9</v>
      </c>
      <c r="C8" s="11">
        <v>99.96</v>
      </c>
      <c r="D8" s="11">
        <v>97.91</v>
      </c>
      <c r="E8" s="25">
        <v>100</v>
      </c>
      <c r="F8" s="2">
        <v>99.91</v>
      </c>
    </row>
    <row r="9" spans="1:6" hidden="1" x14ac:dyDescent="0.25">
      <c r="A9" s="12">
        <v>43827</v>
      </c>
      <c r="B9" s="11">
        <v>99.9</v>
      </c>
      <c r="C9" s="11">
        <v>99.95</v>
      </c>
      <c r="D9" s="11">
        <v>97.91</v>
      </c>
      <c r="E9" s="25">
        <v>100</v>
      </c>
      <c r="F9" s="2">
        <v>99.91</v>
      </c>
    </row>
    <row r="10" spans="1:6" hidden="1" x14ac:dyDescent="0.25">
      <c r="A10" s="12">
        <v>43828</v>
      </c>
      <c r="B10" s="11">
        <v>99.89</v>
      </c>
      <c r="C10" s="11">
        <v>99.96</v>
      </c>
      <c r="D10" s="11">
        <v>97.9</v>
      </c>
      <c r="E10" s="25">
        <v>99.99</v>
      </c>
      <c r="F10" s="2">
        <v>99.88</v>
      </c>
    </row>
    <row r="11" spans="1:6" hidden="1" x14ac:dyDescent="0.25">
      <c r="A11" s="12">
        <v>43829</v>
      </c>
      <c r="B11" s="11">
        <v>99.9</v>
      </c>
      <c r="C11" s="11">
        <v>99.96</v>
      </c>
      <c r="D11" s="11">
        <v>97.92</v>
      </c>
      <c r="E11" s="25">
        <v>99.96</v>
      </c>
      <c r="F11" s="2">
        <v>99.92</v>
      </c>
    </row>
    <row r="12" spans="1:6" hidden="1" x14ac:dyDescent="0.25">
      <c r="A12" s="12">
        <v>43830</v>
      </c>
      <c r="B12" s="11">
        <v>99.89</v>
      </c>
      <c r="C12" s="11">
        <v>99.86</v>
      </c>
      <c r="D12" s="11">
        <v>97.83</v>
      </c>
      <c r="E12" s="25">
        <v>99.98</v>
      </c>
      <c r="F12" s="2">
        <v>99.9</v>
      </c>
    </row>
    <row r="13" spans="1:6" hidden="1" x14ac:dyDescent="0.25">
      <c r="A13" s="12">
        <v>43831</v>
      </c>
      <c r="B13" s="11">
        <v>99.9</v>
      </c>
      <c r="C13" s="11">
        <v>99.96</v>
      </c>
      <c r="D13" s="11">
        <v>97.85</v>
      </c>
      <c r="E13" s="25">
        <v>99.98</v>
      </c>
      <c r="F13" s="2">
        <v>99.9</v>
      </c>
    </row>
    <row r="14" spans="1:6" hidden="1" x14ac:dyDescent="0.25">
      <c r="A14" s="12">
        <v>43832</v>
      </c>
      <c r="B14" s="11">
        <v>99.91</v>
      </c>
      <c r="C14" s="11">
        <v>99.96</v>
      </c>
      <c r="D14" s="11">
        <v>97.93</v>
      </c>
      <c r="E14" s="25">
        <v>99.99</v>
      </c>
      <c r="F14" s="2">
        <v>99.92</v>
      </c>
    </row>
    <row r="15" spans="1:6" hidden="1" x14ac:dyDescent="0.25">
      <c r="A15" s="12">
        <v>43833</v>
      </c>
      <c r="B15" s="11">
        <v>99.9</v>
      </c>
      <c r="C15" s="11">
        <v>99.91</v>
      </c>
      <c r="D15" s="11">
        <v>97.91</v>
      </c>
      <c r="E15" s="25">
        <v>100</v>
      </c>
      <c r="F15" s="2">
        <v>99.9</v>
      </c>
    </row>
    <row r="16" spans="1:6" hidden="1" x14ac:dyDescent="0.25">
      <c r="A16" s="12">
        <v>43834</v>
      </c>
      <c r="B16" s="11">
        <v>99.91</v>
      </c>
      <c r="C16" s="11">
        <v>99.85</v>
      </c>
      <c r="D16" s="11">
        <v>97.92</v>
      </c>
      <c r="E16" s="25">
        <v>100</v>
      </c>
      <c r="F16" s="2">
        <v>99.89</v>
      </c>
    </row>
    <row r="17" spans="1:6" hidden="1" x14ac:dyDescent="0.25">
      <c r="A17" s="12">
        <v>43835</v>
      </c>
      <c r="B17" s="11">
        <v>99.9</v>
      </c>
      <c r="C17" s="11">
        <v>99.87</v>
      </c>
      <c r="D17" s="11">
        <v>97.91</v>
      </c>
      <c r="E17" s="25">
        <v>99.98</v>
      </c>
      <c r="F17" s="2">
        <v>99.9</v>
      </c>
    </row>
    <row r="18" spans="1:6" hidden="1" x14ac:dyDescent="0.25">
      <c r="A18" s="12">
        <v>43836</v>
      </c>
      <c r="B18" s="11">
        <v>99.92</v>
      </c>
      <c r="C18" s="11">
        <v>99.69</v>
      </c>
      <c r="D18" s="11">
        <v>97.92</v>
      </c>
      <c r="E18" s="25">
        <v>100</v>
      </c>
      <c r="F18" s="2">
        <v>99.9</v>
      </c>
    </row>
    <row r="19" spans="1:6" hidden="1" x14ac:dyDescent="0.25">
      <c r="A19" s="12">
        <v>43837</v>
      </c>
      <c r="B19" s="11">
        <v>99.87</v>
      </c>
      <c r="C19" s="11">
        <v>99.69</v>
      </c>
      <c r="D19" s="11">
        <v>97.94</v>
      </c>
      <c r="E19" s="25">
        <v>100</v>
      </c>
      <c r="F19" s="2">
        <v>99.91</v>
      </c>
    </row>
    <row r="20" spans="1:6" hidden="1" x14ac:dyDescent="0.25">
      <c r="A20" s="12">
        <v>43838</v>
      </c>
      <c r="B20" s="11">
        <v>99.9</v>
      </c>
      <c r="C20" s="11">
        <v>99.95</v>
      </c>
      <c r="D20" s="11">
        <v>97.96</v>
      </c>
      <c r="E20" s="25">
        <v>100</v>
      </c>
      <c r="F20" s="2">
        <v>99.9</v>
      </c>
    </row>
    <row r="21" spans="1:6" hidden="1" x14ac:dyDescent="0.25">
      <c r="A21" s="12">
        <v>43839</v>
      </c>
      <c r="B21" s="11">
        <v>99.91</v>
      </c>
      <c r="C21" s="11">
        <v>99.95</v>
      </c>
      <c r="D21" s="11">
        <v>97.97</v>
      </c>
      <c r="E21" s="25">
        <v>100</v>
      </c>
      <c r="F21" s="2">
        <v>99.92</v>
      </c>
    </row>
    <row r="22" spans="1:6" hidden="1" x14ac:dyDescent="0.25">
      <c r="A22" s="12">
        <v>43840</v>
      </c>
      <c r="B22" s="11">
        <v>99.88</v>
      </c>
      <c r="C22" s="11">
        <v>99.96</v>
      </c>
      <c r="D22" s="11">
        <v>97.96</v>
      </c>
      <c r="E22" s="25">
        <v>100</v>
      </c>
      <c r="F22" s="2">
        <v>99.9</v>
      </c>
    </row>
    <row r="23" spans="1:6" hidden="1" x14ac:dyDescent="0.25">
      <c r="A23" s="12">
        <v>43841</v>
      </c>
      <c r="B23" s="11">
        <v>99.9</v>
      </c>
      <c r="C23" s="11">
        <v>99.96</v>
      </c>
      <c r="D23" s="11">
        <v>97.82</v>
      </c>
      <c r="E23" s="25">
        <v>100</v>
      </c>
      <c r="F23" s="2">
        <v>99.89</v>
      </c>
    </row>
    <row r="24" spans="1:6" hidden="1" x14ac:dyDescent="0.25">
      <c r="A24" s="12">
        <v>43842</v>
      </c>
      <c r="B24" s="11">
        <v>99.9</v>
      </c>
      <c r="C24" s="11">
        <v>99.95</v>
      </c>
      <c r="D24" s="11">
        <v>97.93</v>
      </c>
      <c r="E24" s="25">
        <v>100</v>
      </c>
      <c r="F24" s="2">
        <v>99.88</v>
      </c>
    </row>
    <row r="25" spans="1:6" hidden="1" x14ac:dyDescent="0.25">
      <c r="A25" s="12">
        <v>43843</v>
      </c>
      <c r="B25" s="11">
        <v>99.9</v>
      </c>
      <c r="C25" s="11">
        <v>99.91</v>
      </c>
      <c r="D25" s="11">
        <v>97.94</v>
      </c>
      <c r="E25" s="25">
        <v>100</v>
      </c>
      <c r="F25" s="2">
        <v>99.9</v>
      </c>
    </row>
    <row r="26" spans="1:6" hidden="1" x14ac:dyDescent="0.25">
      <c r="A26" s="12">
        <v>43844</v>
      </c>
      <c r="B26" s="11">
        <v>99.83</v>
      </c>
      <c r="C26" s="11">
        <v>99.96</v>
      </c>
      <c r="D26" s="11">
        <v>97.97</v>
      </c>
      <c r="E26" s="25">
        <v>100</v>
      </c>
      <c r="F26" s="2">
        <v>99.92</v>
      </c>
    </row>
    <row r="27" spans="1:6" hidden="1" x14ac:dyDescent="0.25">
      <c r="A27" s="12">
        <v>43845</v>
      </c>
      <c r="B27" s="11">
        <v>99.9</v>
      </c>
      <c r="C27" s="11">
        <v>99.61</v>
      </c>
      <c r="D27" s="11">
        <v>97.96</v>
      </c>
      <c r="E27" s="25">
        <v>100</v>
      </c>
      <c r="F27" s="2">
        <v>99.91</v>
      </c>
    </row>
    <row r="28" spans="1:6" hidden="1" x14ac:dyDescent="0.25">
      <c r="A28" s="12">
        <v>43846</v>
      </c>
      <c r="B28" s="11">
        <v>99.9</v>
      </c>
      <c r="C28" s="11">
        <v>99.73</v>
      </c>
      <c r="D28" s="11">
        <v>97.8</v>
      </c>
      <c r="E28" s="25">
        <v>95.89</v>
      </c>
      <c r="F28" s="2">
        <v>99.89</v>
      </c>
    </row>
    <row r="29" spans="1:6" hidden="1" x14ac:dyDescent="0.25">
      <c r="A29" s="12">
        <v>43847</v>
      </c>
      <c r="B29" s="11">
        <v>99.92</v>
      </c>
      <c r="C29" s="11">
        <v>99.69</v>
      </c>
      <c r="D29" s="11">
        <v>97.87</v>
      </c>
      <c r="E29" s="25">
        <v>96.92</v>
      </c>
      <c r="F29" s="2">
        <v>99.92</v>
      </c>
    </row>
    <row r="30" spans="1:6" hidden="1" x14ac:dyDescent="0.25">
      <c r="A30" s="12">
        <v>43848</v>
      </c>
      <c r="B30" s="11">
        <v>99.9</v>
      </c>
      <c r="C30" s="11">
        <v>99.77</v>
      </c>
      <c r="D30" s="11">
        <v>98</v>
      </c>
      <c r="E30" s="25">
        <v>100</v>
      </c>
      <c r="F30" s="2">
        <v>99.9</v>
      </c>
    </row>
    <row r="31" spans="1:6" hidden="1" x14ac:dyDescent="0.25">
      <c r="A31" s="12">
        <v>43849</v>
      </c>
      <c r="B31" s="11">
        <v>99.89</v>
      </c>
      <c r="C31" s="11">
        <v>99.9</v>
      </c>
      <c r="D31" s="11">
        <v>97.97</v>
      </c>
      <c r="E31" s="25">
        <v>99.97</v>
      </c>
      <c r="F31" s="2">
        <v>99.86</v>
      </c>
    </row>
    <row r="32" spans="1:6" hidden="1" x14ac:dyDescent="0.25">
      <c r="A32" s="12">
        <v>43850</v>
      </c>
      <c r="B32" s="11">
        <v>99.9</v>
      </c>
      <c r="C32" s="11">
        <v>99.81</v>
      </c>
      <c r="D32" s="11">
        <v>97.93</v>
      </c>
      <c r="E32" s="25">
        <v>100</v>
      </c>
      <c r="F32" s="2">
        <v>99.9</v>
      </c>
    </row>
    <row r="33" spans="1:6" hidden="1" x14ac:dyDescent="0.25">
      <c r="A33" s="12">
        <v>43851</v>
      </c>
      <c r="B33" s="11">
        <v>99.87</v>
      </c>
      <c r="C33" s="11">
        <v>99.82</v>
      </c>
      <c r="D33" s="11">
        <v>97.95</v>
      </c>
      <c r="E33" s="25">
        <v>100</v>
      </c>
      <c r="F33" s="2">
        <v>99.89</v>
      </c>
    </row>
    <row r="34" spans="1:6" hidden="1" x14ac:dyDescent="0.25">
      <c r="A34" s="12">
        <v>43852</v>
      </c>
      <c r="B34" s="11">
        <v>99.89</v>
      </c>
      <c r="C34" s="11">
        <v>99.72</v>
      </c>
      <c r="D34" s="11">
        <v>97.92</v>
      </c>
      <c r="E34" s="25">
        <v>100</v>
      </c>
      <c r="F34" s="2">
        <v>99.9</v>
      </c>
    </row>
    <row r="35" spans="1:6" hidden="1" x14ac:dyDescent="0.25">
      <c r="A35" s="12">
        <v>43853</v>
      </c>
      <c r="B35" s="11">
        <v>99.59</v>
      </c>
      <c r="C35" s="11">
        <v>99.83</v>
      </c>
      <c r="D35" s="11">
        <v>97.96</v>
      </c>
      <c r="E35" s="25">
        <v>100</v>
      </c>
      <c r="F35" s="2">
        <v>99.89</v>
      </c>
    </row>
    <row r="36" spans="1:6" hidden="1" x14ac:dyDescent="0.25">
      <c r="A36" s="12">
        <v>43854</v>
      </c>
      <c r="B36" s="11">
        <v>99.87</v>
      </c>
      <c r="C36" s="11">
        <v>99.96</v>
      </c>
      <c r="D36" s="11">
        <v>97.86</v>
      </c>
      <c r="E36" s="25">
        <v>99.99</v>
      </c>
      <c r="F36" s="2">
        <v>99.91</v>
      </c>
    </row>
    <row r="37" spans="1:6" hidden="1" x14ac:dyDescent="0.25">
      <c r="A37" s="12">
        <v>43855</v>
      </c>
      <c r="B37" s="11">
        <v>99.9</v>
      </c>
      <c r="C37" s="11">
        <v>99.95</v>
      </c>
      <c r="D37" s="11">
        <v>97.75</v>
      </c>
      <c r="E37" s="25">
        <v>99.99</v>
      </c>
      <c r="F37" s="2">
        <v>99.88</v>
      </c>
    </row>
    <row r="38" spans="1:6" hidden="1" x14ac:dyDescent="0.25">
      <c r="A38" s="12">
        <v>43856</v>
      </c>
      <c r="B38" s="11">
        <v>99.91</v>
      </c>
      <c r="C38" s="11">
        <v>99.94</v>
      </c>
      <c r="D38" s="11">
        <v>97.77</v>
      </c>
      <c r="E38" s="25">
        <v>99.97</v>
      </c>
      <c r="F38" s="2">
        <v>99.87</v>
      </c>
    </row>
    <row r="39" spans="1:6" hidden="1" x14ac:dyDescent="0.25">
      <c r="A39" s="12">
        <v>43857</v>
      </c>
      <c r="B39" s="11">
        <v>99.88</v>
      </c>
      <c r="C39" s="11">
        <v>99.42</v>
      </c>
      <c r="D39" s="11">
        <v>97.92</v>
      </c>
      <c r="E39" s="25">
        <v>99.99</v>
      </c>
      <c r="F39" s="2">
        <v>99.91</v>
      </c>
    </row>
    <row r="40" spans="1:6" hidden="1" x14ac:dyDescent="0.25">
      <c r="A40" s="12">
        <v>43858</v>
      </c>
      <c r="B40" s="11">
        <v>99.87</v>
      </c>
      <c r="C40" s="11">
        <v>99.95</v>
      </c>
      <c r="D40" s="11">
        <v>97.92</v>
      </c>
      <c r="E40" s="25">
        <v>100</v>
      </c>
      <c r="F40" s="2">
        <v>99.91</v>
      </c>
    </row>
    <row r="41" spans="1:6" hidden="1" x14ac:dyDescent="0.25">
      <c r="A41" s="12">
        <v>43859</v>
      </c>
      <c r="B41" s="11">
        <v>99.88</v>
      </c>
      <c r="C41" s="11">
        <v>99.94</v>
      </c>
      <c r="D41" s="11">
        <v>97.72</v>
      </c>
      <c r="E41" s="25">
        <v>100</v>
      </c>
      <c r="F41" s="2">
        <v>99.9</v>
      </c>
    </row>
    <row r="42" spans="1:6" hidden="1" x14ac:dyDescent="0.25">
      <c r="A42" s="12">
        <v>43860</v>
      </c>
      <c r="B42" s="11">
        <v>99.25</v>
      </c>
      <c r="C42" s="11">
        <v>99.85</v>
      </c>
      <c r="D42" s="11">
        <v>97.93</v>
      </c>
      <c r="E42" s="25">
        <v>100</v>
      </c>
      <c r="F42" s="2">
        <v>99.91</v>
      </c>
    </row>
    <row r="43" spans="1:6" hidden="1" x14ac:dyDescent="0.25">
      <c r="A43" s="12">
        <v>43861</v>
      </c>
      <c r="B43" s="11">
        <v>99.87</v>
      </c>
      <c r="C43" s="11">
        <v>99.64</v>
      </c>
      <c r="D43" s="11">
        <v>97.92</v>
      </c>
      <c r="E43" s="25">
        <v>100</v>
      </c>
      <c r="F43" s="2">
        <v>99.92</v>
      </c>
    </row>
    <row r="44" spans="1:6" hidden="1" x14ac:dyDescent="0.25">
      <c r="A44" s="12">
        <v>43862</v>
      </c>
      <c r="B44" s="11">
        <v>99.85</v>
      </c>
      <c r="C44" s="11">
        <v>99.87</v>
      </c>
      <c r="D44" s="11">
        <v>97.93</v>
      </c>
      <c r="E44" s="25">
        <v>100</v>
      </c>
      <c r="F44" s="2">
        <v>99.88</v>
      </c>
    </row>
    <row r="45" spans="1:6" hidden="1" x14ac:dyDescent="0.25">
      <c r="A45" s="12">
        <v>43863</v>
      </c>
      <c r="B45" s="11">
        <v>28.35</v>
      </c>
      <c r="C45" s="11">
        <v>99.95</v>
      </c>
      <c r="D45" s="11">
        <v>51.63</v>
      </c>
      <c r="E45" s="25">
        <v>100</v>
      </c>
      <c r="F45" s="2">
        <v>29.55</v>
      </c>
    </row>
    <row r="46" spans="1:6" hidden="1" x14ac:dyDescent="0.25">
      <c r="A46" s="12">
        <v>43864</v>
      </c>
      <c r="B46" s="11">
        <v>98.71</v>
      </c>
      <c r="C46" s="11">
        <v>99.97</v>
      </c>
      <c r="D46" s="11">
        <v>97.78</v>
      </c>
      <c r="E46" s="25">
        <v>99.96</v>
      </c>
      <c r="F46" s="2">
        <v>98.94</v>
      </c>
    </row>
    <row r="47" spans="1:6" hidden="1" x14ac:dyDescent="0.25">
      <c r="A47" s="12">
        <v>43865</v>
      </c>
      <c r="B47" s="11">
        <v>99.88</v>
      </c>
      <c r="C47" s="11">
        <v>99.82</v>
      </c>
      <c r="D47" s="11">
        <v>97.83</v>
      </c>
      <c r="E47" s="25">
        <v>99.96</v>
      </c>
      <c r="F47" s="2">
        <v>99.9</v>
      </c>
    </row>
    <row r="48" spans="1:6" hidden="1" x14ac:dyDescent="0.25">
      <c r="A48" s="12">
        <v>43866</v>
      </c>
      <c r="B48" s="11">
        <v>99.89</v>
      </c>
      <c r="C48" s="11">
        <v>99.95</v>
      </c>
      <c r="D48" s="11">
        <v>97.91</v>
      </c>
      <c r="E48" s="25">
        <v>100</v>
      </c>
      <c r="F48" s="2">
        <v>99.89</v>
      </c>
    </row>
    <row r="49" spans="1:6" hidden="1" x14ac:dyDescent="0.25">
      <c r="A49" s="12">
        <v>43867</v>
      </c>
      <c r="B49" s="11">
        <v>99.18</v>
      </c>
      <c r="C49" s="11">
        <v>99.83</v>
      </c>
      <c r="D49" s="11">
        <v>97.9</v>
      </c>
      <c r="E49" s="25">
        <v>100</v>
      </c>
      <c r="F49" s="2">
        <v>99.82</v>
      </c>
    </row>
    <row r="50" spans="1:6" hidden="1" x14ac:dyDescent="0.25">
      <c r="A50" s="12">
        <v>43868</v>
      </c>
      <c r="B50" s="11">
        <v>99.88</v>
      </c>
      <c r="C50" s="11">
        <v>99.95</v>
      </c>
      <c r="D50" s="11">
        <v>97.89</v>
      </c>
      <c r="E50" s="25">
        <v>100</v>
      </c>
      <c r="F50" s="2">
        <v>99.91</v>
      </c>
    </row>
    <row r="51" spans="1:6" hidden="1" x14ac:dyDescent="0.25">
      <c r="A51" s="12">
        <v>43869</v>
      </c>
      <c r="B51" s="11">
        <v>99.87</v>
      </c>
      <c r="C51" s="11">
        <v>99.96</v>
      </c>
      <c r="D51" s="11">
        <v>97.89</v>
      </c>
      <c r="E51" s="25">
        <v>100</v>
      </c>
      <c r="F51" s="2">
        <v>99.89</v>
      </c>
    </row>
    <row r="52" spans="1:6" hidden="1" x14ac:dyDescent="0.25">
      <c r="A52" s="12">
        <v>43870</v>
      </c>
      <c r="B52" s="11">
        <v>99.89</v>
      </c>
      <c r="C52" s="11">
        <v>99.96</v>
      </c>
      <c r="D52" s="11">
        <v>97.92</v>
      </c>
      <c r="E52" s="25">
        <v>100</v>
      </c>
      <c r="F52" s="2">
        <v>99.86</v>
      </c>
    </row>
    <row r="53" spans="1:6" hidden="1" x14ac:dyDescent="0.25">
      <c r="A53" s="12">
        <v>43871</v>
      </c>
      <c r="B53" s="11">
        <v>76.78</v>
      </c>
      <c r="C53" s="11">
        <v>99.91</v>
      </c>
      <c r="D53" s="11">
        <v>97.99</v>
      </c>
      <c r="E53" s="25">
        <v>100</v>
      </c>
      <c r="F53" s="2">
        <v>89.15</v>
      </c>
    </row>
    <row r="54" spans="1:6" hidden="1" x14ac:dyDescent="0.25">
      <c r="A54" s="12">
        <v>43872</v>
      </c>
      <c r="B54" s="11">
        <v>99.88</v>
      </c>
      <c r="C54" s="11">
        <v>99.96</v>
      </c>
      <c r="D54" s="11">
        <v>97.94</v>
      </c>
      <c r="E54" s="25">
        <v>100</v>
      </c>
      <c r="F54" s="2">
        <v>99.89</v>
      </c>
    </row>
    <row r="55" spans="1:6" hidden="1" x14ac:dyDescent="0.25">
      <c r="A55" s="12">
        <v>43873</v>
      </c>
      <c r="B55" s="11">
        <v>99.89</v>
      </c>
      <c r="C55" s="11">
        <v>99.95</v>
      </c>
      <c r="D55" s="11">
        <v>97.95</v>
      </c>
      <c r="E55" s="25">
        <v>99.96</v>
      </c>
      <c r="F55" s="2">
        <v>99.89</v>
      </c>
    </row>
    <row r="56" spans="1:6" hidden="1" x14ac:dyDescent="0.25">
      <c r="A56" s="12">
        <v>43874</v>
      </c>
      <c r="B56" s="11">
        <v>99.9</v>
      </c>
      <c r="C56" s="11">
        <v>99.94</v>
      </c>
      <c r="D56" s="11">
        <v>97.94</v>
      </c>
      <c r="E56" s="25">
        <v>99.94</v>
      </c>
      <c r="F56" s="2">
        <v>99.89</v>
      </c>
    </row>
    <row r="57" spans="1:6" hidden="1" x14ac:dyDescent="0.25">
      <c r="A57" s="12">
        <v>43875</v>
      </c>
      <c r="B57" s="11">
        <v>99.9</v>
      </c>
      <c r="C57" s="11">
        <v>99.94</v>
      </c>
      <c r="D57" s="11">
        <v>97.92</v>
      </c>
      <c r="E57" s="25">
        <v>100</v>
      </c>
      <c r="F57" s="2">
        <v>99.89</v>
      </c>
    </row>
    <row r="58" spans="1:6" hidden="1" x14ac:dyDescent="0.25">
      <c r="A58" s="12">
        <v>43876</v>
      </c>
      <c r="B58" s="11">
        <v>99.88</v>
      </c>
      <c r="C58" s="11">
        <v>99.93</v>
      </c>
      <c r="D58" s="11">
        <v>97.91</v>
      </c>
      <c r="E58" s="25">
        <v>100</v>
      </c>
      <c r="F58" s="2">
        <v>99.88</v>
      </c>
    </row>
    <row r="59" spans="1:6" hidden="1" x14ac:dyDescent="0.25">
      <c r="A59" s="12">
        <v>43877</v>
      </c>
      <c r="B59" s="11">
        <v>99.9</v>
      </c>
      <c r="C59" s="11">
        <v>99.91</v>
      </c>
      <c r="D59" s="11">
        <v>97.92</v>
      </c>
      <c r="E59" s="25">
        <v>82.98</v>
      </c>
      <c r="F59" s="2">
        <v>99.89</v>
      </c>
    </row>
    <row r="60" spans="1:6" hidden="1" x14ac:dyDescent="0.25">
      <c r="A60" s="12">
        <v>43878</v>
      </c>
      <c r="B60" s="11">
        <v>99.9</v>
      </c>
      <c r="C60" s="11">
        <v>99.84</v>
      </c>
      <c r="D60" s="11">
        <v>97.97</v>
      </c>
      <c r="E60" s="25">
        <v>99.94</v>
      </c>
      <c r="F60" s="2">
        <v>99.89</v>
      </c>
    </row>
    <row r="61" spans="1:6" hidden="1" x14ac:dyDescent="0.25">
      <c r="A61" s="12">
        <v>43879</v>
      </c>
      <c r="B61" s="11">
        <v>99.88</v>
      </c>
      <c r="C61" s="11">
        <v>99.94</v>
      </c>
      <c r="D61" s="11">
        <v>98.01</v>
      </c>
      <c r="E61" s="25">
        <v>100</v>
      </c>
      <c r="F61" s="2">
        <v>99.91</v>
      </c>
    </row>
    <row r="62" spans="1:6" hidden="1" x14ac:dyDescent="0.25">
      <c r="A62" s="12">
        <v>43880</v>
      </c>
      <c r="B62" s="11">
        <v>99.76</v>
      </c>
      <c r="C62" s="11">
        <v>99.94</v>
      </c>
      <c r="D62" s="11">
        <v>94.68</v>
      </c>
      <c r="E62" s="25">
        <v>99.96</v>
      </c>
      <c r="F62" s="2">
        <v>99.9</v>
      </c>
    </row>
    <row r="63" spans="1:6" hidden="1" x14ac:dyDescent="0.25">
      <c r="A63" s="12">
        <v>43881</v>
      </c>
      <c r="B63" s="11">
        <v>99.9</v>
      </c>
      <c r="C63" s="11">
        <v>99.94</v>
      </c>
      <c r="D63" s="11">
        <v>97.94</v>
      </c>
      <c r="E63" s="25">
        <v>100</v>
      </c>
      <c r="F63" s="2">
        <v>99.89</v>
      </c>
    </row>
    <row r="64" spans="1:6" hidden="1" x14ac:dyDescent="0.25">
      <c r="A64" s="12">
        <v>43882</v>
      </c>
      <c r="B64" s="11">
        <v>99.89</v>
      </c>
      <c r="C64" s="11">
        <v>99.94</v>
      </c>
      <c r="D64" s="11">
        <v>97.96</v>
      </c>
      <c r="E64" s="25">
        <v>99.98</v>
      </c>
      <c r="F64" s="2">
        <v>99.91</v>
      </c>
    </row>
    <row r="65" spans="1:6" hidden="1" x14ac:dyDescent="0.25">
      <c r="A65" s="12">
        <v>43883</v>
      </c>
      <c r="B65" s="11">
        <v>99.88</v>
      </c>
      <c r="C65" s="11">
        <v>99.94</v>
      </c>
      <c r="D65" s="11">
        <v>97.93</v>
      </c>
      <c r="E65" s="25">
        <v>99.99</v>
      </c>
      <c r="F65" s="2">
        <v>99.89</v>
      </c>
    </row>
    <row r="66" spans="1:6" hidden="1" x14ac:dyDescent="0.25">
      <c r="A66" s="12">
        <v>43884</v>
      </c>
      <c r="B66" s="11">
        <v>99.9</v>
      </c>
      <c r="C66" s="11">
        <v>99.94</v>
      </c>
      <c r="D66" s="11">
        <v>97.94</v>
      </c>
      <c r="E66" s="25">
        <v>98.16</v>
      </c>
      <c r="F66" s="2">
        <v>99.89</v>
      </c>
    </row>
    <row r="67" spans="1:6" hidden="1" x14ac:dyDescent="0.25">
      <c r="A67" s="12">
        <v>43885</v>
      </c>
      <c r="B67" s="11">
        <v>99.89</v>
      </c>
      <c r="C67" s="11">
        <v>99.95</v>
      </c>
      <c r="D67" s="11">
        <v>99.86</v>
      </c>
      <c r="E67" s="25">
        <v>100</v>
      </c>
      <c r="F67" s="2">
        <v>99.88</v>
      </c>
    </row>
    <row r="68" spans="1:6" hidden="1" x14ac:dyDescent="0.25">
      <c r="A68" s="12">
        <v>43886</v>
      </c>
      <c r="B68" s="11">
        <v>99.88</v>
      </c>
      <c r="C68" s="11">
        <v>99.93</v>
      </c>
      <c r="D68" s="11">
        <v>99.95</v>
      </c>
      <c r="E68" s="25">
        <v>99.97</v>
      </c>
      <c r="F68" s="2">
        <v>99.89</v>
      </c>
    </row>
    <row r="69" spans="1:6" hidden="1" x14ac:dyDescent="0.25">
      <c r="A69" s="12">
        <v>43887</v>
      </c>
      <c r="B69" s="11">
        <v>99.9</v>
      </c>
      <c r="C69" s="11">
        <v>99.94</v>
      </c>
      <c r="D69" s="11">
        <v>99.95</v>
      </c>
      <c r="E69" s="25">
        <v>100</v>
      </c>
      <c r="F69" s="2">
        <v>99.9</v>
      </c>
    </row>
    <row r="70" spans="1:6" hidden="1" x14ac:dyDescent="0.25">
      <c r="A70" s="12">
        <v>43888</v>
      </c>
      <c r="B70" s="11">
        <v>99.89</v>
      </c>
      <c r="C70" s="11">
        <v>99.94</v>
      </c>
      <c r="D70" s="11">
        <v>99.95</v>
      </c>
      <c r="E70" s="25">
        <v>100</v>
      </c>
      <c r="F70" s="2">
        <v>99.92</v>
      </c>
    </row>
    <row r="71" spans="1:6" hidden="1" x14ac:dyDescent="0.25">
      <c r="A71" s="12">
        <v>44927</v>
      </c>
      <c r="B71" s="11" t="s">
        <v>76</v>
      </c>
      <c r="C71" s="11">
        <v>99.88</v>
      </c>
      <c r="D71" s="11">
        <v>99.95</v>
      </c>
      <c r="E71" s="25">
        <v>100</v>
      </c>
      <c r="F71" s="2">
        <v>99.95</v>
      </c>
    </row>
    <row r="72" spans="1:6" hidden="1" x14ac:dyDescent="0.25">
      <c r="A72" s="12">
        <v>44928</v>
      </c>
      <c r="B72" s="11" t="s">
        <v>76</v>
      </c>
      <c r="C72" s="11">
        <v>99.88</v>
      </c>
      <c r="D72" s="11">
        <v>99.95</v>
      </c>
      <c r="E72" s="25">
        <v>100</v>
      </c>
      <c r="F72" s="2">
        <v>99.95</v>
      </c>
    </row>
    <row r="73" spans="1:6" hidden="1" x14ac:dyDescent="0.25">
      <c r="A73" s="12">
        <v>44929</v>
      </c>
      <c r="B73" s="11" t="s">
        <v>76</v>
      </c>
      <c r="C73" s="11">
        <v>99.88</v>
      </c>
      <c r="D73" s="11">
        <v>99.95</v>
      </c>
      <c r="E73" s="25">
        <v>100</v>
      </c>
      <c r="F73" s="2">
        <v>99.95</v>
      </c>
    </row>
    <row r="74" spans="1:6" hidden="1" x14ac:dyDescent="0.25">
      <c r="A74" s="12">
        <v>44930</v>
      </c>
      <c r="B74" s="11" t="s">
        <v>76</v>
      </c>
      <c r="C74" s="11">
        <v>99.88</v>
      </c>
      <c r="D74" s="11">
        <v>99.95</v>
      </c>
      <c r="E74" s="25">
        <v>100</v>
      </c>
      <c r="F74" s="2">
        <v>99.95</v>
      </c>
    </row>
    <row r="75" spans="1:6" hidden="1" x14ac:dyDescent="0.25">
      <c r="A75" s="12">
        <v>44931</v>
      </c>
      <c r="B75" s="11" t="s">
        <v>76</v>
      </c>
      <c r="C75" s="11">
        <v>99.88</v>
      </c>
      <c r="D75" s="11">
        <v>99.95</v>
      </c>
      <c r="E75" s="25">
        <v>100</v>
      </c>
      <c r="F75" s="2">
        <v>99.95</v>
      </c>
    </row>
    <row r="76" spans="1:6" hidden="1" x14ac:dyDescent="0.25">
      <c r="A76" s="12">
        <v>44932</v>
      </c>
      <c r="B76" s="11" t="s">
        <v>76</v>
      </c>
      <c r="C76" s="11">
        <v>99.88</v>
      </c>
      <c r="D76" s="11">
        <v>99.95</v>
      </c>
      <c r="E76" s="25">
        <v>100</v>
      </c>
      <c r="F76" s="2">
        <v>99.95</v>
      </c>
    </row>
    <row r="77" spans="1:6" hidden="1" x14ac:dyDescent="0.25">
      <c r="A77" s="12">
        <v>44933</v>
      </c>
      <c r="B77" s="11" t="s">
        <v>76</v>
      </c>
      <c r="C77" s="11">
        <v>99.88</v>
      </c>
      <c r="D77" s="11">
        <v>99.95</v>
      </c>
      <c r="E77" s="25">
        <v>100</v>
      </c>
      <c r="F77" s="2">
        <v>99.95</v>
      </c>
    </row>
    <row r="78" spans="1:6" hidden="1" x14ac:dyDescent="0.25">
      <c r="A78" s="12">
        <v>44934</v>
      </c>
      <c r="B78" s="11" t="s">
        <v>76</v>
      </c>
      <c r="C78" s="11">
        <v>99.88</v>
      </c>
      <c r="D78" s="11">
        <v>99.95</v>
      </c>
      <c r="E78" s="25">
        <v>100</v>
      </c>
      <c r="F78" s="2">
        <v>99.95</v>
      </c>
    </row>
    <row r="79" spans="1:6" hidden="1" x14ac:dyDescent="0.25">
      <c r="A79" s="12">
        <v>44935</v>
      </c>
      <c r="B79" s="11" t="s">
        <v>76</v>
      </c>
      <c r="C79" s="11">
        <v>99.88</v>
      </c>
      <c r="D79" s="11">
        <v>99.95</v>
      </c>
      <c r="E79" s="25">
        <v>100</v>
      </c>
      <c r="F79" s="2">
        <v>99.95</v>
      </c>
    </row>
    <row r="80" spans="1:6" hidden="1" x14ac:dyDescent="0.25">
      <c r="A80" s="12">
        <v>44936</v>
      </c>
      <c r="B80" s="11" t="s">
        <v>76</v>
      </c>
      <c r="C80" s="11">
        <v>99.88</v>
      </c>
      <c r="D80" s="11">
        <v>99.95</v>
      </c>
      <c r="E80" s="25">
        <v>100</v>
      </c>
      <c r="F80" s="2">
        <v>99.95</v>
      </c>
    </row>
    <row r="81" spans="1:6" hidden="1" x14ac:dyDescent="0.25">
      <c r="A81" s="12">
        <v>44937</v>
      </c>
      <c r="B81" s="11" t="s">
        <v>76</v>
      </c>
      <c r="C81" s="11">
        <v>99.88</v>
      </c>
      <c r="D81" s="11">
        <v>99.95</v>
      </c>
      <c r="E81" s="25">
        <v>100</v>
      </c>
      <c r="F81" s="2">
        <v>99.95</v>
      </c>
    </row>
    <row r="82" spans="1:6" hidden="1" x14ac:dyDescent="0.25">
      <c r="A82" s="12">
        <v>44938</v>
      </c>
      <c r="B82" s="11" t="s">
        <v>76</v>
      </c>
      <c r="C82" s="11">
        <v>99.88</v>
      </c>
      <c r="D82" s="11">
        <v>99.95</v>
      </c>
      <c r="E82" s="25">
        <v>100</v>
      </c>
      <c r="F82" s="2">
        <v>99.95</v>
      </c>
    </row>
    <row r="83" spans="1:6" hidden="1" x14ac:dyDescent="0.25">
      <c r="A83" s="12">
        <v>44939</v>
      </c>
      <c r="B83" s="11" t="s">
        <v>76</v>
      </c>
      <c r="C83" s="11">
        <v>99.88</v>
      </c>
      <c r="D83" s="11">
        <v>99.95</v>
      </c>
      <c r="E83" s="25">
        <v>100</v>
      </c>
      <c r="F83" s="2">
        <v>99.95</v>
      </c>
    </row>
    <row r="84" spans="1:6" hidden="1" x14ac:dyDescent="0.25">
      <c r="A84" s="12">
        <v>44940</v>
      </c>
      <c r="B84" s="11" t="s">
        <v>76</v>
      </c>
      <c r="C84" s="11">
        <v>99.88</v>
      </c>
      <c r="D84" s="11">
        <v>99.95</v>
      </c>
      <c r="E84" s="25">
        <v>100</v>
      </c>
      <c r="F84" s="2">
        <v>99.95</v>
      </c>
    </row>
    <row r="85" spans="1:6" hidden="1" x14ac:dyDescent="0.25">
      <c r="A85" s="12">
        <v>44941</v>
      </c>
      <c r="B85" s="11" t="s">
        <v>76</v>
      </c>
      <c r="C85" s="11">
        <v>99.88</v>
      </c>
      <c r="D85" s="11">
        <v>99.95</v>
      </c>
      <c r="E85" s="25">
        <v>100</v>
      </c>
      <c r="F85" s="2">
        <v>99.95</v>
      </c>
    </row>
    <row r="86" spans="1:6" hidden="1" x14ac:dyDescent="0.25">
      <c r="A86" s="12">
        <v>44942</v>
      </c>
      <c r="B86" s="11" t="s">
        <v>76</v>
      </c>
      <c r="C86" s="11">
        <v>99.88</v>
      </c>
      <c r="D86" s="11">
        <v>99.95</v>
      </c>
      <c r="E86" s="25">
        <v>100</v>
      </c>
      <c r="F86" s="2">
        <v>99.95</v>
      </c>
    </row>
    <row r="87" spans="1:6" hidden="1" x14ac:dyDescent="0.25">
      <c r="A87" s="12">
        <v>44943</v>
      </c>
      <c r="B87" s="11" t="s">
        <v>76</v>
      </c>
      <c r="C87" s="11">
        <v>99.88</v>
      </c>
      <c r="D87" s="11">
        <v>99.95</v>
      </c>
      <c r="E87" s="25">
        <v>100</v>
      </c>
      <c r="F87" s="2">
        <v>99.95</v>
      </c>
    </row>
    <row r="88" spans="1:6" hidden="1" x14ac:dyDescent="0.25">
      <c r="A88" s="12">
        <v>44944</v>
      </c>
      <c r="B88" s="11" t="s">
        <v>76</v>
      </c>
      <c r="C88" s="11">
        <v>99.88</v>
      </c>
      <c r="D88" s="11">
        <v>99.95</v>
      </c>
      <c r="E88" s="25">
        <v>100</v>
      </c>
      <c r="F88" s="2">
        <v>99.95</v>
      </c>
    </row>
    <row r="89" spans="1:6" hidden="1" x14ac:dyDescent="0.25">
      <c r="A89" s="12">
        <v>44945</v>
      </c>
      <c r="B89" s="11" t="s">
        <v>76</v>
      </c>
      <c r="C89" s="11">
        <v>99.88</v>
      </c>
      <c r="D89" s="11">
        <v>99.95</v>
      </c>
      <c r="E89" s="25">
        <v>100</v>
      </c>
      <c r="F89" s="2">
        <v>99.95</v>
      </c>
    </row>
    <row r="90" spans="1:6" hidden="1" x14ac:dyDescent="0.25">
      <c r="A90" s="12">
        <v>44946</v>
      </c>
      <c r="B90" s="11" t="s">
        <v>76</v>
      </c>
      <c r="C90" s="11">
        <v>99.88</v>
      </c>
      <c r="D90" s="11">
        <v>99.95</v>
      </c>
      <c r="E90" s="25">
        <v>100</v>
      </c>
      <c r="F90" s="2">
        <v>99.95</v>
      </c>
    </row>
    <row r="91" spans="1:6" hidden="1" x14ac:dyDescent="0.25">
      <c r="A91" s="12">
        <v>44947</v>
      </c>
      <c r="B91" s="11" t="s">
        <v>76</v>
      </c>
      <c r="C91" s="11">
        <v>99.88</v>
      </c>
      <c r="D91" s="11">
        <v>99.95</v>
      </c>
      <c r="E91" s="25">
        <v>100</v>
      </c>
      <c r="F91" s="2">
        <v>99.95</v>
      </c>
    </row>
    <row r="92" spans="1:6" hidden="1" x14ac:dyDescent="0.25">
      <c r="A92" s="12">
        <v>44948</v>
      </c>
      <c r="B92" s="11" t="s">
        <v>76</v>
      </c>
      <c r="C92" s="11">
        <v>99.88</v>
      </c>
      <c r="D92" s="11">
        <v>99.95</v>
      </c>
      <c r="E92" s="25">
        <v>100</v>
      </c>
      <c r="F92" s="2">
        <v>99.95</v>
      </c>
    </row>
    <row r="93" spans="1:6" hidden="1" x14ac:dyDescent="0.25">
      <c r="A93" s="12">
        <v>44949</v>
      </c>
      <c r="B93" s="11" t="s">
        <v>76</v>
      </c>
      <c r="C93" s="11">
        <v>99.88</v>
      </c>
      <c r="D93" s="11">
        <v>99.95</v>
      </c>
      <c r="E93" s="25">
        <v>100</v>
      </c>
      <c r="F93" s="2">
        <v>99.95</v>
      </c>
    </row>
    <row r="94" spans="1:6" hidden="1" x14ac:dyDescent="0.25">
      <c r="A94" s="12">
        <v>44950</v>
      </c>
      <c r="B94" s="11" t="s">
        <v>76</v>
      </c>
      <c r="C94" s="11">
        <v>99.88</v>
      </c>
      <c r="D94" s="11">
        <v>99.95</v>
      </c>
      <c r="E94" s="25">
        <v>100</v>
      </c>
      <c r="F94" s="2">
        <v>99.95</v>
      </c>
    </row>
    <row r="95" spans="1:6" hidden="1" x14ac:dyDescent="0.25">
      <c r="A95" s="12">
        <v>44951</v>
      </c>
      <c r="B95" s="11" t="s">
        <v>76</v>
      </c>
      <c r="C95" s="11">
        <v>99.88</v>
      </c>
      <c r="D95" s="11">
        <v>99.95</v>
      </c>
      <c r="E95" s="25">
        <v>100</v>
      </c>
      <c r="F95" s="2">
        <v>99.95</v>
      </c>
    </row>
    <row r="96" spans="1:6" hidden="1" x14ac:dyDescent="0.25">
      <c r="A96" s="12">
        <v>44952</v>
      </c>
      <c r="B96" s="11" t="s">
        <v>76</v>
      </c>
      <c r="C96" s="11">
        <v>99.88</v>
      </c>
      <c r="D96" s="11">
        <v>99.95</v>
      </c>
      <c r="E96" s="25">
        <v>100</v>
      </c>
      <c r="F96" s="2">
        <v>99.95</v>
      </c>
    </row>
    <row r="97" spans="1:6" hidden="1" x14ac:dyDescent="0.25">
      <c r="A97" s="12">
        <v>44953</v>
      </c>
      <c r="B97" s="11" t="s">
        <v>76</v>
      </c>
      <c r="C97" s="11">
        <v>99.88</v>
      </c>
      <c r="D97" s="11">
        <v>99.95</v>
      </c>
      <c r="E97" s="25">
        <v>100</v>
      </c>
      <c r="F97" s="2">
        <v>99.95</v>
      </c>
    </row>
    <row r="98" spans="1:6" hidden="1" x14ac:dyDescent="0.25">
      <c r="A98" s="12">
        <v>44954</v>
      </c>
      <c r="B98" s="11" t="s">
        <v>76</v>
      </c>
      <c r="C98" s="11">
        <v>99.88</v>
      </c>
      <c r="D98" s="11">
        <v>99.95</v>
      </c>
      <c r="E98" s="25">
        <v>100</v>
      </c>
      <c r="F98" s="2">
        <v>99.95</v>
      </c>
    </row>
    <row r="99" spans="1:6" hidden="1" x14ac:dyDescent="0.25">
      <c r="A99" s="12">
        <v>44955</v>
      </c>
      <c r="B99" s="11" t="s">
        <v>76</v>
      </c>
      <c r="C99" s="11">
        <v>99.88</v>
      </c>
      <c r="D99" s="11">
        <v>99.95</v>
      </c>
      <c r="E99" s="25">
        <v>100</v>
      </c>
      <c r="F99" s="2">
        <v>99.95</v>
      </c>
    </row>
    <row r="100" spans="1:6" hidden="1" x14ac:dyDescent="0.25">
      <c r="A100" s="12">
        <v>44956</v>
      </c>
      <c r="B100" s="11" t="s">
        <v>76</v>
      </c>
      <c r="C100" s="11">
        <v>99.88</v>
      </c>
      <c r="D100" s="11">
        <v>99.95</v>
      </c>
      <c r="E100" s="25">
        <v>100</v>
      </c>
      <c r="F100" s="2">
        <v>99.95</v>
      </c>
    </row>
    <row r="101" spans="1:6" hidden="1" x14ac:dyDescent="0.25">
      <c r="A101" s="12">
        <v>44957</v>
      </c>
      <c r="B101" s="11" t="s">
        <v>76</v>
      </c>
      <c r="C101" s="11">
        <v>99.88</v>
      </c>
      <c r="D101" s="11">
        <v>99.95</v>
      </c>
      <c r="E101" s="25">
        <v>100</v>
      </c>
      <c r="F101" s="2">
        <v>99.95</v>
      </c>
    </row>
    <row r="102" spans="1:6" hidden="1" x14ac:dyDescent="0.25">
      <c r="A102" s="12">
        <v>44958</v>
      </c>
      <c r="B102" s="11" t="s">
        <v>76</v>
      </c>
      <c r="C102" s="11">
        <v>99.88</v>
      </c>
      <c r="D102" s="11">
        <v>99.95</v>
      </c>
      <c r="E102" s="25">
        <v>100</v>
      </c>
      <c r="F102" s="2">
        <v>99.95</v>
      </c>
    </row>
    <row r="103" spans="1:6" hidden="1" x14ac:dyDescent="0.25">
      <c r="A103" s="12">
        <v>44959</v>
      </c>
      <c r="B103" s="11" t="s">
        <v>76</v>
      </c>
      <c r="C103" s="11">
        <v>99.88</v>
      </c>
      <c r="D103" s="11">
        <v>99.95</v>
      </c>
      <c r="E103" s="25">
        <v>100</v>
      </c>
      <c r="F103" s="2">
        <v>99.95</v>
      </c>
    </row>
    <row r="104" spans="1:6" hidden="1" x14ac:dyDescent="0.25">
      <c r="A104" s="12">
        <v>44960</v>
      </c>
      <c r="B104" s="11" t="s">
        <v>76</v>
      </c>
      <c r="C104" s="11">
        <v>99.88</v>
      </c>
      <c r="D104" s="11">
        <v>99.95</v>
      </c>
      <c r="E104" s="25">
        <v>100</v>
      </c>
      <c r="F104" s="2">
        <v>99.95</v>
      </c>
    </row>
    <row r="105" spans="1:6" hidden="1" x14ac:dyDescent="0.25">
      <c r="A105" s="12">
        <v>44961</v>
      </c>
      <c r="B105" s="11" t="s">
        <v>76</v>
      </c>
      <c r="C105" s="11">
        <v>99.88</v>
      </c>
      <c r="D105" s="11">
        <v>99.95</v>
      </c>
      <c r="E105" s="25">
        <v>100</v>
      </c>
      <c r="F105" s="2">
        <v>99.95</v>
      </c>
    </row>
    <row r="106" spans="1:6" hidden="1" x14ac:dyDescent="0.25">
      <c r="A106" s="12">
        <v>44962</v>
      </c>
      <c r="B106" s="11" t="s">
        <v>76</v>
      </c>
      <c r="C106" s="11">
        <v>99.88</v>
      </c>
      <c r="D106" s="11">
        <v>99.95</v>
      </c>
      <c r="E106" s="25">
        <v>100</v>
      </c>
      <c r="F106" s="2">
        <v>99.95</v>
      </c>
    </row>
    <row r="107" spans="1:6" hidden="1" x14ac:dyDescent="0.25">
      <c r="A107" s="12">
        <v>44963</v>
      </c>
      <c r="B107" s="11" t="s">
        <v>76</v>
      </c>
      <c r="C107" s="11">
        <v>99.88</v>
      </c>
      <c r="D107" s="11">
        <v>99.95</v>
      </c>
      <c r="E107" s="25">
        <v>100</v>
      </c>
      <c r="F107" s="2">
        <v>99.95</v>
      </c>
    </row>
    <row r="108" spans="1:6" hidden="1" x14ac:dyDescent="0.25">
      <c r="A108" s="12">
        <v>44964</v>
      </c>
      <c r="B108" s="11" t="s">
        <v>76</v>
      </c>
      <c r="C108" s="11">
        <v>99.88</v>
      </c>
      <c r="D108" s="11">
        <v>99.95</v>
      </c>
      <c r="E108" s="25">
        <v>100</v>
      </c>
      <c r="F108" s="2">
        <v>99.95</v>
      </c>
    </row>
    <row r="109" spans="1:6" hidden="1" x14ac:dyDescent="0.25">
      <c r="A109" s="12">
        <v>44965</v>
      </c>
      <c r="B109" s="11" t="s">
        <v>76</v>
      </c>
      <c r="C109" s="11">
        <v>99.88</v>
      </c>
      <c r="D109" s="11">
        <v>99.95</v>
      </c>
      <c r="E109" s="25">
        <v>100</v>
      </c>
      <c r="F109" s="2">
        <v>99.95</v>
      </c>
    </row>
    <row r="110" spans="1:6" hidden="1" x14ac:dyDescent="0.25">
      <c r="A110" s="12">
        <v>44966</v>
      </c>
      <c r="B110" s="11" t="s">
        <v>76</v>
      </c>
      <c r="C110" s="11">
        <v>99.88</v>
      </c>
      <c r="D110" s="11">
        <v>99.95</v>
      </c>
      <c r="E110" s="25">
        <v>100</v>
      </c>
      <c r="F110" s="2">
        <v>99.95</v>
      </c>
    </row>
    <row r="111" spans="1:6" hidden="1" x14ac:dyDescent="0.25">
      <c r="A111" s="12">
        <v>44967</v>
      </c>
      <c r="B111" s="11" t="s">
        <v>76</v>
      </c>
      <c r="C111" s="11">
        <v>99.88</v>
      </c>
      <c r="D111" s="11">
        <v>99.95</v>
      </c>
      <c r="E111" s="25">
        <v>100</v>
      </c>
      <c r="F111" s="2">
        <v>99.95</v>
      </c>
    </row>
    <row r="112" spans="1:6" hidden="1" x14ac:dyDescent="0.25">
      <c r="A112" s="12">
        <v>44968</v>
      </c>
      <c r="B112" s="11" t="s">
        <v>76</v>
      </c>
      <c r="C112" s="11">
        <v>99.88</v>
      </c>
      <c r="D112" s="11">
        <v>99.95</v>
      </c>
      <c r="E112" s="25">
        <v>100</v>
      </c>
      <c r="F112" s="2">
        <v>99.95</v>
      </c>
    </row>
    <row r="113" spans="1:6" hidden="1" x14ac:dyDescent="0.25">
      <c r="A113" s="12">
        <v>44969</v>
      </c>
      <c r="B113" s="11" t="s">
        <v>76</v>
      </c>
      <c r="C113" s="11">
        <v>99.88</v>
      </c>
      <c r="D113" s="11">
        <v>99.95</v>
      </c>
      <c r="E113" s="25">
        <v>100</v>
      </c>
      <c r="F113" s="2">
        <v>99.95</v>
      </c>
    </row>
    <row r="114" spans="1:6" hidden="1" x14ac:dyDescent="0.25">
      <c r="A114" s="12">
        <v>44970</v>
      </c>
      <c r="B114" s="11" t="s">
        <v>76</v>
      </c>
      <c r="C114" s="11">
        <v>99.88</v>
      </c>
      <c r="D114" s="11">
        <v>99.95</v>
      </c>
      <c r="E114" s="25">
        <v>100</v>
      </c>
      <c r="F114" s="2">
        <v>99.95</v>
      </c>
    </row>
    <row r="115" spans="1:6" hidden="1" x14ac:dyDescent="0.25">
      <c r="A115" s="12">
        <v>44971</v>
      </c>
      <c r="B115" s="11" t="s">
        <v>76</v>
      </c>
      <c r="C115" s="11">
        <v>99.88</v>
      </c>
      <c r="D115" s="11">
        <v>99.95</v>
      </c>
      <c r="E115" s="25">
        <v>100</v>
      </c>
      <c r="F115" s="2">
        <v>99.95</v>
      </c>
    </row>
    <row r="116" spans="1:6" hidden="1" x14ac:dyDescent="0.25">
      <c r="A116" s="12">
        <v>44972</v>
      </c>
      <c r="B116" s="11" t="s">
        <v>76</v>
      </c>
      <c r="C116" s="11">
        <v>99.88</v>
      </c>
      <c r="D116" s="11">
        <v>99.95</v>
      </c>
      <c r="E116" s="25">
        <v>100</v>
      </c>
      <c r="F116" s="2">
        <v>99.95</v>
      </c>
    </row>
    <row r="117" spans="1:6" hidden="1" x14ac:dyDescent="0.25">
      <c r="A117" s="12">
        <v>44973</v>
      </c>
      <c r="B117" s="11" t="s">
        <v>76</v>
      </c>
      <c r="C117" s="11">
        <v>99.88</v>
      </c>
      <c r="D117" s="11">
        <v>99.95</v>
      </c>
      <c r="E117" s="25">
        <v>100</v>
      </c>
      <c r="F117" s="2">
        <v>99.95</v>
      </c>
    </row>
    <row r="118" spans="1:6" hidden="1" x14ac:dyDescent="0.25">
      <c r="A118" s="12">
        <v>44974</v>
      </c>
      <c r="B118" s="11" t="s">
        <v>76</v>
      </c>
      <c r="C118" s="11">
        <v>99.88</v>
      </c>
      <c r="D118" s="11">
        <v>99.95</v>
      </c>
      <c r="E118" s="25">
        <v>100</v>
      </c>
      <c r="F118" s="2">
        <v>99.95</v>
      </c>
    </row>
    <row r="119" spans="1:6" hidden="1" x14ac:dyDescent="0.25">
      <c r="A119" s="12">
        <v>44975</v>
      </c>
      <c r="B119" s="11" t="s">
        <v>76</v>
      </c>
      <c r="C119" s="11">
        <v>99.88</v>
      </c>
      <c r="D119" s="11">
        <v>99.95</v>
      </c>
      <c r="E119" s="25">
        <v>100</v>
      </c>
      <c r="F119" s="2">
        <v>99.95</v>
      </c>
    </row>
    <row r="120" spans="1:6" hidden="1" x14ac:dyDescent="0.25">
      <c r="A120" s="12">
        <v>44976</v>
      </c>
      <c r="B120" s="11" t="s">
        <v>76</v>
      </c>
      <c r="C120" s="11">
        <v>99.88</v>
      </c>
      <c r="D120" s="11">
        <v>99.95</v>
      </c>
      <c r="E120" s="25">
        <v>100</v>
      </c>
      <c r="F120" s="2">
        <v>99.95</v>
      </c>
    </row>
    <row r="121" spans="1:6" hidden="1" x14ac:dyDescent="0.25">
      <c r="A121" s="12">
        <v>44977</v>
      </c>
      <c r="B121" s="11" t="s">
        <v>76</v>
      </c>
      <c r="C121" s="11">
        <v>99.88</v>
      </c>
      <c r="D121" s="11">
        <v>99.95</v>
      </c>
      <c r="E121" s="25">
        <v>100</v>
      </c>
      <c r="F121" s="2">
        <v>99.95</v>
      </c>
    </row>
    <row r="122" spans="1:6" hidden="1" x14ac:dyDescent="0.25">
      <c r="A122" s="12">
        <v>44978</v>
      </c>
      <c r="B122" s="11" t="s">
        <v>76</v>
      </c>
      <c r="C122" s="11">
        <v>99.88</v>
      </c>
      <c r="D122" s="11">
        <v>99.95</v>
      </c>
      <c r="E122" s="25">
        <v>100</v>
      </c>
      <c r="F122" s="2">
        <v>99.95</v>
      </c>
    </row>
    <row r="123" spans="1:6" hidden="1" x14ac:dyDescent="0.25">
      <c r="A123" s="12">
        <v>44979</v>
      </c>
      <c r="B123" s="11" t="s">
        <v>76</v>
      </c>
      <c r="C123" s="11">
        <v>99.88</v>
      </c>
      <c r="D123" s="11">
        <v>99.95</v>
      </c>
      <c r="E123" s="25">
        <v>100</v>
      </c>
      <c r="F123" s="2">
        <v>99.95</v>
      </c>
    </row>
    <row r="124" spans="1:6" hidden="1" x14ac:dyDescent="0.25">
      <c r="A124" s="12">
        <v>44980</v>
      </c>
      <c r="B124" s="11" t="s">
        <v>76</v>
      </c>
      <c r="C124" s="11">
        <v>99.88</v>
      </c>
      <c r="D124" s="11">
        <v>99.95</v>
      </c>
      <c r="E124" s="25">
        <v>100</v>
      </c>
      <c r="F124" s="2">
        <v>99.95</v>
      </c>
    </row>
    <row r="125" spans="1:6" hidden="1" x14ac:dyDescent="0.25">
      <c r="A125" s="12">
        <v>44981</v>
      </c>
      <c r="B125" s="11" t="s">
        <v>76</v>
      </c>
      <c r="C125" s="11">
        <v>99.88</v>
      </c>
      <c r="D125" s="11">
        <v>99.95</v>
      </c>
      <c r="E125" s="25">
        <v>100</v>
      </c>
      <c r="F125" s="2">
        <v>99.95</v>
      </c>
    </row>
    <row r="126" spans="1:6" hidden="1" x14ac:dyDescent="0.25">
      <c r="A126" s="12">
        <v>44982</v>
      </c>
      <c r="B126" s="11" t="s">
        <v>76</v>
      </c>
      <c r="C126" s="11">
        <v>99.88</v>
      </c>
      <c r="D126" s="11">
        <v>99.95</v>
      </c>
      <c r="E126" s="25">
        <v>100</v>
      </c>
      <c r="F126" s="2">
        <v>99.95</v>
      </c>
    </row>
    <row r="127" spans="1:6" hidden="1" x14ac:dyDescent="0.25">
      <c r="A127" s="12">
        <v>44983</v>
      </c>
      <c r="B127" s="11" t="s">
        <v>76</v>
      </c>
      <c r="C127" s="11">
        <v>99.88</v>
      </c>
      <c r="D127" s="11">
        <v>99.95</v>
      </c>
      <c r="E127" s="25">
        <v>100</v>
      </c>
      <c r="F127" s="2">
        <v>99.95</v>
      </c>
    </row>
    <row r="128" spans="1:6" hidden="1" x14ac:dyDescent="0.25">
      <c r="A128" s="12">
        <v>44984</v>
      </c>
      <c r="B128" s="11" t="s">
        <v>76</v>
      </c>
      <c r="C128" s="11">
        <v>99.88</v>
      </c>
      <c r="D128" s="11">
        <v>99.95</v>
      </c>
      <c r="E128" s="25">
        <v>100</v>
      </c>
      <c r="F128" s="2">
        <v>99.95</v>
      </c>
    </row>
    <row r="129" spans="1:6" hidden="1" x14ac:dyDescent="0.25">
      <c r="A129" s="12">
        <v>44985</v>
      </c>
      <c r="B129" s="11" t="s">
        <v>76</v>
      </c>
      <c r="C129" s="11">
        <v>99.88</v>
      </c>
      <c r="D129" s="11">
        <v>99.95</v>
      </c>
      <c r="E129" s="25">
        <v>100</v>
      </c>
      <c r="F129" s="2">
        <v>99.95</v>
      </c>
    </row>
    <row r="130" spans="1:6" hidden="1" x14ac:dyDescent="0.25">
      <c r="A130" s="12">
        <v>44986</v>
      </c>
      <c r="B130" s="11" t="s">
        <v>76</v>
      </c>
      <c r="C130" s="11">
        <v>99.88</v>
      </c>
      <c r="D130" s="11">
        <v>99.95</v>
      </c>
      <c r="E130" s="25">
        <v>100</v>
      </c>
      <c r="F130" s="2">
        <v>99.95</v>
      </c>
    </row>
    <row r="131" spans="1:6" hidden="1" x14ac:dyDescent="0.25">
      <c r="A131" s="12">
        <v>44987</v>
      </c>
      <c r="B131" s="11" t="s">
        <v>76</v>
      </c>
      <c r="C131" s="11">
        <v>99.88</v>
      </c>
      <c r="D131" s="11">
        <v>99.95</v>
      </c>
      <c r="E131" s="25">
        <v>100</v>
      </c>
      <c r="F131" s="2">
        <v>99.95</v>
      </c>
    </row>
    <row r="132" spans="1:6" hidden="1" x14ac:dyDescent="0.25">
      <c r="A132" s="12">
        <v>44988</v>
      </c>
      <c r="B132" s="11" t="s">
        <v>76</v>
      </c>
      <c r="C132" s="11">
        <v>99.88</v>
      </c>
      <c r="D132" s="11">
        <v>99.95</v>
      </c>
      <c r="E132" s="25">
        <v>100</v>
      </c>
      <c r="F132" s="2">
        <v>99.95</v>
      </c>
    </row>
    <row r="133" spans="1:6" hidden="1" x14ac:dyDescent="0.25">
      <c r="A133" s="12">
        <v>44989</v>
      </c>
      <c r="B133" s="11" t="s">
        <v>76</v>
      </c>
      <c r="C133" s="11">
        <v>99.88</v>
      </c>
      <c r="D133" s="11">
        <v>99.95</v>
      </c>
      <c r="E133" s="25">
        <v>100</v>
      </c>
      <c r="F133" s="2">
        <v>99.95</v>
      </c>
    </row>
    <row r="134" spans="1:6" hidden="1" x14ac:dyDescent="0.25">
      <c r="A134" s="12">
        <v>44990</v>
      </c>
      <c r="B134" s="11" t="s">
        <v>76</v>
      </c>
      <c r="C134" s="11">
        <v>99.88</v>
      </c>
      <c r="D134" s="11">
        <v>99.95</v>
      </c>
      <c r="E134" s="25">
        <v>100</v>
      </c>
      <c r="F134" s="2">
        <v>99.95</v>
      </c>
    </row>
    <row r="135" spans="1:6" hidden="1" x14ac:dyDescent="0.25">
      <c r="A135" s="12">
        <v>44991</v>
      </c>
      <c r="B135" s="11" t="s">
        <v>76</v>
      </c>
      <c r="C135" s="11">
        <v>99.88</v>
      </c>
      <c r="D135" s="11">
        <v>99.95</v>
      </c>
      <c r="E135" s="25">
        <v>100</v>
      </c>
      <c r="F135" s="2">
        <v>99.95</v>
      </c>
    </row>
    <row r="136" spans="1:6" hidden="1" x14ac:dyDescent="0.25">
      <c r="A136" s="12">
        <v>44992</v>
      </c>
      <c r="B136" s="11" t="s">
        <v>76</v>
      </c>
      <c r="C136" s="11">
        <v>99.88</v>
      </c>
      <c r="D136" s="11">
        <v>99.95</v>
      </c>
      <c r="E136" s="25">
        <v>100</v>
      </c>
      <c r="F136" s="2">
        <v>99.95</v>
      </c>
    </row>
    <row r="137" spans="1:6" hidden="1" x14ac:dyDescent="0.25">
      <c r="A137" s="12">
        <v>44993</v>
      </c>
      <c r="B137" s="11" t="s">
        <v>76</v>
      </c>
      <c r="C137" s="11">
        <v>99.88</v>
      </c>
      <c r="D137" s="11">
        <v>99.95</v>
      </c>
      <c r="E137" s="25">
        <v>100</v>
      </c>
      <c r="F137" s="2">
        <v>99.95</v>
      </c>
    </row>
    <row r="138" spans="1:6" hidden="1" x14ac:dyDescent="0.25">
      <c r="A138" s="12">
        <v>44994</v>
      </c>
      <c r="B138" s="11" t="s">
        <v>76</v>
      </c>
      <c r="C138" s="11">
        <v>99.88</v>
      </c>
      <c r="D138" s="11">
        <v>99.95</v>
      </c>
      <c r="E138" s="25">
        <v>100</v>
      </c>
      <c r="F138" s="2">
        <v>99.95</v>
      </c>
    </row>
    <row r="139" spans="1:6" hidden="1" x14ac:dyDescent="0.25">
      <c r="A139" s="12">
        <v>44995</v>
      </c>
      <c r="B139" s="11" t="s">
        <v>76</v>
      </c>
      <c r="C139" s="11">
        <v>99.88</v>
      </c>
      <c r="D139" s="11">
        <v>99.95</v>
      </c>
      <c r="E139" s="25">
        <v>100</v>
      </c>
      <c r="F139" s="2">
        <v>99.95</v>
      </c>
    </row>
    <row r="140" spans="1:6" hidden="1" x14ac:dyDescent="0.25">
      <c r="A140" s="12">
        <v>44996</v>
      </c>
      <c r="B140" s="11" t="s">
        <v>76</v>
      </c>
      <c r="C140" s="11">
        <v>99.88</v>
      </c>
      <c r="D140" s="11">
        <v>99.95</v>
      </c>
      <c r="E140" s="25">
        <v>100</v>
      </c>
      <c r="F140" s="2">
        <v>99.95</v>
      </c>
    </row>
    <row r="141" spans="1:6" hidden="1" x14ac:dyDescent="0.25">
      <c r="A141" s="12">
        <v>44997</v>
      </c>
      <c r="B141" s="11" t="s">
        <v>76</v>
      </c>
      <c r="C141" s="11">
        <v>99.88</v>
      </c>
      <c r="D141" s="11">
        <v>99.95</v>
      </c>
      <c r="E141" s="25">
        <v>100</v>
      </c>
      <c r="F141" s="2">
        <v>99.95</v>
      </c>
    </row>
    <row r="142" spans="1:6" hidden="1" x14ac:dyDescent="0.25">
      <c r="A142" s="12">
        <v>44998</v>
      </c>
      <c r="B142" s="11" t="s">
        <v>76</v>
      </c>
      <c r="C142" s="11">
        <v>99.88</v>
      </c>
      <c r="D142" s="11">
        <v>99.95</v>
      </c>
      <c r="E142" s="25">
        <v>100</v>
      </c>
      <c r="F142" s="2">
        <v>99.95</v>
      </c>
    </row>
    <row r="143" spans="1:6" hidden="1" x14ac:dyDescent="0.25">
      <c r="A143" s="12">
        <v>44999</v>
      </c>
      <c r="B143" s="11" t="s">
        <v>76</v>
      </c>
      <c r="C143" s="11">
        <v>99.88</v>
      </c>
      <c r="D143" s="11">
        <v>99.95</v>
      </c>
      <c r="E143" s="25">
        <v>100</v>
      </c>
      <c r="F143" s="2">
        <v>99.95</v>
      </c>
    </row>
    <row r="144" spans="1:6" hidden="1" x14ac:dyDescent="0.25">
      <c r="A144" s="12">
        <v>45000</v>
      </c>
      <c r="B144" s="11" t="s">
        <v>76</v>
      </c>
      <c r="C144" s="11">
        <v>99.88</v>
      </c>
      <c r="D144" s="11">
        <v>99.95</v>
      </c>
      <c r="E144" s="25">
        <v>100</v>
      </c>
      <c r="F144" s="2">
        <v>99.95</v>
      </c>
    </row>
    <row r="145" spans="1:6" hidden="1" x14ac:dyDescent="0.25">
      <c r="A145" s="12">
        <v>45001</v>
      </c>
      <c r="B145" s="11" t="s">
        <v>76</v>
      </c>
      <c r="C145" s="11">
        <v>99.88</v>
      </c>
      <c r="D145" s="11">
        <v>99.95</v>
      </c>
      <c r="E145" s="25">
        <v>100</v>
      </c>
      <c r="F145" s="2">
        <v>99.95</v>
      </c>
    </row>
    <row r="146" spans="1:6" hidden="1" x14ac:dyDescent="0.25">
      <c r="A146" s="12">
        <v>45002</v>
      </c>
      <c r="B146" s="11" t="s">
        <v>76</v>
      </c>
      <c r="C146" s="11">
        <v>99.88</v>
      </c>
      <c r="D146" s="11">
        <v>99.95</v>
      </c>
      <c r="E146" s="25">
        <v>100</v>
      </c>
      <c r="F146" s="2">
        <v>99.95</v>
      </c>
    </row>
    <row r="147" spans="1:6" hidden="1" x14ac:dyDescent="0.25">
      <c r="A147" s="12">
        <v>45003</v>
      </c>
      <c r="B147" s="11" t="s">
        <v>76</v>
      </c>
      <c r="C147" s="11">
        <v>99.88</v>
      </c>
      <c r="D147" s="11">
        <v>99.95</v>
      </c>
      <c r="E147" s="25">
        <v>100</v>
      </c>
      <c r="F147" s="2">
        <v>99.95</v>
      </c>
    </row>
    <row r="148" spans="1:6" hidden="1" x14ac:dyDescent="0.25">
      <c r="A148" s="12">
        <v>45004</v>
      </c>
      <c r="B148" s="11" t="s">
        <v>76</v>
      </c>
      <c r="C148" s="11">
        <v>99.88</v>
      </c>
      <c r="D148" s="11">
        <v>99.95</v>
      </c>
      <c r="E148" s="25">
        <v>100</v>
      </c>
      <c r="F148" s="2">
        <v>99.95</v>
      </c>
    </row>
    <row r="149" spans="1:6" hidden="1" x14ac:dyDescent="0.25">
      <c r="A149" s="12">
        <v>45005</v>
      </c>
      <c r="B149" s="11" t="s">
        <v>76</v>
      </c>
      <c r="C149" s="11">
        <v>99.88</v>
      </c>
      <c r="D149" s="11">
        <v>99.95</v>
      </c>
      <c r="E149" s="25">
        <v>100</v>
      </c>
      <c r="F149" s="2">
        <v>99.95</v>
      </c>
    </row>
    <row r="150" spans="1:6" hidden="1" x14ac:dyDescent="0.25">
      <c r="A150" s="12">
        <v>45006</v>
      </c>
      <c r="B150" s="11" t="s">
        <v>76</v>
      </c>
      <c r="C150" s="11">
        <v>99.88</v>
      </c>
      <c r="D150" s="11">
        <v>99.95</v>
      </c>
      <c r="E150" s="25">
        <v>100</v>
      </c>
      <c r="F150" s="2">
        <v>99.95</v>
      </c>
    </row>
    <row r="151" spans="1:6" hidden="1" x14ac:dyDescent="0.25">
      <c r="A151" s="12">
        <v>45007</v>
      </c>
      <c r="B151" s="11" t="s">
        <v>76</v>
      </c>
      <c r="C151" s="11">
        <v>99.88</v>
      </c>
      <c r="D151" s="11">
        <v>99.95</v>
      </c>
      <c r="E151" s="25">
        <v>100</v>
      </c>
      <c r="F151" s="2">
        <v>99.95</v>
      </c>
    </row>
    <row r="152" spans="1:6" hidden="1" x14ac:dyDescent="0.25">
      <c r="A152" s="12">
        <v>45008</v>
      </c>
      <c r="B152" s="11" t="s">
        <v>76</v>
      </c>
      <c r="C152" s="11">
        <v>99.88</v>
      </c>
      <c r="D152" s="11">
        <v>99.95</v>
      </c>
      <c r="E152" s="25">
        <v>100</v>
      </c>
      <c r="F152" s="2">
        <v>99.95</v>
      </c>
    </row>
    <row r="153" spans="1:6" hidden="1" x14ac:dyDescent="0.25">
      <c r="A153" s="12">
        <v>45009</v>
      </c>
      <c r="B153" s="11" t="s">
        <v>76</v>
      </c>
      <c r="C153" s="11">
        <v>99.88</v>
      </c>
      <c r="D153" s="11">
        <v>99.95</v>
      </c>
      <c r="E153" s="25">
        <v>100</v>
      </c>
      <c r="F153" s="2">
        <v>99.95</v>
      </c>
    </row>
    <row r="154" spans="1:6" hidden="1" x14ac:dyDescent="0.25">
      <c r="A154" s="12">
        <v>45010</v>
      </c>
      <c r="B154" s="11" t="s">
        <v>76</v>
      </c>
      <c r="C154" s="11">
        <v>99.88</v>
      </c>
      <c r="D154" s="11">
        <v>99.95</v>
      </c>
      <c r="E154" s="25">
        <v>100</v>
      </c>
      <c r="F154" s="2">
        <v>99.95</v>
      </c>
    </row>
    <row r="155" spans="1:6" hidden="1" x14ac:dyDescent="0.25">
      <c r="A155" s="12">
        <v>45011</v>
      </c>
      <c r="B155" s="11" t="s">
        <v>76</v>
      </c>
      <c r="C155" s="11">
        <v>99.88</v>
      </c>
      <c r="D155" s="11">
        <v>99.95</v>
      </c>
      <c r="E155" s="25">
        <v>100</v>
      </c>
      <c r="F155" s="2">
        <v>99.95</v>
      </c>
    </row>
    <row r="156" spans="1:6" hidden="1" x14ac:dyDescent="0.25">
      <c r="A156" s="12">
        <v>45012</v>
      </c>
      <c r="B156" s="11" t="s">
        <v>76</v>
      </c>
      <c r="C156" s="11">
        <v>99.88</v>
      </c>
      <c r="D156" s="11">
        <v>99.95</v>
      </c>
      <c r="E156" s="25">
        <v>100</v>
      </c>
      <c r="F156" s="2">
        <v>99.95</v>
      </c>
    </row>
    <row r="157" spans="1:6" hidden="1" x14ac:dyDescent="0.25">
      <c r="A157" s="12">
        <v>45013</v>
      </c>
      <c r="B157" s="11" t="s">
        <v>76</v>
      </c>
      <c r="C157" s="11">
        <v>99.88</v>
      </c>
      <c r="D157" s="11">
        <v>99.95</v>
      </c>
      <c r="E157" s="25">
        <v>100</v>
      </c>
      <c r="F157" s="2">
        <v>99.95</v>
      </c>
    </row>
    <row r="158" spans="1:6" hidden="1" x14ac:dyDescent="0.25">
      <c r="A158" s="12">
        <v>45014</v>
      </c>
      <c r="B158" s="11" t="s">
        <v>76</v>
      </c>
      <c r="C158" s="11">
        <v>99.88</v>
      </c>
      <c r="D158" s="11">
        <v>99.95</v>
      </c>
      <c r="E158" s="25">
        <v>100</v>
      </c>
      <c r="F158" s="2">
        <v>99.95</v>
      </c>
    </row>
    <row r="159" spans="1:6" hidden="1" x14ac:dyDescent="0.25">
      <c r="A159" s="12">
        <v>45015</v>
      </c>
      <c r="B159" s="11" t="s">
        <v>76</v>
      </c>
      <c r="C159" s="11">
        <v>99.88</v>
      </c>
      <c r="D159" s="11">
        <v>99.95</v>
      </c>
      <c r="E159" s="25">
        <v>100</v>
      </c>
      <c r="F159" s="2">
        <v>99.95</v>
      </c>
    </row>
    <row r="160" spans="1:6" hidden="1" x14ac:dyDescent="0.25">
      <c r="A160" s="12">
        <v>45016</v>
      </c>
      <c r="B160" s="11" t="s">
        <v>76</v>
      </c>
      <c r="C160" s="11">
        <v>99.88</v>
      </c>
      <c r="D160" s="11">
        <v>99.95</v>
      </c>
      <c r="E160" s="25">
        <v>100</v>
      </c>
      <c r="F160" s="2">
        <v>99.95</v>
      </c>
    </row>
    <row r="161" spans="1:6" hidden="1" x14ac:dyDescent="0.25">
      <c r="A161" s="12">
        <v>45017</v>
      </c>
      <c r="B161" s="11" t="s">
        <v>76</v>
      </c>
      <c r="C161" s="11">
        <v>99.88</v>
      </c>
      <c r="D161" s="11">
        <v>99.95</v>
      </c>
      <c r="E161" s="25">
        <v>100</v>
      </c>
      <c r="F161" s="2">
        <v>99.95</v>
      </c>
    </row>
    <row r="162" spans="1:6" hidden="1" x14ac:dyDescent="0.25">
      <c r="A162" s="12">
        <v>45018</v>
      </c>
      <c r="B162" s="11" t="s">
        <v>76</v>
      </c>
      <c r="C162" s="11">
        <v>99.88</v>
      </c>
      <c r="D162" s="11">
        <v>99.95</v>
      </c>
      <c r="E162" s="25">
        <v>100</v>
      </c>
      <c r="F162" s="2">
        <v>99.95</v>
      </c>
    </row>
    <row r="163" spans="1:6" hidden="1" x14ac:dyDescent="0.25">
      <c r="A163" s="12">
        <v>45019</v>
      </c>
      <c r="B163" s="11" t="s">
        <v>76</v>
      </c>
      <c r="C163" s="11">
        <v>99.88</v>
      </c>
      <c r="D163" s="11">
        <v>99.95</v>
      </c>
      <c r="E163" s="25">
        <v>100</v>
      </c>
      <c r="F163" s="2">
        <v>99.95</v>
      </c>
    </row>
    <row r="164" spans="1:6" hidden="1" x14ac:dyDescent="0.25">
      <c r="A164" s="12">
        <v>45020</v>
      </c>
      <c r="B164" s="11" t="s">
        <v>76</v>
      </c>
      <c r="C164" s="11">
        <v>99.88</v>
      </c>
      <c r="D164" s="11">
        <v>99.95</v>
      </c>
      <c r="E164" s="25">
        <v>100</v>
      </c>
      <c r="F164" s="2">
        <v>99.95</v>
      </c>
    </row>
    <row r="165" spans="1:6" hidden="1" x14ac:dyDescent="0.25">
      <c r="A165" s="12">
        <v>45021</v>
      </c>
      <c r="B165" s="11" t="s">
        <v>76</v>
      </c>
      <c r="C165" s="11">
        <v>99.88</v>
      </c>
      <c r="D165" s="11">
        <v>99.95</v>
      </c>
      <c r="E165" s="25">
        <v>100</v>
      </c>
      <c r="F165" s="2">
        <v>99.95</v>
      </c>
    </row>
    <row r="166" spans="1:6" hidden="1" x14ac:dyDescent="0.25">
      <c r="A166" s="12">
        <v>45022</v>
      </c>
      <c r="B166" s="11" t="s">
        <v>76</v>
      </c>
      <c r="C166" s="11">
        <v>99.88</v>
      </c>
      <c r="D166" s="11">
        <v>99.95</v>
      </c>
      <c r="E166" s="25">
        <v>100</v>
      </c>
      <c r="F166" s="2">
        <v>99.95</v>
      </c>
    </row>
    <row r="167" spans="1:6" hidden="1" x14ac:dyDescent="0.25">
      <c r="A167" s="12">
        <v>45023</v>
      </c>
      <c r="B167" s="11" t="s">
        <v>76</v>
      </c>
      <c r="C167" s="11">
        <v>99.88</v>
      </c>
      <c r="D167" s="11">
        <v>99.95</v>
      </c>
      <c r="E167" s="25">
        <v>100</v>
      </c>
      <c r="F167" s="2">
        <v>99.95</v>
      </c>
    </row>
    <row r="168" spans="1:6" hidden="1" x14ac:dyDescent="0.25">
      <c r="A168" s="12">
        <v>45024</v>
      </c>
      <c r="B168" s="11" t="s">
        <v>76</v>
      </c>
      <c r="C168" s="11">
        <v>99.88</v>
      </c>
      <c r="D168" s="11">
        <v>99.95</v>
      </c>
      <c r="E168" s="25">
        <v>100</v>
      </c>
      <c r="F168" s="2">
        <v>99.95</v>
      </c>
    </row>
    <row r="169" spans="1:6" hidden="1" x14ac:dyDescent="0.25">
      <c r="A169" s="12">
        <v>45025</v>
      </c>
      <c r="B169" s="11" t="s">
        <v>76</v>
      </c>
      <c r="C169" s="11">
        <v>99.88</v>
      </c>
      <c r="D169" s="11">
        <v>99.95</v>
      </c>
      <c r="E169" s="25">
        <v>100</v>
      </c>
      <c r="F169" s="2">
        <v>99.95</v>
      </c>
    </row>
    <row r="170" spans="1:6" hidden="1" x14ac:dyDescent="0.25">
      <c r="A170" s="12">
        <v>45026</v>
      </c>
      <c r="B170" s="11" t="s">
        <v>76</v>
      </c>
      <c r="C170" s="11">
        <v>99.88</v>
      </c>
      <c r="D170" s="11">
        <v>99.95</v>
      </c>
      <c r="E170" s="25">
        <v>100</v>
      </c>
      <c r="F170" s="2">
        <v>99.95</v>
      </c>
    </row>
    <row r="171" spans="1:6" hidden="1" x14ac:dyDescent="0.25">
      <c r="A171" s="12">
        <v>45027</v>
      </c>
      <c r="B171" s="11" t="s">
        <v>76</v>
      </c>
      <c r="C171" s="11">
        <v>99.88</v>
      </c>
      <c r="D171" s="11">
        <v>99.95</v>
      </c>
      <c r="E171" s="25">
        <v>100</v>
      </c>
      <c r="F171" s="2">
        <v>99.95</v>
      </c>
    </row>
    <row r="172" spans="1:6" hidden="1" x14ac:dyDescent="0.25">
      <c r="A172" s="12">
        <v>45028</v>
      </c>
      <c r="B172" s="11" t="s">
        <v>76</v>
      </c>
      <c r="C172" s="11">
        <v>99.88</v>
      </c>
      <c r="D172" s="11">
        <v>99.95</v>
      </c>
      <c r="E172" s="25">
        <v>100</v>
      </c>
      <c r="F172" s="2">
        <v>99.95</v>
      </c>
    </row>
    <row r="173" spans="1:6" hidden="1" x14ac:dyDescent="0.25">
      <c r="A173" s="12">
        <v>45029</v>
      </c>
      <c r="B173" s="11" t="s">
        <v>76</v>
      </c>
      <c r="C173" s="11">
        <v>99.88</v>
      </c>
      <c r="D173" s="11">
        <v>99.95</v>
      </c>
      <c r="E173" s="25">
        <v>100</v>
      </c>
      <c r="F173" s="2">
        <v>99.95</v>
      </c>
    </row>
    <row r="174" spans="1:6" hidden="1" x14ac:dyDescent="0.25">
      <c r="A174" s="12">
        <v>45030</v>
      </c>
      <c r="B174" s="11" t="s">
        <v>76</v>
      </c>
      <c r="C174" s="101">
        <v>99.94</v>
      </c>
      <c r="D174" s="102">
        <v>99.11</v>
      </c>
      <c r="E174" s="116">
        <v>100</v>
      </c>
      <c r="F174" s="104">
        <v>99.8</v>
      </c>
    </row>
    <row r="175" spans="1:6" hidden="1" x14ac:dyDescent="0.25">
      <c r="A175" s="12">
        <v>45031</v>
      </c>
      <c r="B175" s="11" t="s">
        <v>76</v>
      </c>
      <c r="C175" s="101">
        <v>99.98</v>
      </c>
      <c r="D175" s="102">
        <v>99.08</v>
      </c>
      <c r="E175" s="116">
        <v>100</v>
      </c>
      <c r="F175" s="104">
        <v>99.84</v>
      </c>
    </row>
    <row r="176" spans="1:6" hidden="1" x14ac:dyDescent="0.25">
      <c r="A176" s="12">
        <v>45032</v>
      </c>
      <c r="B176" s="11" t="s">
        <v>76</v>
      </c>
      <c r="C176" s="101">
        <v>99.93</v>
      </c>
      <c r="D176" s="102">
        <v>99.11</v>
      </c>
      <c r="E176" s="116">
        <v>100</v>
      </c>
      <c r="F176" s="104">
        <v>99.84</v>
      </c>
    </row>
    <row r="177" spans="1:6" hidden="1" x14ac:dyDescent="0.25">
      <c r="A177" s="12">
        <v>45033</v>
      </c>
      <c r="B177" s="11" t="s">
        <v>76</v>
      </c>
      <c r="C177" s="101">
        <v>99.94</v>
      </c>
      <c r="D177" s="102">
        <v>99.11</v>
      </c>
      <c r="E177" s="47">
        <v>92.59</v>
      </c>
      <c r="F177" s="104">
        <v>99.84</v>
      </c>
    </row>
    <row r="178" spans="1:6" hidden="1" x14ac:dyDescent="0.25">
      <c r="A178" s="12">
        <v>45034</v>
      </c>
      <c r="B178" s="11" t="s">
        <v>76</v>
      </c>
      <c r="C178" s="101">
        <v>99.94</v>
      </c>
      <c r="D178" s="102">
        <v>99.97</v>
      </c>
      <c r="E178" s="116">
        <v>100</v>
      </c>
      <c r="F178" s="104">
        <v>99.83</v>
      </c>
    </row>
    <row r="179" spans="1:6" hidden="1" x14ac:dyDescent="0.25">
      <c r="A179" s="12">
        <v>45035</v>
      </c>
      <c r="B179" s="11" t="s">
        <v>76</v>
      </c>
      <c r="C179" s="11">
        <v>99.95</v>
      </c>
      <c r="D179" s="25">
        <v>99.15</v>
      </c>
      <c r="E179" s="116">
        <v>100</v>
      </c>
      <c r="F179" s="104">
        <v>99.83</v>
      </c>
    </row>
    <row r="180" spans="1:6" hidden="1" x14ac:dyDescent="0.25">
      <c r="A180" s="12">
        <v>45036</v>
      </c>
      <c r="B180" s="11" t="s">
        <v>76</v>
      </c>
      <c r="C180" s="11">
        <v>99.96</v>
      </c>
      <c r="D180" s="11">
        <v>99.1</v>
      </c>
      <c r="E180" s="116">
        <v>100</v>
      </c>
      <c r="F180" s="104">
        <v>99.66</v>
      </c>
    </row>
    <row r="181" spans="1:6" hidden="1" x14ac:dyDescent="0.25">
      <c r="A181" s="12">
        <v>45037</v>
      </c>
      <c r="B181" s="11" t="s">
        <v>76</v>
      </c>
      <c r="C181" s="101">
        <v>99.97</v>
      </c>
      <c r="D181" s="102">
        <v>99.03</v>
      </c>
      <c r="E181" s="116">
        <v>99.91</v>
      </c>
      <c r="F181" s="104">
        <v>99.84</v>
      </c>
    </row>
    <row r="182" spans="1:6" hidden="1" x14ac:dyDescent="0.25">
      <c r="A182" s="12">
        <v>45038</v>
      </c>
      <c r="B182" s="11" t="s">
        <v>76</v>
      </c>
      <c r="C182" s="101">
        <v>99.97</v>
      </c>
      <c r="D182" s="102">
        <v>99.1</v>
      </c>
      <c r="E182" s="116">
        <v>99.9</v>
      </c>
      <c r="F182" s="104">
        <v>99.85</v>
      </c>
    </row>
    <row r="183" spans="1:6" hidden="1" x14ac:dyDescent="0.25">
      <c r="A183" s="12">
        <v>45039</v>
      </c>
      <c r="B183" s="11" t="s">
        <v>76</v>
      </c>
      <c r="C183" s="101">
        <v>99.98</v>
      </c>
      <c r="D183" s="102">
        <v>99.18</v>
      </c>
      <c r="E183" s="116">
        <v>99.98</v>
      </c>
      <c r="F183" s="104">
        <v>99.85</v>
      </c>
    </row>
    <row r="184" spans="1:6" hidden="1" x14ac:dyDescent="0.25">
      <c r="A184" s="12">
        <v>45040</v>
      </c>
      <c r="B184" s="11" t="s">
        <v>76</v>
      </c>
      <c r="C184" s="11">
        <v>99.95</v>
      </c>
      <c r="D184" s="11">
        <v>99.2</v>
      </c>
      <c r="E184" s="25">
        <v>99.97</v>
      </c>
      <c r="F184" s="2">
        <v>99.84</v>
      </c>
    </row>
    <row r="185" spans="1:6" hidden="1" x14ac:dyDescent="0.25">
      <c r="A185" s="12">
        <v>45041</v>
      </c>
      <c r="B185" s="11" t="s">
        <v>76</v>
      </c>
      <c r="C185" s="48">
        <v>99.89</v>
      </c>
      <c r="D185" s="48">
        <v>99.1</v>
      </c>
      <c r="E185" s="158">
        <v>100</v>
      </c>
      <c r="F185" s="2">
        <v>99.84</v>
      </c>
    </row>
    <row r="186" spans="1:6" hidden="1" x14ac:dyDescent="0.25">
      <c r="A186" s="12">
        <v>45042</v>
      </c>
      <c r="B186" s="11" t="s">
        <v>76</v>
      </c>
      <c r="C186" s="48">
        <v>99.95</v>
      </c>
      <c r="D186" s="48">
        <v>99.25</v>
      </c>
      <c r="E186" s="158">
        <v>99.94</v>
      </c>
      <c r="F186" s="2">
        <v>99.81</v>
      </c>
    </row>
    <row r="187" spans="1:6" hidden="1" x14ac:dyDescent="0.25">
      <c r="A187" s="12">
        <v>45043</v>
      </c>
      <c r="B187" s="11" t="s">
        <v>76</v>
      </c>
      <c r="C187" s="48">
        <v>99.97</v>
      </c>
      <c r="D187" s="48">
        <v>99.23</v>
      </c>
      <c r="E187" s="25">
        <v>99.81</v>
      </c>
      <c r="F187" s="48">
        <v>99.82</v>
      </c>
    </row>
    <row r="188" spans="1:6" hidden="1" x14ac:dyDescent="0.25">
      <c r="A188" s="12">
        <v>45044</v>
      </c>
      <c r="B188" s="11" t="s">
        <v>76</v>
      </c>
      <c r="C188" s="48">
        <v>99.97</v>
      </c>
      <c r="D188" s="48">
        <v>99.16</v>
      </c>
      <c r="E188" s="25">
        <v>99.97</v>
      </c>
      <c r="F188" s="48">
        <v>99.83</v>
      </c>
    </row>
    <row r="189" spans="1:6" hidden="1" x14ac:dyDescent="0.25">
      <c r="A189" s="12">
        <v>45045</v>
      </c>
      <c r="B189" s="11" t="s">
        <v>76</v>
      </c>
      <c r="C189" s="48">
        <v>99.95</v>
      </c>
      <c r="D189" s="48">
        <v>99.27</v>
      </c>
      <c r="E189" s="25">
        <v>100</v>
      </c>
      <c r="F189" s="48">
        <v>99.82</v>
      </c>
    </row>
    <row r="190" spans="1:6" hidden="1" x14ac:dyDescent="0.25">
      <c r="A190" s="12">
        <v>45046</v>
      </c>
      <c r="B190" s="11" t="s">
        <v>76</v>
      </c>
      <c r="C190" s="48">
        <v>99.72</v>
      </c>
      <c r="D190" s="48">
        <v>99.28</v>
      </c>
      <c r="E190" s="25">
        <v>99.9</v>
      </c>
      <c r="F190" s="48">
        <v>99.82</v>
      </c>
    </row>
    <row r="191" spans="1:6" hidden="1" x14ac:dyDescent="0.25">
      <c r="A191" s="12">
        <v>45047</v>
      </c>
      <c r="B191" s="11" t="s">
        <v>76</v>
      </c>
      <c r="C191" s="48">
        <v>99.9</v>
      </c>
      <c r="D191" s="48">
        <v>99.27</v>
      </c>
      <c r="E191" s="25">
        <v>98.99</v>
      </c>
      <c r="F191" s="48">
        <v>99.83</v>
      </c>
    </row>
    <row r="192" spans="1:6" hidden="1" x14ac:dyDescent="0.25">
      <c r="A192" s="12">
        <v>45048</v>
      </c>
      <c r="B192" s="11" t="s">
        <v>76</v>
      </c>
      <c r="C192" s="48">
        <v>99.82</v>
      </c>
      <c r="D192" s="48">
        <v>98.99</v>
      </c>
      <c r="E192" s="25">
        <v>98.18</v>
      </c>
      <c r="F192" s="48">
        <v>99.71</v>
      </c>
    </row>
    <row r="193" spans="1:8" ht="15.75" hidden="1" x14ac:dyDescent="0.25">
      <c r="A193" s="12">
        <v>45049</v>
      </c>
      <c r="B193" s="11" t="s">
        <v>76</v>
      </c>
      <c r="C193" s="48">
        <v>99.97</v>
      </c>
      <c r="D193" s="48">
        <v>99.14</v>
      </c>
      <c r="E193" s="25">
        <v>99.78</v>
      </c>
      <c r="F193" s="48">
        <v>99.74</v>
      </c>
      <c r="H193" s="112"/>
    </row>
    <row r="194" spans="1:8" hidden="1" x14ac:dyDescent="0.25">
      <c r="A194" s="12">
        <v>45050</v>
      </c>
      <c r="B194" s="11" t="s">
        <v>76</v>
      </c>
      <c r="C194" s="48">
        <v>99.97</v>
      </c>
      <c r="D194" s="48">
        <v>99.16</v>
      </c>
      <c r="E194" s="25">
        <v>99.88</v>
      </c>
      <c r="F194" s="48">
        <v>99.75</v>
      </c>
    </row>
    <row r="195" spans="1:8" hidden="1" x14ac:dyDescent="0.25">
      <c r="A195" s="12">
        <v>45051</v>
      </c>
      <c r="B195" s="11" t="s">
        <v>76</v>
      </c>
      <c r="C195" s="11">
        <v>99.97</v>
      </c>
      <c r="D195" s="11">
        <v>98.69</v>
      </c>
      <c r="E195" s="25">
        <v>99.91</v>
      </c>
      <c r="F195" s="48">
        <v>99.74</v>
      </c>
    </row>
    <row r="196" spans="1:8" hidden="1" x14ac:dyDescent="0.25">
      <c r="A196" s="12">
        <v>45052</v>
      </c>
      <c r="B196" s="11" t="s">
        <v>76</v>
      </c>
      <c r="C196" s="11">
        <v>99.97</v>
      </c>
      <c r="D196" s="11">
        <v>99.2</v>
      </c>
      <c r="E196" s="25">
        <v>99.95</v>
      </c>
      <c r="F196" s="48">
        <v>99.75</v>
      </c>
    </row>
    <row r="197" spans="1:8" hidden="1" x14ac:dyDescent="0.25">
      <c r="A197" s="12">
        <v>45053</v>
      </c>
      <c r="B197" s="11" t="s">
        <v>76</v>
      </c>
      <c r="C197" s="11">
        <v>99.96</v>
      </c>
      <c r="D197" s="11">
        <v>99.25</v>
      </c>
      <c r="E197" s="25">
        <v>99.82</v>
      </c>
      <c r="F197" s="48">
        <v>99.74</v>
      </c>
    </row>
    <row r="198" spans="1:8" hidden="1" x14ac:dyDescent="0.25">
      <c r="A198" s="12">
        <v>45054</v>
      </c>
      <c r="B198" s="11" t="s">
        <v>76</v>
      </c>
      <c r="C198" s="48">
        <v>99.95</v>
      </c>
      <c r="D198" s="48">
        <v>99.23</v>
      </c>
      <c r="E198" s="25">
        <v>99.75</v>
      </c>
      <c r="F198" s="48">
        <v>99.76</v>
      </c>
    </row>
    <row r="199" spans="1:8" hidden="1" x14ac:dyDescent="0.25">
      <c r="A199" s="12">
        <v>45055</v>
      </c>
      <c r="B199" s="11" t="s">
        <v>76</v>
      </c>
      <c r="C199" s="11">
        <v>99.96</v>
      </c>
      <c r="D199" s="11">
        <v>98.95</v>
      </c>
      <c r="E199" s="25">
        <v>99.89</v>
      </c>
      <c r="F199" s="48">
        <v>99.86</v>
      </c>
    </row>
    <row r="200" spans="1:8" hidden="1" x14ac:dyDescent="0.25">
      <c r="A200" s="12">
        <v>45056</v>
      </c>
      <c r="B200" s="11" t="s">
        <v>76</v>
      </c>
      <c r="C200" s="11">
        <v>99.95</v>
      </c>
      <c r="D200" s="11">
        <v>99.21</v>
      </c>
      <c r="E200" s="25">
        <v>99.94</v>
      </c>
      <c r="F200" s="48">
        <v>99.86</v>
      </c>
    </row>
    <row r="201" spans="1:8" hidden="1" x14ac:dyDescent="0.25">
      <c r="A201" s="12">
        <v>45057</v>
      </c>
      <c r="B201" s="11" t="s">
        <v>76</v>
      </c>
      <c r="C201" s="11">
        <v>99.95</v>
      </c>
      <c r="D201" s="11">
        <v>99.2</v>
      </c>
      <c r="E201" s="25">
        <v>100</v>
      </c>
      <c r="F201" s="48">
        <v>99.85</v>
      </c>
    </row>
    <row r="202" spans="1:8" hidden="1" x14ac:dyDescent="0.25">
      <c r="A202" s="12">
        <v>45058</v>
      </c>
      <c r="B202" s="11" t="s">
        <v>76</v>
      </c>
      <c r="C202" s="11">
        <v>99.91</v>
      </c>
      <c r="D202" s="11">
        <v>99.06</v>
      </c>
      <c r="E202" s="25">
        <v>99.96</v>
      </c>
      <c r="F202" s="2">
        <v>99.84</v>
      </c>
    </row>
    <row r="203" spans="1:8" hidden="1" x14ac:dyDescent="0.25">
      <c r="A203" s="12">
        <v>45059</v>
      </c>
      <c r="B203" s="11" t="s">
        <v>76</v>
      </c>
      <c r="C203" s="11">
        <v>99.88</v>
      </c>
      <c r="D203" s="11">
        <v>99.19</v>
      </c>
      <c r="E203" s="25">
        <v>99.98</v>
      </c>
      <c r="F203" s="2">
        <v>99.85</v>
      </c>
    </row>
    <row r="204" spans="1:8" hidden="1" x14ac:dyDescent="0.25">
      <c r="A204" s="12">
        <v>45060</v>
      </c>
      <c r="B204" s="11" t="s">
        <v>76</v>
      </c>
      <c r="C204" s="11">
        <v>99.76</v>
      </c>
      <c r="D204" s="11">
        <v>99.23</v>
      </c>
      <c r="E204" s="25">
        <v>99.93</v>
      </c>
      <c r="F204" s="2">
        <v>99.85</v>
      </c>
    </row>
    <row r="205" spans="1:8" hidden="1" x14ac:dyDescent="0.25">
      <c r="A205" s="12">
        <v>45061</v>
      </c>
      <c r="B205" s="11" t="s">
        <v>76</v>
      </c>
      <c r="C205" s="11">
        <v>99.95</v>
      </c>
      <c r="D205" s="11">
        <v>99.23</v>
      </c>
      <c r="E205" s="25">
        <v>99.93</v>
      </c>
      <c r="F205" s="2">
        <v>99.84</v>
      </c>
    </row>
    <row r="206" spans="1:8" hidden="1" x14ac:dyDescent="0.25">
      <c r="A206" s="12">
        <v>45062</v>
      </c>
      <c r="B206" s="11" t="s">
        <v>76</v>
      </c>
      <c r="C206" s="11">
        <v>99.86</v>
      </c>
      <c r="D206" s="11">
        <v>98.96</v>
      </c>
      <c r="E206" s="25">
        <v>99.97</v>
      </c>
      <c r="F206" s="2">
        <v>99.86</v>
      </c>
    </row>
    <row r="207" spans="1:8" hidden="1" x14ac:dyDescent="0.25">
      <c r="A207" s="12">
        <v>45063</v>
      </c>
      <c r="B207" s="11" t="s">
        <v>76</v>
      </c>
      <c r="C207" s="11">
        <v>99.89</v>
      </c>
      <c r="D207" s="11">
        <v>99.17</v>
      </c>
      <c r="E207" s="25">
        <v>99.9</v>
      </c>
      <c r="F207" s="2">
        <v>99.87</v>
      </c>
    </row>
    <row r="208" spans="1:8" hidden="1" x14ac:dyDescent="0.25">
      <c r="A208" s="12">
        <v>45064</v>
      </c>
      <c r="B208" s="11" t="s">
        <v>76</v>
      </c>
      <c r="C208" s="11">
        <v>99.85</v>
      </c>
      <c r="D208" s="11">
        <v>99.24</v>
      </c>
      <c r="E208" s="25">
        <v>99.89</v>
      </c>
      <c r="F208" s="2">
        <v>99.85</v>
      </c>
    </row>
    <row r="209" spans="1:6" hidden="1" x14ac:dyDescent="0.25">
      <c r="A209" s="12">
        <v>45065</v>
      </c>
      <c r="B209" s="11" t="s">
        <v>76</v>
      </c>
      <c r="C209" s="11">
        <v>99.66</v>
      </c>
      <c r="D209" s="11">
        <v>99.16</v>
      </c>
      <c r="E209" s="25">
        <v>99.95</v>
      </c>
      <c r="F209" s="2">
        <v>99.69</v>
      </c>
    </row>
    <row r="210" spans="1:6" hidden="1" x14ac:dyDescent="0.25">
      <c r="A210" s="12">
        <v>45066</v>
      </c>
      <c r="B210" s="11" t="s">
        <v>76</v>
      </c>
      <c r="C210" s="11">
        <v>99.61</v>
      </c>
      <c r="D210" s="11">
        <v>99.16</v>
      </c>
      <c r="E210" s="25">
        <v>99.98</v>
      </c>
      <c r="F210" s="2">
        <v>99.84</v>
      </c>
    </row>
    <row r="211" spans="1:6" hidden="1" x14ac:dyDescent="0.25">
      <c r="A211" s="12">
        <v>45067</v>
      </c>
      <c r="B211" s="11" t="s">
        <v>76</v>
      </c>
      <c r="C211" s="11">
        <v>99.62</v>
      </c>
      <c r="D211" s="11">
        <v>99.25</v>
      </c>
      <c r="E211" s="25">
        <v>99.92</v>
      </c>
      <c r="F211" s="2">
        <v>99.81</v>
      </c>
    </row>
    <row r="212" spans="1:6" hidden="1" x14ac:dyDescent="0.25">
      <c r="A212" s="12">
        <v>45068</v>
      </c>
      <c r="B212" s="11" t="s">
        <v>76</v>
      </c>
      <c r="C212" s="48">
        <v>99.53</v>
      </c>
      <c r="D212" s="48">
        <v>99.23</v>
      </c>
      <c r="E212" s="25">
        <v>100</v>
      </c>
      <c r="F212" s="2">
        <v>99.87</v>
      </c>
    </row>
    <row r="213" spans="1:6" hidden="1" x14ac:dyDescent="0.25">
      <c r="A213" s="12">
        <v>45069</v>
      </c>
      <c r="B213" s="11" t="s">
        <v>76</v>
      </c>
      <c r="C213" s="11">
        <v>99.61</v>
      </c>
      <c r="D213" s="11">
        <v>98.98</v>
      </c>
      <c r="E213" s="25">
        <v>99.98</v>
      </c>
      <c r="F213" s="2">
        <v>99.86</v>
      </c>
    </row>
    <row r="214" spans="1:6" hidden="1" x14ac:dyDescent="0.25">
      <c r="A214" s="12">
        <v>45070</v>
      </c>
      <c r="B214" s="11" t="s">
        <v>76</v>
      </c>
      <c r="C214" s="11">
        <v>99.67</v>
      </c>
      <c r="D214" s="11">
        <v>99.28</v>
      </c>
      <c r="E214" s="25">
        <v>100</v>
      </c>
      <c r="F214" s="2">
        <v>99.86</v>
      </c>
    </row>
    <row r="215" spans="1:6" hidden="1" x14ac:dyDescent="0.25">
      <c r="A215" s="12">
        <v>45071</v>
      </c>
      <c r="B215" s="11" t="s">
        <v>76</v>
      </c>
      <c r="C215" s="11">
        <v>99.6</v>
      </c>
      <c r="D215" s="11">
        <v>99.25</v>
      </c>
      <c r="E215" s="25">
        <v>99.94</v>
      </c>
      <c r="F215" s="2">
        <v>99.86</v>
      </c>
    </row>
    <row r="216" spans="1:6" hidden="1" x14ac:dyDescent="0.25">
      <c r="A216" s="12">
        <v>45072</v>
      </c>
      <c r="B216" s="11" t="s">
        <v>76</v>
      </c>
      <c r="C216" s="11">
        <v>99.58</v>
      </c>
      <c r="D216" s="11">
        <v>99.11</v>
      </c>
      <c r="E216" s="25">
        <v>99.92</v>
      </c>
      <c r="F216" s="2">
        <v>99.85</v>
      </c>
    </row>
    <row r="217" spans="1:6" hidden="1" x14ac:dyDescent="0.25">
      <c r="A217" s="12">
        <v>45073</v>
      </c>
      <c r="B217" s="11" t="s">
        <v>76</v>
      </c>
      <c r="C217" s="11">
        <v>99.66</v>
      </c>
      <c r="D217" s="11">
        <v>99.3</v>
      </c>
      <c r="E217" s="25">
        <v>99.98</v>
      </c>
      <c r="F217" s="2">
        <v>99.85</v>
      </c>
    </row>
    <row r="218" spans="1:6" hidden="1" x14ac:dyDescent="0.25">
      <c r="A218" s="12">
        <v>45074</v>
      </c>
      <c r="B218" s="11" t="s">
        <v>76</v>
      </c>
      <c r="C218" s="11">
        <v>99.38</v>
      </c>
      <c r="D218" s="11">
        <v>99.26</v>
      </c>
      <c r="E218" s="25">
        <v>99.96</v>
      </c>
      <c r="F218" s="2">
        <v>99.83</v>
      </c>
    </row>
    <row r="219" spans="1:6" hidden="1" x14ac:dyDescent="0.25">
      <c r="A219" s="12">
        <v>45075</v>
      </c>
      <c r="B219" s="11" t="s">
        <v>76</v>
      </c>
      <c r="C219" s="11">
        <v>99.25</v>
      </c>
      <c r="D219" s="11">
        <v>99.27</v>
      </c>
      <c r="E219" s="25">
        <v>99.92</v>
      </c>
      <c r="F219" s="2">
        <v>99.85</v>
      </c>
    </row>
    <row r="220" spans="1:6" hidden="1" x14ac:dyDescent="0.25">
      <c r="A220" s="12">
        <v>45076</v>
      </c>
      <c r="B220" s="11" t="s">
        <v>76</v>
      </c>
      <c r="C220" s="48">
        <v>99.24</v>
      </c>
      <c r="D220" s="48">
        <v>99.05</v>
      </c>
      <c r="E220" s="25">
        <v>99.95</v>
      </c>
      <c r="F220" s="2">
        <v>99.85</v>
      </c>
    </row>
    <row r="221" spans="1:6" hidden="1" x14ac:dyDescent="0.25">
      <c r="A221" s="12">
        <v>45077</v>
      </c>
      <c r="B221" s="11" t="s">
        <v>76</v>
      </c>
      <c r="C221" s="11">
        <v>99.61</v>
      </c>
      <c r="D221" s="11">
        <v>99.21</v>
      </c>
      <c r="E221" s="25">
        <v>99.91</v>
      </c>
      <c r="F221" s="2">
        <v>99.85</v>
      </c>
    </row>
    <row r="222" spans="1:6" hidden="1" x14ac:dyDescent="0.25">
      <c r="A222" s="12">
        <v>45078</v>
      </c>
      <c r="B222" s="11" t="s">
        <v>76</v>
      </c>
      <c r="C222" s="11">
        <v>99.95</v>
      </c>
      <c r="D222" s="11">
        <v>99.22</v>
      </c>
      <c r="E222" s="25">
        <v>99.94</v>
      </c>
      <c r="F222" s="2">
        <v>99.84</v>
      </c>
    </row>
    <row r="223" spans="1:6" hidden="1" x14ac:dyDescent="0.25">
      <c r="A223" s="12">
        <v>45079</v>
      </c>
      <c r="B223" s="11" t="s">
        <v>76</v>
      </c>
      <c r="C223" s="11">
        <v>99.96</v>
      </c>
      <c r="D223" s="11">
        <v>99.18</v>
      </c>
      <c r="E223" s="25">
        <v>99.64</v>
      </c>
      <c r="F223" s="2">
        <v>99.65</v>
      </c>
    </row>
    <row r="224" spans="1:6" hidden="1" x14ac:dyDescent="0.25">
      <c r="A224" s="12">
        <v>45080</v>
      </c>
      <c r="B224" s="11" t="s">
        <v>76</v>
      </c>
      <c r="C224" s="11">
        <v>99.93</v>
      </c>
      <c r="D224" s="11">
        <v>99.22</v>
      </c>
      <c r="E224" s="25">
        <v>99.9</v>
      </c>
      <c r="F224" s="2">
        <v>99.85</v>
      </c>
    </row>
    <row r="225" spans="1:6" hidden="1" x14ac:dyDescent="0.25">
      <c r="A225" s="12">
        <v>45081</v>
      </c>
      <c r="B225" s="11" t="s">
        <v>76</v>
      </c>
      <c r="C225" s="11">
        <v>99.96</v>
      </c>
      <c r="D225" s="11">
        <v>99.23</v>
      </c>
      <c r="E225" s="25">
        <v>99.99</v>
      </c>
      <c r="F225" s="2">
        <v>99.82</v>
      </c>
    </row>
    <row r="226" spans="1:6" hidden="1" x14ac:dyDescent="0.25">
      <c r="A226" s="12">
        <v>45082</v>
      </c>
      <c r="B226" s="11" t="s">
        <v>76</v>
      </c>
      <c r="C226" s="48">
        <v>99.95</v>
      </c>
      <c r="D226" s="48">
        <v>99.21</v>
      </c>
      <c r="E226" s="25">
        <v>99.84</v>
      </c>
      <c r="F226" s="2">
        <v>99.87</v>
      </c>
    </row>
    <row r="227" spans="1:6" hidden="1" x14ac:dyDescent="0.25">
      <c r="A227" s="12">
        <v>45083</v>
      </c>
      <c r="B227" s="11" t="s">
        <v>76</v>
      </c>
      <c r="C227" s="48">
        <v>99.87</v>
      </c>
      <c r="D227" s="48">
        <v>99.01</v>
      </c>
      <c r="E227" s="25">
        <v>99.9</v>
      </c>
      <c r="F227" s="2">
        <v>99.86</v>
      </c>
    </row>
    <row r="228" spans="1:6" hidden="1" x14ac:dyDescent="0.25">
      <c r="A228" s="12">
        <v>45084</v>
      </c>
      <c r="B228" s="11" t="s">
        <v>76</v>
      </c>
      <c r="C228" s="11">
        <v>99.84</v>
      </c>
      <c r="D228" s="11">
        <v>99.31</v>
      </c>
      <c r="E228" s="25">
        <v>97.37</v>
      </c>
      <c r="F228" s="2">
        <v>99.85</v>
      </c>
    </row>
    <row r="229" spans="1:6" hidden="1" x14ac:dyDescent="0.25">
      <c r="A229" s="12">
        <v>45085</v>
      </c>
      <c r="B229" s="11" t="s">
        <v>76</v>
      </c>
      <c r="C229" s="11">
        <v>99.52</v>
      </c>
      <c r="D229" s="11">
        <v>99.21</v>
      </c>
      <c r="E229" s="25">
        <v>99.83</v>
      </c>
      <c r="F229" s="2">
        <v>99.86</v>
      </c>
    </row>
    <row r="230" spans="1:6" hidden="1" x14ac:dyDescent="0.25">
      <c r="A230" s="12">
        <v>45086</v>
      </c>
      <c r="B230" s="11" t="s">
        <v>76</v>
      </c>
      <c r="C230" s="11">
        <v>99.47</v>
      </c>
      <c r="D230" s="11">
        <v>99.17</v>
      </c>
      <c r="E230" s="25">
        <v>100</v>
      </c>
      <c r="F230" s="2">
        <v>99.63</v>
      </c>
    </row>
    <row r="231" spans="1:6" hidden="1" x14ac:dyDescent="0.25">
      <c r="A231" s="12">
        <v>45087</v>
      </c>
      <c r="B231" s="11" t="s">
        <v>76</v>
      </c>
      <c r="C231" s="11">
        <v>99.92</v>
      </c>
      <c r="D231" s="11">
        <v>99.24</v>
      </c>
      <c r="E231" s="25">
        <v>99.94</v>
      </c>
      <c r="F231" s="2">
        <v>99.86</v>
      </c>
    </row>
    <row r="232" spans="1:6" hidden="1" x14ac:dyDescent="0.25">
      <c r="A232" s="12">
        <v>45088</v>
      </c>
      <c r="B232" s="11" t="s">
        <v>76</v>
      </c>
      <c r="C232" s="11">
        <v>99.73</v>
      </c>
      <c r="D232" s="11">
        <v>99.24</v>
      </c>
      <c r="E232" s="25">
        <v>100</v>
      </c>
      <c r="F232" s="2">
        <v>99.49</v>
      </c>
    </row>
    <row r="233" spans="1:6" hidden="1" x14ac:dyDescent="0.25">
      <c r="A233" s="12">
        <v>45089</v>
      </c>
      <c r="B233" s="11" t="s">
        <v>76</v>
      </c>
      <c r="C233" s="11">
        <v>99.79</v>
      </c>
      <c r="D233" s="11">
        <v>99.2</v>
      </c>
      <c r="E233" s="25">
        <v>99.86</v>
      </c>
      <c r="F233" s="2">
        <v>99.87</v>
      </c>
    </row>
    <row r="234" spans="1:6" hidden="1" x14ac:dyDescent="0.25">
      <c r="A234" s="12">
        <v>45090</v>
      </c>
      <c r="B234" s="11" t="s">
        <v>76</v>
      </c>
      <c r="C234" s="11">
        <v>99.79</v>
      </c>
      <c r="D234" s="11">
        <v>98.96</v>
      </c>
      <c r="E234" s="25">
        <v>100</v>
      </c>
      <c r="F234" s="2">
        <v>99.87</v>
      </c>
    </row>
    <row r="235" spans="1:6" hidden="1" x14ac:dyDescent="0.25">
      <c r="A235" s="12">
        <v>45091</v>
      </c>
      <c r="B235" s="11" t="s">
        <v>76</v>
      </c>
      <c r="C235" s="11">
        <v>99.77</v>
      </c>
      <c r="D235" s="11">
        <v>99.22</v>
      </c>
      <c r="E235" s="25">
        <v>100</v>
      </c>
      <c r="F235" s="2">
        <v>99.86</v>
      </c>
    </row>
    <row r="236" spans="1:6" hidden="1" x14ac:dyDescent="0.25">
      <c r="A236" s="12">
        <v>45092</v>
      </c>
      <c r="B236" s="11" t="s">
        <v>76</v>
      </c>
      <c r="C236" s="11">
        <v>99.66</v>
      </c>
      <c r="D236" s="11">
        <v>99.23</v>
      </c>
      <c r="E236" s="25">
        <v>99.72</v>
      </c>
      <c r="F236" s="2">
        <v>99.87</v>
      </c>
    </row>
    <row r="237" spans="1:6" hidden="1" x14ac:dyDescent="0.25">
      <c r="A237" s="12">
        <v>45093</v>
      </c>
      <c r="B237" s="11" t="s">
        <v>76</v>
      </c>
      <c r="C237" s="11">
        <v>99.66</v>
      </c>
      <c r="D237" s="11">
        <v>99.25</v>
      </c>
      <c r="E237" s="25">
        <v>99.9</v>
      </c>
      <c r="F237" s="2">
        <v>99.62</v>
      </c>
    </row>
    <row r="238" spans="1:6" hidden="1" x14ac:dyDescent="0.25">
      <c r="A238" s="12">
        <v>45094</v>
      </c>
      <c r="B238" s="11" t="s">
        <v>76</v>
      </c>
      <c r="C238" s="11">
        <v>99.71</v>
      </c>
      <c r="D238" s="11">
        <v>99.27</v>
      </c>
      <c r="E238" s="25">
        <v>100</v>
      </c>
      <c r="F238" s="2">
        <v>99.88</v>
      </c>
    </row>
    <row r="239" spans="1:6" hidden="1" x14ac:dyDescent="0.25">
      <c r="A239" s="12">
        <v>45095</v>
      </c>
      <c r="B239" s="11" t="s">
        <v>76</v>
      </c>
      <c r="C239" s="11">
        <v>99.34</v>
      </c>
      <c r="D239" s="11">
        <v>96.77</v>
      </c>
      <c r="E239" s="25">
        <v>99.62</v>
      </c>
      <c r="F239" s="2">
        <v>99.86</v>
      </c>
    </row>
    <row r="240" spans="1:6" hidden="1" x14ac:dyDescent="0.25">
      <c r="A240" s="12">
        <v>45096</v>
      </c>
      <c r="B240" s="11" t="s">
        <v>76</v>
      </c>
      <c r="C240" s="11">
        <v>99.17</v>
      </c>
      <c r="D240" s="11">
        <v>99.26</v>
      </c>
      <c r="E240" s="25">
        <v>99.65</v>
      </c>
      <c r="F240" s="2">
        <v>99.85</v>
      </c>
    </row>
    <row r="241" spans="1:6" hidden="1" x14ac:dyDescent="0.25">
      <c r="A241" s="12">
        <v>45097</v>
      </c>
      <c r="B241" s="11" t="s">
        <v>76</v>
      </c>
      <c r="C241" s="11">
        <v>99.32</v>
      </c>
      <c r="D241" s="11">
        <v>98.99</v>
      </c>
      <c r="E241" s="25">
        <v>100</v>
      </c>
      <c r="F241" s="2">
        <v>99.86</v>
      </c>
    </row>
    <row r="242" spans="1:6" hidden="1" x14ac:dyDescent="0.25">
      <c r="A242" s="12">
        <v>45098</v>
      </c>
      <c r="B242" s="11" t="s">
        <v>76</v>
      </c>
      <c r="C242" s="11">
        <v>99.54</v>
      </c>
      <c r="D242" s="11">
        <v>99.21</v>
      </c>
      <c r="E242" s="25">
        <v>99.9</v>
      </c>
      <c r="F242" s="2">
        <v>99.87</v>
      </c>
    </row>
    <row r="243" spans="1:6" hidden="1" x14ac:dyDescent="0.25">
      <c r="A243" s="12">
        <v>45099</v>
      </c>
      <c r="B243" s="11" t="s">
        <v>76</v>
      </c>
      <c r="C243" s="11">
        <v>99.64</v>
      </c>
      <c r="D243" s="11">
        <v>99.2</v>
      </c>
      <c r="E243" s="25">
        <v>100</v>
      </c>
      <c r="F243" s="2">
        <v>99.87</v>
      </c>
    </row>
    <row r="244" spans="1:6" hidden="1" x14ac:dyDescent="0.25">
      <c r="A244" s="12">
        <v>45100</v>
      </c>
      <c r="B244" s="11" t="s">
        <v>76</v>
      </c>
      <c r="C244" s="11">
        <v>99.07</v>
      </c>
      <c r="D244" s="11">
        <v>99.21</v>
      </c>
      <c r="E244" s="25">
        <v>99.98</v>
      </c>
      <c r="F244" s="2">
        <v>99.57</v>
      </c>
    </row>
    <row r="245" spans="1:6" hidden="1" x14ac:dyDescent="0.25">
      <c r="A245" s="12">
        <v>45101</v>
      </c>
      <c r="B245" s="11" t="s">
        <v>76</v>
      </c>
      <c r="C245" s="11">
        <v>99.26</v>
      </c>
      <c r="D245" s="11">
        <v>99.19</v>
      </c>
      <c r="E245" s="25">
        <v>99.86</v>
      </c>
      <c r="F245" s="2">
        <v>99.86</v>
      </c>
    </row>
    <row r="246" spans="1:6" hidden="1" x14ac:dyDescent="0.25">
      <c r="A246" s="12">
        <v>45102</v>
      </c>
      <c r="B246" s="11" t="s">
        <v>76</v>
      </c>
      <c r="C246" s="11">
        <v>99.02</v>
      </c>
      <c r="D246" s="11">
        <v>99.23</v>
      </c>
      <c r="E246" s="25">
        <v>99.93</v>
      </c>
      <c r="F246" s="2">
        <v>99.85</v>
      </c>
    </row>
    <row r="247" spans="1:6" hidden="1" x14ac:dyDescent="0.25">
      <c r="A247" s="12">
        <v>45103</v>
      </c>
      <c r="B247" s="11" t="s">
        <v>76</v>
      </c>
      <c r="C247" s="11">
        <v>99.06</v>
      </c>
      <c r="D247" s="11">
        <v>99.19</v>
      </c>
      <c r="E247" s="25">
        <v>99.81</v>
      </c>
      <c r="F247" s="2">
        <v>99.89</v>
      </c>
    </row>
    <row r="248" spans="1:6" hidden="1" x14ac:dyDescent="0.25">
      <c r="A248" s="12">
        <v>45104</v>
      </c>
      <c r="B248" s="11" t="s">
        <v>76</v>
      </c>
      <c r="C248" s="11">
        <v>99.16</v>
      </c>
      <c r="D248" s="11">
        <v>98.85</v>
      </c>
      <c r="E248" s="25">
        <v>99.91</v>
      </c>
      <c r="F248" s="2">
        <v>99.65</v>
      </c>
    </row>
    <row r="249" spans="1:6" hidden="1" x14ac:dyDescent="0.25">
      <c r="A249" s="12">
        <v>45105</v>
      </c>
      <c r="B249" s="11" t="s">
        <v>76</v>
      </c>
      <c r="C249" s="11">
        <v>99.98</v>
      </c>
      <c r="D249" s="11">
        <v>99.18</v>
      </c>
      <c r="E249" s="25">
        <v>99.99</v>
      </c>
      <c r="F249" s="2">
        <v>99.89</v>
      </c>
    </row>
    <row r="250" spans="1:6" hidden="1" x14ac:dyDescent="0.25">
      <c r="A250" s="12">
        <v>45106</v>
      </c>
      <c r="B250" s="11" t="s">
        <v>76</v>
      </c>
      <c r="C250" s="11">
        <v>99.97</v>
      </c>
      <c r="D250" s="11">
        <v>99.18</v>
      </c>
      <c r="E250" s="25">
        <v>99.89</v>
      </c>
      <c r="F250" s="2">
        <v>99.88</v>
      </c>
    </row>
    <row r="251" spans="1:6" hidden="1" x14ac:dyDescent="0.25">
      <c r="A251" s="12">
        <v>45107</v>
      </c>
      <c r="B251" s="11" t="s">
        <v>76</v>
      </c>
      <c r="C251" s="11">
        <v>99.95</v>
      </c>
      <c r="D251" s="11">
        <v>99.08</v>
      </c>
      <c r="E251" s="25">
        <v>99.83</v>
      </c>
      <c r="F251" s="2">
        <v>99.7</v>
      </c>
    </row>
    <row r="252" spans="1:6" hidden="1" x14ac:dyDescent="0.25">
      <c r="A252" s="12">
        <v>45108</v>
      </c>
      <c r="B252" s="11" t="s">
        <v>76</v>
      </c>
      <c r="C252" s="11">
        <v>99.97</v>
      </c>
      <c r="D252" s="11">
        <v>99.27</v>
      </c>
      <c r="E252" s="25">
        <v>99.9</v>
      </c>
      <c r="F252" s="2">
        <v>99.87</v>
      </c>
    </row>
    <row r="253" spans="1:6" hidden="1" x14ac:dyDescent="0.25">
      <c r="A253" s="12">
        <v>45109</v>
      </c>
      <c r="B253" s="11" t="s">
        <v>76</v>
      </c>
      <c r="C253" s="11">
        <v>99.97</v>
      </c>
      <c r="D253" s="11">
        <v>99.24</v>
      </c>
      <c r="E253" s="25">
        <v>99.93</v>
      </c>
      <c r="F253" s="2">
        <v>99.87</v>
      </c>
    </row>
    <row r="254" spans="1:6" hidden="1" x14ac:dyDescent="0.25">
      <c r="A254" s="12">
        <v>45110</v>
      </c>
      <c r="B254" s="11" t="s">
        <v>76</v>
      </c>
      <c r="C254" s="11">
        <v>99.95</v>
      </c>
      <c r="D254" s="11">
        <v>99.22</v>
      </c>
      <c r="E254" s="25">
        <v>99.94</v>
      </c>
      <c r="F254" s="2">
        <v>99.87</v>
      </c>
    </row>
    <row r="255" spans="1:6" hidden="1" x14ac:dyDescent="0.25">
      <c r="A255" s="12">
        <v>45111</v>
      </c>
      <c r="B255" s="11" t="s">
        <v>76</v>
      </c>
      <c r="C255" s="11">
        <v>99.94</v>
      </c>
      <c r="D255" s="11">
        <v>98.99</v>
      </c>
      <c r="E255" s="25">
        <v>99.95</v>
      </c>
      <c r="F255" s="2">
        <v>99.61</v>
      </c>
    </row>
    <row r="256" spans="1:6" hidden="1" x14ac:dyDescent="0.25">
      <c r="A256" s="12">
        <v>45112</v>
      </c>
      <c r="B256" s="11" t="s">
        <v>76</v>
      </c>
      <c r="C256" s="11">
        <v>99.95</v>
      </c>
      <c r="D256" s="11">
        <v>99.22</v>
      </c>
      <c r="E256" s="25">
        <v>99.16</v>
      </c>
      <c r="F256" s="2">
        <v>99.81</v>
      </c>
    </row>
    <row r="257" spans="1:6" hidden="1" x14ac:dyDescent="0.25">
      <c r="A257" s="12">
        <v>45113</v>
      </c>
      <c r="B257" s="11" t="s">
        <v>76</v>
      </c>
      <c r="C257" s="11">
        <v>99.95</v>
      </c>
      <c r="D257" s="11">
        <v>99.23</v>
      </c>
      <c r="E257" s="25">
        <v>99.96</v>
      </c>
      <c r="F257" s="2">
        <v>99.85</v>
      </c>
    </row>
    <row r="258" spans="1:6" hidden="1" x14ac:dyDescent="0.25">
      <c r="A258" s="12">
        <v>45114</v>
      </c>
      <c r="B258" s="11" t="s">
        <v>76</v>
      </c>
      <c r="C258" s="11">
        <v>99.95</v>
      </c>
      <c r="D258" s="11">
        <v>99.16</v>
      </c>
      <c r="E258" s="25">
        <v>99.96</v>
      </c>
      <c r="F258" s="2">
        <v>99.71</v>
      </c>
    </row>
    <row r="259" spans="1:6" hidden="1" x14ac:dyDescent="0.25">
      <c r="A259" s="12">
        <v>45115</v>
      </c>
      <c r="B259" s="11" t="s">
        <v>76</v>
      </c>
      <c r="C259" s="11">
        <v>99.86</v>
      </c>
      <c r="D259" s="11">
        <v>99.22</v>
      </c>
      <c r="E259" s="25">
        <v>99.9</v>
      </c>
      <c r="F259" s="2">
        <v>99.88</v>
      </c>
    </row>
    <row r="260" spans="1:6" hidden="1" x14ac:dyDescent="0.25">
      <c r="A260" s="12">
        <v>45116</v>
      </c>
      <c r="B260" s="11" t="s">
        <v>76</v>
      </c>
      <c r="C260" s="11">
        <v>99.96</v>
      </c>
      <c r="D260" s="11">
        <v>99.2</v>
      </c>
      <c r="E260" s="25">
        <v>48.74</v>
      </c>
      <c r="F260" s="2">
        <v>96.45</v>
      </c>
    </row>
    <row r="261" spans="1:6" hidden="1" x14ac:dyDescent="0.25">
      <c r="A261" s="12">
        <v>45117</v>
      </c>
      <c r="B261" s="11" t="s">
        <v>76</v>
      </c>
      <c r="C261" s="101"/>
      <c r="D261" s="101"/>
      <c r="E261" s="102"/>
      <c r="F261" s="2"/>
    </row>
    <row r="262" spans="1:6" hidden="1" x14ac:dyDescent="0.25">
      <c r="A262" s="12">
        <v>45118</v>
      </c>
      <c r="B262" s="11" t="s">
        <v>76</v>
      </c>
      <c r="C262" s="101">
        <v>99.96</v>
      </c>
      <c r="D262" s="101">
        <v>98.94</v>
      </c>
      <c r="E262" s="102">
        <v>31.77</v>
      </c>
      <c r="F262" s="2">
        <v>99.57</v>
      </c>
    </row>
    <row r="263" spans="1:6" hidden="1" x14ac:dyDescent="0.25">
      <c r="A263" s="12">
        <v>45119</v>
      </c>
      <c r="B263" s="11" t="s">
        <v>76</v>
      </c>
      <c r="C263" s="101">
        <v>99.96</v>
      </c>
      <c r="D263" s="101">
        <v>99.11</v>
      </c>
      <c r="E263" s="102">
        <v>65.28</v>
      </c>
      <c r="F263" s="2">
        <v>99.77</v>
      </c>
    </row>
    <row r="264" spans="1:6" hidden="1" x14ac:dyDescent="0.25">
      <c r="A264" s="12">
        <v>45120</v>
      </c>
      <c r="B264" s="11" t="s">
        <v>76</v>
      </c>
      <c r="C264" s="11">
        <v>99.86</v>
      </c>
      <c r="D264" s="11">
        <v>99.15</v>
      </c>
      <c r="E264" s="25">
        <v>70.45</v>
      </c>
      <c r="F264" s="2">
        <v>99.82</v>
      </c>
    </row>
    <row r="265" spans="1:6" hidden="1" x14ac:dyDescent="0.25">
      <c r="A265" s="12">
        <v>45121</v>
      </c>
      <c r="B265" s="11" t="s">
        <v>76</v>
      </c>
      <c r="C265" s="11">
        <v>99.96</v>
      </c>
      <c r="D265" s="11">
        <v>99.12</v>
      </c>
      <c r="E265" s="25">
        <v>68.52</v>
      </c>
      <c r="F265" s="2">
        <v>99.69</v>
      </c>
    </row>
    <row r="266" spans="1:6" hidden="1" x14ac:dyDescent="0.25">
      <c r="A266" s="12">
        <v>45122</v>
      </c>
      <c r="B266" s="11" t="s">
        <v>76</v>
      </c>
      <c r="C266" s="11">
        <v>99.92</v>
      </c>
      <c r="D266" s="11">
        <v>99.15</v>
      </c>
      <c r="E266" s="25">
        <v>75.42</v>
      </c>
      <c r="F266" s="2">
        <v>99.86</v>
      </c>
    </row>
    <row r="267" spans="1:6" hidden="1" x14ac:dyDescent="0.25">
      <c r="A267" s="12">
        <v>45123</v>
      </c>
      <c r="B267" s="11" t="s">
        <v>76</v>
      </c>
      <c r="C267" s="11">
        <v>99.96</v>
      </c>
      <c r="D267" s="11">
        <v>99.12</v>
      </c>
      <c r="E267" s="25">
        <v>71.180000000000007</v>
      </c>
      <c r="F267" s="2">
        <v>99.86</v>
      </c>
    </row>
    <row r="268" spans="1:6" hidden="1" x14ac:dyDescent="0.25">
      <c r="A268" s="12">
        <v>45124</v>
      </c>
      <c r="B268" s="11" t="s">
        <v>76</v>
      </c>
      <c r="C268" s="101">
        <v>99.95</v>
      </c>
      <c r="D268" s="101">
        <v>99.17</v>
      </c>
      <c r="E268" s="102">
        <v>74.13</v>
      </c>
      <c r="F268" s="2">
        <v>99.79</v>
      </c>
    </row>
    <row r="269" spans="1:6" hidden="1" x14ac:dyDescent="0.25">
      <c r="A269" s="12">
        <v>45125</v>
      </c>
      <c r="B269" s="11" t="s">
        <v>76</v>
      </c>
      <c r="C269" s="11">
        <v>99.81</v>
      </c>
      <c r="D269" s="101">
        <v>98.87</v>
      </c>
      <c r="E269" s="102">
        <v>67.400000000000006</v>
      </c>
      <c r="F269" s="2">
        <v>99.64</v>
      </c>
    </row>
    <row r="270" spans="1:6" hidden="1" x14ac:dyDescent="0.25">
      <c r="A270" s="12">
        <v>45126</v>
      </c>
      <c r="B270" s="11" t="s">
        <v>76</v>
      </c>
      <c r="C270" s="11">
        <v>99.91</v>
      </c>
      <c r="D270" s="11">
        <v>99.24</v>
      </c>
      <c r="E270" s="25">
        <v>63.45</v>
      </c>
      <c r="F270" s="2">
        <v>99.76</v>
      </c>
    </row>
    <row r="271" spans="1:6" hidden="1" x14ac:dyDescent="0.25">
      <c r="A271" s="12">
        <v>45127</v>
      </c>
      <c r="B271" s="11" t="s">
        <v>76</v>
      </c>
      <c r="C271" s="101">
        <v>99.95</v>
      </c>
      <c r="D271" s="101">
        <v>99.34</v>
      </c>
      <c r="E271" s="25">
        <v>59.68</v>
      </c>
      <c r="F271" s="104">
        <v>99.65</v>
      </c>
    </row>
    <row r="272" spans="1:6" hidden="1" x14ac:dyDescent="0.25">
      <c r="A272" s="12">
        <v>45128</v>
      </c>
      <c r="B272" s="11" t="s">
        <v>76</v>
      </c>
      <c r="C272" s="101">
        <v>99.95</v>
      </c>
      <c r="D272" s="101">
        <v>99.98</v>
      </c>
      <c r="E272" s="25">
        <v>65.98</v>
      </c>
      <c r="F272" s="104">
        <v>99.71</v>
      </c>
    </row>
    <row r="273" spans="1:6" hidden="1" x14ac:dyDescent="0.25">
      <c r="A273" s="12">
        <v>45129</v>
      </c>
      <c r="B273" s="11" t="s">
        <v>76</v>
      </c>
      <c r="C273" s="101">
        <v>99.92</v>
      </c>
      <c r="D273" s="101">
        <v>99.98</v>
      </c>
      <c r="E273" s="25">
        <v>76.67</v>
      </c>
      <c r="F273" s="104">
        <v>99.84</v>
      </c>
    </row>
    <row r="274" spans="1:6" hidden="1" x14ac:dyDescent="0.25">
      <c r="A274" s="12">
        <v>45130</v>
      </c>
      <c r="B274" s="11" t="s">
        <v>76</v>
      </c>
      <c r="C274" s="101">
        <v>99.93</v>
      </c>
      <c r="D274" s="101">
        <v>99.98</v>
      </c>
      <c r="E274" s="25">
        <v>70.63</v>
      </c>
      <c r="F274" s="104">
        <v>99.85</v>
      </c>
    </row>
    <row r="275" spans="1:6" hidden="1" x14ac:dyDescent="0.25">
      <c r="A275" s="12">
        <v>45131</v>
      </c>
      <c r="B275" s="11" t="s">
        <v>76</v>
      </c>
      <c r="C275" s="11">
        <v>99.82</v>
      </c>
      <c r="D275" s="101">
        <v>99.35</v>
      </c>
      <c r="E275" s="25">
        <v>74.239999999999995</v>
      </c>
      <c r="F275" s="2">
        <v>99.8</v>
      </c>
    </row>
    <row r="276" spans="1:6" hidden="1" x14ac:dyDescent="0.25">
      <c r="A276" s="12">
        <v>45132</v>
      </c>
      <c r="B276" s="11" t="s">
        <v>76</v>
      </c>
      <c r="C276" s="11">
        <v>99.74</v>
      </c>
      <c r="D276" s="11">
        <v>99.12</v>
      </c>
      <c r="E276" s="25">
        <v>74.06</v>
      </c>
      <c r="F276" s="2">
        <v>99.67</v>
      </c>
    </row>
    <row r="277" spans="1:6" hidden="1" x14ac:dyDescent="0.25">
      <c r="A277" s="12">
        <v>45133</v>
      </c>
      <c r="B277" s="11" t="s">
        <v>76</v>
      </c>
      <c r="C277" s="11">
        <v>99.95</v>
      </c>
      <c r="D277" s="11">
        <v>99.27</v>
      </c>
      <c r="E277" s="25">
        <v>66.86</v>
      </c>
      <c r="F277" s="2">
        <v>99.79</v>
      </c>
    </row>
    <row r="278" spans="1:6" hidden="1" x14ac:dyDescent="0.25">
      <c r="A278" s="12">
        <v>45134</v>
      </c>
      <c r="B278" s="11" t="s">
        <v>76</v>
      </c>
      <c r="C278" s="11">
        <v>99.94</v>
      </c>
      <c r="D278" s="11">
        <v>99.28</v>
      </c>
      <c r="E278" s="25">
        <v>78.72</v>
      </c>
      <c r="F278" s="2">
        <v>99.84</v>
      </c>
    </row>
    <row r="279" spans="1:6" hidden="1" x14ac:dyDescent="0.25">
      <c r="A279" s="12">
        <v>45135</v>
      </c>
      <c r="B279" s="11" t="s">
        <v>76</v>
      </c>
      <c r="C279" s="101">
        <v>99.96</v>
      </c>
      <c r="D279" s="101">
        <v>99.28</v>
      </c>
      <c r="E279" s="25">
        <v>60.35</v>
      </c>
      <c r="F279" s="104">
        <v>99.76</v>
      </c>
    </row>
    <row r="280" spans="1:6" hidden="1" x14ac:dyDescent="0.25">
      <c r="A280" s="12">
        <v>45136</v>
      </c>
      <c r="B280" s="11" t="s">
        <v>76</v>
      </c>
      <c r="C280" s="101">
        <v>99.95</v>
      </c>
      <c r="D280" s="101">
        <v>99.34</v>
      </c>
      <c r="E280" s="25">
        <v>53.41</v>
      </c>
      <c r="F280" s="104">
        <v>99.88</v>
      </c>
    </row>
    <row r="281" spans="1:6" hidden="1" x14ac:dyDescent="0.25">
      <c r="A281" s="12">
        <v>45137</v>
      </c>
      <c r="B281" s="11" t="s">
        <v>76</v>
      </c>
      <c r="C281" s="101">
        <v>99.97</v>
      </c>
      <c r="D281" s="101">
        <v>99.36</v>
      </c>
      <c r="E281" s="25">
        <v>57.57</v>
      </c>
      <c r="F281" s="104">
        <v>99.86</v>
      </c>
    </row>
    <row r="282" spans="1:6" hidden="1" x14ac:dyDescent="0.25">
      <c r="A282" s="12">
        <v>45138</v>
      </c>
      <c r="B282" s="11" t="s">
        <v>76</v>
      </c>
      <c r="C282" s="11">
        <v>99.9</v>
      </c>
      <c r="D282" s="11">
        <v>99.32</v>
      </c>
      <c r="E282" s="25">
        <v>54.87</v>
      </c>
      <c r="F282" s="2">
        <v>99.87</v>
      </c>
    </row>
    <row r="283" spans="1:6" hidden="1" x14ac:dyDescent="0.25">
      <c r="A283" s="12">
        <v>45139</v>
      </c>
      <c r="B283" s="11" t="s">
        <v>76</v>
      </c>
      <c r="C283" s="11">
        <v>99.94</v>
      </c>
      <c r="D283" s="11">
        <v>99.12</v>
      </c>
      <c r="E283" s="25">
        <v>58.46</v>
      </c>
      <c r="F283" s="2">
        <v>99.67</v>
      </c>
    </row>
    <row r="284" spans="1:6" hidden="1" x14ac:dyDescent="0.25">
      <c r="A284" s="12">
        <v>45140</v>
      </c>
      <c r="B284" s="11" t="s">
        <v>76</v>
      </c>
      <c r="C284" s="11">
        <v>99.88</v>
      </c>
      <c r="D284" s="11">
        <v>99.66</v>
      </c>
      <c r="E284" s="25">
        <v>60.19</v>
      </c>
      <c r="F284" s="2">
        <v>99.78</v>
      </c>
    </row>
    <row r="285" spans="1:6" hidden="1" x14ac:dyDescent="0.25">
      <c r="A285" s="12">
        <v>45141</v>
      </c>
      <c r="B285" s="11" t="s">
        <v>76</v>
      </c>
      <c r="C285" s="11">
        <v>99.71</v>
      </c>
      <c r="D285" s="11">
        <v>99.61</v>
      </c>
      <c r="E285" s="25">
        <v>64.260000000000005</v>
      </c>
      <c r="F285" s="2">
        <v>99.84</v>
      </c>
    </row>
    <row r="286" spans="1:6" hidden="1" x14ac:dyDescent="0.25">
      <c r="A286" s="12">
        <v>45142</v>
      </c>
      <c r="B286" s="11" t="s">
        <v>76</v>
      </c>
      <c r="C286" s="11">
        <v>99.97</v>
      </c>
      <c r="D286" s="11">
        <v>99.54</v>
      </c>
      <c r="E286" s="25">
        <v>61.07</v>
      </c>
      <c r="F286" s="2">
        <v>99.73</v>
      </c>
    </row>
    <row r="287" spans="1:6" hidden="1" x14ac:dyDescent="0.25">
      <c r="A287" s="12">
        <v>45143</v>
      </c>
      <c r="B287" s="11" t="s">
        <v>76</v>
      </c>
      <c r="C287" s="11">
        <v>99.97</v>
      </c>
      <c r="D287" s="11">
        <v>99.53</v>
      </c>
      <c r="E287" s="25">
        <v>60.24</v>
      </c>
      <c r="F287" s="2">
        <v>99.87</v>
      </c>
    </row>
    <row r="288" spans="1:6" hidden="1" x14ac:dyDescent="0.25">
      <c r="A288" s="12">
        <v>45144</v>
      </c>
      <c r="B288" s="11" t="s">
        <v>76</v>
      </c>
      <c r="C288" s="11">
        <v>99.96</v>
      </c>
      <c r="D288" s="11">
        <v>99.56</v>
      </c>
      <c r="E288" s="25">
        <v>62.61</v>
      </c>
      <c r="F288" s="2">
        <v>99.87</v>
      </c>
    </row>
    <row r="289" spans="1:6" hidden="1" x14ac:dyDescent="0.25">
      <c r="A289" s="12">
        <v>45145</v>
      </c>
      <c r="B289" s="11" t="s">
        <v>76</v>
      </c>
      <c r="C289" s="11">
        <v>99.97</v>
      </c>
      <c r="D289" s="11">
        <v>99.57</v>
      </c>
      <c r="E289" s="25">
        <v>58.17</v>
      </c>
      <c r="F289" s="2">
        <v>99.88</v>
      </c>
    </row>
    <row r="290" spans="1:6" hidden="1" x14ac:dyDescent="0.25">
      <c r="A290" s="12">
        <v>45146</v>
      </c>
      <c r="B290" s="11" t="s">
        <v>76</v>
      </c>
      <c r="C290" s="11">
        <v>99.96</v>
      </c>
      <c r="D290" s="11">
        <v>99.43</v>
      </c>
      <c r="E290" s="25">
        <v>63.27</v>
      </c>
      <c r="F290" s="2">
        <v>99.67</v>
      </c>
    </row>
    <row r="291" spans="1:6" hidden="1" x14ac:dyDescent="0.25">
      <c r="A291" s="12">
        <v>45147</v>
      </c>
      <c r="B291" s="11" t="s">
        <v>76</v>
      </c>
      <c r="C291" s="11">
        <v>99.97</v>
      </c>
      <c r="D291" s="11">
        <v>99.56</v>
      </c>
      <c r="E291" s="25">
        <v>59.55</v>
      </c>
      <c r="F291" s="2">
        <v>99.73</v>
      </c>
    </row>
    <row r="292" spans="1:6" hidden="1" x14ac:dyDescent="0.25">
      <c r="A292" s="12">
        <v>45148</v>
      </c>
      <c r="B292" s="11" t="s">
        <v>76</v>
      </c>
      <c r="C292" s="11">
        <v>99.95</v>
      </c>
      <c r="D292" s="11">
        <v>99.53</v>
      </c>
      <c r="E292" s="25">
        <v>65.319999999999993</v>
      </c>
      <c r="F292" s="2">
        <v>99.81</v>
      </c>
    </row>
    <row r="293" spans="1:6" hidden="1" x14ac:dyDescent="0.25">
      <c r="A293" s="12">
        <v>45149</v>
      </c>
      <c r="B293" s="11" t="s">
        <v>76</v>
      </c>
      <c r="C293" s="11">
        <v>99.89</v>
      </c>
      <c r="D293" s="11">
        <v>99.52</v>
      </c>
      <c r="E293" s="25">
        <v>67.44</v>
      </c>
      <c r="F293" s="2">
        <v>99.71</v>
      </c>
    </row>
    <row r="294" spans="1:6" hidden="1" x14ac:dyDescent="0.25">
      <c r="A294" s="12">
        <v>45150</v>
      </c>
      <c r="B294" s="11" t="s">
        <v>76</v>
      </c>
      <c r="C294" s="11">
        <v>99.97</v>
      </c>
      <c r="D294" s="11">
        <v>99.55</v>
      </c>
      <c r="E294" s="25">
        <v>100</v>
      </c>
      <c r="F294" s="2">
        <v>99.86</v>
      </c>
    </row>
    <row r="295" spans="1:6" hidden="1" x14ac:dyDescent="0.25">
      <c r="A295" s="12">
        <v>45151</v>
      </c>
      <c r="B295" s="11" t="s">
        <v>76</v>
      </c>
      <c r="C295" s="11">
        <v>99.97</v>
      </c>
      <c r="D295" s="11">
        <v>99.58</v>
      </c>
      <c r="E295" s="25">
        <v>100</v>
      </c>
      <c r="F295" s="2">
        <v>99.85</v>
      </c>
    </row>
    <row r="296" spans="1:6" hidden="1" x14ac:dyDescent="0.25">
      <c r="A296" s="12">
        <v>45152</v>
      </c>
      <c r="B296" s="11" t="s">
        <v>76</v>
      </c>
      <c r="C296" s="11">
        <v>99.97</v>
      </c>
      <c r="D296" s="11">
        <v>99.56</v>
      </c>
      <c r="E296" s="25">
        <v>100</v>
      </c>
      <c r="F296" s="2">
        <v>99.86</v>
      </c>
    </row>
    <row r="297" spans="1:6" hidden="1" x14ac:dyDescent="0.25">
      <c r="A297" s="12">
        <v>45153</v>
      </c>
      <c r="B297" s="11" t="s">
        <v>76</v>
      </c>
      <c r="C297" s="11">
        <v>99.96</v>
      </c>
      <c r="D297" s="11">
        <v>99.39</v>
      </c>
      <c r="E297" s="25">
        <v>100</v>
      </c>
      <c r="F297" s="2">
        <v>99.76</v>
      </c>
    </row>
    <row r="298" spans="1:6" hidden="1" x14ac:dyDescent="0.25">
      <c r="A298" s="12">
        <v>45154</v>
      </c>
      <c r="B298" s="11" t="s">
        <v>76</v>
      </c>
      <c r="C298" s="11">
        <v>99.96</v>
      </c>
      <c r="D298" s="11">
        <v>99.52</v>
      </c>
      <c r="E298" s="25">
        <v>100</v>
      </c>
      <c r="F298" s="2">
        <v>99.75</v>
      </c>
    </row>
    <row r="299" spans="1:6" hidden="1" x14ac:dyDescent="0.25">
      <c r="A299" s="12">
        <v>45155</v>
      </c>
      <c r="B299" s="11" t="s">
        <v>76</v>
      </c>
      <c r="C299" s="11">
        <v>99.97</v>
      </c>
      <c r="D299" s="11">
        <v>99.43</v>
      </c>
      <c r="E299" s="25">
        <v>100</v>
      </c>
      <c r="F299" s="2">
        <v>99.81</v>
      </c>
    </row>
    <row r="300" spans="1:6" hidden="1" x14ac:dyDescent="0.25">
      <c r="A300" s="12">
        <v>45156</v>
      </c>
      <c r="B300" s="11" t="s">
        <v>76</v>
      </c>
      <c r="C300" s="11">
        <v>99.97</v>
      </c>
      <c r="D300" s="11">
        <v>99.41</v>
      </c>
      <c r="E300" s="25">
        <v>99.98</v>
      </c>
      <c r="F300" s="2">
        <v>99.72</v>
      </c>
    </row>
    <row r="301" spans="1:6" hidden="1" x14ac:dyDescent="0.25">
      <c r="A301" s="12">
        <v>45157</v>
      </c>
      <c r="B301" s="11" t="s">
        <v>76</v>
      </c>
      <c r="C301" s="11">
        <v>99.97</v>
      </c>
      <c r="D301" s="11">
        <v>99.44</v>
      </c>
      <c r="E301" s="25">
        <v>99.99</v>
      </c>
      <c r="F301" s="2">
        <v>99.86</v>
      </c>
    </row>
    <row r="302" spans="1:6" hidden="1" x14ac:dyDescent="0.25">
      <c r="A302" s="12">
        <v>45158</v>
      </c>
      <c r="B302" s="11" t="s">
        <v>76</v>
      </c>
      <c r="C302" s="11">
        <v>99.97</v>
      </c>
      <c r="D302" s="11">
        <v>99.47</v>
      </c>
      <c r="E302" s="25">
        <v>100</v>
      </c>
      <c r="F302" s="2">
        <v>99.38</v>
      </c>
    </row>
    <row r="303" spans="1:6" hidden="1" x14ac:dyDescent="0.25">
      <c r="A303" s="12">
        <v>45159</v>
      </c>
      <c r="B303" s="11" t="s">
        <v>76</v>
      </c>
      <c r="C303" s="11">
        <v>99.97</v>
      </c>
      <c r="D303" s="11">
        <v>99.47</v>
      </c>
      <c r="E303" s="25">
        <v>100</v>
      </c>
      <c r="F303" s="2">
        <v>99.87</v>
      </c>
    </row>
    <row r="304" spans="1:6" hidden="1" x14ac:dyDescent="0.25">
      <c r="A304" s="12">
        <v>45160</v>
      </c>
      <c r="B304" s="11" t="s">
        <v>76</v>
      </c>
      <c r="C304" s="11">
        <v>99.97</v>
      </c>
      <c r="D304" s="11">
        <v>99.31</v>
      </c>
      <c r="E304" s="25">
        <v>100</v>
      </c>
      <c r="F304" s="2">
        <v>99.77</v>
      </c>
    </row>
    <row r="305" spans="1:6" hidden="1" x14ac:dyDescent="0.25">
      <c r="A305" s="12">
        <v>45161</v>
      </c>
      <c r="B305" s="11" t="s">
        <v>76</v>
      </c>
      <c r="C305" s="11">
        <v>99.94</v>
      </c>
      <c r="D305" s="11">
        <v>99.51</v>
      </c>
      <c r="E305" s="25">
        <v>100</v>
      </c>
      <c r="F305" s="2">
        <v>99.81</v>
      </c>
    </row>
    <row r="306" spans="1:6" hidden="1" x14ac:dyDescent="0.25">
      <c r="A306" s="12">
        <v>45162</v>
      </c>
      <c r="B306" s="11" t="s">
        <v>76</v>
      </c>
      <c r="C306" s="11">
        <v>99.91</v>
      </c>
      <c r="D306" s="11">
        <v>99.45</v>
      </c>
      <c r="E306" s="25">
        <v>99.92</v>
      </c>
      <c r="F306" s="2">
        <v>99.84</v>
      </c>
    </row>
    <row r="307" spans="1:6" hidden="1" x14ac:dyDescent="0.25">
      <c r="A307" s="12">
        <v>45163</v>
      </c>
      <c r="B307" s="11" t="s">
        <v>76</v>
      </c>
      <c r="C307" s="11">
        <v>99.91</v>
      </c>
      <c r="D307" s="11">
        <v>99.42</v>
      </c>
      <c r="E307" s="25">
        <v>100</v>
      </c>
      <c r="F307" s="2">
        <v>99.73</v>
      </c>
    </row>
    <row r="308" spans="1:6" hidden="1" x14ac:dyDescent="0.25">
      <c r="A308" s="12">
        <v>45164</v>
      </c>
      <c r="B308" s="11" t="s">
        <v>76</v>
      </c>
      <c r="C308" s="11">
        <v>99.91</v>
      </c>
      <c r="D308" s="11">
        <v>99.47</v>
      </c>
      <c r="E308" s="25">
        <v>100</v>
      </c>
      <c r="F308" s="2">
        <v>99.84</v>
      </c>
    </row>
    <row r="309" spans="1:6" hidden="1" x14ac:dyDescent="0.25">
      <c r="A309" s="12">
        <v>45165</v>
      </c>
      <c r="B309" s="11" t="s">
        <v>76</v>
      </c>
      <c r="C309" s="11">
        <v>99.94</v>
      </c>
      <c r="D309" s="11">
        <v>99.5</v>
      </c>
      <c r="E309" s="25">
        <v>100</v>
      </c>
      <c r="F309" s="2">
        <v>99.85</v>
      </c>
    </row>
    <row r="310" spans="1:6" hidden="1" x14ac:dyDescent="0.25">
      <c r="A310" s="12">
        <v>45166</v>
      </c>
      <c r="B310" s="11" t="s">
        <v>76</v>
      </c>
      <c r="C310" s="11">
        <v>99.85</v>
      </c>
      <c r="D310" s="11">
        <v>99.49</v>
      </c>
      <c r="E310" s="25">
        <v>100</v>
      </c>
      <c r="F310" s="2">
        <v>99.86</v>
      </c>
    </row>
    <row r="311" spans="1:6" hidden="1" x14ac:dyDescent="0.25">
      <c r="A311" s="12">
        <v>45167</v>
      </c>
      <c r="B311" s="11" t="s">
        <v>76</v>
      </c>
      <c r="C311" s="11">
        <v>99.93</v>
      </c>
      <c r="D311" s="11">
        <v>99.35</v>
      </c>
      <c r="E311" s="25">
        <v>99.91</v>
      </c>
      <c r="F311" s="2">
        <v>99.58</v>
      </c>
    </row>
    <row r="312" spans="1:6" hidden="1" x14ac:dyDescent="0.25">
      <c r="A312" s="12">
        <v>45168</v>
      </c>
      <c r="B312" s="11" t="s">
        <v>76</v>
      </c>
      <c r="C312" s="11">
        <v>99.95</v>
      </c>
      <c r="D312" s="11">
        <v>99.55</v>
      </c>
      <c r="E312" s="25">
        <v>100</v>
      </c>
      <c r="F312" s="2">
        <v>99.74</v>
      </c>
    </row>
    <row r="313" spans="1:6" hidden="1" x14ac:dyDescent="0.25">
      <c r="A313" s="12">
        <v>45169</v>
      </c>
      <c r="B313" s="11" t="s">
        <v>76</v>
      </c>
      <c r="C313" s="11">
        <v>99.96</v>
      </c>
      <c r="D313" s="11">
        <v>99.49</v>
      </c>
      <c r="E313" s="25">
        <v>100</v>
      </c>
      <c r="F313" s="2">
        <v>99.78</v>
      </c>
    </row>
    <row r="314" spans="1:6" hidden="1" x14ac:dyDescent="0.25">
      <c r="A314" s="12">
        <v>45170</v>
      </c>
      <c r="B314" s="11" t="s">
        <v>76</v>
      </c>
      <c r="C314" s="11">
        <v>99.93</v>
      </c>
      <c r="D314" s="11">
        <v>99.52</v>
      </c>
      <c r="E314" s="25">
        <v>100</v>
      </c>
      <c r="F314" s="2">
        <v>99.75</v>
      </c>
    </row>
    <row r="315" spans="1:6" hidden="1" x14ac:dyDescent="0.25">
      <c r="A315" s="12">
        <v>45171</v>
      </c>
      <c r="B315" s="11" t="s">
        <v>76</v>
      </c>
      <c r="C315" s="11">
        <v>99.94</v>
      </c>
      <c r="D315" s="11">
        <v>99.47</v>
      </c>
      <c r="E315" s="25">
        <v>100</v>
      </c>
      <c r="F315" s="2">
        <v>99.85</v>
      </c>
    </row>
    <row r="316" spans="1:6" hidden="1" x14ac:dyDescent="0.25">
      <c r="A316" s="12">
        <v>45172</v>
      </c>
      <c r="B316" s="11" t="s">
        <v>76</v>
      </c>
      <c r="C316" s="11">
        <v>99.92</v>
      </c>
      <c r="D316" s="11">
        <v>99.51</v>
      </c>
      <c r="E316" s="25">
        <v>100</v>
      </c>
      <c r="F316" s="2">
        <v>99.86</v>
      </c>
    </row>
    <row r="317" spans="1:6" hidden="1" x14ac:dyDescent="0.25">
      <c r="A317" s="12">
        <v>45173</v>
      </c>
      <c r="B317" s="11" t="s">
        <v>76</v>
      </c>
      <c r="C317" s="11">
        <v>99.85</v>
      </c>
      <c r="D317" s="11">
        <v>99.51</v>
      </c>
      <c r="E317" s="25">
        <v>100</v>
      </c>
      <c r="F317" s="2">
        <v>99.76</v>
      </c>
    </row>
    <row r="318" spans="1:6" hidden="1" x14ac:dyDescent="0.25">
      <c r="A318" s="12">
        <v>45174</v>
      </c>
      <c r="B318" s="11" t="s">
        <v>76</v>
      </c>
      <c r="C318" s="11">
        <v>99.95</v>
      </c>
      <c r="D318" s="11">
        <v>99.37</v>
      </c>
      <c r="E318" s="25">
        <v>100</v>
      </c>
      <c r="F318" s="2">
        <v>99.73</v>
      </c>
    </row>
    <row r="319" spans="1:6" hidden="1" x14ac:dyDescent="0.25">
      <c r="A319" s="12">
        <v>45175</v>
      </c>
      <c r="B319" s="11" t="s">
        <v>76</v>
      </c>
      <c r="C319" s="11">
        <v>99.97</v>
      </c>
      <c r="D319" s="11">
        <v>99.54</v>
      </c>
      <c r="E319" s="25">
        <v>100</v>
      </c>
      <c r="F319" s="2">
        <v>99.83</v>
      </c>
    </row>
    <row r="320" spans="1:6" hidden="1" x14ac:dyDescent="0.25">
      <c r="A320" s="12">
        <v>45176</v>
      </c>
      <c r="B320" s="11" t="s">
        <v>76</v>
      </c>
      <c r="C320" s="11">
        <v>99.92</v>
      </c>
      <c r="D320" s="11">
        <v>99.51</v>
      </c>
      <c r="E320" s="25">
        <v>100</v>
      </c>
      <c r="F320" s="2">
        <v>99.58</v>
      </c>
    </row>
    <row r="321" spans="1:6" hidden="1" x14ac:dyDescent="0.25">
      <c r="A321" s="12">
        <v>45177</v>
      </c>
      <c r="B321" s="11" t="s">
        <v>76</v>
      </c>
      <c r="C321" s="11">
        <v>99.97</v>
      </c>
      <c r="D321" s="11">
        <v>99.46</v>
      </c>
      <c r="E321" s="25">
        <v>99.93</v>
      </c>
      <c r="F321" s="2">
        <v>99.9</v>
      </c>
    </row>
    <row r="322" spans="1:6" hidden="1" x14ac:dyDescent="0.25">
      <c r="A322" s="12">
        <v>45178</v>
      </c>
      <c r="B322" s="11" t="s">
        <v>76</v>
      </c>
      <c r="C322" s="11">
        <v>99.9</v>
      </c>
      <c r="D322" s="11">
        <v>99.48</v>
      </c>
      <c r="E322" s="25">
        <v>100</v>
      </c>
      <c r="F322" s="2">
        <v>99.88</v>
      </c>
    </row>
    <row r="323" spans="1:6" hidden="1" x14ac:dyDescent="0.25">
      <c r="A323" s="12">
        <v>45179</v>
      </c>
      <c r="B323" s="11" t="s">
        <v>76</v>
      </c>
      <c r="C323" s="11">
        <v>99.97</v>
      </c>
      <c r="D323" s="11">
        <v>99.5</v>
      </c>
      <c r="E323" s="25">
        <v>99.98</v>
      </c>
      <c r="F323" s="2">
        <v>99.89</v>
      </c>
    </row>
    <row r="324" spans="1:6" hidden="1" x14ac:dyDescent="0.25">
      <c r="A324" s="12">
        <v>45180</v>
      </c>
      <c r="B324" s="11" t="s">
        <v>76</v>
      </c>
      <c r="C324" s="11">
        <v>99.97</v>
      </c>
      <c r="D324" s="11">
        <v>99.48</v>
      </c>
      <c r="E324" s="25">
        <v>100</v>
      </c>
      <c r="F324" s="2">
        <v>99.91</v>
      </c>
    </row>
    <row r="325" spans="1:6" hidden="1" x14ac:dyDescent="0.25">
      <c r="A325" s="12">
        <v>45181</v>
      </c>
      <c r="B325" s="11" t="s">
        <v>76</v>
      </c>
      <c r="C325" s="11">
        <v>99.97</v>
      </c>
      <c r="D325" s="136">
        <v>99.4</v>
      </c>
      <c r="E325" s="343">
        <v>100</v>
      </c>
      <c r="F325" s="2">
        <v>99.91</v>
      </c>
    </row>
    <row r="326" spans="1:6" hidden="1" x14ac:dyDescent="0.25">
      <c r="A326" s="12">
        <v>45182</v>
      </c>
      <c r="B326" s="11" t="s">
        <v>76</v>
      </c>
      <c r="C326" s="11">
        <v>99.97</v>
      </c>
      <c r="D326" s="11">
        <v>99.53</v>
      </c>
      <c r="E326" s="25">
        <v>100</v>
      </c>
      <c r="F326" s="2">
        <v>99.9</v>
      </c>
    </row>
    <row r="327" spans="1:6" hidden="1" x14ac:dyDescent="0.25">
      <c r="A327" s="12">
        <v>45183</v>
      </c>
      <c r="B327" s="11" t="s">
        <v>76</v>
      </c>
      <c r="C327" s="136">
        <v>99.57</v>
      </c>
      <c r="D327" s="136">
        <v>99.48</v>
      </c>
      <c r="E327" s="343">
        <v>100</v>
      </c>
      <c r="F327" s="2">
        <v>99.5</v>
      </c>
    </row>
    <row r="328" spans="1:6" hidden="1" x14ac:dyDescent="0.25">
      <c r="A328" s="12">
        <v>45184</v>
      </c>
      <c r="B328" s="11" t="s">
        <v>76</v>
      </c>
      <c r="C328" s="136">
        <v>99.96</v>
      </c>
      <c r="D328" s="136">
        <v>99.47</v>
      </c>
      <c r="E328" s="343">
        <v>100</v>
      </c>
      <c r="F328" s="2">
        <v>99.91</v>
      </c>
    </row>
    <row r="329" spans="1:6" hidden="1" x14ac:dyDescent="0.25">
      <c r="A329" s="12">
        <v>45185</v>
      </c>
      <c r="B329" s="11" t="s">
        <v>76</v>
      </c>
      <c r="C329" s="136">
        <v>99.91</v>
      </c>
      <c r="D329" s="136">
        <v>99.52</v>
      </c>
      <c r="E329" s="60">
        <v>100</v>
      </c>
      <c r="F329" s="2">
        <v>99.91</v>
      </c>
    </row>
    <row r="330" spans="1:6" hidden="1" x14ac:dyDescent="0.25">
      <c r="A330" s="12">
        <v>45186</v>
      </c>
      <c r="B330" s="11" t="s">
        <v>76</v>
      </c>
      <c r="C330" s="136">
        <v>99.97</v>
      </c>
      <c r="D330" s="136">
        <v>99.53</v>
      </c>
      <c r="E330" s="60">
        <v>100</v>
      </c>
      <c r="F330" s="2">
        <v>99.9</v>
      </c>
    </row>
    <row r="331" spans="1:6" hidden="1" x14ac:dyDescent="0.25">
      <c r="A331" s="12">
        <v>45187</v>
      </c>
      <c r="B331" s="11" t="s">
        <v>76</v>
      </c>
      <c r="C331" s="136">
        <v>99.96</v>
      </c>
      <c r="D331" s="136">
        <v>99.47</v>
      </c>
      <c r="E331" s="60">
        <v>100</v>
      </c>
      <c r="F331" s="2">
        <v>99.89</v>
      </c>
    </row>
    <row r="332" spans="1:6" hidden="1" x14ac:dyDescent="0.25">
      <c r="A332" s="12">
        <v>45188</v>
      </c>
      <c r="B332" s="11" t="s">
        <v>76</v>
      </c>
      <c r="C332" s="136">
        <v>99.96</v>
      </c>
      <c r="D332" s="136">
        <v>99.35</v>
      </c>
      <c r="E332" s="60">
        <v>100</v>
      </c>
      <c r="F332" s="2">
        <v>99.89</v>
      </c>
    </row>
    <row r="333" spans="1:6" hidden="1" x14ac:dyDescent="0.25">
      <c r="A333" s="12">
        <v>45189</v>
      </c>
      <c r="B333" s="11" t="s">
        <v>76</v>
      </c>
      <c r="C333" s="136">
        <v>99.94</v>
      </c>
      <c r="D333" s="136">
        <v>99.49</v>
      </c>
      <c r="E333" s="343">
        <v>98.95</v>
      </c>
      <c r="F333" s="2">
        <v>99.89</v>
      </c>
    </row>
    <row r="334" spans="1:6" hidden="1" x14ac:dyDescent="0.25">
      <c r="A334" s="12">
        <v>45190</v>
      </c>
      <c r="B334" s="11" t="s">
        <v>76</v>
      </c>
      <c r="C334" s="11">
        <v>99.73</v>
      </c>
      <c r="D334" s="11">
        <v>99.48</v>
      </c>
      <c r="E334" s="25">
        <v>100</v>
      </c>
      <c r="F334" s="2">
        <v>99.04</v>
      </c>
    </row>
    <row r="335" spans="1:6" hidden="1" x14ac:dyDescent="0.25">
      <c r="A335" s="12">
        <v>45191</v>
      </c>
      <c r="B335" s="11" t="s">
        <v>76</v>
      </c>
      <c r="C335" s="150">
        <v>99.61</v>
      </c>
      <c r="D335" s="150">
        <v>99.48</v>
      </c>
      <c r="E335" s="283">
        <v>99.99</v>
      </c>
      <c r="F335" s="104">
        <v>98.82</v>
      </c>
    </row>
    <row r="336" spans="1:6" hidden="1" x14ac:dyDescent="0.25">
      <c r="A336" s="12">
        <v>45192</v>
      </c>
      <c r="B336" s="11" t="s">
        <v>76</v>
      </c>
      <c r="C336" s="101">
        <v>99.9</v>
      </c>
      <c r="D336" s="101">
        <v>99.53</v>
      </c>
      <c r="E336" s="102">
        <v>100</v>
      </c>
      <c r="F336" s="104">
        <v>93.37</v>
      </c>
    </row>
    <row r="337" spans="1:6" hidden="1" x14ac:dyDescent="0.25">
      <c r="A337" s="12">
        <v>45193</v>
      </c>
      <c r="B337" s="11" t="s">
        <v>76</v>
      </c>
      <c r="C337" s="101">
        <v>99.97</v>
      </c>
      <c r="D337" s="101">
        <v>99.51</v>
      </c>
      <c r="E337" s="102">
        <v>100</v>
      </c>
      <c r="F337" s="104">
        <v>99.84</v>
      </c>
    </row>
    <row r="338" spans="1:6" hidden="1" x14ac:dyDescent="0.25">
      <c r="A338" s="12">
        <v>45194</v>
      </c>
      <c r="B338" s="11" t="s">
        <v>76</v>
      </c>
      <c r="C338" s="11">
        <v>99.73</v>
      </c>
      <c r="D338" s="11">
        <v>99.51</v>
      </c>
      <c r="E338" s="25">
        <v>100</v>
      </c>
      <c r="F338" s="2">
        <v>99.91</v>
      </c>
    </row>
    <row r="339" spans="1:6" hidden="1" x14ac:dyDescent="0.25">
      <c r="A339" s="12">
        <v>45195</v>
      </c>
      <c r="B339" s="11" t="s">
        <v>76</v>
      </c>
      <c r="C339" s="11">
        <v>99.82</v>
      </c>
      <c r="D339" s="11">
        <v>99.38</v>
      </c>
      <c r="E339" s="25">
        <v>100</v>
      </c>
      <c r="F339" s="2">
        <v>99.74</v>
      </c>
    </row>
    <row r="340" spans="1:6" hidden="1" x14ac:dyDescent="0.25">
      <c r="A340" s="12">
        <v>45196</v>
      </c>
      <c r="B340" s="11" t="s">
        <v>76</v>
      </c>
      <c r="C340" s="25">
        <v>99.73</v>
      </c>
      <c r="D340" s="25">
        <v>99.52</v>
      </c>
      <c r="E340" s="25">
        <v>100</v>
      </c>
      <c r="F340" s="2">
        <v>99.9</v>
      </c>
    </row>
    <row r="341" spans="1:6" hidden="1" x14ac:dyDescent="0.25">
      <c r="A341" s="12">
        <v>45197</v>
      </c>
      <c r="B341" s="11" t="s">
        <v>76</v>
      </c>
      <c r="C341" s="11">
        <v>99.66</v>
      </c>
      <c r="D341" s="11">
        <v>99.49</v>
      </c>
      <c r="E341" s="25">
        <v>100</v>
      </c>
      <c r="F341" s="2">
        <v>99.89</v>
      </c>
    </row>
    <row r="342" spans="1:6" hidden="1" x14ac:dyDescent="0.25">
      <c r="A342" s="12">
        <v>45198</v>
      </c>
      <c r="B342" s="11" t="s">
        <v>76</v>
      </c>
      <c r="C342" s="11">
        <v>99.71</v>
      </c>
      <c r="D342" s="11">
        <v>58.51</v>
      </c>
      <c r="E342" s="25">
        <v>100</v>
      </c>
      <c r="F342" s="2">
        <v>99.89</v>
      </c>
    </row>
    <row r="343" spans="1:6" hidden="1" x14ac:dyDescent="0.25">
      <c r="A343" s="12">
        <v>45199</v>
      </c>
      <c r="B343" s="11" t="s">
        <v>76</v>
      </c>
      <c r="C343" s="11">
        <v>99.58</v>
      </c>
      <c r="D343" s="11">
        <v>100</v>
      </c>
      <c r="E343" s="25">
        <v>100</v>
      </c>
      <c r="F343" s="2">
        <v>99.9</v>
      </c>
    </row>
    <row r="344" spans="1:6" hidden="1" x14ac:dyDescent="0.25">
      <c r="A344" s="12">
        <v>45200</v>
      </c>
      <c r="B344" s="11" t="s">
        <v>76</v>
      </c>
      <c r="C344" s="11">
        <v>99.96</v>
      </c>
      <c r="D344" s="11">
        <v>100</v>
      </c>
      <c r="E344" s="25">
        <v>99.98</v>
      </c>
      <c r="F344" s="2">
        <v>99.87</v>
      </c>
    </row>
    <row r="345" spans="1:6" hidden="1" x14ac:dyDescent="0.25">
      <c r="A345" s="12">
        <v>45201</v>
      </c>
      <c r="B345" s="11" t="s">
        <v>76</v>
      </c>
      <c r="C345" s="11">
        <v>99.97</v>
      </c>
      <c r="D345" s="11">
        <v>100</v>
      </c>
      <c r="E345" s="25">
        <v>100</v>
      </c>
      <c r="F345" s="2">
        <v>99.9</v>
      </c>
    </row>
    <row r="346" spans="1:6" hidden="1" x14ac:dyDescent="0.25">
      <c r="A346" s="12">
        <v>45202</v>
      </c>
      <c r="B346" s="11" t="s">
        <v>76</v>
      </c>
      <c r="C346" s="104">
        <v>99.92</v>
      </c>
      <c r="D346" s="104">
        <v>100</v>
      </c>
      <c r="E346" s="47">
        <v>100</v>
      </c>
      <c r="F346" s="104">
        <v>99.88</v>
      </c>
    </row>
    <row r="347" spans="1:6" hidden="1" x14ac:dyDescent="0.25">
      <c r="A347" s="12">
        <v>45203</v>
      </c>
      <c r="B347" s="11" t="s">
        <v>76</v>
      </c>
      <c r="C347" s="104">
        <v>99.91</v>
      </c>
      <c r="D347" s="2">
        <v>100</v>
      </c>
      <c r="E347" s="47">
        <v>100</v>
      </c>
      <c r="F347" s="104">
        <v>99.9</v>
      </c>
    </row>
    <row r="348" spans="1:6" hidden="1" x14ac:dyDescent="0.25">
      <c r="A348" s="12">
        <v>45204</v>
      </c>
      <c r="B348" s="11" t="s">
        <v>76</v>
      </c>
      <c r="C348" s="2">
        <v>99.85</v>
      </c>
      <c r="D348" s="2">
        <v>99.95</v>
      </c>
      <c r="E348" s="47">
        <v>99.98</v>
      </c>
      <c r="F348" s="2">
        <v>99.88</v>
      </c>
    </row>
    <row r="349" spans="1:6" hidden="1" x14ac:dyDescent="0.25">
      <c r="A349" s="12">
        <v>45205</v>
      </c>
      <c r="B349" s="11" t="s">
        <v>76</v>
      </c>
      <c r="C349" s="48">
        <v>99.71</v>
      </c>
      <c r="D349" s="48">
        <v>99.95</v>
      </c>
      <c r="E349" s="47">
        <v>100</v>
      </c>
      <c r="F349" s="48">
        <v>99.89</v>
      </c>
    </row>
    <row r="350" spans="1:6" hidden="1" x14ac:dyDescent="0.25">
      <c r="A350" s="12">
        <v>45206</v>
      </c>
      <c r="B350" s="11" t="s">
        <v>76</v>
      </c>
      <c r="C350" s="48">
        <v>99.75</v>
      </c>
      <c r="D350" s="48">
        <v>99.94</v>
      </c>
      <c r="E350" s="47">
        <v>100</v>
      </c>
      <c r="F350" s="48">
        <v>99.9</v>
      </c>
    </row>
    <row r="351" spans="1:6" hidden="1" x14ac:dyDescent="0.25">
      <c r="A351" s="12">
        <v>45207</v>
      </c>
      <c r="B351" s="11" t="s">
        <v>76</v>
      </c>
      <c r="C351" s="48">
        <v>99.45</v>
      </c>
      <c r="D351" s="48">
        <v>99.95</v>
      </c>
      <c r="E351" s="47">
        <v>100</v>
      </c>
      <c r="F351" s="48">
        <v>99.9</v>
      </c>
    </row>
    <row r="352" spans="1:6" hidden="1" x14ac:dyDescent="0.25">
      <c r="A352" s="12">
        <v>45208</v>
      </c>
      <c r="B352" s="11" t="s">
        <v>76</v>
      </c>
      <c r="C352" s="2">
        <v>99.6</v>
      </c>
      <c r="D352" s="2">
        <v>99.94</v>
      </c>
      <c r="E352" s="47">
        <v>100</v>
      </c>
      <c r="F352" s="2">
        <v>99.95</v>
      </c>
    </row>
    <row r="353" spans="1:6" hidden="1" x14ac:dyDescent="0.25">
      <c r="A353" s="12">
        <v>45209</v>
      </c>
      <c r="B353" s="11" t="s">
        <v>76</v>
      </c>
      <c r="C353" s="48">
        <v>99.96</v>
      </c>
      <c r="D353" s="48">
        <v>99.95</v>
      </c>
      <c r="E353" s="47">
        <v>100</v>
      </c>
      <c r="F353" s="48">
        <v>99.95</v>
      </c>
    </row>
    <row r="354" spans="1:6" hidden="1" x14ac:dyDescent="0.25">
      <c r="A354" s="12">
        <v>45210</v>
      </c>
      <c r="B354" s="11" t="s">
        <v>76</v>
      </c>
      <c r="C354" s="48">
        <v>99.97</v>
      </c>
      <c r="D354" s="48">
        <v>98.49</v>
      </c>
      <c r="E354" s="47">
        <v>100</v>
      </c>
      <c r="F354" s="48">
        <v>99.98</v>
      </c>
    </row>
    <row r="355" spans="1:6" hidden="1" x14ac:dyDescent="0.25">
      <c r="A355" s="12">
        <v>45211</v>
      </c>
      <c r="B355" s="11" t="s">
        <v>76</v>
      </c>
      <c r="C355" s="48">
        <v>99.66</v>
      </c>
      <c r="D355" s="48">
        <v>99.91</v>
      </c>
      <c r="E355" s="47">
        <v>99.91</v>
      </c>
      <c r="F355" s="2">
        <v>83.49</v>
      </c>
    </row>
    <row r="356" spans="1:6" hidden="1" x14ac:dyDescent="0.25">
      <c r="A356" s="12">
        <v>45212</v>
      </c>
      <c r="B356" s="11" t="s">
        <v>76</v>
      </c>
      <c r="C356" s="48">
        <v>99.97</v>
      </c>
      <c r="D356" s="48">
        <v>100</v>
      </c>
      <c r="E356" s="47">
        <v>100</v>
      </c>
      <c r="F356" s="48">
        <v>99.78</v>
      </c>
    </row>
    <row r="357" spans="1:6" hidden="1" x14ac:dyDescent="0.25">
      <c r="A357" s="12">
        <v>45213</v>
      </c>
      <c r="B357" s="11" t="s">
        <v>76</v>
      </c>
      <c r="C357" s="48">
        <v>99.98</v>
      </c>
      <c r="D357" s="48">
        <v>100</v>
      </c>
      <c r="E357" s="47">
        <v>100</v>
      </c>
      <c r="F357" s="48">
        <v>99.79</v>
      </c>
    </row>
    <row r="358" spans="1:6" hidden="1" x14ac:dyDescent="0.25">
      <c r="A358" s="12">
        <v>45214</v>
      </c>
      <c r="B358" s="11" t="s">
        <v>76</v>
      </c>
      <c r="C358" s="48">
        <v>99.98</v>
      </c>
      <c r="D358" s="48">
        <v>100</v>
      </c>
      <c r="E358" s="47">
        <v>100</v>
      </c>
      <c r="F358" s="48">
        <v>99.8</v>
      </c>
    </row>
    <row r="359" spans="1:6" hidden="1" x14ac:dyDescent="0.25">
      <c r="A359" s="12">
        <v>45215</v>
      </c>
      <c r="B359" s="11" t="s">
        <v>76</v>
      </c>
      <c r="C359" s="11">
        <v>99.98</v>
      </c>
      <c r="D359" s="11">
        <v>100</v>
      </c>
      <c r="E359" s="25">
        <v>100</v>
      </c>
      <c r="F359" s="2">
        <v>99.84</v>
      </c>
    </row>
    <row r="360" spans="1:6" hidden="1" x14ac:dyDescent="0.25">
      <c r="A360" s="12">
        <v>45216</v>
      </c>
      <c r="B360" s="11" t="s">
        <v>76</v>
      </c>
      <c r="C360" s="11">
        <v>99.97</v>
      </c>
      <c r="D360" s="11">
        <v>100</v>
      </c>
      <c r="E360" s="25">
        <v>100</v>
      </c>
      <c r="F360" s="2">
        <v>99.88</v>
      </c>
    </row>
    <row r="361" spans="1:6" hidden="1" x14ac:dyDescent="0.25">
      <c r="A361" s="12">
        <v>45217</v>
      </c>
      <c r="B361" s="11" t="s">
        <v>76</v>
      </c>
      <c r="C361" s="11">
        <v>99.97</v>
      </c>
      <c r="D361" s="11">
        <v>100</v>
      </c>
      <c r="E361" s="25">
        <v>100</v>
      </c>
      <c r="F361" s="2">
        <v>99.89</v>
      </c>
    </row>
    <row r="362" spans="1:6" hidden="1" x14ac:dyDescent="0.25">
      <c r="A362" s="12">
        <v>45218</v>
      </c>
      <c r="B362" s="11" t="s">
        <v>76</v>
      </c>
      <c r="C362" s="11">
        <v>99.97</v>
      </c>
      <c r="D362" s="11">
        <v>99.98</v>
      </c>
      <c r="E362" s="25">
        <v>100</v>
      </c>
      <c r="F362" s="2">
        <v>99.89</v>
      </c>
    </row>
    <row r="363" spans="1:6" hidden="1" x14ac:dyDescent="0.25">
      <c r="A363" s="12">
        <v>45219</v>
      </c>
      <c r="B363" s="11" t="s">
        <v>76</v>
      </c>
      <c r="C363" s="11">
        <v>99.85</v>
      </c>
      <c r="D363" s="11">
        <v>100</v>
      </c>
      <c r="E363" s="25">
        <v>99.99</v>
      </c>
      <c r="F363" s="2">
        <v>99.9</v>
      </c>
    </row>
    <row r="364" spans="1:6" hidden="1" x14ac:dyDescent="0.25">
      <c r="A364" s="12">
        <v>45220</v>
      </c>
      <c r="B364" s="11" t="s">
        <v>76</v>
      </c>
      <c r="C364" s="11">
        <v>99.98</v>
      </c>
      <c r="D364" s="11">
        <v>100</v>
      </c>
      <c r="E364" s="25">
        <v>100</v>
      </c>
      <c r="F364" s="2">
        <v>99.9</v>
      </c>
    </row>
    <row r="365" spans="1:6" hidden="1" x14ac:dyDescent="0.25">
      <c r="A365" s="12">
        <v>45221</v>
      </c>
      <c r="B365" s="11" t="s">
        <v>76</v>
      </c>
      <c r="C365" s="11">
        <v>99.97</v>
      </c>
      <c r="D365" s="11">
        <v>100</v>
      </c>
      <c r="E365" s="25">
        <v>100</v>
      </c>
      <c r="F365" s="2">
        <v>99.52</v>
      </c>
    </row>
    <row r="366" spans="1:6" hidden="1" x14ac:dyDescent="0.25">
      <c r="A366" s="12">
        <v>45222</v>
      </c>
      <c r="B366" s="11" t="s">
        <v>76</v>
      </c>
      <c r="C366" s="48">
        <v>99.97</v>
      </c>
      <c r="D366" s="48">
        <v>100</v>
      </c>
      <c r="E366" s="47">
        <v>100</v>
      </c>
      <c r="F366" s="48">
        <v>99.9</v>
      </c>
    </row>
    <row r="367" spans="1:6" hidden="1" x14ac:dyDescent="0.25">
      <c r="A367" s="12">
        <v>45223</v>
      </c>
      <c r="B367" s="11" t="s">
        <v>76</v>
      </c>
      <c r="C367" s="11">
        <v>99.94</v>
      </c>
      <c r="D367" s="11">
        <v>100</v>
      </c>
      <c r="E367" s="25">
        <v>100</v>
      </c>
      <c r="F367" s="2">
        <v>99.91</v>
      </c>
    </row>
    <row r="368" spans="1:6" hidden="1" x14ac:dyDescent="0.25">
      <c r="A368" s="12">
        <v>45224</v>
      </c>
      <c r="B368" s="11" t="s">
        <v>76</v>
      </c>
      <c r="C368" s="11">
        <v>99.96</v>
      </c>
      <c r="D368" s="11">
        <v>100</v>
      </c>
      <c r="E368" s="25">
        <v>100</v>
      </c>
      <c r="F368" s="2">
        <v>99.91</v>
      </c>
    </row>
    <row r="369" spans="1:6" hidden="1" x14ac:dyDescent="0.25">
      <c r="A369" s="12">
        <v>45225</v>
      </c>
      <c r="B369" s="11" t="s">
        <v>76</v>
      </c>
      <c r="C369" s="11">
        <v>99.93</v>
      </c>
      <c r="D369" s="11">
        <v>100</v>
      </c>
      <c r="E369" s="25">
        <v>99.71</v>
      </c>
      <c r="F369" s="2">
        <v>99.92</v>
      </c>
    </row>
    <row r="370" spans="1:6" hidden="1" x14ac:dyDescent="0.25">
      <c r="A370" s="12">
        <v>45226</v>
      </c>
      <c r="B370" s="11" t="s">
        <v>76</v>
      </c>
      <c r="C370" s="11">
        <v>99.9</v>
      </c>
      <c r="D370" s="11">
        <v>100</v>
      </c>
      <c r="E370" s="25">
        <v>100</v>
      </c>
      <c r="F370" s="2">
        <v>99.9</v>
      </c>
    </row>
    <row r="371" spans="1:6" hidden="1" x14ac:dyDescent="0.25">
      <c r="A371" s="12">
        <v>45227</v>
      </c>
      <c r="B371" s="11" t="s">
        <v>76</v>
      </c>
      <c r="C371" s="11">
        <v>99.97</v>
      </c>
      <c r="D371" s="11">
        <v>100</v>
      </c>
      <c r="E371" s="25">
        <v>100</v>
      </c>
      <c r="F371" s="2">
        <v>99.9</v>
      </c>
    </row>
    <row r="372" spans="1:6" hidden="1" x14ac:dyDescent="0.25">
      <c r="A372" s="12">
        <v>45228</v>
      </c>
      <c r="B372" s="11" t="s">
        <v>76</v>
      </c>
      <c r="C372" s="11">
        <v>99.91</v>
      </c>
      <c r="D372" s="11">
        <v>100</v>
      </c>
      <c r="E372" s="25">
        <v>100</v>
      </c>
      <c r="F372" s="2">
        <v>99.92</v>
      </c>
    </row>
    <row r="373" spans="1:6" hidden="1" x14ac:dyDescent="0.25">
      <c r="A373" s="12">
        <v>45229</v>
      </c>
      <c r="B373" s="11" t="s">
        <v>76</v>
      </c>
      <c r="C373" s="11">
        <v>99.98</v>
      </c>
      <c r="D373" s="11">
        <v>100</v>
      </c>
      <c r="E373" s="25">
        <v>100</v>
      </c>
      <c r="F373" s="2">
        <v>99.93</v>
      </c>
    </row>
    <row r="374" spans="1:6" hidden="1" x14ac:dyDescent="0.25">
      <c r="A374" s="12">
        <v>45230</v>
      </c>
      <c r="B374" s="11" t="s">
        <v>76</v>
      </c>
      <c r="C374" s="11">
        <v>99.97</v>
      </c>
      <c r="D374" s="11">
        <v>100</v>
      </c>
      <c r="E374" s="25">
        <v>100</v>
      </c>
      <c r="F374" s="2">
        <v>99.93</v>
      </c>
    </row>
    <row r="375" spans="1:6" hidden="1" x14ac:dyDescent="0.25">
      <c r="A375" s="12">
        <v>45231</v>
      </c>
      <c r="B375" s="11" t="s">
        <v>76</v>
      </c>
      <c r="C375" s="11">
        <v>99.94</v>
      </c>
      <c r="D375" s="11">
        <v>100</v>
      </c>
      <c r="E375" s="25">
        <v>100</v>
      </c>
      <c r="F375" s="2">
        <v>99.92</v>
      </c>
    </row>
    <row r="376" spans="1:6" hidden="1" x14ac:dyDescent="0.25">
      <c r="A376" s="12">
        <v>45232</v>
      </c>
      <c r="B376" s="11" t="s">
        <v>76</v>
      </c>
      <c r="C376" s="11">
        <v>99.97</v>
      </c>
      <c r="D376" s="11">
        <v>100</v>
      </c>
      <c r="E376" s="25">
        <v>100</v>
      </c>
      <c r="F376" s="2">
        <v>99.9</v>
      </c>
    </row>
    <row r="377" spans="1:6" hidden="1" x14ac:dyDescent="0.25">
      <c r="A377" s="12">
        <v>45233</v>
      </c>
      <c r="B377" s="11" t="s">
        <v>76</v>
      </c>
      <c r="C377" s="11">
        <v>99.96</v>
      </c>
      <c r="D377" s="11">
        <v>100</v>
      </c>
      <c r="E377" s="25">
        <v>100</v>
      </c>
      <c r="F377" s="2">
        <v>99.91</v>
      </c>
    </row>
    <row r="378" spans="1:6" hidden="1" x14ac:dyDescent="0.25">
      <c r="A378" s="12">
        <v>45234</v>
      </c>
      <c r="B378" s="11" t="s">
        <v>76</v>
      </c>
      <c r="C378" s="11">
        <v>99.98</v>
      </c>
      <c r="D378" s="11">
        <v>100</v>
      </c>
      <c r="E378" s="25">
        <v>100</v>
      </c>
      <c r="F378" s="2">
        <v>99.89</v>
      </c>
    </row>
    <row r="379" spans="1:6" hidden="1" x14ac:dyDescent="0.25">
      <c r="A379" s="12">
        <v>45235</v>
      </c>
      <c r="B379" s="11" t="s">
        <v>76</v>
      </c>
      <c r="C379" s="11">
        <v>99.98</v>
      </c>
      <c r="D379" s="11">
        <v>100</v>
      </c>
      <c r="E379" s="25">
        <v>100</v>
      </c>
      <c r="F379" s="2">
        <v>99.97</v>
      </c>
    </row>
    <row r="380" spans="1:6" hidden="1" x14ac:dyDescent="0.25">
      <c r="A380" s="12">
        <v>45236</v>
      </c>
      <c r="B380" s="11" t="s">
        <v>76</v>
      </c>
      <c r="C380" s="11">
        <v>99.69</v>
      </c>
      <c r="D380" s="11">
        <v>100</v>
      </c>
      <c r="E380" s="25">
        <v>99.99</v>
      </c>
      <c r="F380" s="2">
        <v>99.18</v>
      </c>
    </row>
    <row r="381" spans="1:6" hidden="1" x14ac:dyDescent="0.25">
      <c r="A381" s="12">
        <v>45237</v>
      </c>
      <c r="B381" s="11" t="s">
        <v>76</v>
      </c>
      <c r="C381" s="11">
        <v>99.97</v>
      </c>
      <c r="D381" s="11">
        <v>100</v>
      </c>
      <c r="E381" s="25">
        <v>99.34</v>
      </c>
      <c r="F381" s="2">
        <v>99.96</v>
      </c>
    </row>
    <row r="382" spans="1:6" hidden="1" x14ac:dyDescent="0.25">
      <c r="A382" s="12">
        <v>45238</v>
      </c>
      <c r="B382" s="11" t="s">
        <v>76</v>
      </c>
      <c r="C382" s="11">
        <v>99.97</v>
      </c>
      <c r="D382" s="11">
        <v>100</v>
      </c>
      <c r="E382" s="25">
        <v>100</v>
      </c>
      <c r="F382" s="2">
        <v>99.97</v>
      </c>
    </row>
    <row r="383" spans="1:6" hidden="1" x14ac:dyDescent="0.25">
      <c r="A383" s="12">
        <v>45239</v>
      </c>
      <c r="B383" s="11" t="s">
        <v>76</v>
      </c>
      <c r="C383" s="11">
        <v>99.95</v>
      </c>
      <c r="D383" s="11">
        <v>99.99</v>
      </c>
      <c r="E383" s="25">
        <v>100</v>
      </c>
      <c r="F383" s="2">
        <v>99.98</v>
      </c>
    </row>
    <row r="384" spans="1:6" hidden="1" x14ac:dyDescent="0.25">
      <c r="A384" s="12">
        <v>45240</v>
      </c>
      <c r="B384" s="11" t="s">
        <v>76</v>
      </c>
      <c r="C384" s="11">
        <v>99.9</v>
      </c>
      <c r="D384" s="11">
        <v>99.99</v>
      </c>
      <c r="E384" s="25">
        <v>100</v>
      </c>
      <c r="F384" s="2">
        <v>99.96</v>
      </c>
    </row>
    <row r="385" spans="1:6" hidden="1" x14ac:dyDescent="0.25">
      <c r="A385" s="12">
        <v>45241</v>
      </c>
      <c r="B385" s="11" t="s">
        <v>76</v>
      </c>
      <c r="C385" s="11">
        <v>99.93</v>
      </c>
      <c r="D385" s="11">
        <v>100</v>
      </c>
      <c r="E385" s="25">
        <v>100</v>
      </c>
      <c r="F385" s="2">
        <v>99.96</v>
      </c>
    </row>
    <row r="386" spans="1:6" hidden="1" x14ac:dyDescent="0.25">
      <c r="A386" s="12">
        <v>45242</v>
      </c>
      <c r="B386" s="11" t="s">
        <v>76</v>
      </c>
      <c r="C386" s="11">
        <v>99.94</v>
      </c>
      <c r="D386" s="11">
        <v>99.97</v>
      </c>
      <c r="E386" s="25">
        <v>100</v>
      </c>
      <c r="F386" s="2">
        <v>99.95</v>
      </c>
    </row>
    <row r="387" spans="1:6" hidden="1" x14ac:dyDescent="0.25">
      <c r="A387" s="12">
        <v>45243</v>
      </c>
      <c r="B387" s="11" t="s">
        <v>76</v>
      </c>
      <c r="C387" s="11">
        <v>99.91</v>
      </c>
      <c r="D387" s="11">
        <v>99.99</v>
      </c>
      <c r="E387" s="25">
        <v>100</v>
      </c>
      <c r="F387" s="2">
        <v>99.91</v>
      </c>
    </row>
    <row r="388" spans="1:6" hidden="1" x14ac:dyDescent="0.25">
      <c r="A388" s="12">
        <v>45244</v>
      </c>
      <c r="B388" s="11" t="s">
        <v>76</v>
      </c>
      <c r="C388" s="11">
        <v>99.91</v>
      </c>
      <c r="D388" s="11">
        <v>99.99</v>
      </c>
      <c r="E388" s="25">
        <v>100</v>
      </c>
      <c r="F388" s="2">
        <v>99.97</v>
      </c>
    </row>
    <row r="389" spans="1:6" hidden="1" x14ac:dyDescent="0.25">
      <c r="A389" s="12">
        <v>45245</v>
      </c>
      <c r="B389" s="11" t="s">
        <v>76</v>
      </c>
      <c r="C389" s="11">
        <v>99.94</v>
      </c>
      <c r="D389" s="11">
        <v>99.97</v>
      </c>
      <c r="E389" s="25">
        <v>100</v>
      </c>
      <c r="F389" s="2">
        <v>99.98</v>
      </c>
    </row>
    <row r="390" spans="1:6" hidden="1" x14ac:dyDescent="0.25">
      <c r="A390" s="12">
        <v>45246</v>
      </c>
      <c r="B390" s="11" t="s">
        <v>76</v>
      </c>
      <c r="C390" s="11">
        <v>99.98</v>
      </c>
      <c r="D390" s="11">
        <v>99.99</v>
      </c>
      <c r="E390" s="25">
        <v>100</v>
      </c>
      <c r="F390" s="2">
        <v>99.98</v>
      </c>
    </row>
    <row r="391" spans="1:6" hidden="1" x14ac:dyDescent="0.25">
      <c r="A391" s="12">
        <v>45247</v>
      </c>
      <c r="B391" s="11" t="s">
        <v>76</v>
      </c>
      <c r="C391" s="11">
        <v>99.98</v>
      </c>
      <c r="D391" s="11">
        <v>99.99</v>
      </c>
      <c r="E391" s="25">
        <v>100</v>
      </c>
      <c r="F391" s="2">
        <v>99.98</v>
      </c>
    </row>
    <row r="392" spans="1:6" hidden="1" x14ac:dyDescent="0.25">
      <c r="A392" s="12">
        <v>45248</v>
      </c>
      <c r="B392" s="11" t="s">
        <v>76</v>
      </c>
      <c r="C392" s="11">
        <v>99.97</v>
      </c>
      <c r="D392" s="11">
        <v>100</v>
      </c>
      <c r="E392" s="25">
        <v>100</v>
      </c>
      <c r="F392" s="2">
        <v>99.97</v>
      </c>
    </row>
    <row r="393" spans="1:6" hidden="1" x14ac:dyDescent="0.25">
      <c r="A393" s="12">
        <v>45249</v>
      </c>
      <c r="B393" s="11" t="s">
        <v>76</v>
      </c>
      <c r="C393" s="11">
        <v>99.97</v>
      </c>
      <c r="D393" s="11">
        <v>100</v>
      </c>
      <c r="E393" s="25">
        <v>100</v>
      </c>
      <c r="F393" s="2">
        <v>99.95</v>
      </c>
    </row>
    <row r="394" spans="1:6" hidden="1" x14ac:dyDescent="0.25">
      <c r="A394" s="12">
        <v>45250</v>
      </c>
      <c r="B394" s="11" t="s">
        <v>76</v>
      </c>
      <c r="C394" s="11">
        <v>99.62</v>
      </c>
      <c r="D394" s="11">
        <v>100</v>
      </c>
      <c r="E394" s="25">
        <v>99.23</v>
      </c>
      <c r="F394" s="2">
        <v>99.98</v>
      </c>
    </row>
    <row r="395" spans="1:6" hidden="1" x14ac:dyDescent="0.25">
      <c r="A395" s="12">
        <v>45251</v>
      </c>
      <c r="B395" s="11" t="s">
        <v>76</v>
      </c>
      <c r="C395" s="11">
        <v>99.66</v>
      </c>
      <c r="D395" s="11">
        <v>99.98</v>
      </c>
      <c r="E395" s="25">
        <v>100</v>
      </c>
      <c r="F395" s="2">
        <v>99.97</v>
      </c>
    </row>
    <row r="396" spans="1:6" hidden="1" x14ac:dyDescent="0.25">
      <c r="A396" s="12">
        <v>45252</v>
      </c>
      <c r="B396" s="11" t="s">
        <v>76</v>
      </c>
      <c r="C396" s="11">
        <v>99.96</v>
      </c>
      <c r="D396" s="11">
        <v>100</v>
      </c>
      <c r="E396" s="25">
        <v>99.87</v>
      </c>
      <c r="F396" s="2">
        <v>99.95</v>
      </c>
    </row>
    <row r="397" spans="1:6" hidden="1" x14ac:dyDescent="0.25">
      <c r="A397" s="12">
        <v>45253</v>
      </c>
      <c r="B397" s="11" t="s">
        <v>76</v>
      </c>
      <c r="C397" s="11">
        <v>99.74</v>
      </c>
      <c r="D397" s="11">
        <v>100</v>
      </c>
      <c r="E397" s="25">
        <v>100</v>
      </c>
      <c r="F397" s="2">
        <v>99.98</v>
      </c>
    </row>
    <row r="398" spans="1:6" hidden="1" x14ac:dyDescent="0.25">
      <c r="A398" s="12">
        <v>45254</v>
      </c>
      <c r="B398" s="11" t="s">
        <v>76</v>
      </c>
      <c r="C398" s="11">
        <v>99.67</v>
      </c>
      <c r="D398" s="11">
        <v>100</v>
      </c>
      <c r="E398" s="25">
        <v>99.65</v>
      </c>
      <c r="F398" s="2">
        <v>99.97</v>
      </c>
    </row>
    <row r="399" spans="1:6" hidden="1" x14ac:dyDescent="0.25">
      <c r="A399" s="12">
        <v>45255</v>
      </c>
      <c r="B399" s="11" t="s">
        <v>76</v>
      </c>
      <c r="C399" s="11">
        <v>99.75</v>
      </c>
      <c r="D399" s="11">
        <v>99.96</v>
      </c>
      <c r="E399" s="25">
        <v>100</v>
      </c>
      <c r="F399" s="2">
        <v>99.97</v>
      </c>
    </row>
    <row r="400" spans="1:6" hidden="1" x14ac:dyDescent="0.25">
      <c r="A400" s="12">
        <v>45256</v>
      </c>
      <c r="B400" s="11" t="s">
        <v>76</v>
      </c>
      <c r="C400" s="11">
        <v>99.79</v>
      </c>
      <c r="D400" s="11">
        <v>100</v>
      </c>
      <c r="E400" s="25">
        <v>100</v>
      </c>
      <c r="F400" s="2">
        <v>99.98</v>
      </c>
    </row>
    <row r="401" spans="1:6" hidden="1" x14ac:dyDescent="0.25">
      <c r="A401" s="12">
        <v>45257</v>
      </c>
      <c r="B401" s="11" t="s">
        <v>76</v>
      </c>
      <c r="C401" s="11">
        <v>99.54</v>
      </c>
      <c r="D401" s="11">
        <v>99.99</v>
      </c>
      <c r="E401" s="25">
        <v>100</v>
      </c>
      <c r="F401" s="2">
        <v>99.98</v>
      </c>
    </row>
    <row r="402" spans="1:6" hidden="1" x14ac:dyDescent="0.25">
      <c r="A402" s="12">
        <v>45258</v>
      </c>
      <c r="B402" s="11" t="s">
        <v>76</v>
      </c>
      <c r="C402" s="11">
        <v>99.67</v>
      </c>
      <c r="D402" s="11">
        <v>100</v>
      </c>
      <c r="E402" s="25">
        <v>100</v>
      </c>
      <c r="F402" s="2">
        <v>99.96</v>
      </c>
    </row>
    <row r="403" spans="1:6" hidden="1" x14ac:dyDescent="0.25">
      <c r="A403" s="12">
        <v>45259</v>
      </c>
      <c r="B403" s="11" t="s">
        <v>76</v>
      </c>
      <c r="C403" s="11">
        <v>99.57</v>
      </c>
      <c r="D403" s="11">
        <v>99.99</v>
      </c>
      <c r="E403" s="25">
        <v>99.98</v>
      </c>
      <c r="F403" s="2">
        <v>99.98</v>
      </c>
    </row>
    <row r="404" spans="1:6" hidden="1" x14ac:dyDescent="0.25">
      <c r="A404" s="12">
        <v>45260</v>
      </c>
      <c r="B404" s="11" t="s">
        <v>76</v>
      </c>
      <c r="C404" s="11">
        <v>99.67</v>
      </c>
      <c r="D404" s="11">
        <v>100</v>
      </c>
      <c r="E404" s="25">
        <v>100</v>
      </c>
      <c r="F404" s="2">
        <v>99.98</v>
      </c>
    </row>
    <row r="405" spans="1:6" hidden="1" x14ac:dyDescent="0.25">
      <c r="A405" s="12">
        <v>45261</v>
      </c>
      <c r="B405" s="11" t="s">
        <v>76</v>
      </c>
      <c r="C405" s="11">
        <v>99.97</v>
      </c>
      <c r="D405" s="11">
        <v>100</v>
      </c>
      <c r="E405" s="25">
        <v>99.28</v>
      </c>
      <c r="F405" s="2">
        <v>99.99</v>
      </c>
    </row>
    <row r="406" spans="1:6" hidden="1" x14ac:dyDescent="0.25">
      <c r="A406" s="12">
        <v>45262</v>
      </c>
      <c r="B406" s="11" t="s">
        <v>76</v>
      </c>
      <c r="C406" s="11">
        <v>99.95</v>
      </c>
      <c r="D406" s="11">
        <v>100</v>
      </c>
      <c r="E406" s="25">
        <v>99.99</v>
      </c>
      <c r="F406" s="2">
        <v>99.98</v>
      </c>
    </row>
    <row r="407" spans="1:6" hidden="1" x14ac:dyDescent="0.25">
      <c r="A407" s="12">
        <v>45263</v>
      </c>
      <c r="B407" s="11" t="s">
        <v>76</v>
      </c>
      <c r="C407" s="11">
        <v>99.97</v>
      </c>
      <c r="D407" s="11">
        <v>99.87</v>
      </c>
      <c r="E407" s="25">
        <v>99.99</v>
      </c>
      <c r="F407" s="2">
        <v>99.89</v>
      </c>
    </row>
    <row r="408" spans="1:6" hidden="1" x14ac:dyDescent="0.25">
      <c r="A408" s="12">
        <v>45264</v>
      </c>
      <c r="B408" s="11" t="s">
        <v>76</v>
      </c>
      <c r="C408" s="11">
        <v>99.97</v>
      </c>
      <c r="D408" s="11">
        <v>100</v>
      </c>
      <c r="E408" s="25">
        <v>100</v>
      </c>
      <c r="F408" s="2">
        <v>99.98</v>
      </c>
    </row>
    <row r="409" spans="1:6" hidden="1" x14ac:dyDescent="0.25">
      <c r="A409" s="12">
        <v>45265</v>
      </c>
      <c r="B409" s="11" t="s">
        <v>76</v>
      </c>
      <c r="C409" s="11">
        <v>99.91</v>
      </c>
      <c r="D409" s="11">
        <v>100</v>
      </c>
      <c r="E409" s="25">
        <v>100</v>
      </c>
      <c r="F409" s="2">
        <v>99.97</v>
      </c>
    </row>
    <row r="410" spans="1:6" hidden="1" x14ac:dyDescent="0.25">
      <c r="A410" s="12">
        <v>45266</v>
      </c>
      <c r="B410" s="11" t="s">
        <v>76</v>
      </c>
      <c r="C410" s="11">
        <v>99.97</v>
      </c>
      <c r="D410" s="11">
        <v>99.99</v>
      </c>
      <c r="E410" s="25">
        <v>100</v>
      </c>
      <c r="F410" s="2">
        <v>99.97</v>
      </c>
    </row>
    <row r="411" spans="1:6" hidden="1" x14ac:dyDescent="0.25">
      <c r="A411" s="12">
        <v>45267</v>
      </c>
      <c r="B411" s="11" t="s">
        <v>76</v>
      </c>
      <c r="C411" s="11">
        <v>99.91</v>
      </c>
      <c r="D411" s="11">
        <v>100</v>
      </c>
      <c r="E411" s="25">
        <v>100</v>
      </c>
      <c r="F411" s="2">
        <v>99.98</v>
      </c>
    </row>
    <row r="412" spans="1:6" hidden="1" x14ac:dyDescent="0.25">
      <c r="A412" s="12">
        <v>45268</v>
      </c>
      <c r="B412" s="11" t="s">
        <v>76</v>
      </c>
      <c r="C412" s="11">
        <v>99.9</v>
      </c>
      <c r="D412" s="11">
        <v>100</v>
      </c>
      <c r="E412" s="25">
        <v>100</v>
      </c>
      <c r="F412" s="2">
        <v>99.98</v>
      </c>
    </row>
    <row r="413" spans="1:6" hidden="1" x14ac:dyDescent="0.25">
      <c r="A413" s="12">
        <v>45269</v>
      </c>
      <c r="B413" s="11" t="s">
        <v>76</v>
      </c>
      <c r="C413" s="11">
        <v>99.95</v>
      </c>
      <c r="D413" s="11">
        <v>100</v>
      </c>
      <c r="E413" s="25">
        <v>100</v>
      </c>
      <c r="F413" s="2">
        <v>99.98</v>
      </c>
    </row>
    <row r="414" spans="1:6" hidden="1" x14ac:dyDescent="0.25">
      <c r="A414" s="12">
        <v>45270</v>
      </c>
      <c r="B414" s="11" t="s">
        <v>76</v>
      </c>
      <c r="C414" s="11">
        <v>99.6</v>
      </c>
      <c r="D414" s="11">
        <v>100</v>
      </c>
      <c r="E414" s="25">
        <v>100</v>
      </c>
      <c r="F414" s="2">
        <v>99.9</v>
      </c>
    </row>
    <row r="415" spans="1:6" hidden="1" x14ac:dyDescent="0.25">
      <c r="A415" s="12">
        <v>45271</v>
      </c>
      <c r="B415" s="11" t="s">
        <v>76</v>
      </c>
      <c r="C415" s="11">
        <v>99.58</v>
      </c>
      <c r="D415" s="11">
        <v>100</v>
      </c>
      <c r="E415" s="25">
        <v>99.33</v>
      </c>
      <c r="F415" s="2">
        <v>99.91</v>
      </c>
    </row>
    <row r="416" spans="1:6" hidden="1" x14ac:dyDescent="0.25">
      <c r="A416" s="12">
        <v>45272</v>
      </c>
      <c r="B416" s="11" t="s">
        <v>76</v>
      </c>
      <c r="C416" s="11">
        <v>99.57</v>
      </c>
      <c r="D416" s="11">
        <v>100</v>
      </c>
      <c r="E416" s="25">
        <v>100</v>
      </c>
      <c r="F416" s="2">
        <v>99.22</v>
      </c>
    </row>
    <row r="417" spans="1:6" hidden="1" x14ac:dyDescent="0.25">
      <c r="A417" s="12">
        <v>45273</v>
      </c>
      <c r="B417" s="11" t="s">
        <v>76</v>
      </c>
      <c r="C417" s="11">
        <v>99.72</v>
      </c>
      <c r="D417" s="11">
        <v>100</v>
      </c>
      <c r="E417" s="25">
        <v>100</v>
      </c>
      <c r="F417" s="2">
        <v>99.88</v>
      </c>
    </row>
    <row r="418" spans="1:6" hidden="1" x14ac:dyDescent="0.25">
      <c r="A418" s="12">
        <v>45274</v>
      </c>
      <c r="B418" s="11" t="s">
        <v>76</v>
      </c>
      <c r="C418" s="11">
        <v>99.54</v>
      </c>
      <c r="D418" s="11">
        <v>100</v>
      </c>
      <c r="E418" s="25">
        <v>100</v>
      </c>
      <c r="F418" s="2">
        <v>99.91</v>
      </c>
    </row>
    <row r="419" spans="1:6" hidden="1" x14ac:dyDescent="0.25">
      <c r="A419" s="12">
        <v>45275</v>
      </c>
      <c r="B419" s="11" t="s">
        <v>76</v>
      </c>
      <c r="C419" s="11">
        <v>99.54</v>
      </c>
      <c r="D419" s="11">
        <v>100</v>
      </c>
      <c r="E419" s="25">
        <v>100</v>
      </c>
      <c r="F419" s="2">
        <v>99.91</v>
      </c>
    </row>
    <row r="420" spans="1:6" hidden="1" x14ac:dyDescent="0.25">
      <c r="A420" s="12">
        <v>45276</v>
      </c>
      <c r="B420" s="11" t="s">
        <v>76</v>
      </c>
      <c r="C420" s="11">
        <v>99.62</v>
      </c>
      <c r="D420" s="11">
        <v>99.99</v>
      </c>
      <c r="E420" s="25">
        <v>100</v>
      </c>
      <c r="F420" s="2">
        <v>99.91</v>
      </c>
    </row>
    <row r="421" spans="1:6" hidden="1" x14ac:dyDescent="0.25">
      <c r="A421" s="12">
        <v>45277</v>
      </c>
      <c r="B421" s="11" t="s">
        <v>76</v>
      </c>
      <c r="C421" s="11">
        <v>99.59</v>
      </c>
      <c r="D421" s="11">
        <v>100</v>
      </c>
      <c r="E421" s="25">
        <v>100</v>
      </c>
      <c r="F421" s="2">
        <v>99.69</v>
      </c>
    </row>
    <row r="422" spans="1:6" hidden="1" x14ac:dyDescent="0.25">
      <c r="A422" s="12">
        <v>45278</v>
      </c>
      <c r="B422" s="11" t="s">
        <v>76</v>
      </c>
      <c r="C422" s="11">
        <v>99.52</v>
      </c>
      <c r="D422" s="11">
        <v>99.99</v>
      </c>
      <c r="E422" s="25">
        <v>100</v>
      </c>
      <c r="F422" s="2">
        <v>99.91</v>
      </c>
    </row>
    <row r="423" spans="1:6" hidden="1" x14ac:dyDescent="0.25">
      <c r="A423" s="12">
        <v>45279</v>
      </c>
      <c r="B423" s="11" t="s">
        <v>76</v>
      </c>
      <c r="C423" s="11">
        <v>99.6</v>
      </c>
      <c r="D423" s="11">
        <v>100</v>
      </c>
      <c r="E423" s="25">
        <v>99.98</v>
      </c>
      <c r="F423" s="2">
        <v>99.91</v>
      </c>
    </row>
    <row r="424" spans="1:6" hidden="1" x14ac:dyDescent="0.25">
      <c r="A424" s="12">
        <v>45280</v>
      </c>
      <c r="B424" s="11" t="s">
        <v>76</v>
      </c>
      <c r="C424" s="11">
        <v>99.6</v>
      </c>
      <c r="D424" s="11">
        <v>99.48</v>
      </c>
      <c r="E424" s="25">
        <v>100</v>
      </c>
      <c r="F424" s="2">
        <v>99.91</v>
      </c>
    </row>
    <row r="425" spans="1:6" hidden="1" x14ac:dyDescent="0.25">
      <c r="A425" s="12">
        <v>45281</v>
      </c>
      <c r="B425" s="11" t="s">
        <v>76</v>
      </c>
      <c r="C425" s="11">
        <v>99.62</v>
      </c>
      <c r="D425" s="11">
        <v>100</v>
      </c>
      <c r="E425" s="25">
        <v>100</v>
      </c>
      <c r="F425" s="2">
        <v>99.92</v>
      </c>
    </row>
    <row r="426" spans="1:6" hidden="1" x14ac:dyDescent="0.25">
      <c r="A426" s="12">
        <v>45282</v>
      </c>
      <c r="B426" s="11" t="s">
        <v>76</v>
      </c>
      <c r="C426" s="11">
        <v>99.72</v>
      </c>
      <c r="D426" s="11">
        <v>100</v>
      </c>
      <c r="E426" s="25">
        <v>99.96</v>
      </c>
      <c r="F426" s="2">
        <v>99.92</v>
      </c>
    </row>
    <row r="427" spans="1:6" hidden="1" x14ac:dyDescent="0.25">
      <c r="A427" s="12">
        <v>45283</v>
      </c>
      <c r="B427" s="11" t="s">
        <v>76</v>
      </c>
      <c r="C427" s="11">
        <v>99.54</v>
      </c>
      <c r="D427" s="11">
        <v>100</v>
      </c>
      <c r="E427" s="25">
        <v>99.99</v>
      </c>
      <c r="F427" s="2">
        <v>99.86</v>
      </c>
    </row>
    <row r="428" spans="1:6" hidden="1" x14ac:dyDescent="0.25">
      <c r="A428" s="12">
        <v>45284</v>
      </c>
      <c r="B428" s="11" t="s">
        <v>76</v>
      </c>
      <c r="C428" s="11">
        <v>99.51</v>
      </c>
      <c r="D428" s="11">
        <v>100</v>
      </c>
      <c r="E428" s="25">
        <v>99.96</v>
      </c>
      <c r="F428" s="2">
        <v>99.91</v>
      </c>
    </row>
    <row r="429" spans="1:6" hidden="1" x14ac:dyDescent="0.25">
      <c r="A429" s="12">
        <v>45285</v>
      </c>
      <c r="B429" s="11" t="s">
        <v>76</v>
      </c>
      <c r="C429" s="11">
        <v>99.07</v>
      </c>
      <c r="D429" s="11">
        <v>100</v>
      </c>
      <c r="E429" s="25">
        <v>100</v>
      </c>
      <c r="F429" s="2">
        <v>99.9</v>
      </c>
    </row>
    <row r="430" spans="1:6" hidden="1" x14ac:dyDescent="0.25">
      <c r="A430" s="12">
        <v>45286</v>
      </c>
      <c r="B430" s="11" t="s">
        <v>76</v>
      </c>
      <c r="C430" s="11">
        <v>99.47</v>
      </c>
      <c r="D430" s="11">
        <v>100</v>
      </c>
      <c r="E430" s="25">
        <v>100</v>
      </c>
      <c r="F430" s="2">
        <v>99.91</v>
      </c>
    </row>
    <row r="431" spans="1:6" hidden="1" x14ac:dyDescent="0.25">
      <c r="A431" s="12">
        <v>45287</v>
      </c>
      <c r="B431" s="11" t="s">
        <v>76</v>
      </c>
      <c r="C431" s="101">
        <v>99.59</v>
      </c>
      <c r="D431" s="101">
        <v>100</v>
      </c>
      <c r="E431" s="102">
        <v>99.95</v>
      </c>
      <c r="F431" s="104">
        <v>99.93</v>
      </c>
    </row>
    <row r="432" spans="1:6" hidden="1" x14ac:dyDescent="0.25">
      <c r="A432" s="12">
        <v>45288</v>
      </c>
      <c r="B432" s="11" t="s">
        <v>76</v>
      </c>
      <c r="C432" s="101">
        <v>99.65</v>
      </c>
      <c r="D432" s="101">
        <v>100</v>
      </c>
      <c r="E432" s="102">
        <v>100</v>
      </c>
      <c r="F432" s="104">
        <v>99.92</v>
      </c>
    </row>
    <row r="433" spans="1:6" hidden="1" x14ac:dyDescent="0.25">
      <c r="A433" s="12">
        <v>45289</v>
      </c>
      <c r="B433" s="11" t="s">
        <v>76</v>
      </c>
      <c r="C433" s="101">
        <v>99.35</v>
      </c>
      <c r="D433" s="101">
        <v>100</v>
      </c>
      <c r="E433" s="102">
        <v>99.98</v>
      </c>
      <c r="F433" s="104">
        <v>99.91</v>
      </c>
    </row>
    <row r="434" spans="1:6" hidden="1" x14ac:dyDescent="0.25">
      <c r="A434" s="12">
        <v>45290</v>
      </c>
      <c r="B434" s="11" t="s">
        <v>76</v>
      </c>
      <c r="C434" s="101">
        <v>99.1</v>
      </c>
      <c r="D434" s="101">
        <v>99.98</v>
      </c>
      <c r="E434" s="102">
        <v>99.95</v>
      </c>
      <c r="F434" s="104">
        <v>99.92</v>
      </c>
    </row>
    <row r="435" spans="1:6" hidden="1" x14ac:dyDescent="0.25">
      <c r="A435" s="12">
        <v>45291</v>
      </c>
      <c r="B435" s="11" t="s">
        <v>76</v>
      </c>
      <c r="C435" s="101">
        <v>98.85</v>
      </c>
      <c r="D435" s="101">
        <v>99.99</v>
      </c>
      <c r="E435" s="102">
        <v>99.94</v>
      </c>
      <c r="F435" s="104">
        <v>99.93</v>
      </c>
    </row>
    <row r="436" spans="1:6" x14ac:dyDescent="0.25">
      <c r="A436" s="12">
        <v>45292</v>
      </c>
      <c r="B436" s="11" t="s">
        <v>76</v>
      </c>
      <c r="C436" s="101">
        <v>99.92</v>
      </c>
      <c r="D436" s="101">
        <v>100</v>
      </c>
      <c r="E436" s="102">
        <v>99.99</v>
      </c>
      <c r="F436" s="104">
        <v>99.93</v>
      </c>
    </row>
    <row r="437" spans="1:6" x14ac:dyDescent="0.25">
      <c r="A437" s="12">
        <v>45293</v>
      </c>
      <c r="B437" s="11" t="s">
        <v>76</v>
      </c>
      <c r="C437" s="101">
        <v>99.94</v>
      </c>
      <c r="D437" s="101">
        <v>99.99</v>
      </c>
      <c r="E437" s="102">
        <v>99.94</v>
      </c>
      <c r="F437" s="104">
        <v>99.92</v>
      </c>
    </row>
    <row r="438" spans="1:6" x14ac:dyDescent="0.25">
      <c r="A438" s="12">
        <v>45294</v>
      </c>
      <c r="B438" s="11" t="s">
        <v>76</v>
      </c>
      <c r="C438" s="101">
        <v>99.97</v>
      </c>
      <c r="D438" s="101">
        <v>99.99</v>
      </c>
      <c r="E438" s="102">
        <v>99.92</v>
      </c>
      <c r="F438" s="104">
        <v>99.91</v>
      </c>
    </row>
    <row r="439" spans="1:6" x14ac:dyDescent="0.25">
      <c r="A439" s="12">
        <v>45295</v>
      </c>
      <c r="B439" s="11" t="s">
        <v>76</v>
      </c>
      <c r="C439" s="101">
        <v>99.97</v>
      </c>
      <c r="D439" s="101">
        <v>99.99</v>
      </c>
      <c r="E439" s="102">
        <v>99.96</v>
      </c>
      <c r="F439" s="104">
        <v>99.92</v>
      </c>
    </row>
    <row r="440" spans="1:6" x14ac:dyDescent="0.25">
      <c r="A440" s="12">
        <v>45296</v>
      </c>
      <c r="B440" s="11" t="s">
        <v>76</v>
      </c>
      <c r="C440" s="101">
        <v>99.97</v>
      </c>
      <c r="D440" s="101">
        <v>100</v>
      </c>
      <c r="E440" s="102">
        <v>100</v>
      </c>
      <c r="F440" s="104">
        <v>99.92</v>
      </c>
    </row>
    <row r="441" spans="1:6" x14ac:dyDescent="0.25">
      <c r="A441" s="12">
        <v>45297</v>
      </c>
      <c r="B441" s="11" t="s">
        <v>76</v>
      </c>
      <c r="C441" s="101">
        <v>99.9</v>
      </c>
      <c r="D441" s="101">
        <v>100</v>
      </c>
      <c r="E441" s="102">
        <v>99.95</v>
      </c>
      <c r="F441" s="104">
        <v>99.92</v>
      </c>
    </row>
    <row r="442" spans="1:6" x14ac:dyDescent="0.25">
      <c r="A442" s="12">
        <v>45298</v>
      </c>
      <c r="B442" s="11" t="s">
        <v>76</v>
      </c>
      <c r="C442" s="101">
        <v>99.84</v>
      </c>
      <c r="D442" s="101">
        <v>100</v>
      </c>
      <c r="E442" s="102">
        <v>100</v>
      </c>
      <c r="F442" s="104">
        <v>99.91</v>
      </c>
    </row>
    <row r="443" spans="1:6" x14ac:dyDescent="0.25">
      <c r="A443" s="12">
        <v>45299</v>
      </c>
      <c r="B443" s="11" t="s">
        <v>76</v>
      </c>
      <c r="C443" s="101">
        <v>99.63</v>
      </c>
      <c r="D443" s="101">
        <v>100</v>
      </c>
      <c r="E443" s="102">
        <v>99.74</v>
      </c>
      <c r="F443" s="104">
        <v>99.92</v>
      </c>
    </row>
    <row r="444" spans="1:6" x14ac:dyDescent="0.25">
      <c r="A444" s="12">
        <v>45300</v>
      </c>
      <c r="B444" s="136" t="s">
        <v>76</v>
      </c>
      <c r="C444" s="173">
        <v>99.65</v>
      </c>
      <c r="D444" s="173">
        <v>100</v>
      </c>
      <c r="E444" s="184">
        <v>99.35</v>
      </c>
      <c r="F444" s="104">
        <v>99.91</v>
      </c>
    </row>
    <row r="445" spans="1:6" x14ac:dyDescent="0.25">
      <c r="A445" s="12">
        <v>45301</v>
      </c>
      <c r="B445" s="2" t="s">
        <v>76</v>
      </c>
      <c r="C445" s="104">
        <v>99.73</v>
      </c>
      <c r="D445" s="104">
        <v>100</v>
      </c>
      <c r="E445" s="116">
        <v>100</v>
      </c>
      <c r="F445" s="104">
        <v>99.9</v>
      </c>
    </row>
    <row r="446" spans="1:6" x14ac:dyDescent="0.25">
      <c r="A446" s="12">
        <v>45302</v>
      </c>
      <c r="B446" s="2" t="s">
        <v>76</v>
      </c>
      <c r="C446" s="104">
        <v>99.55</v>
      </c>
      <c r="D446" s="104">
        <v>100</v>
      </c>
      <c r="E446" s="116">
        <v>99.67</v>
      </c>
      <c r="F446" s="104">
        <v>99.89</v>
      </c>
    </row>
    <row r="447" spans="1:6" x14ac:dyDescent="0.25">
      <c r="A447" s="12">
        <v>45303</v>
      </c>
      <c r="B447" s="2" t="s">
        <v>76</v>
      </c>
      <c r="C447" s="48">
        <v>99.56</v>
      </c>
      <c r="D447" s="104">
        <v>100</v>
      </c>
      <c r="E447" s="158">
        <v>99.99</v>
      </c>
      <c r="F447" s="48">
        <v>99.88</v>
      </c>
    </row>
    <row r="448" spans="1:6" x14ac:dyDescent="0.25">
      <c r="A448" s="12">
        <v>45304</v>
      </c>
      <c r="B448" s="2" t="s">
        <v>76</v>
      </c>
      <c r="C448" s="48">
        <v>99.96</v>
      </c>
      <c r="D448" s="104">
        <v>100</v>
      </c>
      <c r="E448" s="158">
        <v>99.92</v>
      </c>
      <c r="F448" s="48">
        <v>99.93</v>
      </c>
    </row>
    <row r="449" spans="1:6" x14ac:dyDescent="0.25">
      <c r="A449" s="12">
        <v>45305</v>
      </c>
      <c r="B449" s="2" t="s">
        <v>76</v>
      </c>
      <c r="C449" s="48">
        <v>99.62</v>
      </c>
      <c r="D449" s="104">
        <v>100</v>
      </c>
      <c r="E449" s="158">
        <v>99.83</v>
      </c>
      <c r="F449" s="48">
        <v>99.92</v>
      </c>
    </row>
    <row r="450" spans="1:6" x14ac:dyDescent="0.25">
      <c r="A450" s="12">
        <v>45306</v>
      </c>
      <c r="B450" s="2" t="s">
        <v>76</v>
      </c>
      <c r="C450" s="48">
        <v>99.43</v>
      </c>
      <c r="D450" s="104">
        <v>100</v>
      </c>
      <c r="E450" s="158">
        <v>99.7</v>
      </c>
      <c r="F450" s="48">
        <v>99.92</v>
      </c>
    </row>
    <row r="451" spans="1:6" x14ac:dyDescent="0.25">
      <c r="A451" s="12">
        <v>45307</v>
      </c>
      <c r="B451" s="2" t="s">
        <v>76</v>
      </c>
      <c r="C451" s="104">
        <v>98.92</v>
      </c>
      <c r="D451" s="104">
        <v>100</v>
      </c>
      <c r="E451" s="116">
        <v>99.9</v>
      </c>
      <c r="F451" s="104">
        <v>99.9</v>
      </c>
    </row>
    <row r="452" spans="1:6" x14ac:dyDescent="0.25">
      <c r="A452" s="12">
        <v>45308</v>
      </c>
      <c r="B452" s="2" t="s">
        <v>76</v>
      </c>
      <c r="C452" s="104">
        <v>98.54</v>
      </c>
      <c r="D452" s="104">
        <v>99.99</v>
      </c>
      <c r="E452" s="116">
        <v>100</v>
      </c>
      <c r="F452" s="104">
        <v>99.91</v>
      </c>
    </row>
    <row r="453" spans="1:6" x14ac:dyDescent="0.25">
      <c r="A453" s="12">
        <v>45309</v>
      </c>
      <c r="B453" s="2" t="s">
        <v>76</v>
      </c>
      <c r="C453" s="104">
        <v>99.56</v>
      </c>
      <c r="D453" s="104">
        <v>100</v>
      </c>
      <c r="E453" s="116">
        <v>99.99</v>
      </c>
      <c r="F453" s="104">
        <v>99.92</v>
      </c>
    </row>
    <row r="454" spans="1:6" x14ac:dyDescent="0.25">
      <c r="A454" s="12">
        <v>45310</v>
      </c>
      <c r="B454" s="2" t="s">
        <v>76</v>
      </c>
      <c r="C454" s="48">
        <v>99.97</v>
      </c>
      <c r="D454" s="48">
        <v>100</v>
      </c>
      <c r="E454" s="116">
        <v>99.97</v>
      </c>
      <c r="F454" s="48">
        <v>99.92</v>
      </c>
    </row>
    <row r="455" spans="1:6" x14ac:dyDescent="0.25">
      <c r="A455" s="12">
        <v>45311</v>
      </c>
      <c r="B455" s="2" t="s">
        <v>76</v>
      </c>
      <c r="C455" s="48">
        <v>99.97</v>
      </c>
      <c r="D455" s="48">
        <v>100</v>
      </c>
      <c r="E455" s="116">
        <v>100</v>
      </c>
      <c r="F455" s="48">
        <v>99.93</v>
      </c>
    </row>
    <row r="456" spans="1:6" x14ac:dyDescent="0.25">
      <c r="A456" s="12">
        <v>45312</v>
      </c>
      <c r="B456" s="2" t="s">
        <v>76</v>
      </c>
      <c r="C456" s="48">
        <v>99.97</v>
      </c>
      <c r="D456" s="48">
        <v>100</v>
      </c>
      <c r="E456" s="116">
        <v>99.86</v>
      </c>
      <c r="F456" s="48">
        <v>99.93</v>
      </c>
    </row>
    <row r="457" spans="1:6" x14ac:dyDescent="0.25">
      <c r="A457" s="12">
        <v>45313</v>
      </c>
      <c r="B457" s="2" t="s">
        <v>76</v>
      </c>
      <c r="C457" s="104">
        <v>99.97</v>
      </c>
      <c r="D457" s="104">
        <v>100</v>
      </c>
      <c r="E457" s="116">
        <v>100</v>
      </c>
      <c r="F457" s="104">
        <v>99.92</v>
      </c>
    </row>
    <row r="458" spans="1:6" x14ac:dyDescent="0.25">
      <c r="A458" s="12">
        <v>45314</v>
      </c>
      <c r="B458" s="2" t="s">
        <v>76</v>
      </c>
      <c r="C458" s="2">
        <v>99.89</v>
      </c>
      <c r="D458" s="2">
        <v>100</v>
      </c>
      <c r="E458" s="47">
        <v>100</v>
      </c>
      <c r="F458" s="2">
        <v>99.92</v>
      </c>
    </row>
    <row r="459" spans="1:6" x14ac:dyDescent="0.25">
      <c r="A459" s="12">
        <v>45315</v>
      </c>
      <c r="B459" s="2" t="s">
        <v>76</v>
      </c>
      <c r="C459" s="2">
        <v>99.84</v>
      </c>
      <c r="D459" s="2">
        <v>100</v>
      </c>
      <c r="E459" s="47">
        <v>99.99</v>
      </c>
      <c r="F459" s="2">
        <v>99.92</v>
      </c>
    </row>
    <row r="460" spans="1:6" x14ac:dyDescent="0.25">
      <c r="A460" s="12">
        <v>45316</v>
      </c>
      <c r="B460" s="2" t="s">
        <v>76</v>
      </c>
      <c r="C460" s="2">
        <v>99.43</v>
      </c>
      <c r="D460" s="48">
        <v>100</v>
      </c>
      <c r="E460" s="47">
        <v>99.9</v>
      </c>
      <c r="F460" s="2">
        <v>99.92</v>
      </c>
    </row>
    <row r="461" spans="1:6" x14ac:dyDescent="0.25">
      <c r="A461" s="12">
        <v>45317</v>
      </c>
      <c r="B461" s="2" t="s">
        <v>76</v>
      </c>
      <c r="C461" s="2">
        <v>99.9</v>
      </c>
      <c r="D461" s="48">
        <v>100</v>
      </c>
      <c r="E461" s="47">
        <v>99.54</v>
      </c>
      <c r="F461" s="2">
        <v>99.93</v>
      </c>
    </row>
    <row r="462" spans="1:6" x14ac:dyDescent="0.25">
      <c r="A462" s="12">
        <v>45318</v>
      </c>
      <c r="B462" s="2" t="s">
        <v>76</v>
      </c>
      <c r="C462" s="2">
        <v>99.93</v>
      </c>
      <c r="D462" s="48">
        <v>100</v>
      </c>
      <c r="E462" s="47">
        <v>99.99</v>
      </c>
      <c r="F462" s="2">
        <v>99.93</v>
      </c>
    </row>
    <row r="463" spans="1:6" x14ac:dyDescent="0.25">
      <c r="A463" s="12">
        <v>45319</v>
      </c>
      <c r="B463" s="2" t="s">
        <v>76</v>
      </c>
      <c r="C463" s="2">
        <v>99.98</v>
      </c>
      <c r="D463" s="48">
        <v>100</v>
      </c>
      <c r="E463" s="47">
        <v>100</v>
      </c>
      <c r="F463" s="2">
        <v>99.93</v>
      </c>
    </row>
    <row r="464" spans="1:6" x14ac:dyDescent="0.25">
      <c r="A464" s="12">
        <v>45320</v>
      </c>
      <c r="B464" s="2" t="s">
        <v>76</v>
      </c>
      <c r="C464" s="101">
        <v>99.97</v>
      </c>
      <c r="D464" s="48">
        <v>100</v>
      </c>
      <c r="E464" s="25">
        <v>93.09</v>
      </c>
      <c r="F464" s="2">
        <v>99.93</v>
      </c>
    </row>
    <row r="465" spans="1:6" x14ac:dyDescent="0.25">
      <c r="A465" s="12">
        <v>45321</v>
      </c>
      <c r="B465" s="2" t="s">
        <v>76</v>
      </c>
      <c r="C465" s="101">
        <v>99.97</v>
      </c>
      <c r="D465" s="48">
        <v>100</v>
      </c>
      <c r="E465" s="25">
        <v>92.97</v>
      </c>
      <c r="F465" s="104">
        <v>99.9</v>
      </c>
    </row>
    <row r="466" spans="1:6" x14ac:dyDescent="0.25">
      <c r="A466" s="12">
        <v>45322</v>
      </c>
      <c r="B466" s="2" t="s">
        <v>76</v>
      </c>
      <c r="C466" s="101">
        <v>99.97</v>
      </c>
      <c r="D466" s="101">
        <v>100</v>
      </c>
      <c r="E466" s="25">
        <v>99.99</v>
      </c>
      <c r="F466" s="2">
        <v>99.93</v>
      </c>
    </row>
    <row r="467" spans="1:6" x14ac:dyDescent="0.25">
      <c r="A467" s="12">
        <v>45323</v>
      </c>
      <c r="B467" s="2" t="s">
        <v>76</v>
      </c>
      <c r="C467" s="11">
        <v>99.98</v>
      </c>
      <c r="D467" s="11">
        <v>100</v>
      </c>
      <c r="E467" s="25">
        <v>100</v>
      </c>
      <c r="F467" s="2">
        <v>99.92</v>
      </c>
    </row>
    <row r="468" spans="1:6" x14ac:dyDescent="0.25">
      <c r="A468" s="12">
        <v>45324</v>
      </c>
      <c r="B468" s="2" t="s">
        <v>76</v>
      </c>
      <c r="C468" s="101">
        <v>99.97</v>
      </c>
      <c r="D468" s="101">
        <v>100</v>
      </c>
      <c r="E468" s="102">
        <v>99.89</v>
      </c>
      <c r="F468" s="104">
        <v>99.93</v>
      </c>
    </row>
    <row r="469" spans="1:6" x14ac:dyDescent="0.25">
      <c r="A469" s="12">
        <v>45325</v>
      </c>
      <c r="B469" s="2" t="s">
        <v>76</v>
      </c>
      <c r="C469" s="101">
        <v>99.97</v>
      </c>
      <c r="D469" s="101">
        <v>100</v>
      </c>
      <c r="E469" s="102">
        <v>99.99</v>
      </c>
      <c r="F469" s="104">
        <v>99.92</v>
      </c>
    </row>
    <row r="470" spans="1:6" x14ac:dyDescent="0.25">
      <c r="A470" s="12">
        <v>45326</v>
      </c>
      <c r="B470" s="2" t="s">
        <v>76</v>
      </c>
      <c r="C470" s="101">
        <v>99.98</v>
      </c>
      <c r="D470" s="101">
        <v>100</v>
      </c>
      <c r="E470" s="102">
        <v>99.99</v>
      </c>
      <c r="F470" s="104">
        <v>99.47</v>
      </c>
    </row>
    <row r="471" spans="1:6" x14ac:dyDescent="0.25">
      <c r="A471" s="12">
        <v>45327</v>
      </c>
      <c r="B471" s="2" t="s">
        <v>76</v>
      </c>
      <c r="C471" s="11">
        <v>99.98</v>
      </c>
      <c r="D471" s="11">
        <v>100</v>
      </c>
      <c r="E471" s="25">
        <v>100</v>
      </c>
      <c r="F471" s="2">
        <v>99.93</v>
      </c>
    </row>
    <row r="472" spans="1:6" x14ac:dyDescent="0.25">
      <c r="A472" s="12">
        <v>45328</v>
      </c>
      <c r="B472" s="2" t="s">
        <v>76</v>
      </c>
      <c r="C472" s="11">
        <v>99.98</v>
      </c>
      <c r="D472" s="11">
        <v>100</v>
      </c>
      <c r="E472" s="25">
        <v>99.75</v>
      </c>
      <c r="F472" s="2">
        <v>99.94</v>
      </c>
    </row>
    <row r="473" spans="1:6" x14ac:dyDescent="0.25">
      <c r="A473" s="12">
        <v>45329</v>
      </c>
      <c r="B473" s="2" t="s">
        <v>76</v>
      </c>
      <c r="C473" s="11">
        <v>99.97</v>
      </c>
      <c r="D473" s="11">
        <v>100</v>
      </c>
      <c r="E473" s="25">
        <v>99.98</v>
      </c>
      <c r="F473" s="2">
        <v>99.94</v>
      </c>
    </row>
    <row r="474" spans="1:6" x14ac:dyDescent="0.25">
      <c r="A474" s="12">
        <v>45330</v>
      </c>
      <c r="B474" s="2" t="s">
        <v>76</v>
      </c>
      <c r="C474" s="101">
        <v>99.97</v>
      </c>
      <c r="D474" s="11">
        <v>100</v>
      </c>
      <c r="E474" s="102">
        <v>99.99</v>
      </c>
      <c r="F474" s="104">
        <v>99.94</v>
      </c>
    </row>
    <row r="475" spans="1:6" x14ac:dyDescent="0.25">
      <c r="A475" s="12">
        <v>45331</v>
      </c>
      <c r="B475" s="2" t="s">
        <v>76</v>
      </c>
      <c r="C475" s="101">
        <v>99.95</v>
      </c>
      <c r="D475" s="101">
        <v>100</v>
      </c>
      <c r="E475" s="102">
        <v>99.98</v>
      </c>
      <c r="F475" s="104">
        <v>99.95</v>
      </c>
    </row>
    <row r="476" spans="1:6" x14ac:dyDescent="0.25">
      <c r="A476" s="181">
        <v>45332</v>
      </c>
      <c r="B476" s="34" t="s">
        <v>76</v>
      </c>
      <c r="C476" s="173">
        <v>99.89</v>
      </c>
      <c r="D476" s="173">
        <v>100</v>
      </c>
      <c r="E476" s="184">
        <v>99.99</v>
      </c>
      <c r="F476" s="104">
        <v>99.93</v>
      </c>
    </row>
    <row r="477" spans="1:6" hidden="1" x14ac:dyDescent="0.25">
      <c r="A477" s="174">
        <v>45333</v>
      </c>
      <c r="B477" s="2" t="s">
        <v>76</v>
      </c>
      <c r="C477" s="104">
        <v>99.95</v>
      </c>
      <c r="D477" s="104">
        <v>100</v>
      </c>
      <c r="E477" s="116">
        <v>99.89</v>
      </c>
      <c r="F477" s="104">
        <v>99.94</v>
      </c>
    </row>
    <row r="478" spans="1:6" hidden="1" x14ac:dyDescent="0.25">
      <c r="A478" s="174">
        <v>45334</v>
      </c>
      <c r="B478" s="2" t="s">
        <v>76</v>
      </c>
      <c r="C478" s="104">
        <v>99.44</v>
      </c>
      <c r="D478" s="104">
        <v>100</v>
      </c>
      <c r="E478" s="116">
        <v>100</v>
      </c>
      <c r="F478" s="104">
        <v>99.93</v>
      </c>
    </row>
    <row r="479" spans="1:6" hidden="1" x14ac:dyDescent="0.25">
      <c r="A479" s="174">
        <v>45335</v>
      </c>
      <c r="B479" s="2" t="s">
        <v>76</v>
      </c>
      <c r="C479" s="104">
        <v>97.42</v>
      </c>
      <c r="D479" s="104">
        <v>100</v>
      </c>
      <c r="E479" s="116">
        <v>99.99</v>
      </c>
      <c r="F479" s="104">
        <v>99.93</v>
      </c>
    </row>
    <row r="480" spans="1:6" hidden="1" x14ac:dyDescent="0.25">
      <c r="A480" s="174">
        <v>45336</v>
      </c>
      <c r="B480" s="2" t="s">
        <v>76</v>
      </c>
      <c r="C480" s="104">
        <v>99.97</v>
      </c>
      <c r="D480" s="104">
        <v>100</v>
      </c>
      <c r="E480" s="116">
        <v>99.99</v>
      </c>
      <c r="F480" s="104">
        <v>99.93</v>
      </c>
    </row>
    <row r="481" spans="1:6" hidden="1" x14ac:dyDescent="0.25">
      <c r="A481" s="174">
        <v>45337</v>
      </c>
      <c r="B481" s="2" t="s">
        <v>76</v>
      </c>
      <c r="C481" s="48">
        <v>99.97</v>
      </c>
      <c r="D481" s="48">
        <v>100</v>
      </c>
      <c r="E481" s="158">
        <v>99.83</v>
      </c>
      <c r="F481" s="48">
        <v>99.93</v>
      </c>
    </row>
    <row r="482" spans="1:6" hidden="1" x14ac:dyDescent="0.25">
      <c r="A482" s="174">
        <v>45338</v>
      </c>
      <c r="B482" s="2" t="s">
        <v>76</v>
      </c>
      <c r="C482" s="48">
        <v>99.97</v>
      </c>
      <c r="D482" s="48">
        <v>100</v>
      </c>
      <c r="E482" s="158">
        <v>99.91</v>
      </c>
      <c r="F482" s="48">
        <v>99.93</v>
      </c>
    </row>
    <row r="483" spans="1:6" hidden="1" x14ac:dyDescent="0.25">
      <c r="A483" s="174">
        <v>45339</v>
      </c>
      <c r="B483" s="2" t="s">
        <v>76</v>
      </c>
      <c r="C483" s="48">
        <v>99.98</v>
      </c>
      <c r="D483" s="48">
        <v>100</v>
      </c>
      <c r="E483" s="158">
        <v>99.99</v>
      </c>
      <c r="F483" s="48">
        <v>99.93</v>
      </c>
    </row>
    <row r="484" spans="1:6" hidden="1" x14ac:dyDescent="0.25">
      <c r="A484" s="174">
        <v>45340</v>
      </c>
      <c r="B484" s="2" t="s">
        <v>76</v>
      </c>
      <c r="C484" s="48">
        <v>99.97</v>
      </c>
      <c r="D484" s="48">
        <v>100</v>
      </c>
      <c r="E484" s="158">
        <v>100</v>
      </c>
      <c r="F484" s="48">
        <v>99.93</v>
      </c>
    </row>
    <row r="485" spans="1:6" hidden="1" x14ac:dyDescent="0.25">
      <c r="A485" s="174">
        <v>45341</v>
      </c>
      <c r="B485" s="2" t="s">
        <v>76</v>
      </c>
      <c r="C485" s="2">
        <v>99.97</v>
      </c>
      <c r="D485" s="2">
        <v>100</v>
      </c>
      <c r="E485" s="47">
        <v>99.99</v>
      </c>
      <c r="F485" s="2">
        <v>99.92</v>
      </c>
    </row>
    <row r="486" spans="1:6" hidden="1" x14ac:dyDescent="0.25">
      <c r="A486" s="174">
        <v>45342</v>
      </c>
      <c r="B486" s="2" t="s">
        <v>76</v>
      </c>
      <c r="C486" s="101">
        <v>99.98</v>
      </c>
      <c r="D486" s="101">
        <v>100</v>
      </c>
      <c r="E486" s="102">
        <v>100</v>
      </c>
      <c r="F486" s="104">
        <v>99.93</v>
      </c>
    </row>
    <row r="487" spans="1:6" hidden="1" x14ac:dyDescent="0.25">
      <c r="A487" s="174">
        <v>45343</v>
      </c>
      <c r="B487" s="2" t="s">
        <v>76</v>
      </c>
      <c r="C487" s="101">
        <v>99.98</v>
      </c>
      <c r="D487" s="101">
        <v>100</v>
      </c>
      <c r="E487" s="102">
        <v>99.99</v>
      </c>
      <c r="F487" s="104">
        <v>99.92</v>
      </c>
    </row>
    <row r="488" spans="1:6" hidden="1" x14ac:dyDescent="0.25">
      <c r="A488" s="174">
        <v>45344</v>
      </c>
      <c r="B488" s="2" t="s">
        <v>76</v>
      </c>
      <c r="C488" s="101">
        <v>99.97</v>
      </c>
      <c r="D488" s="101">
        <v>100</v>
      </c>
      <c r="E488" s="102">
        <v>100</v>
      </c>
      <c r="F488" s="104">
        <v>99.92</v>
      </c>
    </row>
    <row r="489" spans="1:6" hidden="1" x14ac:dyDescent="0.25">
      <c r="A489" s="174">
        <v>45345</v>
      </c>
      <c r="B489" s="2" t="s">
        <v>76</v>
      </c>
      <c r="C489" s="101">
        <v>99.98</v>
      </c>
      <c r="D489" s="101">
        <v>100</v>
      </c>
      <c r="E489" s="102">
        <v>99.99</v>
      </c>
      <c r="F489" s="104">
        <v>99.93</v>
      </c>
    </row>
    <row r="490" spans="1:6" hidden="1" x14ac:dyDescent="0.25">
      <c r="A490" s="174">
        <v>45346</v>
      </c>
      <c r="B490" s="2" t="s">
        <v>76</v>
      </c>
      <c r="C490" s="101">
        <v>99.94</v>
      </c>
      <c r="D490" s="101">
        <v>100</v>
      </c>
      <c r="E490" s="102">
        <v>100</v>
      </c>
      <c r="F490" s="104">
        <v>99.93</v>
      </c>
    </row>
    <row r="491" spans="1:6" x14ac:dyDescent="0.25">
      <c r="A491" s="174">
        <v>45347</v>
      </c>
      <c r="B491" s="2" t="s">
        <v>76</v>
      </c>
      <c r="C491" s="101">
        <v>99.98</v>
      </c>
      <c r="D491" s="101">
        <v>100</v>
      </c>
      <c r="E491" s="102">
        <v>100</v>
      </c>
      <c r="F491" s="104">
        <v>99.9</v>
      </c>
    </row>
    <row r="492" spans="1:6" x14ac:dyDescent="0.25">
      <c r="A492" s="174">
        <v>45348</v>
      </c>
      <c r="B492" s="2" t="s">
        <v>76</v>
      </c>
      <c r="C492" s="101">
        <v>99.98</v>
      </c>
      <c r="D492" s="101">
        <v>100</v>
      </c>
      <c r="E492" s="102">
        <v>100</v>
      </c>
      <c r="F492" s="104">
        <v>99.94</v>
      </c>
    </row>
    <row r="493" spans="1:6" x14ac:dyDescent="0.25">
      <c r="A493" s="174">
        <v>45349</v>
      </c>
      <c r="B493" s="2" t="s">
        <v>76</v>
      </c>
      <c r="C493" s="101">
        <v>97.72</v>
      </c>
      <c r="D493" s="101">
        <v>100</v>
      </c>
      <c r="E493" s="102">
        <v>100</v>
      </c>
      <c r="F493" s="104">
        <v>99.92</v>
      </c>
    </row>
    <row r="494" spans="1:6" x14ac:dyDescent="0.25">
      <c r="A494" s="174">
        <v>45350</v>
      </c>
      <c r="B494" s="2" t="s">
        <v>76</v>
      </c>
      <c r="C494" s="101">
        <v>99.97</v>
      </c>
      <c r="D494" s="101">
        <v>100</v>
      </c>
      <c r="E494" s="102">
        <v>100</v>
      </c>
      <c r="F494" s="104">
        <v>99.91</v>
      </c>
    </row>
    <row r="495" spans="1:6" x14ac:dyDescent="0.25">
      <c r="A495" s="174">
        <v>45351</v>
      </c>
      <c r="B495" s="2" t="s">
        <v>76</v>
      </c>
      <c r="C495" s="101">
        <v>99.97</v>
      </c>
      <c r="D495" s="101">
        <v>100</v>
      </c>
      <c r="E495" s="102">
        <v>100</v>
      </c>
      <c r="F495" s="104">
        <v>99.93</v>
      </c>
    </row>
    <row r="496" spans="1:6" x14ac:dyDescent="0.25">
      <c r="A496" s="174">
        <v>45352</v>
      </c>
      <c r="B496" s="2" t="s">
        <v>76</v>
      </c>
      <c r="C496" s="101">
        <v>99.98</v>
      </c>
      <c r="D496" s="101">
        <v>100</v>
      </c>
      <c r="E496" s="102">
        <v>100</v>
      </c>
      <c r="F496" s="104">
        <v>99.93</v>
      </c>
    </row>
    <row r="497" spans="1:6" x14ac:dyDescent="0.25">
      <c r="A497" s="174">
        <v>45353</v>
      </c>
      <c r="B497" s="2" t="s">
        <v>76</v>
      </c>
      <c r="C497" s="101">
        <v>99.98</v>
      </c>
      <c r="D497" s="101">
        <v>100</v>
      </c>
      <c r="E497" s="102">
        <v>99.99</v>
      </c>
      <c r="F497" s="104">
        <v>99.93</v>
      </c>
    </row>
    <row r="498" spans="1:6" x14ac:dyDescent="0.25">
      <c r="A498" s="174">
        <v>45354</v>
      </c>
      <c r="B498" s="2" t="s">
        <v>76</v>
      </c>
      <c r="C498" s="101">
        <v>99.97</v>
      </c>
      <c r="D498" s="101">
        <v>100</v>
      </c>
      <c r="E498" s="102">
        <v>100</v>
      </c>
      <c r="F498" s="104">
        <v>99.92</v>
      </c>
    </row>
    <row r="499" spans="1:6" x14ac:dyDescent="0.25">
      <c r="A499" s="174">
        <v>45355</v>
      </c>
      <c r="B499" s="2" t="s">
        <v>76</v>
      </c>
      <c r="C499" s="11">
        <v>99.96</v>
      </c>
      <c r="D499" s="11">
        <v>100</v>
      </c>
      <c r="E499" s="25">
        <v>100</v>
      </c>
      <c r="F499" s="2">
        <v>99.92</v>
      </c>
    </row>
    <row r="500" spans="1:6" x14ac:dyDescent="0.25">
      <c r="A500" s="174">
        <v>45356</v>
      </c>
      <c r="B500" s="2" t="s">
        <v>76</v>
      </c>
      <c r="C500" s="11">
        <v>99.96</v>
      </c>
      <c r="D500" s="11">
        <v>100</v>
      </c>
      <c r="E500" s="25">
        <v>100</v>
      </c>
      <c r="F500" s="2">
        <v>99.93</v>
      </c>
    </row>
    <row r="501" spans="1:6" x14ac:dyDescent="0.25">
      <c r="A501" s="174">
        <v>45357</v>
      </c>
      <c r="B501" s="2" t="s">
        <v>76</v>
      </c>
      <c r="C501" s="11">
        <v>99.9</v>
      </c>
      <c r="D501" s="11">
        <v>100</v>
      </c>
      <c r="E501" s="25">
        <v>100</v>
      </c>
      <c r="F501" s="2">
        <v>99.92</v>
      </c>
    </row>
    <row r="502" spans="1:6" x14ac:dyDescent="0.25">
      <c r="A502" s="174">
        <v>45358</v>
      </c>
      <c r="B502" s="2" t="s">
        <v>76</v>
      </c>
      <c r="C502" s="11">
        <v>99.22</v>
      </c>
      <c r="D502" s="11">
        <v>100</v>
      </c>
      <c r="E502" s="25">
        <v>100</v>
      </c>
      <c r="F502" s="2">
        <v>99.94</v>
      </c>
    </row>
    <row r="503" spans="1:6" x14ac:dyDescent="0.25">
      <c r="A503" s="174">
        <v>45359</v>
      </c>
      <c r="B503" s="2" t="s">
        <v>76</v>
      </c>
      <c r="C503" s="11">
        <v>99.1</v>
      </c>
      <c r="D503" s="11">
        <v>100</v>
      </c>
      <c r="E503" s="25">
        <v>100</v>
      </c>
      <c r="F503" s="2">
        <v>99.93</v>
      </c>
    </row>
    <row r="504" spans="1:6" x14ac:dyDescent="0.25">
      <c r="A504" s="174">
        <v>45360</v>
      </c>
      <c r="B504" s="2" t="s">
        <v>76</v>
      </c>
      <c r="C504" s="11">
        <v>99.46</v>
      </c>
      <c r="D504" s="11">
        <v>100</v>
      </c>
      <c r="E504" s="25">
        <v>100</v>
      </c>
      <c r="F504" s="2">
        <v>99.93</v>
      </c>
    </row>
    <row r="505" spans="1:6" x14ac:dyDescent="0.25">
      <c r="A505" s="174">
        <v>45361</v>
      </c>
      <c r="B505" s="2" t="s">
        <v>76</v>
      </c>
      <c r="C505" s="11">
        <v>99.81</v>
      </c>
      <c r="D505" s="11">
        <v>100</v>
      </c>
      <c r="E505" s="25">
        <v>99.98</v>
      </c>
      <c r="F505" s="2">
        <v>99.98</v>
      </c>
    </row>
    <row r="506" spans="1:6" x14ac:dyDescent="0.25">
      <c r="A506" s="174">
        <v>45362</v>
      </c>
      <c r="B506" s="2" t="s">
        <v>76</v>
      </c>
      <c r="C506" s="11">
        <v>99.69</v>
      </c>
      <c r="D506" s="11">
        <v>100</v>
      </c>
      <c r="E506" s="25">
        <v>100</v>
      </c>
      <c r="F506" s="2">
        <v>99.98</v>
      </c>
    </row>
    <row r="507" spans="1:6" x14ac:dyDescent="0.25">
      <c r="A507" s="174">
        <v>45363</v>
      </c>
      <c r="B507" s="2" t="s">
        <v>76</v>
      </c>
      <c r="C507" s="11">
        <v>99.74</v>
      </c>
      <c r="D507" s="11">
        <v>99.98</v>
      </c>
      <c r="E507" s="25">
        <v>100</v>
      </c>
      <c r="F507" s="2">
        <v>99.98</v>
      </c>
    </row>
    <row r="508" spans="1:6" x14ac:dyDescent="0.25">
      <c r="A508" s="174">
        <v>45364</v>
      </c>
      <c r="B508" s="2" t="s">
        <v>76</v>
      </c>
      <c r="C508" s="2">
        <v>99.92</v>
      </c>
      <c r="D508" s="2">
        <v>99.99</v>
      </c>
      <c r="E508" s="47">
        <v>98.51</v>
      </c>
      <c r="F508" s="2">
        <v>99.98</v>
      </c>
    </row>
    <row r="509" spans="1:6" x14ac:dyDescent="0.25">
      <c r="A509" s="174">
        <v>45365</v>
      </c>
      <c r="B509" s="2" t="s">
        <v>76</v>
      </c>
      <c r="C509" s="48">
        <v>99.72</v>
      </c>
      <c r="D509" s="48">
        <v>100</v>
      </c>
      <c r="E509" s="158">
        <v>46.18</v>
      </c>
      <c r="F509" s="48">
        <v>99.98</v>
      </c>
    </row>
    <row r="510" spans="1:6" x14ac:dyDescent="0.25">
      <c r="A510" s="174">
        <v>45366</v>
      </c>
      <c r="B510" s="2" t="s">
        <v>76</v>
      </c>
      <c r="C510" s="48">
        <v>99.76</v>
      </c>
      <c r="D510" s="48">
        <v>100</v>
      </c>
      <c r="E510" s="158">
        <v>95.18</v>
      </c>
      <c r="F510" s="48">
        <v>99.98</v>
      </c>
    </row>
    <row r="511" spans="1:6" x14ac:dyDescent="0.25">
      <c r="A511" s="174">
        <v>45367</v>
      </c>
      <c r="B511" s="2" t="s">
        <v>76</v>
      </c>
      <c r="C511" s="48">
        <v>99.96</v>
      </c>
      <c r="D511" s="48">
        <v>100</v>
      </c>
      <c r="E511" s="158">
        <v>100</v>
      </c>
      <c r="F511" s="48">
        <v>99.98</v>
      </c>
    </row>
    <row r="512" spans="1:6" x14ac:dyDescent="0.25">
      <c r="A512" s="174">
        <v>45368</v>
      </c>
      <c r="B512" s="2" t="s">
        <v>76</v>
      </c>
      <c r="C512" s="48">
        <v>99.95</v>
      </c>
      <c r="D512" s="48">
        <v>100</v>
      </c>
      <c r="E512" s="158">
        <v>99.78</v>
      </c>
      <c r="F512" s="48">
        <v>99.98</v>
      </c>
    </row>
    <row r="513" spans="1:6" x14ac:dyDescent="0.25">
      <c r="A513" s="174">
        <v>45369</v>
      </c>
      <c r="B513" s="2" t="s">
        <v>76</v>
      </c>
      <c r="C513" s="101">
        <v>99.96</v>
      </c>
      <c r="D513" s="101">
        <v>100</v>
      </c>
      <c r="E513" s="102">
        <v>100</v>
      </c>
      <c r="F513" s="104">
        <v>99.98</v>
      </c>
    </row>
    <row r="514" spans="1:6" x14ac:dyDescent="0.25">
      <c r="A514" s="174">
        <v>45370</v>
      </c>
      <c r="B514" s="2" t="s">
        <v>76</v>
      </c>
      <c r="C514" s="101">
        <v>99.96</v>
      </c>
      <c r="D514" s="101">
        <v>100</v>
      </c>
      <c r="E514" s="102">
        <v>99.94</v>
      </c>
      <c r="F514" s="104">
        <v>99.97</v>
      </c>
    </row>
    <row r="515" spans="1:6" x14ac:dyDescent="0.25">
      <c r="A515" s="174">
        <v>45371</v>
      </c>
      <c r="B515" s="2" t="s">
        <v>76</v>
      </c>
      <c r="C515" s="101">
        <v>99.97</v>
      </c>
      <c r="D515" s="101">
        <v>100</v>
      </c>
      <c r="E515" s="102">
        <v>100</v>
      </c>
      <c r="F515" s="104">
        <v>99.98</v>
      </c>
    </row>
    <row r="516" spans="1:6" x14ac:dyDescent="0.25">
      <c r="A516" s="174">
        <v>45372</v>
      </c>
      <c r="B516" s="2" t="s">
        <v>76</v>
      </c>
      <c r="C516" s="11">
        <v>99.94</v>
      </c>
      <c r="D516" s="11">
        <v>100</v>
      </c>
      <c r="E516" s="25">
        <v>100</v>
      </c>
      <c r="F516" s="2">
        <v>99.98</v>
      </c>
    </row>
    <row r="517" spans="1:6" x14ac:dyDescent="0.25">
      <c r="A517" s="174">
        <v>45373</v>
      </c>
      <c r="B517" s="2" t="s">
        <v>76</v>
      </c>
      <c r="C517" s="101">
        <v>99.91</v>
      </c>
      <c r="D517" s="101">
        <v>100</v>
      </c>
      <c r="E517" s="102">
        <v>100</v>
      </c>
      <c r="F517" s="104">
        <v>99.98</v>
      </c>
    </row>
    <row r="518" spans="1:6" x14ac:dyDescent="0.25">
      <c r="A518" s="174">
        <v>45374</v>
      </c>
      <c r="B518" s="2" t="s">
        <v>76</v>
      </c>
      <c r="C518" s="101">
        <v>99.88</v>
      </c>
      <c r="D518" s="11">
        <v>100</v>
      </c>
      <c r="E518" s="25">
        <v>100</v>
      </c>
      <c r="F518" s="2">
        <v>99.98</v>
      </c>
    </row>
    <row r="519" spans="1:6" x14ac:dyDescent="0.25">
      <c r="A519" s="174">
        <v>45375</v>
      </c>
      <c r="B519" s="2" t="s">
        <v>76</v>
      </c>
      <c r="C519" s="101">
        <v>99.96</v>
      </c>
      <c r="D519" s="101">
        <v>100</v>
      </c>
      <c r="E519" s="102">
        <v>100</v>
      </c>
      <c r="F519" s="104">
        <v>99.98</v>
      </c>
    </row>
    <row r="520" spans="1:6" x14ac:dyDescent="0.25">
      <c r="A520" s="174">
        <v>45376</v>
      </c>
      <c r="B520" s="2" t="s">
        <v>76</v>
      </c>
      <c r="C520" s="101">
        <v>99.81</v>
      </c>
      <c r="D520" s="101">
        <v>100</v>
      </c>
      <c r="E520" s="102">
        <v>100</v>
      </c>
      <c r="F520" s="104">
        <v>99.98</v>
      </c>
    </row>
    <row r="521" spans="1:6" x14ac:dyDescent="0.25">
      <c r="A521" s="174">
        <v>45377</v>
      </c>
      <c r="B521" s="2" t="s">
        <v>76</v>
      </c>
      <c r="C521" s="101">
        <v>99.72</v>
      </c>
      <c r="D521" s="101">
        <v>100</v>
      </c>
      <c r="E521" s="102">
        <v>100</v>
      </c>
      <c r="F521" s="104">
        <v>99.97</v>
      </c>
    </row>
    <row r="522" spans="1:6" x14ac:dyDescent="0.25">
      <c r="A522" s="174">
        <v>45378</v>
      </c>
      <c r="B522" s="2" t="s">
        <v>76</v>
      </c>
      <c r="C522" s="101">
        <v>98.81</v>
      </c>
      <c r="D522" s="101">
        <v>100</v>
      </c>
      <c r="E522" s="102">
        <v>100</v>
      </c>
      <c r="F522" s="104">
        <v>99.98</v>
      </c>
    </row>
    <row r="523" spans="1:6" x14ac:dyDescent="0.25">
      <c r="A523" s="174">
        <v>45379</v>
      </c>
      <c r="B523" s="2" t="s">
        <v>76</v>
      </c>
      <c r="C523" s="101">
        <v>99.96</v>
      </c>
      <c r="D523" s="101">
        <v>100</v>
      </c>
      <c r="E523" s="102">
        <v>100</v>
      </c>
      <c r="F523" s="104">
        <v>99.98</v>
      </c>
    </row>
    <row r="524" spans="1:6" x14ac:dyDescent="0.25">
      <c r="A524" s="174">
        <v>45380</v>
      </c>
      <c r="B524" s="2" t="s">
        <v>76</v>
      </c>
      <c r="C524" s="11">
        <v>99.46</v>
      </c>
      <c r="D524" s="11">
        <v>100</v>
      </c>
      <c r="E524" s="25">
        <v>100</v>
      </c>
      <c r="F524" s="2">
        <v>99.98</v>
      </c>
    </row>
    <row r="525" spans="1:6" x14ac:dyDescent="0.25">
      <c r="A525" s="174">
        <v>45381</v>
      </c>
      <c r="B525" s="2" t="s">
        <v>76</v>
      </c>
      <c r="C525" s="11">
        <v>99.88</v>
      </c>
      <c r="D525" s="11">
        <v>100</v>
      </c>
      <c r="E525" s="25">
        <v>100</v>
      </c>
      <c r="F525" s="2">
        <v>99.97</v>
      </c>
    </row>
    <row r="526" spans="1:6" x14ac:dyDescent="0.25">
      <c r="A526" s="174">
        <v>45382</v>
      </c>
      <c r="B526" s="2" t="s">
        <v>76</v>
      </c>
      <c r="C526" s="11">
        <v>99.94</v>
      </c>
      <c r="D526" s="11">
        <v>100</v>
      </c>
      <c r="E526" s="25">
        <v>100</v>
      </c>
      <c r="F526" s="2">
        <v>99.98</v>
      </c>
    </row>
    <row r="527" spans="1:6" x14ac:dyDescent="0.25">
      <c r="A527" s="174">
        <v>45383</v>
      </c>
      <c r="B527" s="2" t="s">
        <v>76</v>
      </c>
      <c r="C527" s="11">
        <v>99.88</v>
      </c>
      <c r="D527" s="11">
        <v>100</v>
      </c>
      <c r="E527" s="25">
        <v>99.93</v>
      </c>
      <c r="F527" s="2">
        <v>99.97</v>
      </c>
    </row>
    <row r="528" spans="1:6" x14ac:dyDescent="0.25">
      <c r="A528" s="174">
        <v>45384</v>
      </c>
      <c r="B528" s="2" t="s">
        <v>76</v>
      </c>
      <c r="C528" s="25">
        <v>99.92</v>
      </c>
      <c r="D528" s="25">
        <v>100</v>
      </c>
      <c r="E528" s="25">
        <v>96.16</v>
      </c>
      <c r="F528" s="2">
        <v>99.97</v>
      </c>
    </row>
    <row r="529" spans="1:6" x14ac:dyDescent="0.25">
      <c r="A529" s="174">
        <v>45385</v>
      </c>
      <c r="B529" s="2" t="s">
        <v>76</v>
      </c>
      <c r="C529" s="2">
        <v>99.96</v>
      </c>
      <c r="D529" s="2">
        <v>100</v>
      </c>
      <c r="E529" s="47">
        <v>100</v>
      </c>
      <c r="F529" s="2">
        <v>99.97</v>
      </c>
    </row>
    <row r="530" spans="1:6" x14ac:dyDescent="0.25">
      <c r="A530" s="174">
        <v>45386</v>
      </c>
      <c r="B530" s="2" t="s">
        <v>76</v>
      </c>
      <c r="C530" s="2">
        <v>99.96</v>
      </c>
      <c r="D530" s="2">
        <v>100</v>
      </c>
      <c r="E530" s="47">
        <v>100</v>
      </c>
      <c r="F530" s="2">
        <v>99.98</v>
      </c>
    </row>
    <row r="531" spans="1:6" x14ac:dyDescent="0.25">
      <c r="A531" s="174">
        <v>45387</v>
      </c>
      <c r="B531" s="2" t="s">
        <v>76</v>
      </c>
      <c r="C531" s="101">
        <v>99.8</v>
      </c>
      <c r="D531" s="2">
        <v>100</v>
      </c>
      <c r="E531" s="47">
        <v>100</v>
      </c>
      <c r="F531" s="104">
        <v>99.98</v>
      </c>
    </row>
    <row r="532" spans="1:6" x14ac:dyDescent="0.25">
      <c r="A532" s="174">
        <v>45388</v>
      </c>
      <c r="B532" s="2" t="s">
        <v>76</v>
      </c>
      <c r="C532" s="101">
        <v>99.96</v>
      </c>
      <c r="D532" s="2">
        <v>100</v>
      </c>
      <c r="E532" s="47">
        <v>100</v>
      </c>
      <c r="F532" s="104">
        <v>99.97</v>
      </c>
    </row>
    <row r="533" spans="1:6" x14ac:dyDescent="0.25">
      <c r="A533" s="174">
        <v>45389</v>
      </c>
      <c r="B533" s="2" t="s">
        <v>76</v>
      </c>
      <c r="C533" s="101">
        <v>99.96</v>
      </c>
      <c r="D533" s="2">
        <v>100</v>
      </c>
      <c r="E533" s="47">
        <v>100</v>
      </c>
      <c r="F533" s="104">
        <v>99.98</v>
      </c>
    </row>
    <row r="534" spans="1:6" x14ac:dyDescent="0.25">
      <c r="A534" s="174">
        <v>45390</v>
      </c>
      <c r="B534" s="2" t="s">
        <v>76</v>
      </c>
      <c r="C534" s="101">
        <v>99.97</v>
      </c>
      <c r="D534" s="2">
        <v>100</v>
      </c>
      <c r="E534" s="47">
        <v>100</v>
      </c>
      <c r="F534" s="104">
        <v>99.39</v>
      </c>
    </row>
    <row r="535" spans="1:6" hidden="1" x14ac:dyDescent="0.25">
      <c r="A535" s="174">
        <v>45391</v>
      </c>
      <c r="B535" s="2" t="s">
        <v>76</v>
      </c>
      <c r="C535" s="101">
        <v>99.97</v>
      </c>
      <c r="D535" s="101">
        <v>100</v>
      </c>
      <c r="E535" s="102">
        <v>100</v>
      </c>
      <c r="F535" s="104">
        <v>99.97</v>
      </c>
    </row>
    <row r="536" spans="1:6" x14ac:dyDescent="0.25">
      <c r="A536" s="174">
        <v>45392</v>
      </c>
      <c r="B536" s="2" t="s">
        <v>76</v>
      </c>
      <c r="C536" s="101">
        <v>99.97</v>
      </c>
      <c r="D536" s="101">
        <v>100</v>
      </c>
      <c r="E536" s="102">
        <v>100</v>
      </c>
      <c r="F536" s="104">
        <v>99.98</v>
      </c>
    </row>
    <row r="537" spans="1:6" x14ac:dyDescent="0.25">
      <c r="A537" s="174">
        <v>45393</v>
      </c>
      <c r="B537" s="2" t="s">
        <v>76</v>
      </c>
      <c r="C537" s="101">
        <v>97.01</v>
      </c>
      <c r="D537" s="101">
        <v>97.31</v>
      </c>
      <c r="E537" s="102">
        <v>100</v>
      </c>
      <c r="F537" s="104">
        <v>98.39</v>
      </c>
    </row>
    <row r="538" spans="1:6" x14ac:dyDescent="0.25">
      <c r="A538" s="174">
        <v>45394</v>
      </c>
      <c r="B538" s="2" t="s">
        <v>76</v>
      </c>
      <c r="C538" s="173">
        <v>99.95</v>
      </c>
      <c r="D538" s="173">
        <v>100</v>
      </c>
      <c r="E538" s="184">
        <v>99.86</v>
      </c>
      <c r="F538" s="104">
        <v>99.98</v>
      </c>
    </row>
    <row r="539" spans="1:6" x14ac:dyDescent="0.25">
      <c r="A539" s="174">
        <v>45395</v>
      </c>
      <c r="B539" s="2" t="s">
        <v>76</v>
      </c>
      <c r="C539" s="104">
        <v>99.96</v>
      </c>
      <c r="D539" s="104">
        <v>100</v>
      </c>
      <c r="E539" s="116">
        <v>100</v>
      </c>
      <c r="F539" s="104">
        <v>99.96</v>
      </c>
    </row>
    <row r="540" spans="1:6" x14ac:dyDescent="0.25">
      <c r="A540" s="174">
        <v>45396</v>
      </c>
      <c r="B540" s="2" t="s">
        <v>76</v>
      </c>
      <c r="C540" s="104">
        <v>99.96</v>
      </c>
      <c r="D540" s="104">
        <v>100</v>
      </c>
      <c r="E540" s="116">
        <v>100</v>
      </c>
      <c r="F540" s="104">
        <v>99.98</v>
      </c>
    </row>
    <row r="541" spans="1:6" x14ac:dyDescent="0.25">
      <c r="A541" s="174">
        <v>45397</v>
      </c>
      <c r="B541" s="2" t="s">
        <v>76</v>
      </c>
      <c r="C541" s="2">
        <v>99.96</v>
      </c>
      <c r="D541" s="2">
        <v>100</v>
      </c>
      <c r="E541" s="47">
        <v>99.46</v>
      </c>
      <c r="F541" s="2">
        <v>99.93</v>
      </c>
    </row>
    <row r="542" spans="1:6" x14ac:dyDescent="0.25">
      <c r="A542" s="174">
        <v>45398</v>
      </c>
      <c r="B542" s="2" t="s">
        <v>76</v>
      </c>
      <c r="C542" s="11">
        <v>99.96</v>
      </c>
      <c r="D542" s="11">
        <v>100</v>
      </c>
      <c r="E542" s="25">
        <v>100</v>
      </c>
      <c r="F542" s="2">
        <v>99.9</v>
      </c>
    </row>
    <row r="543" spans="1:6" x14ac:dyDescent="0.25">
      <c r="A543" s="174">
        <v>45399</v>
      </c>
      <c r="B543" s="2" t="s">
        <v>76</v>
      </c>
      <c r="C543" s="11">
        <v>99.96</v>
      </c>
      <c r="D543" s="11">
        <v>100</v>
      </c>
      <c r="E543" s="25">
        <v>100</v>
      </c>
      <c r="F543" s="2">
        <v>99.97</v>
      </c>
    </row>
    <row r="544" spans="1:6" x14ac:dyDescent="0.25">
      <c r="A544" s="174">
        <v>45400</v>
      </c>
      <c r="B544" s="2" t="s">
        <v>76</v>
      </c>
      <c r="C544" s="11">
        <v>99.93</v>
      </c>
      <c r="D544" s="11">
        <v>100</v>
      </c>
      <c r="E544" s="25">
        <v>99.94</v>
      </c>
      <c r="F544" s="2">
        <v>99.97</v>
      </c>
    </row>
    <row r="545" spans="1:6" x14ac:dyDescent="0.25">
      <c r="A545" s="174">
        <v>45401</v>
      </c>
      <c r="B545" s="2" t="s">
        <v>76</v>
      </c>
      <c r="C545" s="101">
        <v>99.95</v>
      </c>
      <c r="D545" s="101">
        <v>100</v>
      </c>
      <c r="E545" s="102">
        <v>100</v>
      </c>
      <c r="F545" s="104">
        <v>99.98</v>
      </c>
    </row>
    <row r="546" spans="1:6" x14ac:dyDescent="0.25">
      <c r="A546" s="174">
        <v>45402</v>
      </c>
      <c r="B546" s="2" t="s">
        <v>76</v>
      </c>
      <c r="C546" s="101">
        <v>99.96</v>
      </c>
      <c r="D546" s="101">
        <v>100</v>
      </c>
      <c r="E546" s="102">
        <v>100</v>
      </c>
      <c r="F546" s="104">
        <v>99.98</v>
      </c>
    </row>
    <row r="547" spans="1:6" x14ac:dyDescent="0.25">
      <c r="A547" s="174">
        <v>45403</v>
      </c>
      <c r="B547" s="2" t="s">
        <v>76</v>
      </c>
      <c r="C547" s="101">
        <v>99.91</v>
      </c>
      <c r="D547" s="101">
        <v>100</v>
      </c>
      <c r="E547" s="102">
        <v>100</v>
      </c>
      <c r="F547" s="104">
        <v>99.98</v>
      </c>
    </row>
    <row r="548" spans="1:6" x14ac:dyDescent="0.25">
      <c r="A548" s="174">
        <v>45404</v>
      </c>
      <c r="B548" s="2" t="s">
        <v>76</v>
      </c>
      <c r="C548" s="101">
        <v>99.95</v>
      </c>
      <c r="D548" s="101">
        <v>100</v>
      </c>
      <c r="E548" s="102">
        <v>100</v>
      </c>
      <c r="F548" s="104">
        <v>99.98</v>
      </c>
    </row>
    <row r="549" spans="1:6" x14ac:dyDescent="0.25">
      <c r="A549" s="182">
        <v>45405</v>
      </c>
      <c r="B549" s="34" t="s">
        <v>76</v>
      </c>
      <c r="C549" s="173">
        <v>99.89</v>
      </c>
      <c r="D549" s="173">
        <v>100</v>
      </c>
      <c r="E549" s="184">
        <v>100</v>
      </c>
      <c r="F549" s="104">
        <v>99.97</v>
      </c>
    </row>
    <row r="550" spans="1:6" x14ac:dyDescent="0.25">
      <c r="A550" s="174">
        <v>45406</v>
      </c>
      <c r="B550" s="2" t="s">
        <v>76</v>
      </c>
      <c r="C550" s="104">
        <v>99.96</v>
      </c>
      <c r="D550" s="104">
        <v>100</v>
      </c>
      <c r="E550" s="116">
        <v>100</v>
      </c>
      <c r="F550" s="104">
        <v>99.98</v>
      </c>
    </row>
    <row r="551" spans="1:6" x14ac:dyDescent="0.25">
      <c r="A551" s="174">
        <v>45407</v>
      </c>
      <c r="B551" s="2" t="s">
        <v>76</v>
      </c>
      <c r="C551" s="104">
        <v>99.96</v>
      </c>
      <c r="D551" s="104">
        <v>100</v>
      </c>
      <c r="E551" s="116">
        <v>100</v>
      </c>
      <c r="F551" s="48">
        <v>99.98</v>
      </c>
    </row>
    <row r="552" spans="1:6" x14ac:dyDescent="0.25">
      <c r="A552" s="174">
        <v>45408</v>
      </c>
      <c r="B552" s="2" t="s">
        <v>76</v>
      </c>
      <c r="C552" s="48">
        <v>99.97</v>
      </c>
      <c r="D552" s="104">
        <v>100</v>
      </c>
      <c r="E552" s="116">
        <v>100</v>
      </c>
      <c r="F552" s="104">
        <v>99.98</v>
      </c>
    </row>
    <row r="553" spans="1:6" x14ac:dyDescent="0.25">
      <c r="A553" s="174">
        <v>45409</v>
      </c>
      <c r="B553" s="2" t="s">
        <v>76</v>
      </c>
      <c r="C553" s="104">
        <v>99.97</v>
      </c>
      <c r="D553" s="104">
        <v>100</v>
      </c>
      <c r="E553" s="158">
        <v>100</v>
      </c>
      <c r="F553" s="48">
        <v>99.98</v>
      </c>
    </row>
    <row r="554" spans="1:6" x14ac:dyDescent="0.25">
      <c r="A554" s="174">
        <v>45410</v>
      </c>
      <c r="B554" s="2" t="s">
        <v>76</v>
      </c>
      <c r="C554" s="48">
        <v>99.95</v>
      </c>
      <c r="D554" s="48">
        <v>100</v>
      </c>
      <c r="E554" s="158">
        <v>99.88</v>
      </c>
      <c r="F554" s="48">
        <v>99.95</v>
      </c>
    </row>
    <row r="555" spans="1:6" x14ac:dyDescent="0.25">
      <c r="A555" s="174">
        <v>45411</v>
      </c>
      <c r="B555" s="2" t="s">
        <v>76</v>
      </c>
      <c r="C555" s="48">
        <v>99.96</v>
      </c>
      <c r="D555" s="104">
        <v>100</v>
      </c>
      <c r="E555" s="158">
        <v>99.98</v>
      </c>
      <c r="F555" s="48">
        <v>99.97</v>
      </c>
    </row>
    <row r="556" spans="1:6" x14ac:dyDescent="0.25">
      <c r="A556" s="174">
        <v>45412</v>
      </c>
      <c r="B556" s="2" t="s">
        <v>76</v>
      </c>
      <c r="C556" s="104">
        <v>99.96</v>
      </c>
      <c r="D556" s="104">
        <v>100</v>
      </c>
      <c r="E556" s="158">
        <v>99.97</v>
      </c>
      <c r="F556" s="104">
        <v>99.97</v>
      </c>
    </row>
    <row r="557" spans="1:6" x14ac:dyDescent="0.25">
      <c r="A557" s="174">
        <v>45413</v>
      </c>
      <c r="B557" s="2" t="s">
        <v>76</v>
      </c>
      <c r="C557" s="104">
        <v>99.96</v>
      </c>
      <c r="D557" s="104">
        <v>100</v>
      </c>
      <c r="E557" s="116">
        <v>100</v>
      </c>
      <c r="F557" s="104">
        <v>99.98</v>
      </c>
    </row>
    <row r="558" spans="1:6" x14ac:dyDescent="0.25">
      <c r="A558" s="174">
        <v>45414</v>
      </c>
      <c r="B558" s="2" t="s">
        <v>76</v>
      </c>
      <c r="C558" s="104">
        <v>99.96</v>
      </c>
      <c r="D558" s="104">
        <v>100</v>
      </c>
      <c r="E558" s="116">
        <v>99.68</v>
      </c>
      <c r="F558" s="104">
        <v>99.98</v>
      </c>
    </row>
    <row r="559" spans="1:6" x14ac:dyDescent="0.25">
      <c r="A559" s="174">
        <v>45415</v>
      </c>
      <c r="B559" s="2" t="s">
        <v>76</v>
      </c>
      <c r="C559" s="104">
        <v>99.96</v>
      </c>
      <c r="D559" s="104">
        <v>100</v>
      </c>
      <c r="E559" s="116">
        <v>100</v>
      </c>
      <c r="F559" s="104">
        <v>99.97</v>
      </c>
    </row>
    <row r="560" spans="1:6" x14ac:dyDescent="0.25">
      <c r="A560" s="174">
        <v>45416</v>
      </c>
      <c r="B560" s="2" t="s">
        <v>76</v>
      </c>
      <c r="C560" s="104">
        <v>99.96</v>
      </c>
      <c r="D560" s="104">
        <v>100</v>
      </c>
      <c r="E560" s="116">
        <v>100</v>
      </c>
      <c r="F560" s="104">
        <v>99.98</v>
      </c>
    </row>
    <row r="561" spans="1:6" x14ac:dyDescent="0.25">
      <c r="A561" s="174">
        <v>45417</v>
      </c>
      <c r="B561" s="2" t="s">
        <v>76</v>
      </c>
      <c r="C561" s="104">
        <v>99.92</v>
      </c>
      <c r="D561" s="104">
        <v>100</v>
      </c>
      <c r="E561" s="116">
        <v>100</v>
      </c>
      <c r="F561" s="104">
        <v>99.98</v>
      </c>
    </row>
    <row r="562" spans="1:6" x14ac:dyDescent="0.25">
      <c r="A562" s="174">
        <v>45418</v>
      </c>
      <c r="B562" s="2" t="s">
        <v>76</v>
      </c>
      <c r="C562" s="104">
        <v>99.96</v>
      </c>
      <c r="D562" s="104">
        <v>100</v>
      </c>
      <c r="E562" s="116">
        <v>100</v>
      </c>
      <c r="F562" s="104">
        <v>99.98</v>
      </c>
    </row>
    <row r="563" spans="1:6" x14ac:dyDescent="0.25">
      <c r="A563" s="174">
        <v>45419</v>
      </c>
      <c r="B563" s="2" t="s">
        <v>76</v>
      </c>
      <c r="C563" s="104">
        <v>99.95</v>
      </c>
      <c r="D563" s="2">
        <v>100</v>
      </c>
      <c r="E563" s="47">
        <v>100</v>
      </c>
      <c r="F563" s="2">
        <v>99.97</v>
      </c>
    </row>
    <row r="564" spans="1:6" x14ac:dyDescent="0.25">
      <c r="A564" s="174">
        <v>45420</v>
      </c>
      <c r="B564" s="2" t="s">
        <v>76</v>
      </c>
      <c r="C564" s="2"/>
      <c r="D564" s="2"/>
      <c r="E564" s="47"/>
      <c r="F564" s="2"/>
    </row>
    <row r="565" spans="1:6" x14ac:dyDescent="0.25">
      <c r="A565" s="174">
        <v>45421</v>
      </c>
      <c r="B565" s="2" t="s">
        <v>76</v>
      </c>
      <c r="C565" s="2"/>
      <c r="D565" s="2"/>
      <c r="E565" s="47"/>
      <c r="F565" s="2"/>
    </row>
    <row r="566" spans="1:6" x14ac:dyDescent="0.25">
      <c r="A566" s="174">
        <v>45422</v>
      </c>
      <c r="B566" s="2" t="s">
        <v>76</v>
      </c>
      <c r="C566" s="1">
        <v>99.87</v>
      </c>
      <c r="D566" s="104">
        <v>100</v>
      </c>
      <c r="E566" s="313">
        <v>98.72</v>
      </c>
      <c r="F566" s="1">
        <v>99.98</v>
      </c>
    </row>
    <row r="567" spans="1:6" x14ac:dyDescent="0.25">
      <c r="A567" s="174">
        <v>45423</v>
      </c>
      <c r="B567" s="2" t="s">
        <v>76</v>
      </c>
      <c r="C567" s="1">
        <v>99.93</v>
      </c>
      <c r="D567" s="104">
        <v>100</v>
      </c>
      <c r="E567" s="313">
        <v>100</v>
      </c>
      <c r="F567" s="1">
        <v>99.98</v>
      </c>
    </row>
    <row r="568" spans="1:6" x14ac:dyDescent="0.25">
      <c r="A568" s="174">
        <v>45424</v>
      </c>
      <c r="B568" s="2" t="s">
        <v>76</v>
      </c>
      <c r="C568" s="1">
        <v>99.96</v>
      </c>
      <c r="D568" s="104">
        <v>100</v>
      </c>
      <c r="E568" s="313">
        <v>100</v>
      </c>
      <c r="F568" s="1">
        <v>99.98</v>
      </c>
    </row>
    <row r="569" spans="1:6" x14ac:dyDescent="0.25">
      <c r="A569" s="174">
        <v>45425</v>
      </c>
      <c r="B569" s="2" t="s">
        <v>76</v>
      </c>
      <c r="C569" s="1">
        <v>98.55</v>
      </c>
      <c r="D569" s="104">
        <v>100</v>
      </c>
      <c r="E569" s="313">
        <v>100</v>
      </c>
      <c r="F569" s="1">
        <v>99.97</v>
      </c>
    </row>
    <row r="570" spans="1:6" x14ac:dyDescent="0.25">
      <c r="A570" s="174">
        <v>45426</v>
      </c>
      <c r="B570" s="2" t="s">
        <v>76</v>
      </c>
      <c r="C570" s="48">
        <v>99.96</v>
      </c>
      <c r="D570" s="104">
        <v>100</v>
      </c>
      <c r="E570" s="158">
        <v>99.98</v>
      </c>
      <c r="F570" s="48">
        <v>99.97</v>
      </c>
    </row>
    <row r="571" spans="1:6" x14ac:dyDescent="0.25">
      <c r="A571" s="174">
        <v>45427</v>
      </c>
      <c r="B571" s="2" t="s">
        <v>76</v>
      </c>
      <c r="C571" s="48">
        <v>99.96</v>
      </c>
      <c r="D571" s="104">
        <v>100</v>
      </c>
      <c r="E571" s="158">
        <v>100</v>
      </c>
      <c r="F571" s="48">
        <v>99.98</v>
      </c>
    </row>
    <row r="572" spans="1:6" x14ac:dyDescent="0.25">
      <c r="A572" s="174">
        <v>45428</v>
      </c>
      <c r="B572" s="2" t="s">
        <v>76</v>
      </c>
      <c r="C572" s="48">
        <v>99.45</v>
      </c>
      <c r="D572" s="104">
        <v>100</v>
      </c>
      <c r="E572" s="158">
        <v>100</v>
      </c>
      <c r="F572" s="48">
        <v>99.98</v>
      </c>
    </row>
    <row r="573" spans="1:6" x14ac:dyDescent="0.25">
      <c r="A573" s="174">
        <v>45429</v>
      </c>
      <c r="B573" s="2" t="s">
        <v>76</v>
      </c>
      <c r="C573" s="104">
        <v>99.9</v>
      </c>
      <c r="D573" s="104">
        <v>100</v>
      </c>
      <c r="E573" s="158">
        <v>100</v>
      </c>
      <c r="F573" s="104">
        <v>99.98</v>
      </c>
    </row>
    <row r="574" spans="1:6" x14ac:dyDescent="0.25">
      <c r="A574" s="174">
        <v>45430</v>
      </c>
      <c r="B574" s="2" t="s">
        <v>76</v>
      </c>
      <c r="C574" s="104">
        <v>99.84</v>
      </c>
      <c r="D574" s="104">
        <v>100</v>
      </c>
      <c r="E574" s="158">
        <v>100</v>
      </c>
      <c r="F574" s="104">
        <v>99.98</v>
      </c>
    </row>
    <row r="575" spans="1:6" x14ac:dyDescent="0.25">
      <c r="A575" s="174">
        <v>45431</v>
      </c>
      <c r="B575" s="2" t="s">
        <v>76</v>
      </c>
      <c r="C575" s="104">
        <v>99.85</v>
      </c>
      <c r="D575" s="104">
        <v>100</v>
      </c>
      <c r="E575" s="158">
        <v>100</v>
      </c>
      <c r="F575" s="104">
        <v>99.97</v>
      </c>
    </row>
    <row r="576" spans="1:6" x14ac:dyDescent="0.25">
      <c r="A576" s="174">
        <v>45432</v>
      </c>
      <c r="B576" s="2" t="s">
        <v>76</v>
      </c>
      <c r="C576" s="104">
        <v>99.9</v>
      </c>
      <c r="D576" s="2">
        <v>100</v>
      </c>
      <c r="E576" s="47">
        <v>100</v>
      </c>
      <c r="F576" s="2">
        <v>99.98</v>
      </c>
    </row>
    <row r="577" spans="1:6" x14ac:dyDescent="0.25">
      <c r="A577" s="182">
        <v>45433</v>
      </c>
      <c r="B577" s="34" t="s">
        <v>76</v>
      </c>
      <c r="C577" s="173">
        <v>99.83</v>
      </c>
      <c r="D577" s="34">
        <v>100</v>
      </c>
      <c r="E577" s="344">
        <v>100</v>
      </c>
      <c r="F577" s="104">
        <v>99.97</v>
      </c>
    </row>
    <row r="578" spans="1:6" x14ac:dyDescent="0.25">
      <c r="A578" s="174">
        <v>45434</v>
      </c>
      <c r="B578" s="2" t="s">
        <v>76</v>
      </c>
      <c r="C578" s="104">
        <v>99.35</v>
      </c>
      <c r="D578" s="104">
        <v>100</v>
      </c>
      <c r="E578" s="116">
        <v>100</v>
      </c>
      <c r="F578" s="104">
        <v>99.98</v>
      </c>
    </row>
    <row r="579" spans="1:6" x14ac:dyDescent="0.25">
      <c r="A579" s="174">
        <v>45435</v>
      </c>
      <c r="B579" s="2" t="s">
        <v>76</v>
      </c>
      <c r="C579" s="104">
        <v>99.71</v>
      </c>
      <c r="D579" s="104">
        <v>100</v>
      </c>
      <c r="E579" s="116">
        <v>100</v>
      </c>
      <c r="F579" s="104">
        <v>99.98</v>
      </c>
    </row>
    <row r="580" spans="1:6" x14ac:dyDescent="0.25">
      <c r="A580" s="174">
        <v>45436</v>
      </c>
      <c r="B580" s="2" t="s">
        <v>76</v>
      </c>
      <c r="C580" s="104">
        <v>99.56</v>
      </c>
      <c r="D580" s="104">
        <v>100</v>
      </c>
      <c r="E580" s="116">
        <v>100</v>
      </c>
      <c r="F580" s="104">
        <v>99.98</v>
      </c>
    </row>
    <row r="581" spans="1:6" x14ac:dyDescent="0.25">
      <c r="A581" s="174">
        <v>45437</v>
      </c>
      <c r="B581" s="2" t="s">
        <v>76</v>
      </c>
      <c r="C581" s="104">
        <v>99.96</v>
      </c>
      <c r="D581" s="104">
        <v>100</v>
      </c>
      <c r="E581" s="116">
        <v>99.45</v>
      </c>
      <c r="F581" s="104">
        <v>99.98</v>
      </c>
    </row>
    <row r="582" spans="1:6" x14ac:dyDescent="0.25">
      <c r="A582" s="174">
        <v>45438</v>
      </c>
      <c r="B582" s="2" t="s">
        <v>76</v>
      </c>
      <c r="C582" s="104">
        <v>99.92</v>
      </c>
      <c r="D582" s="104">
        <v>100</v>
      </c>
      <c r="E582" s="326">
        <v>100</v>
      </c>
      <c r="F582" s="104">
        <v>99.96</v>
      </c>
    </row>
    <row r="583" spans="1:6" x14ac:dyDescent="0.25">
      <c r="A583" s="174">
        <v>45439</v>
      </c>
      <c r="B583" s="2" t="s">
        <v>76</v>
      </c>
      <c r="C583" s="104">
        <v>99.83</v>
      </c>
      <c r="D583" s="104">
        <v>100</v>
      </c>
      <c r="E583" s="326">
        <v>100</v>
      </c>
      <c r="F583" s="104">
        <v>99.98</v>
      </c>
    </row>
    <row r="584" spans="1:6" x14ac:dyDescent="0.25">
      <c r="A584" s="174">
        <v>45440</v>
      </c>
      <c r="B584" s="2" t="s">
        <v>76</v>
      </c>
      <c r="C584" s="104">
        <v>99.69</v>
      </c>
      <c r="D584" s="104">
        <v>100</v>
      </c>
      <c r="E584" s="326">
        <v>100</v>
      </c>
      <c r="F584" s="104">
        <v>99.97</v>
      </c>
    </row>
    <row r="585" spans="1:6" x14ac:dyDescent="0.25">
      <c r="A585" s="174">
        <v>45441</v>
      </c>
      <c r="B585" s="2" t="s">
        <v>76</v>
      </c>
      <c r="C585" s="104">
        <v>99.66</v>
      </c>
      <c r="D585" s="104">
        <v>100</v>
      </c>
      <c r="E585" s="116">
        <v>100</v>
      </c>
      <c r="F585" s="104">
        <v>99.98</v>
      </c>
    </row>
    <row r="586" spans="1:6" hidden="1" x14ac:dyDescent="0.25">
      <c r="A586" s="174">
        <v>45442</v>
      </c>
      <c r="B586" s="2" t="s">
        <v>76</v>
      </c>
      <c r="C586" s="104">
        <v>99.55</v>
      </c>
      <c r="D586" s="104">
        <v>100</v>
      </c>
      <c r="E586" s="116">
        <v>100</v>
      </c>
      <c r="F586" s="104">
        <v>99.97</v>
      </c>
    </row>
    <row r="587" spans="1:6" hidden="1" x14ac:dyDescent="0.25">
      <c r="A587" s="174">
        <v>45443</v>
      </c>
      <c r="B587" s="2" t="s">
        <v>76</v>
      </c>
      <c r="C587" s="104">
        <v>99.69</v>
      </c>
      <c r="D587" s="104">
        <v>100</v>
      </c>
      <c r="E587" s="116">
        <v>100</v>
      </c>
      <c r="F587" s="104">
        <v>99.97</v>
      </c>
    </row>
    <row r="588" spans="1:6" hidden="1" x14ac:dyDescent="0.25">
      <c r="A588" s="174">
        <v>45444</v>
      </c>
      <c r="B588" s="2" t="s">
        <v>76</v>
      </c>
      <c r="C588" s="104">
        <v>99.96</v>
      </c>
      <c r="D588" s="104">
        <v>99.99</v>
      </c>
      <c r="E588" s="116">
        <v>100</v>
      </c>
      <c r="F588" s="104">
        <v>99.97</v>
      </c>
    </row>
    <row r="589" spans="1:6" hidden="1" x14ac:dyDescent="0.25">
      <c r="A589" s="174">
        <v>45445</v>
      </c>
      <c r="B589" s="2" t="s">
        <v>76</v>
      </c>
      <c r="C589" s="104">
        <v>99.71</v>
      </c>
      <c r="D589" s="104">
        <v>99.99</v>
      </c>
      <c r="E589" s="116">
        <v>100</v>
      </c>
      <c r="F589" s="104">
        <v>99.97</v>
      </c>
    </row>
    <row r="590" spans="1:6" hidden="1" x14ac:dyDescent="0.25">
      <c r="A590" s="174">
        <v>45446</v>
      </c>
      <c r="B590" s="2" t="s">
        <v>76</v>
      </c>
      <c r="C590" s="104">
        <v>99.95</v>
      </c>
      <c r="D590" s="104">
        <v>99.99</v>
      </c>
      <c r="E590" s="116">
        <v>100</v>
      </c>
      <c r="F590" s="104">
        <v>99.97</v>
      </c>
    </row>
    <row r="591" spans="1:6" hidden="1" x14ac:dyDescent="0.25">
      <c r="A591" s="174">
        <v>45447</v>
      </c>
      <c r="B591" s="2" t="s">
        <v>76</v>
      </c>
      <c r="C591" s="104">
        <v>99.79</v>
      </c>
      <c r="D591" s="104">
        <v>100</v>
      </c>
      <c r="E591" s="116">
        <v>100</v>
      </c>
      <c r="F591" s="104">
        <v>99.96</v>
      </c>
    </row>
    <row r="592" spans="1:6" hidden="1" x14ac:dyDescent="0.25">
      <c r="A592" s="174">
        <v>45448</v>
      </c>
      <c r="B592" s="2" t="s">
        <v>76</v>
      </c>
      <c r="C592" s="104">
        <v>99.95</v>
      </c>
      <c r="D592" s="104">
        <v>100</v>
      </c>
      <c r="E592" s="116">
        <v>100</v>
      </c>
      <c r="F592" s="104">
        <v>99.98</v>
      </c>
    </row>
    <row r="593" spans="1:6" hidden="1" x14ac:dyDescent="0.25">
      <c r="A593" s="174">
        <v>45449</v>
      </c>
      <c r="B593" s="2" t="s">
        <v>76</v>
      </c>
      <c r="C593" s="104">
        <v>99.87</v>
      </c>
      <c r="D593" s="104">
        <v>100</v>
      </c>
      <c r="E593" s="116">
        <v>100</v>
      </c>
      <c r="F593" s="104">
        <v>99.97</v>
      </c>
    </row>
    <row r="594" spans="1:6" x14ac:dyDescent="0.25">
      <c r="A594" s="174">
        <v>45450</v>
      </c>
      <c r="B594" s="2" t="s">
        <v>76</v>
      </c>
      <c r="C594" s="104">
        <v>99.88</v>
      </c>
      <c r="D594" s="104">
        <v>99.99</v>
      </c>
      <c r="E594" s="116">
        <v>100</v>
      </c>
      <c r="F594" s="104">
        <v>99.97</v>
      </c>
    </row>
    <row r="595" spans="1:6" x14ac:dyDescent="0.25">
      <c r="A595" s="174">
        <v>45451</v>
      </c>
      <c r="B595" s="2" t="s">
        <v>76</v>
      </c>
      <c r="C595" s="104">
        <v>99.92</v>
      </c>
      <c r="D595" s="104">
        <v>99.99</v>
      </c>
      <c r="E595" s="116">
        <v>100</v>
      </c>
      <c r="F595" s="104">
        <v>99.97</v>
      </c>
    </row>
    <row r="596" spans="1:6" x14ac:dyDescent="0.25">
      <c r="A596" s="174">
        <v>45452</v>
      </c>
      <c r="B596" s="2" t="s">
        <v>76</v>
      </c>
      <c r="C596" s="104">
        <v>99.47</v>
      </c>
      <c r="D596" s="104">
        <v>100</v>
      </c>
      <c r="E596" s="116">
        <v>100</v>
      </c>
      <c r="F596" s="104">
        <v>99.97</v>
      </c>
    </row>
    <row r="597" spans="1:6" x14ac:dyDescent="0.25">
      <c r="A597" s="174">
        <v>45453</v>
      </c>
      <c r="B597" s="2" t="s">
        <v>76</v>
      </c>
      <c r="C597" s="104">
        <v>99.8</v>
      </c>
      <c r="D597" s="104">
        <v>100</v>
      </c>
      <c r="E597" s="116">
        <v>100</v>
      </c>
      <c r="F597" s="104">
        <v>99.97</v>
      </c>
    </row>
    <row r="598" spans="1:6" x14ac:dyDescent="0.25">
      <c r="A598" s="174">
        <v>45454</v>
      </c>
      <c r="B598" s="2" t="s">
        <v>76</v>
      </c>
      <c r="C598" s="11">
        <v>99.97</v>
      </c>
      <c r="D598" s="11">
        <v>99.99</v>
      </c>
      <c r="E598" s="25">
        <v>100</v>
      </c>
      <c r="F598" s="104">
        <v>99.97</v>
      </c>
    </row>
    <row r="599" spans="1:6" x14ac:dyDescent="0.25">
      <c r="A599" s="174">
        <v>45455</v>
      </c>
      <c r="B599" s="2" t="s">
        <v>76</v>
      </c>
      <c r="C599" s="48">
        <v>99.93</v>
      </c>
      <c r="D599" s="173">
        <v>100</v>
      </c>
      <c r="E599" s="184">
        <v>100</v>
      </c>
      <c r="F599" s="104">
        <v>99.98</v>
      </c>
    </row>
    <row r="600" spans="1:6" x14ac:dyDescent="0.25">
      <c r="A600" s="174">
        <v>45456</v>
      </c>
      <c r="B600" s="2" t="s">
        <v>76</v>
      </c>
      <c r="C600" s="330">
        <v>99.96</v>
      </c>
      <c r="D600" s="48">
        <v>100</v>
      </c>
      <c r="E600" s="158">
        <v>100</v>
      </c>
      <c r="F600" s="48">
        <v>99.98</v>
      </c>
    </row>
    <row r="601" spans="1:6" x14ac:dyDescent="0.25">
      <c r="A601" s="174">
        <v>45457</v>
      </c>
      <c r="B601" s="2" t="s">
        <v>76</v>
      </c>
      <c r="C601" s="330">
        <v>99.97</v>
      </c>
      <c r="D601" s="48">
        <v>100</v>
      </c>
      <c r="E601" s="158">
        <v>100</v>
      </c>
      <c r="F601" s="48">
        <v>99.97</v>
      </c>
    </row>
    <row r="602" spans="1:6" x14ac:dyDescent="0.25">
      <c r="A602" s="174">
        <v>45458</v>
      </c>
      <c r="B602" s="2" t="s">
        <v>76</v>
      </c>
      <c r="C602" s="330">
        <v>96.35</v>
      </c>
      <c r="D602" s="48">
        <v>99.99</v>
      </c>
      <c r="E602" s="158">
        <v>100</v>
      </c>
      <c r="F602" s="48">
        <v>99.98</v>
      </c>
    </row>
    <row r="603" spans="1:6" x14ac:dyDescent="0.25">
      <c r="A603" s="174">
        <v>45459</v>
      </c>
      <c r="B603" s="2" t="s">
        <v>76</v>
      </c>
      <c r="C603" s="330">
        <v>99.97</v>
      </c>
      <c r="D603" s="48">
        <v>99.98</v>
      </c>
      <c r="E603" s="158">
        <v>100</v>
      </c>
      <c r="F603" s="48">
        <v>99.99</v>
      </c>
    </row>
    <row r="604" spans="1:6" x14ac:dyDescent="0.25">
      <c r="A604" s="174">
        <v>45460</v>
      </c>
      <c r="B604" s="2" t="s">
        <v>76</v>
      </c>
      <c r="C604" s="330">
        <v>99.96</v>
      </c>
      <c r="D604" s="48">
        <v>100</v>
      </c>
      <c r="E604" s="158">
        <v>100</v>
      </c>
      <c r="F604" s="48">
        <v>99.97</v>
      </c>
    </row>
    <row r="605" spans="1:6" x14ac:dyDescent="0.25">
      <c r="A605" s="174">
        <v>45461</v>
      </c>
      <c r="B605" s="2" t="s">
        <v>76</v>
      </c>
      <c r="C605" s="330">
        <v>99.95</v>
      </c>
      <c r="D605" s="48">
        <v>100</v>
      </c>
      <c r="E605" s="158">
        <v>100</v>
      </c>
      <c r="F605" s="48">
        <v>99.97</v>
      </c>
    </row>
    <row r="606" spans="1:6" x14ac:dyDescent="0.25">
      <c r="A606" s="174">
        <v>45462</v>
      </c>
      <c r="B606" s="2" t="s">
        <v>76</v>
      </c>
      <c r="C606" s="330">
        <v>99.96</v>
      </c>
      <c r="D606" s="48">
        <v>100</v>
      </c>
      <c r="E606" s="158">
        <v>100</v>
      </c>
      <c r="F606" s="48">
        <v>99.98</v>
      </c>
    </row>
    <row r="607" spans="1:6" x14ac:dyDescent="0.25">
      <c r="A607" s="174">
        <v>45463</v>
      </c>
      <c r="B607" s="2" t="s">
        <v>76</v>
      </c>
      <c r="C607" s="330">
        <v>99.93</v>
      </c>
      <c r="D607" s="48">
        <v>100</v>
      </c>
      <c r="E607" s="158">
        <v>100</v>
      </c>
      <c r="F607" s="48">
        <v>99.97</v>
      </c>
    </row>
    <row r="608" spans="1:6" x14ac:dyDescent="0.25">
      <c r="A608" s="174">
        <v>45464</v>
      </c>
      <c r="B608" s="2" t="s">
        <v>76</v>
      </c>
      <c r="C608" s="330">
        <v>99.95</v>
      </c>
      <c r="D608" s="48">
        <v>99.99</v>
      </c>
      <c r="E608" s="158">
        <v>100</v>
      </c>
      <c r="F608" s="48">
        <v>99.97</v>
      </c>
    </row>
    <row r="609" spans="1:6" x14ac:dyDescent="0.25">
      <c r="A609" s="174">
        <v>45465</v>
      </c>
      <c r="B609" s="2" t="s">
        <v>76</v>
      </c>
      <c r="C609" s="330">
        <v>99.96</v>
      </c>
      <c r="D609" s="48">
        <v>100</v>
      </c>
      <c r="E609" s="158">
        <v>100</v>
      </c>
      <c r="F609" s="48">
        <v>99.97</v>
      </c>
    </row>
    <row r="610" spans="1:6" x14ac:dyDescent="0.25">
      <c r="A610" s="174">
        <v>45466</v>
      </c>
      <c r="B610" s="2" t="s">
        <v>76</v>
      </c>
      <c r="C610" s="2">
        <v>99.96</v>
      </c>
      <c r="D610" s="2">
        <v>99.99</v>
      </c>
      <c r="E610" s="116">
        <v>100</v>
      </c>
      <c r="F610" s="104">
        <v>99.97</v>
      </c>
    </row>
    <row r="611" spans="1:6" x14ac:dyDescent="0.25">
      <c r="A611" s="174">
        <v>45467</v>
      </c>
      <c r="B611" s="2" t="s">
        <v>76</v>
      </c>
      <c r="C611" s="2">
        <v>99.96</v>
      </c>
      <c r="D611" s="2">
        <v>100</v>
      </c>
      <c r="E611" s="116">
        <v>100</v>
      </c>
      <c r="F611" s="104">
        <v>99.97</v>
      </c>
    </row>
    <row r="612" spans="1:6" x14ac:dyDescent="0.25">
      <c r="A612" s="174">
        <v>45468</v>
      </c>
      <c r="B612" s="2" t="s">
        <v>76</v>
      </c>
      <c r="C612" s="2">
        <v>99.94</v>
      </c>
      <c r="D612" s="2">
        <v>100</v>
      </c>
      <c r="E612" s="116">
        <v>99.84</v>
      </c>
      <c r="F612" s="104">
        <v>99.91</v>
      </c>
    </row>
    <row r="613" spans="1:6" x14ac:dyDescent="0.25">
      <c r="A613" s="174">
        <v>45469</v>
      </c>
      <c r="B613" s="2" t="s">
        <v>76</v>
      </c>
      <c r="C613" s="2">
        <v>99.84</v>
      </c>
      <c r="D613" s="2">
        <v>100</v>
      </c>
      <c r="E613" s="116">
        <v>100</v>
      </c>
      <c r="F613" s="104">
        <v>99.9</v>
      </c>
    </row>
    <row r="614" spans="1:6" x14ac:dyDescent="0.25">
      <c r="A614" s="174">
        <v>45470</v>
      </c>
      <c r="B614" s="2" t="s">
        <v>76</v>
      </c>
      <c r="C614" s="2">
        <v>99.96</v>
      </c>
      <c r="D614" s="2">
        <v>100</v>
      </c>
      <c r="E614" s="47">
        <v>100</v>
      </c>
      <c r="F614" s="2">
        <v>99.9</v>
      </c>
    </row>
    <row r="615" spans="1:6" x14ac:dyDescent="0.25">
      <c r="A615" s="174">
        <v>45471</v>
      </c>
      <c r="B615" s="2" t="s">
        <v>76</v>
      </c>
      <c r="C615" s="2">
        <v>99.96</v>
      </c>
      <c r="D615" s="2">
        <v>100</v>
      </c>
      <c r="E615" s="47">
        <v>100</v>
      </c>
      <c r="F615" s="2">
        <v>99.9</v>
      </c>
    </row>
    <row r="616" spans="1:6" x14ac:dyDescent="0.25">
      <c r="A616" s="174">
        <v>45472</v>
      </c>
      <c r="B616" s="2" t="s">
        <v>76</v>
      </c>
      <c r="C616" s="2">
        <v>99.96</v>
      </c>
      <c r="D616" s="2">
        <v>100</v>
      </c>
      <c r="E616" s="47">
        <v>100</v>
      </c>
      <c r="F616" s="2">
        <v>99.9</v>
      </c>
    </row>
    <row r="617" spans="1:6" x14ac:dyDescent="0.25">
      <c r="A617" s="174">
        <v>45473</v>
      </c>
      <c r="B617" s="2" t="s">
        <v>76</v>
      </c>
      <c r="C617" s="104">
        <v>99.92</v>
      </c>
      <c r="D617" s="2">
        <v>100</v>
      </c>
      <c r="E617" s="47">
        <v>100</v>
      </c>
      <c r="F617" s="104">
        <v>99.89</v>
      </c>
    </row>
    <row r="618" spans="1:6" x14ac:dyDescent="0.25">
      <c r="A618" s="174">
        <v>45474</v>
      </c>
      <c r="B618" s="2" t="s">
        <v>76</v>
      </c>
      <c r="C618" s="104">
        <v>99.96</v>
      </c>
      <c r="D618" s="104">
        <v>99.98</v>
      </c>
      <c r="E618" s="47">
        <v>100</v>
      </c>
      <c r="F618" s="104">
        <v>99.9</v>
      </c>
    </row>
    <row r="619" spans="1:6" x14ac:dyDescent="0.25">
      <c r="A619" s="174">
        <v>45475</v>
      </c>
      <c r="B619" s="2" t="s">
        <v>76</v>
      </c>
      <c r="C619" s="104">
        <v>99.96</v>
      </c>
      <c r="D619" s="11">
        <v>100</v>
      </c>
      <c r="E619" s="47">
        <v>100</v>
      </c>
      <c r="F619" s="104">
        <v>99.9</v>
      </c>
    </row>
    <row r="620" spans="1:6" x14ac:dyDescent="0.25">
      <c r="A620" s="174">
        <v>45476</v>
      </c>
      <c r="B620" s="2" t="s">
        <v>76</v>
      </c>
      <c r="C620" s="104">
        <v>99.96</v>
      </c>
      <c r="D620" s="11">
        <v>100</v>
      </c>
      <c r="E620" s="47">
        <v>100</v>
      </c>
      <c r="F620" s="104">
        <v>99.89</v>
      </c>
    </row>
    <row r="621" spans="1:6" x14ac:dyDescent="0.25">
      <c r="A621" s="174">
        <v>45477</v>
      </c>
      <c r="B621" s="2" t="s">
        <v>76</v>
      </c>
      <c r="C621" s="104">
        <v>99.96</v>
      </c>
      <c r="D621" s="11">
        <v>100</v>
      </c>
      <c r="E621" s="25">
        <v>99.88</v>
      </c>
      <c r="F621" s="104">
        <v>99.9</v>
      </c>
    </row>
    <row r="622" spans="1:6" x14ac:dyDescent="0.25">
      <c r="A622" s="174">
        <v>45478</v>
      </c>
      <c r="B622" s="2" t="s">
        <v>76</v>
      </c>
      <c r="C622" s="48">
        <v>99.97</v>
      </c>
      <c r="D622" s="104">
        <v>100</v>
      </c>
      <c r="E622" s="116">
        <v>100</v>
      </c>
      <c r="F622" s="48">
        <v>99.91</v>
      </c>
    </row>
    <row r="623" spans="1:6" x14ac:dyDescent="0.25">
      <c r="A623" s="174">
        <v>45479</v>
      </c>
      <c r="B623" s="2" t="s">
        <v>76</v>
      </c>
      <c r="C623" s="48">
        <v>99.94</v>
      </c>
      <c r="D623" s="104">
        <v>100</v>
      </c>
      <c r="E623" s="116">
        <v>100</v>
      </c>
      <c r="F623" s="48">
        <v>99.91</v>
      </c>
    </row>
    <row r="624" spans="1:6" x14ac:dyDescent="0.25">
      <c r="A624" s="174">
        <v>45480</v>
      </c>
      <c r="B624" s="2" t="s">
        <v>76</v>
      </c>
      <c r="C624" s="48">
        <v>99.96</v>
      </c>
      <c r="D624" s="104">
        <v>100</v>
      </c>
      <c r="E624" s="116">
        <v>100</v>
      </c>
      <c r="F624" s="48">
        <v>99.9</v>
      </c>
    </row>
    <row r="625" spans="1:6" x14ac:dyDescent="0.25">
      <c r="A625" s="174">
        <v>45481</v>
      </c>
      <c r="B625" s="2" t="s">
        <v>76</v>
      </c>
      <c r="C625" s="104">
        <v>99.97</v>
      </c>
      <c r="D625" s="104">
        <v>100</v>
      </c>
      <c r="E625" s="116">
        <v>100</v>
      </c>
      <c r="F625" s="104">
        <v>99.91</v>
      </c>
    </row>
    <row r="626" spans="1:6" x14ac:dyDescent="0.25">
      <c r="A626" s="174">
        <v>45482</v>
      </c>
      <c r="B626" s="2" t="s">
        <v>76</v>
      </c>
      <c r="C626" s="2">
        <v>99.97</v>
      </c>
      <c r="D626" s="2">
        <v>100</v>
      </c>
      <c r="E626" s="47">
        <v>100</v>
      </c>
      <c r="F626" s="2">
        <v>99.91</v>
      </c>
    </row>
    <row r="627" spans="1:6" x14ac:dyDescent="0.25">
      <c r="A627" s="174">
        <v>45483</v>
      </c>
      <c r="B627" s="2" t="s">
        <v>76</v>
      </c>
      <c r="C627" s="11">
        <v>99.96</v>
      </c>
      <c r="D627" s="11">
        <v>100</v>
      </c>
      <c r="E627" s="25">
        <v>100</v>
      </c>
      <c r="F627" s="2">
        <v>99.9</v>
      </c>
    </row>
    <row r="628" spans="1:6" x14ac:dyDescent="0.25">
      <c r="A628" s="174">
        <v>45484</v>
      </c>
      <c r="B628" s="2" t="s">
        <v>76</v>
      </c>
      <c r="C628" s="11">
        <v>99.96</v>
      </c>
      <c r="D628" s="11">
        <v>100</v>
      </c>
      <c r="E628" s="25">
        <v>100</v>
      </c>
      <c r="F628" s="2">
        <v>99.9</v>
      </c>
    </row>
    <row r="629" spans="1:6" x14ac:dyDescent="0.25">
      <c r="A629" s="174">
        <v>45485</v>
      </c>
      <c r="B629" s="2" t="s">
        <v>76</v>
      </c>
      <c r="C629" s="48">
        <v>99.96</v>
      </c>
      <c r="D629" s="2">
        <v>100</v>
      </c>
      <c r="E629" s="2">
        <v>100</v>
      </c>
      <c r="F629" s="48">
        <v>99.9</v>
      </c>
    </row>
    <row r="630" spans="1:6" x14ac:dyDescent="0.25">
      <c r="A630" s="174">
        <v>45486</v>
      </c>
      <c r="B630" s="2" t="s">
        <v>76</v>
      </c>
      <c r="C630" s="48">
        <v>99.96</v>
      </c>
      <c r="D630" s="48">
        <v>99.98</v>
      </c>
      <c r="E630" s="2">
        <v>100</v>
      </c>
      <c r="F630" s="48">
        <v>99.9</v>
      </c>
    </row>
    <row r="631" spans="1:6" x14ac:dyDescent="0.25">
      <c r="A631" s="174">
        <v>45487</v>
      </c>
      <c r="B631" s="2" t="s">
        <v>76</v>
      </c>
      <c r="C631" s="48">
        <v>99.96</v>
      </c>
      <c r="D631" s="2">
        <v>100</v>
      </c>
      <c r="E631" s="2">
        <v>100</v>
      </c>
      <c r="F631" s="48">
        <v>99.9</v>
      </c>
    </row>
    <row r="632" spans="1:6" x14ac:dyDescent="0.25">
      <c r="A632" s="174">
        <v>45488</v>
      </c>
      <c r="B632" s="2" t="s">
        <v>76</v>
      </c>
      <c r="C632" s="104">
        <v>99.95</v>
      </c>
      <c r="D632" s="104">
        <v>99.98</v>
      </c>
      <c r="E632" s="104">
        <v>99.91</v>
      </c>
      <c r="F632" s="104">
        <v>99.91</v>
      </c>
    </row>
    <row r="633" spans="1:6" x14ac:dyDescent="0.25">
      <c r="A633" s="174">
        <v>45489</v>
      </c>
      <c r="B633" s="2" t="s">
        <v>76</v>
      </c>
      <c r="C633" s="48">
        <v>99.96</v>
      </c>
      <c r="D633" s="2">
        <v>100</v>
      </c>
      <c r="E633" s="2">
        <v>99.97</v>
      </c>
      <c r="F633" s="104">
        <v>99.91</v>
      </c>
    </row>
    <row r="634" spans="1:6" x14ac:dyDescent="0.25">
      <c r="A634" s="182">
        <v>45490</v>
      </c>
      <c r="B634" s="2" t="s">
        <v>76</v>
      </c>
      <c r="C634" s="104">
        <v>99.95</v>
      </c>
      <c r="D634" s="104">
        <v>100</v>
      </c>
      <c r="E634" s="104">
        <v>100</v>
      </c>
      <c r="F634" s="104">
        <v>99.89</v>
      </c>
    </row>
    <row r="635" spans="1:6" x14ac:dyDescent="0.25">
      <c r="A635" s="174">
        <v>45491</v>
      </c>
      <c r="B635" s="2" t="s">
        <v>76</v>
      </c>
      <c r="C635" s="104">
        <v>99.87</v>
      </c>
      <c r="D635" s="104">
        <v>100</v>
      </c>
      <c r="E635" s="104">
        <v>99.95</v>
      </c>
      <c r="F635" s="104">
        <v>99.9</v>
      </c>
    </row>
    <row r="636" spans="1:6" x14ac:dyDescent="0.25">
      <c r="A636" s="174">
        <v>45492</v>
      </c>
      <c r="B636" s="2" t="s">
        <v>76</v>
      </c>
      <c r="C636" s="104">
        <v>99.96</v>
      </c>
      <c r="D636" s="104">
        <v>100</v>
      </c>
      <c r="E636" s="104">
        <v>100</v>
      </c>
      <c r="F636" s="104">
        <v>99.9</v>
      </c>
    </row>
    <row r="637" spans="1:6" x14ac:dyDescent="0.25">
      <c r="A637" s="174">
        <v>45493</v>
      </c>
      <c r="B637" s="2" t="s">
        <v>76</v>
      </c>
      <c r="C637" s="104">
        <v>99.96</v>
      </c>
      <c r="D637" s="104">
        <v>100</v>
      </c>
      <c r="E637" s="104">
        <v>100</v>
      </c>
      <c r="F637" s="104">
        <v>99.89</v>
      </c>
    </row>
    <row r="638" spans="1:6" x14ac:dyDescent="0.25">
      <c r="A638" s="174">
        <v>45494</v>
      </c>
      <c r="B638" s="2" t="s">
        <v>76</v>
      </c>
      <c r="C638" s="104">
        <v>99.96</v>
      </c>
      <c r="D638" s="104">
        <v>100</v>
      </c>
      <c r="E638" s="104">
        <v>100</v>
      </c>
      <c r="F638" s="104">
        <v>99.9</v>
      </c>
    </row>
    <row r="639" spans="1:6" x14ac:dyDescent="0.25">
      <c r="A639" s="174">
        <v>45495</v>
      </c>
      <c r="B639" s="2" t="s">
        <v>76</v>
      </c>
      <c r="C639" s="2">
        <v>99.96</v>
      </c>
      <c r="D639" s="2">
        <v>100</v>
      </c>
      <c r="E639" s="2">
        <v>100</v>
      </c>
      <c r="F639" s="2">
        <v>99.97</v>
      </c>
    </row>
    <row r="640" spans="1:6" x14ac:dyDescent="0.25">
      <c r="A640" s="174">
        <v>45496</v>
      </c>
      <c r="B640" s="2" t="s">
        <v>76</v>
      </c>
      <c r="C640" s="2">
        <v>99.96</v>
      </c>
      <c r="D640" s="2">
        <v>100</v>
      </c>
      <c r="E640" s="2">
        <v>100</v>
      </c>
      <c r="F640" s="2">
        <v>99.97</v>
      </c>
    </row>
    <row r="641" spans="1:6" x14ac:dyDescent="0.25">
      <c r="A641" s="174">
        <v>45497</v>
      </c>
      <c r="B641" s="2" t="s">
        <v>76</v>
      </c>
      <c r="C641" s="2">
        <v>99.92</v>
      </c>
      <c r="D641" s="2">
        <v>100</v>
      </c>
      <c r="E641" s="2">
        <v>99.98</v>
      </c>
      <c r="F641" s="2">
        <v>99.97</v>
      </c>
    </row>
    <row r="642" spans="1:6" x14ac:dyDescent="0.25">
      <c r="A642" s="174">
        <v>45498</v>
      </c>
      <c r="B642" s="2" t="s">
        <v>76</v>
      </c>
      <c r="C642" s="2">
        <v>99.92</v>
      </c>
      <c r="D642" s="2">
        <v>100</v>
      </c>
      <c r="E642" s="2">
        <v>100</v>
      </c>
      <c r="F642" s="2">
        <v>99.97</v>
      </c>
    </row>
    <row r="643" spans="1:6" x14ac:dyDescent="0.25">
      <c r="A643" s="174">
        <v>45499</v>
      </c>
      <c r="B643" s="2" t="s">
        <v>76</v>
      </c>
      <c r="C643" s="48">
        <v>99.96</v>
      </c>
      <c r="D643" s="104">
        <v>100</v>
      </c>
      <c r="E643" s="48">
        <v>100</v>
      </c>
      <c r="F643" s="48">
        <v>99.97</v>
      </c>
    </row>
    <row r="644" spans="1:6" x14ac:dyDescent="0.25">
      <c r="A644" s="174">
        <v>45500</v>
      </c>
      <c r="B644" s="2" t="s">
        <v>76</v>
      </c>
      <c r="C644" s="48">
        <v>99.96</v>
      </c>
      <c r="D644" s="104">
        <v>100</v>
      </c>
      <c r="E644" s="48">
        <v>99.99</v>
      </c>
      <c r="F644" s="48">
        <v>99.97</v>
      </c>
    </row>
    <row r="645" spans="1:6" x14ac:dyDescent="0.25">
      <c r="A645" s="174">
        <v>45501</v>
      </c>
      <c r="B645" s="2" t="s">
        <v>76</v>
      </c>
      <c r="C645" s="48">
        <v>99.96</v>
      </c>
      <c r="D645" s="104">
        <v>100</v>
      </c>
      <c r="E645" s="48">
        <v>100</v>
      </c>
      <c r="F645" s="48">
        <v>99.97</v>
      </c>
    </row>
    <row r="646" spans="1:6" x14ac:dyDescent="0.25">
      <c r="A646" s="182">
        <v>45502</v>
      </c>
      <c r="B646" s="34" t="s">
        <v>76</v>
      </c>
      <c r="C646" s="173">
        <v>99.8</v>
      </c>
      <c r="D646" s="192">
        <v>100</v>
      </c>
      <c r="E646" s="173">
        <v>99.99</v>
      </c>
      <c r="F646" s="130">
        <v>99.97</v>
      </c>
    </row>
    <row r="647" spans="1:6" x14ac:dyDescent="0.25">
      <c r="A647" s="174">
        <v>45503</v>
      </c>
      <c r="B647" s="2" t="s">
        <v>76</v>
      </c>
      <c r="C647" s="104">
        <v>99.96</v>
      </c>
      <c r="D647" s="104">
        <v>100</v>
      </c>
      <c r="E647" s="104">
        <v>99.99</v>
      </c>
      <c r="F647" s="104">
        <v>99.97</v>
      </c>
    </row>
    <row r="648" spans="1:6" x14ac:dyDescent="0.25">
      <c r="A648" s="174">
        <v>45504</v>
      </c>
      <c r="B648" s="2" t="s">
        <v>76</v>
      </c>
      <c r="C648" s="104">
        <v>99.96</v>
      </c>
      <c r="D648" s="104">
        <v>100</v>
      </c>
      <c r="E648" s="104">
        <v>99.49</v>
      </c>
      <c r="F648" s="104">
        <v>99.97</v>
      </c>
    </row>
    <row r="649" spans="1:6" x14ac:dyDescent="0.25">
      <c r="A649" s="174">
        <v>45505</v>
      </c>
      <c r="B649" s="2" t="s">
        <v>76</v>
      </c>
      <c r="C649" s="104">
        <v>99.93</v>
      </c>
      <c r="D649" s="104">
        <v>99.97</v>
      </c>
      <c r="E649" s="104">
        <v>99.98</v>
      </c>
      <c r="F649" s="104">
        <v>99.97</v>
      </c>
    </row>
    <row r="650" spans="1:6" x14ac:dyDescent="0.25">
      <c r="A650" s="174">
        <v>45506</v>
      </c>
      <c r="B650" s="2" t="s">
        <v>76</v>
      </c>
      <c r="C650" s="2">
        <v>99.92</v>
      </c>
      <c r="D650" s="2">
        <v>99.99</v>
      </c>
      <c r="E650" s="2">
        <v>100</v>
      </c>
      <c r="F650" s="2">
        <v>99.97</v>
      </c>
    </row>
    <row r="651" spans="1:6" x14ac:dyDescent="0.25">
      <c r="A651" s="174">
        <v>45507</v>
      </c>
      <c r="B651" s="2" t="s">
        <v>76</v>
      </c>
      <c r="C651" s="2">
        <v>99.97</v>
      </c>
      <c r="D651" s="2">
        <v>100</v>
      </c>
      <c r="E651" s="2">
        <v>99.98</v>
      </c>
      <c r="F651" s="2">
        <v>99.77</v>
      </c>
    </row>
    <row r="652" spans="1:6" x14ac:dyDescent="0.25">
      <c r="A652" s="174">
        <v>45508</v>
      </c>
      <c r="B652" s="2" t="s">
        <v>76</v>
      </c>
      <c r="C652" s="2">
        <v>99.97</v>
      </c>
      <c r="D652" s="2">
        <v>100</v>
      </c>
      <c r="E652" s="2">
        <v>99.98</v>
      </c>
      <c r="F652" s="2">
        <v>99.97</v>
      </c>
    </row>
    <row r="653" spans="1:6" x14ac:dyDescent="0.25">
      <c r="A653" s="174">
        <v>45509</v>
      </c>
      <c r="B653" s="2" t="s">
        <v>76</v>
      </c>
      <c r="C653" s="2">
        <v>99.97</v>
      </c>
      <c r="D653" s="2">
        <v>100</v>
      </c>
      <c r="E653" s="2">
        <v>100</v>
      </c>
      <c r="F653" s="2">
        <v>99.97</v>
      </c>
    </row>
    <row r="654" spans="1:6" x14ac:dyDescent="0.25">
      <c r="A654" s="174">
        <v>45510</v>
      </c>
      <c r="B654" s="2" t="s">
        <v>76</v>
      </c>
      <c r="C654" s="2">
        <v>99.96</v>
      </c>
      <c r="D654" s="2">
        <v>100</v>
      </c>
      <c r="E654" s="2">
        <v>100</v>
      </c>
      <c r="F654" s="2">
        <v>99.97</v>
      </c>
    </row>
    <row r="655" spans="1:6" x14ac:dyDescent="0.25">
      <c r="A655" s="174">
        <v>45511</v>
      </c>
      <c r="B655" s="2" t="s">
        <v>76</v>
      </c>
      <c r="C655" s="2">
        <v>99.96</v>
      </c>
      <c r="D655" s="2">
        <v>99.95</v>
      </c>
      <c r="E655" s="2">
        <v>99.99</v>
      </c>
      <c r="F655" s="2">
        <v>99.97</v>
      </c>
    </row>
    <row r="656" spans="1:6" x14ac:dyDescent="0.25">
      <c r="A656" s="174">
        <v>45512</v>
      </c>
      <c r="B656" s="2" t="s">
        <v>76</v>
      </c>
      <c r="C656" s="2">
        <v>99.96</v>
      </c>
      <c r="D656" s="2">
        <v>100</v>
      </c>
      <c r="E656" s="2">
        <v>100</v>
      </c>
      <c r="F656" s="2">
        <v>99.97</v>
      </c>
    </row>
    <row r="657" spans="1:6" x14ac:dyDescent="0.25">
      <c r="A657" s="174">
        <v>45513</v>
      </c>
      <c r="B657" s="2" t="s">
        <v>76</v>
      </c>
      <c r="C657" s="2">
        <v>99.76</v>
      </c>
      <c r="D657" s="2">
        <v>100</v>
      </c>
      <c r="E657" s="2">
        <v>100</v>
      </c>
      <c r="F657" s="2">
        <v>99.97</v>
      </c>
    </row>
    <row r="658" spans="1:6" x14ac:dyDescent="0.25">
      <c r="A658" s="174">
        <v>45514</v>
      </c>
      <c r="B658" s="2" t="s">
        <v>76</v>
      </c>
      <c r="C658" s="2">
        <v>99.16</v>
      </c>
      <c r="D658" s="2">
        <v>100</v>
      </c>
      <c r="E658" s="2">
        <v>99.96</v>
      </c>
      <c r="F658" s="2">
        <v>99.97</v>
      </c>
    </row>
    <row r="659" spans="1:6" x14ac:dyDescent="0.25">
      <c r="A659" s="174">
        <v>45515</v>
      </c>
      <c r="B659" s="2" t="s">
        <v>76</v>
      </c>
      <c r="C659" s="2">
        <v>99.27</v>
      </c>
      <c r="D659" s="2">
        <v>100</v>
      </c>
      <c r="E659" s="2">
        <v>100</v>
      </c>
      <c r="F659" s="2">
        <v>99.97</v>
      </c>
    </row>
    <row r="660" spans="1:6" x14ac:dyDescent="0.25">
      <c r="A660" s="12"/>
      <c r="B660" s="11"/>
      <c r="C660" s="11"/>
      <c r="D660" s="11"/>
      <c r="E660" s="11"/>
      <c r="F660" s="25"/>
    </row>
    <row r="661" spans="1:6" x14ac:dyDescent="0.25">
      <c r="A661" s="12"/>
      <c r="B661" s="11"/>
      <c r="C661" s="11"/>
      <c r="D661" s="11"/>
      <c r="E661" s="11"/>
      <c r="F661" s="25"/>
    </row>
    <row r="662" spans="1:6" x14ac:dyDescent="0.25">
      <c r="A662" s="12"/>
      <c r="B662" s="11"/>
      <c r="C662" s="11"/>
      <c r="D662" s="11"/>
      <c r="E662" s="11"/>
      <c r="F662" s="25"/>
    </row>
    <row r="663" spans="1:6" x14ac:dyDescent="0.25">
      <c r="A663" s="12"/>
      <c r="B663" s="11"/>
      <c r="C663" s="11"/>
      <c r="D663" s="11"/>
      <c r="E663" s="11"/>
      <c r="F663" s="25"/>
    </row>
    <row r="664" spans="1:6" x14ac:dyDescent="0.25">
      <c r="A664" s="12"/>
      <c r="B664" s="11"/>
      <c r="C664" s="11"/>
      <c r="D664" s="11"/>
      <c r="E664" s="11"/>
      <c r="F664" s="25"/>
    </row>
    <row r="665" spans="1:6" x14ac:dyDescent="0.25">
      <c r="A665" s="12"/>
      <c r="B665" s="11"/>
      <c r="C665" s="11"/>
      <c r="D665" s="11"/>
      <c r="E665" s="11"/>
      <c r="F665" s="25"/>
    </row>
    <row r="666" spans="1:6" x14ac:dyDescent="0.25">
      <c r="A666" s="12"/>
      <c r="B666" s="11"/>
      <c r="C666" s="11"/>
      <c r="D666" s="11"/>
      <c r="E666" s="11"/>
      <c r="F666" s="25"/>
    </row>
    <row r="667" spans="1:6" x14ac:dyDescent="0.25">
      <c r="A667" s="12"/>
      <c r="B667" s="11"/>
      <c r="C667" s="11"/>
      <c r="D667" s="11"/>
      <c r="E667" s="11"/>
      <c r="F667" s="25"/>
    </row>
    <row r="668" spans="1:6" x14ac:dyDescent="0.25">
      <c r="A668" s="12"/>
      <c r="B668" s="11"/>
      <c r="C668" s="11"/>
      <c r="D668" s="11"/>
      <c r="E668" s="11"/>
      <c r="F668" s="25"/>
    </row>
    <row r="669" spans="1:6" x14ac:dyDescent="0.25">
      <c r="A669" s="12"/>
      <c r="B669" s="11"/>
      <c r="C669" s="11"/>
      <c r="D669" s="11"/>
      <c r="E669" s="11"/>
      <c r="F669" s="25"/>
    </row>
    <row r="670" spans="1:6" x14ac:dyDescent="0.25">
      <c r="A670" s="12"/>
      <c r="B670" s="11"/>
      <c r="C670" s="11"/>
      <c r="D670" s="11"/>
      <c r="E670" s="11"/>
      <c r="F670" s="25"/>
    </row>
    <row r="671" spans="1:6" x14ac:dyDescent="0.25">
      <c r="A671" s="12"/>
      <c r="B671" s="11"/>
      <c r="C671" s="11"/>
      <c r="D671" s="11"/>
      <c r="E671" s="11"/>
      <c r="F671" s="25"/>
    </row>
    <row r="672" spans="1:6" x14ac:dyDescent="0.25">
      <c r="A672" s="12"/>
      <c r="B672" s="11"/>
      <c r="C672" s="11"/>
      <c r="D672" s="11"/>
      <c r="E672" s="11"/>
      <c r="F672" s="25"/>
    </row>
    <row r="673" spans="1:6" x14ac:dyDescent="0.25">
      <c r="A673" s="12"/>
      <c r="B673" s="11"/>
      <c r="C673" s="11"/>
      <c r="D673" s="11"/>
      <c r="E673" s="11"/>
      <c r="F673" s="25"/>
    </row>
    <row r="674" spans="1:6" x14ac:dyDescent="0.25">
      <c r="A674" s="12"/>
      <c r="B674" s="11"/>
      <c r="C674" s="11"/>
      <c r="D674" s="11"/>
      <c r="E674" s="11"/>
      <c r="F674" s="25"/>
    </row>
    <row r="675" spans="1:6" x14ac:dyDescent="0.25">
      <c r="A675" s="12"/>
      <c r="B675" s="11"/>
      <c r="C675" s="11"/>
      <c r="D675" s="11"/>
      <c r="E675" s="11"/>
      <c r="F675" s="25"/>
    </row>
    <row r="676" spans="1:6" x14ac:dyDescent="0.25">
      <c r="A676" s="12"/>
      <c r="B676" s="11"/>
      <c r="C676" s="11"/>
      <c r="D676" s="11"/>
      <c r="E676" s="11"/>
      <c r="F676" s="25"/>
    </row>
    <row r="677" spans="1:6" x14ac:dyDescent="0.25">
      <c r="A677" s="12"/>
      <c r="B677" s="11"/>
      <c r="C677" s="11"/>
      <c r="D677" s="11"/>
      <c r="E677" s="11"/>
      <c r="F677" s="25"/>
    </row>
    <row r="678" spans="1:6" x14ac:dyDescent="0.25">
      <c r="A678" s="12"/>
      <c r="B678" s="11"/>
      <c r="C678" s="11"/>
      <c r="D678" s="11"/>
      <c r="E678" s="11"/>
      <c r="F678" s="25"/>
    </row>
    <row r="679" spans="1:6" x14ac:dyDescent="0.25">
      <c r="A679" s="12"/>
      <c r="B679" s="11"/>
      <c r="C679" s="11"/>
      <c r="D679" s="11"/>
      <c r="E679" s="11"/>
      <c r="F679" s="25"/>
    </row>
    <row r="680" spans="1:6" x14ac:dyDescent="0.25">
      <c r="A680" s="12"/>
      <c r="B680" s="11"/>
      <c r="C680" s="11"/>
      <c r="D680" s="11"/>
      <c r="E680" s="11"/>
      <c r="F680" s="25"/>
    </row>
    <row r="681" spans="1:6" x14ac:dyDescent="0.25">
      <c r="A681" s="12"/>
      <c r="B681" s="11"/>
      <c r="C681" s="11"/>
      <c r="D681" s="11"/>
      <c r="E681" s="11"/>
      <c r="F681" s="25"/>
    </row>
    <row r="682" spans="1:6" x14ac:dyDescent="0.25">
      <c r="A682" s="12"/>
      <c r="B682" s="11"/>
      <c r="C682" s="11"/>
      <c r="D682" s="11"/>
      <c r="E682" s="11"/>
      <c r="F682" s="25"/>
    </row>
    <row r="683" spans="1:6" x14ac:dyDescent="0.25">
      <c r="A683" s="12"/>
      <c r="B683" s="11"/>
      <c r="C683" s="11"/>
      <c r="D683" s="11"/>
      <c r="E683" s="11"/>
      <c r="F683" s="25"/>
    </row>
    <row r="684" spans="1:6" x14ac:dyDescent="0.25">
      <c r="A684" s="12"/>
      <c r="B684" s="11"/>
      <c r="C684" s="11"/>
      <c r="D684" s="11"/>
      <c r="E684" s="11"/>
      <c r="F684" s="25"/>
    </row>
    <row r="685" spans="1:6" x14ac:dyDescent="0.25">
      <c r="A685" s="12"/>
      <c r="B685" s="11"/>
      <c r="C685" s="11"/>
      <c r="D685" s="11"/>
      <c r="E685" s="11"/>
      <c r="F685" s="25"/>
    </row>
    <row r="686" spans="1:6" x14ac:dyDescent="0.25">
      <c r="A686" s="12"/>
      <c r="B686" s="11"/>
      <c r="C686" s="11"/>
      <c r="D686" s="11"/>
      <c r="E686" s="11"/>
      <c r="F686" s="25"/>
    </row>
    <row r="687" spans="1:6" x14ac:dyDescent="0.25">
      <c r="A687" s="12"/>
      <c r="B687" s="11"/>
      <c r="C687" s="11"/>
      <c r="D687" s="11"/>
      <c r="E687" s="11"/>
      <c r="F687" s="25"/>
    </row>
    <row r="688" spans="1:6" x14ac:dyDescent="0.25">
      <c r="A688" s="12"/>
      <c r="B688" s="11"/>
      <c r="C688" s="11"/>
      <c r="D688" s="11"/>
      <c r="E688" s="11"/>
      <c r="F688" s="25"/>
    </row>
    <row r="689" spans="1:6" x14ac:dyDescent="0.25">
      <c r="A689" s="12"/>
      <c r="B689" s="11"/>
      <c r="C689" s="11"/>
      <c r="D689" s="11"/>
      <c r="E689" s="11"/>
      <c r="F689" s="25"/>
    </row>
    <row r="690" spans="1:6" x14ac:dyDescent="0.25">
      <c r="A690" s="12"/>
      <c r="B690" s="11"/>
      <c r="C690" s="11"/>
      <c r="D690" s="11"/>
      <c r="E690" s="11"/>
      <c r="F690" s="25"/>
    </row>
    <row r="691" spans="1:6" x14ac:dyDescent="0.25">
      <c r="A691" s="12"/>
      <c r="B691" s="11"/>
      <c r="C691" s="11"/>
      <c r="D691" s="11"/>
      <c r="E691" s="11"/>
      <c r="F691" s="25"/>
    </row>
    <row r="692" spans="1:6" x14ac:dyDescent="0.25">
      <c r="A692" s="12"/>
      <c r="B692" s="11"/>
      <c r="C692" s="11"/>
      <c r="D692" s="11"/>
      <c r="E692" s="11"/>
      <c r="F692" s="25"/>
    </row>
    <row r="693" spans="1:6" x14ac:dyDescent="0.25">
      <c r="A693" s="12"/>
      <c r="B693" s="11"/>
      <c r="C693" s="11"/>
      <c r="D693" s="11"/>
      <c r="E693" s="11"/>
      <c r="F693" s="25"/>
    </row>
    <row r="694" spans="1:6" x14ac:dyDescent="0.25">
      <c r="A694" s="12"/>
      <c r="B694" s="11"/>
      <c r="C694" s="11"/>
      <c r="D694" s="11"/>
      <c r="E694" s="11"/>
      <c r="F694" s="25"/>
    </row>
    <row r="695" spans="1:6" x14ac:dyDescent="0.25">
      <c r="A695" s="12"/>
      <c r="B695" s="11"/>
      <c r="C695" s="11"/>
      <c r="D695" s="11"/>
      <c r="E695" s="11"/>
      <c r="F695" s="25"/>
    </row>
    <row r="696" spans="1:6" x14ac:dyDescent="0.25">
      <c r="A696" s="12"/>
      <c r="B696" s="11"/>
      <c r="C696" s="11"/>
      <c r="D696" s="11"/>
      <c r="E696" s="11"/>
      <c r="F696" s="25"/>
    </row>
    <row r="697" spans="1:6" x14ac:dyDescent="0.25">
      <c r="A697" s="12"/>
      <c r="B697" s="11"/>
      <c r="C697" s="11"/>
      <c r="D697" s="11"/>
      <c r="E697" s="11"/>
      <c r="F697" s="25"/>
    </row>
    <row r="698" spans="1:6" x14ac:dyDescent="0.25">
      <c r="A698" s="12"/>
      <c r="B698" s="11"/>
      <c r="C698" s="11"/>
      <c r="D698" s="11"/>
      <c r="E698" s="11"/>
      <c r="F698" s="25"/>
    </row>
    <row r="699" spans="1:6" x14ac:dyDescent="0.25">
      <c r="A699" s="12"/>
      <c r="B699" s="11"/>
      <c r="C699" s="11"/>
      <c r="D699" s="11"/>
      <c r="E699" s="11"/>
      <c r="F699" s="25"/>
    </row>
    <row r="700" spans="1:6" x14ac:dyDescent="0.25">
      <c r="A700" s="12"/>
      <c r="B700" s="11"/>
      <c r="C700" s="11"/>
      <c r="D700" s="11"/>
      <c r="E700" s="11"/>
      <c r="F700" s="25"/>
    </row>
    <row r="701" spans="1:6" x14ac:dyDescent="0.25">
      <c r="A701" s="12"/>
      <c r="B701" s="11"/>
      <c r="C701" s="11"/>
      <c r="D701" s="11"/>
      <c r="E701" s="11"/>
      <c r="F701" s="25"/>
    </row>
    <row r="702" spans="1:6" x14ac:dyDescent="0.25">
      <c r="A702" s="12"/>
      <c r="B702" s="11"/>
      <c r="C702" s="11"/>
      <c r="D702" s="11"/>
      <c r="E702" s="11"/>
      <c r="F702" s="25"/>
    </row>
    <row r="703" spans="1:6" x14ac:dyDescent="0.25">
      <c r="A703" s="12"/>
      <c r="B703" s="11"/>
      <c r="C703" s="11"/>
      <c r="D703" s="11"/>
      <c r="E703" s="11"/>
      <c r="F703" s="25"/>
    </row>
    <row r="704" spans="1:6" x14ac:dyDescent="0.25">
      <c r="A704" s="12"/>
      <c r="B704" s="11"/>
      <c r="C704" s="11"/>
      <c r="D704" s="11"/>
      <c r="E704" s="11"/>
      <c r="F704" s="25"/>
    </row>
    <row r="705" spans="1:6" x14ac:dyDescent="0.25">
      <c r="A705" s="12"/>
      <c r="B705" s="11"/>
      <c r="C705" s="11"/>
      <c r="D705" s="11"/>
      <c r="E705" s="11"/>
      <c r="F705" s="25"/>
    </row>
    <row r="706" spans="1:6" x14ac:dyDescent="0.25">
      <c r="A706" s="12"/>
      <c r="B706" s="11"/>
      <c r="C706" s="11"/>
      <c r="D706" s="11"/>
      <c r="E706" s="11"/>
      <c r="F706" s="25"/>
    </row>
    <row r="707" spans="1:6" x14ac:dyDescent="0.25">
      <c r="A707" s="12"/>
      <c r="B707" s="11"/>
      <c r="C707" s="11"/>
      <c r="D707" s="11"/>
      <c r="E707" s="11"/>
      <c r="F707" s="25"/>
    </row>
    <row r="708" spans="1:6" x14ac:dyDescent="0.25">
      <c r="A708" s="12"/>
      <c r="B708" s="11"/>
      <c r="C708" s="11"/>
      <c r="D708" s="11"/>
      <c r="E708" s="11"/>
      <c r="F708" s="25"/>
    </row>
    <row r="709" spans="1:6" x14ac:dyDescent="0.25">
      <c r="A709" s="12"/>
      <c r="B709" s="11"/>
      <c r="C709" s="11"/>
      <c r="D709" s="11"/>
      <c r="E709" s="11"/>
      <c r="F709" s="25"/>
    </row>
    <row r="710" spans="1:6" x14ac:dyDescent="0.25">
      <c r="A710" s="12"/>
      <c r="B710" s="11"/>
      <c r="C710" s="11"/>
      <c r="D710" s="11"/>
      <c r="E710" s="11"/>
      <c r="F710" s="25"/>
    </row>
    <row r="711" spans="1:6" x14ac:dyDescent="0.25">
      <c r="A711" s="12"/>
      <c r="B711" s="11"/>
      <c r="C711" s="11"/>
      <c r="D711" s="11"/>
      <c r="E711" s="11"/>
      <c r="F711" s="25"/>
    </row>
    <row r="712" spans="1:6" x14ac:dyDescent="0.25">
      <c r="A712" s="12"/>
      <c r="B712" s="11"/>
      <c r="C712" s="11"/>
      <c r="D712" s="11"/>
      <c r="E712" s="11"/>
      <c r="F712" s="25"/>
    </row>
    <row r="713" spans="1:6" x14ac:dyDescent="0.25">
      <c r="A713" s="12"/>
      <c r="B713" s="11"/>
      <c r="C713" s="11"/>
      <c r="D713" s="11"/>
      <c r="E713" s="11"/>
      <c r="F713" s="25"/>
    </row>
    <row r="714" spans="1:6" x14ac:dyDescent="0.25">
      <c r="A714" s="12"/>
      <c r="B714" s="11"/>
      <c r="C714" s="11"/>
      <c r="D714" s="11"/>
      <c r="E714" s="11"/>
      <c r="F714" s="25"/>
    </row>
    <row r="715" spans="1:6" x14ac:dyDescent="0.25">
      <c r="A715" s="12"/>
      <c r="B715" s="11"/>
      <c r="C715" s="11"/>
      <c r="D715" s="11"/>
      <c r="E715" s="11"/>
      <c r="F715" s="25"/>
    </row>
    <row r="716" spans="1:6" x14ac:dyDescent="0.25">
      <c r="A716" s="12"/>
      <c r="B716" s="11"/>
      <c r="C716" s="11"/>
      <c r="D716" s="11"/>
      <c r="E716" s="11"/>
      <c r="F716" s="25"/>
    </row>
    <row r="717" spans="1:6" x14ac:dyDescent="0.25">
      <c r="A717" s="12"/>
      <c r="B717" s="11"/>
      <c r="C717" s="11"/>
      <c r="D717" s="11"/>
      <c r="E717" s="11"/>
      <c r="F717" s="25"/>
    </row>
    <row r="718" spans="1:6" x14ac:dyDescent="0.25">
      <c r="A718" s="12"/>
      <c r="B718" s="11"/>
      <c r="C718" s="11"/>
      <c r="D718" s="11"/>
      <c r="E718" s="11"/>
      <c r="F718" s="25"/>
    </row>
    <row r="719" spans="1:6" x14ac:dyDescent="0.25">
      <c r="A719" s="12"/>
      <c r="B719" s="11"/>
      <c r="C719" s="11"/>
      <c r="D719" s="11"/>
      <c r="E719" s="11"/>
      <c r="F719" s="25"/>
    </row>
    <row r="720" spans="1:6" x14ac:dyDescent="0.25">
      <c r="A720" s="12"/>
      <c r="B720" s="11"/>
      <c r="C720" s="11"/>
      <c r="D720" s="11"/>
      <c r="E720" s="11"/>
      <c r="F720" s="25"/>
    </row>
    <row r="721" spans="1:6" x14ac:dyDescent="0.25">
      <c r="A721" s="12"/>
      <c r="B721" s="11"/>
      <c r="C721" s="11"/>
      <c r="D721" s="11"/>
      <c r="E721" s="11"/>
      <c r="F721" s="25"/>
    </row>
    <row r="722" spans="1:6" x14ac:dyDescent="0.25">
      <c r="A722" s="12"/>
      <c r="B722" s="11"/>
      <c r="C722" s="11"/>
      <c r="D722" s="11"/>
      <c r="E722" s="11"/>
      <c r="F722" s="25"/>
    </row>
    <row r="723" spans="1:6" x14ac:dyDescent="0.25">
      <c r="A723" s="12"/>
      <c r="B723" s="11"/>
      <c r="C723" s="11"/>
      <c r="D723" s="11"/>
      <c r="E723" s="11"/>
      <c r="F723" s="25"/>
    </row>
    <row r="724" spans="1:6" x14ac:dyDescent="0.25">
      <c r="A724" s="12"/>
      <c r="B724" s="11"/>
      <c r="C724" s="11"/>
      <c r="D724" s="11"/>
      <c r="E724" s="11"/>
      <c r="F724" s="25"/>
    </row>
    <row r="725" spans="1:6" x14ac:dyDescent="0.25">
      <c r="A725" s="12"/>
      <c r="B725" s="11"/>
      <c r="C725" s="11"/>
      <c r="D725" s="11"/>
      <c r="E725" s="11"/>
      <c r="F725" s="25"/>
    </row>
    <row r="726" spans="1:6" x14ac:dyDescent="0.25">
      <c r="A726" s="12"/>
      <c r="B726" s="11"/>
      <c r="C726" s="11"/>
      <c r="D726" s="11"/>
      <c r="E726" s="11"/>
      <c r="F726" s="25"/>
    </row>
    <row r="727" spans="1:6" x14ac:dyDescent="0.25">
      <c r="A727" s="12"/>
      <c r="B727" s="11"/>
      <c r="C727" s="11"/>
      <c r="D727" s="11"/>
      <c r="E727" s="11"/>
      <c r="F727" s="25"/>
    </row>
    <row r="728" spans="1:6" x14ac:dyDescent="0.25">
      <c r="A728" s="12"/>
      <c r="B728" s="11"/>
      <c r="C728" s="11"/>
      <c r="D728" s="11"/>
      <c r="E728" s="11"/>
      <c r="F728" s="25"/>
    </row>
    <row r="729" spans="1:6" x14ac:dyDescent="0.25">
      <c r="A729" s="12"/>
      <c r="B729" s="11"/>
      <c r="C729" s="11"/>
      <c r="D729" s="11"/>
      <c r="E729" s="11"/>
      <c r="F729" s="25"/>
    </row>
    <row r="730" spans="1:6" x14ac:dyDescent="0.25">
      <c r="A730" s="12"/>
      <c r="B730" s="11"/>
      <c r="C730" s="11"/>
      <c r="D730" s="11"/>
      <c r="E730" s="11"/>
      <c r="F730" s="25"/>
    </row>
    <row r="731" spans="1:6" x14ac:dyDescent="0.25">
      <c r="A731" s="12"/>
      <c r="B731" s="11"/>
      <c r="C731" s="11"/>
      <c r="D731" s="11"/>
      <c r="E731" s="11"/>
      <c r="F731" s="25"/>
    </row>
    <row r="732" spans="1:6" x14ac:dyDescent="0.25">
      <c r="A732" s="12"/>
      <c r="B732" s="11"/>
      <c r="C732" s="11"/>
      <c r="D732" s="11"/>
      <c r="E732" s="11"/>
      <c r="F732" s="25"/>
    </row>
    <row r="733" spans="1:6" x14ac:dyDescent="0.25">
      <c r="A733" s="12"/>
      <c r="B733" s="11"/>
      <c r="C733" s="11"/>
      <c r="D733" s="11"/>
      <c r="E733" s="11"/>
      <c r="F733" s="25"/>
    </row>
    <row r="734" spans="1:6" x14ac:dyDescent="0.25">
      <c r="A734" s="12"/>
      <c r="B734" s="11"/>
      <c r="C734" s="11"/>
      <c r="D734" s="11"/>
      <c r="E734" s="11"/>
      <c r="F734" s="25"/>
    </row>
    <row r="735" spans="1:6" x14ac:dyDescent="0.25">
      <c r="A735" s="12"/>
      <c r="B735" s="11"/>
      <c r="C735" s="11"/>
      <c r="D735" s="11"/>
      <c r="E735" s="11"/>
      <c r="F735" s="25"/>
    </row>
    <row r="736" spans="1:6" x14ac:dyDescent="0.25">
      <c r="A736" s="12"/>
      <c r="B736" s="11"/>
      <c r="C736" s="11"/>
      <c r="D736" s="11"/>
      <c r="E736" s="11"/>
      <c r="F736" s="25"/>
    </row>
    <row r="737" spans="1:6" x14ac:dyDescent="0.25">
      <c r="A737" s="12"/>
      <c r="B737" s="11"/>
      <c r="C737" s="11"/>
      <c r="D737" s="11"/>
      <c r="E737" s="11"/>
      <c r="F737" s="25"/>
    </row>
    <row r="738" spans="1:6" x14ac:dyDescent="0.25">
      <c r="A738" s="12"/>
      <c r="B738" s="11"/>
      <c r="C738" s="11"/>
      <c r="D738" s="11"/>
      <c r="E738" s="11"/>
      <c r="F738" s="25"/>
    </row>
    <row r="739" spans="1:6" x14ac:dyDescent="0.25">
      <c r="A739" s="12"/>
      <c r="B739" s="11"/>
      <c r="C739" s="11"/>
      <c r="D739" s="11"/>
      <c r="E739" s="11"/>
      <c r="F739" s="25"/>
    </row>
    <row r="740" spans="1:6" x14ac:dyDescent="0.25">
      <c r="A740" s="12"/>
      <c r="B740" s="11"/>
      <c r="C740" s="11"/>
      <c r="D740" s="11"/>
      <c r="E740" s="11"/>
      <c r="F740" s="25"/>
    </row>
    <row r="741" spans="1:6" x14ac:dyDescent="0.25">
      <c r="A741" s="12"/>
      <c r="B741" s="11"/>
      <c r="C741" s="11"/>
      <c r="D741" s="11"/>
      <c r="E741" s="11"/>
      <c r="F741" s="25"/>
    </row>
    <row r="742" spans="1:6" x14ac:dyDescent="0.25">
      <c r="A742" s="12"/>
      <c r="B742" s="11"/>
      <c r="C742" s="11"/>
      <c r="D742" s="11"/>
      <c r="E742" s="11"/>
      <c r="F742" s="25"/>
    </row>
    <row r="743" spans="1:6" x14ac:dyDescent="0.25">
      <c r="A743" s="12"/>
      <c r="B743" s="11"/>
      <c r="C743" s="11"/>
      <c r="D743" s="11"/>
      <c r="E743" s="11"/>
      <c r="F743" s="25"/>
    </row>
    <row r="744" spans="1:6" x14ac:dyDescent="0.25">
      <c r="A744" s="12"/>
      <c r="B744" s="11"/>
      <c r="C744" s="11"/>
      <c r="D744" s="11"/>
      <c r="E744" s="11"/>
      <c r="F744" s="25"/>
    </row>
    <row r="745" spans="1:6" x14ac:dyDescent="0.25">
      <c r="A745" s="12"/>
      <c r="B745" s="11"/>
      <c r="C745" s="11"/>
      <c r="D745" s="11"/>
      <c r="E745" s="11"/>
      <c r="F745" s="25"/>
    </row>
    <row r="746" spans="1:6" x14ac:dyDescent="0.25">
      <c r="A746" s="12"/>
      <c r="B746" s="11"/>
      <c r="C746" s="11"/>
      <c r="D746" s="11"/>
      <c r="E746" s="11"/>
      <c r="F746" s="25"/>
    </row>
    <row r="747" spans="1:6" x14ac:dyDescent="0.25">
      <c r="A747" s="12"/>
      <c r="B747" s="11"/>
      <c r="C747" s="11"/>
      <c r="D747" s="11"/>
      <c r="E747" s="11"/>
      <c r="F747" s="25"/>
    </row>
    <row r="748" spans="1:6" x14ac:dyDescent="0.25">
      <c r="A748" s="12"/>
      <c r="B748" s="11"/>
      <c r="C748" s="11"/>
      <c r="D748" s="11"/>
      <c r="E748" s="11"/>
      <c r="F748" s="25"/>
    </row>
    <row r="749" spans="1:6" x14ac:dyDescent="0.25">
      <c r="A749" s="12"/>
      <c r="B749" s="11"/>
      <c r="C749" s="11"/>
      <c r="D749" s="11"/>
      <c r="E749" s="11"/>
      <c r="F749" s="25"/>
    </row>
    <row r="750" spans="1:6" x14ac:dyDescent="0.25">
      <c r="A750" s="12"/>
      <c r="B750" s="11"/>
      <c r="C750" s="11"/>
      <c r="D750" s="11"/>
      <c r="E750" s="11"/>
      <c r="F750" s="25"/>
    </row>
    <row r="751" spans="1:6" x14ac:dyDescent="0.25">
      <c r="A751" s="12"/>
      <c r="B751" s="11"/>
      <c r="C751" s="11"/>
      <c r="D751" s="11"/>
      <c r="E751" s="11"/>
      <c r="F751" s="25"/>
    </row>
    <row r="752" spans="1:6" x14ac:dyDescent="0.25">
      <c r="A752" s="12"/>
      <c r="B752" s="11"/>
      <c r="C752" s="11"/>
      <c r="D752" s="11"/>
      <c r="E752" s="11"/>
      <c r="F752" s="25"/>
    </row>
    <row r="753" spans="1:6" x14ac:dyDescent="0.25">
      <c r="A753" s="12"/>
      <c r="B753" s="11"/>
      <c r="C753" s="11"/>
      <c r="D753" s="11"/>
      <c r="E753" s="11"/>
      <c r="F753" s="25"/>
    </row>
    <row r="754" spans="1:6" x14ac:dyDescent="0.25">
      <c r="A754" s="12"/>
      <c r="B754" s="11"/>
      <c r="C754" s="11"/>
      <c r="D754" s="11"/>
      <c r="E754" s="11"/>
      <c r="F754" s="25"/>
    </row>
    <row r="755" spans="1:6" x14ac:dyDescent="0.25">
      <c r="A755" s="12"/>
      <c r="B755" s="11"/>
      <c r="C755" s="11"/>
      <c r="D755" s="11"/>
      <c r="E755" s="11"/>
      <c r="F755" s="25"/>
    </row>
    <row r="756" spans="1:6" x14ac:dyDescent="0.25">
      <c r="A756" s="12"/>
      <c r="B756" s="11"/>
      <c r="C756" s="11"/>
      <c r="D756" s="11"/>
      <c r="E756" s="11"/>
      <c r="F756" s="25"/>
    </row>
    <row r="757" spans="1:6" x14ac:dyDescent="0.25">
      <c r="A757" s="12"/>
      <c r="B757" s="11"/>
      <c r="C757" s="11"/>
      <c r="D757" s="11"/>
      <c r="E757" s="11"/>
      <c r="F757" s="25"/>
    </row>
    <row r="758" spans="1:6" x14ac:dyDescent="0.25">
      <c r="A758" s="12"/>
      <c r="B758" s="11"/>
      <c r="C758" s="11"/>
      <c r="D758" s="11"/>
      <c r="E758" s="11"/>
      <c r="F758" s="25"/>
    </row>
    <row r="759" spans="1:6" x14ac:dyDescent="0.25">
      <c r="A759" s="12"/>
      <c r="B759" s="11"/>
      <c r="C759" s="11"/>
      <c r="D759" s="11"/>
      <c r="E759" s="11"/>
      <c r="F759" s="25"/>
    </row>
    <row r="760" spans="1:6" x14ac:dyDescent="0.25">
      <c r="A760" s="12"/>
      <c r="B760" s="11"/>
      <c r="C760" s="11"/>
      <c r="D760" s="11"/>
      <c r="E760" s="11"/>
      <c r="F760" s="25"/>
    </row>
    <row r="761" spans="1:6" x14ac:dyDescent="0.25">
      <c r="A761" s="12"/>
      <c r="B761" s="11"/>
      <c r="C761" s="11"/>
      <c r="D761" s="11"/>
      <c r="E761" s="11"/>
      <c r="F761" s="25"/>
    </row>
    <row r="762" spans="1:6" x14ac:dyDescent="0.25">
      <c r="A762" s="12"/>
      <c r="B762" s="11"/>
      <c r="C762" s="11"/>
      <c r="D762" s="11"/>
      <c r="E762" s="11"/>
      <c r="F762" s="25"/>
    </row>
    <row r="763" spans="1:6" x14ac:dyDescent="0.25">
      <c r="A763" s="12"/>
      <c r="B763" s="11"/>
      <c r="C763" s="11"/>
      <c r="D763" s="11"/>
      <c r="E763" s="11"/>
      <c r="F763" s="25"/>
    </row>
    <row r="764" spans="1:6" x14ac:dyDescent="0.25">
      <c r="A764" s="12"/>
      <c r="B764" s="11"/>
      <c r="C764" s="11"/>
      <c r="D764" s="11"/>
      <c r="E764" s="11"/>
      <c r="F764" s="25"/>
    </row>
    <row r="765" spans="1:6" x14ac:dyDescent="0.25">
      <c r="A765" s="12"/>
      <c r="B765" s="11"/>
      <c r="C765" s="11"/>
      <c r="D765" s="11"/>
      <c r="E765" s="11"/>
      <c r="F765" s="25"/>
    </row>
    <row r="766" spans="1:6" x14ac:dyDescent="0.25">
      <c r="A766" s="12"/>
      <c r="B766" s="11"/>
      <c r="C766" s="11"/>
      <c r="D766" s="11"/>
      <c r="E766" s="11"/>
      <c r="F766" s="25"/>
    </row>
    <row r="767" spans="1:6" x14ac:dyDescent="0.25">
      <c r="A767" s="12"/>
      <c r="B767" s="11"/>
      <c r="C767" s="11"/>
      <c r="D767" s="11"/>
      <c r="E767" s="11"/>
      <c r="F767" s="25"/>
    </row>
    <row r="768" spans="1:6" x14ac:dyDescent="0.25">
      <c r="A768" s="12"/>
      <c r="B768" s="11"/>
      <c r="C768" s="11"/>
      <c r="D768" s="11"/>
      <c r="E768" s="11"/>
      <c r="F768" s="25"/>
    </row>
    <row r="769" spans="1:6" x14ac:dyDescent="0.25">
      <c r="A769" s="12"/>
      <c r="B769" s="11"/>
      <c r="C769" s="11"/>
      <c r="D769" s="11"/>
      <c r="E769" s="11"/>
      <c r="F769" s="25"/>
    </row>
    <row r="770" spans="1:6" x14ac:dyDescent="0.25">
      <c r="A770" s="12"/>
      <c r="B770" s="11"/>
      <c r="C770" s="11"/>
      <c r="D770" s="11"/>
      <c r="E770" s="11"/>
      <c r="F770" s="25"/>
    </row>
    <row r="771" spans="1:6" x14ac:dyDescent="0.25">
      <c r="A771" s="12"/>
      <c r="B771" s="11"/>
      <c r="C771" s="11"/>
      <c r="D771" s="11"/>
      <c r="E771" s="11"/>
      <c r="F771" s="25"/>
    </row>
    <row r="772" spans="1:6" x14ac:dyDescent="0.25">
      <c r="A772" s="12"/>
      <c r="B772" s="11"/>
      <c r="C772" s="11"/>
      <c r="D772" s="11"/>
      <c r="E772" s="11"/>
      <c r="F772" s="25"/>
    </row>
    <row r="773" spans="1:6" x14ac:dyDescent="0.25">
      <c r="A773" s="12"/>
      <c r="B773" s="11"/>
      <c r="C773" s="11"/>
      <c r="D773" s="11"/>
      <c r="E773" s="11"/>
      <c r="F773" s="25"/>
    </row>
    <row r="774" spans="1:6" x14ac:dyDescent="0.25">
      <c r="A774" s="12"/>
      <c r="B774" s="11"/>
      <c r="C774" s="11"/>
      <c r="D774" s="11"/>
      <c r="E774" s="11"/>
      <c r="F774" s="25"/>
    </row>
    <row r="775" spans="1:6" x14ac:dyDescent="0.25">
      <c r="A775" s="12"/>
      <c r="B775" s="11"/>
      <c r="C775" s="11"/>
      <c r="D775" s="11"/>
      <c r="E775" s="11"/>
      <c r="F775" s="25"/>
    </row>
    <row r="776" spans="1:6" x14ac:dyDescent="0.25">
      <c r="A776" s="12"/>
      <c r="B776" s="11"/>
      <c r="C776" s="11"/>
      <c r="D776" s="11"/>
      <c r="E776" s="11"/>
      <c r="F776" s="25"/>
    </row>
    <row r="777" spans="1:6" x14ac:dyDescent="0.25">
      <c r="A777" s="12"/>
      <c r="B777" s="11"/>
      <c r="C777" s="11"/>
      <c r="D777" s="11"/>
      <c r="E777" s="11"/>
      <c r="F777" s="25"/>
    </row>
    <row r="778" spans="1:6" x14ac:dyDescent="0.25">
      <c r="A778" s="12"/>
      <c r="B778" s="11"/>
      <c r="C778" s="11"/>
      <c r="D778" s="11"/>
      <c r="E778" s="11"/>
      <c r="F778" s="25"/>
    </row>
    <row r="779" spans="1:6" x14ac:dyDescent="0.25">
      <c r="A779" s="12"/>
      <c r="B779" s="11"/>
      <c r="C779" s="11"/>
      <c r="D779" s="11"/>
      <c r="E779" s="11"/>
      <c r="F779" s="25"/>
    </row>
    <row r="780" spans="1:6" x14ac:dyDescent="0.25">
      <c r="A780" s="12"/>
      <c r="B780" s="11"/>
      <c r="C780" s="11"/>
      <c r="D780" s="11"/>
      <c r="E780" s="11"/>
      <c r="F780" s="25"/>
    </row>
    <row r="781" spans="1:6" x14ac:dyDescent="0.25">
      <c r="A781" s="12"/>
      <c r="B781" s="11"/>
      <c r="C781" s="11"/>
      <c r="D781" s="11"/>
      <c r="E781" s="11"/>
      <c r="F781" s="25"/>
    </row>
    <row r="782" spans="1:6" x14ac:dyDescent="0.25">
      <c r="A782" s="12"/>
      <c r="B782" s="11"/>
      <c r="C782" s="11"/>
      <c r="D782" s="11"/>
      <c r="E782" s="11"/>
      <c r="F782" s="25"/>
    </row>
    <row r="783" spans="1:6" x14ac:dyDescent="0.25">
      <c r="A783" s="12"/>
      <c r="B783" s="11"/>
      <c r="C783" s="11"/>
      <c r="D783" s="11"/>
      <c r="E783" s="11"/>
      <c r="F783" s="25"/>
    </row>
    <row r="784" spans="1:6" x14ac:dyDescent="0.25">
      <c r="A784" s="12"/>
      <c r="B784" s="11"/>
      <c r="C784" s="11"/>
      <c r="D784" s="11"/>
      <c r="E784" s="11"/>
      <c r="F784" s="25"/>
    </row>
    <row r="785" spans="1:6" x14ac:dyDescent="0.25">
      <c r="A785" s="12"/>
      <c r="B785" s="11"/>
      <c r="C785" s="11"/>
      <c r="D785" s="11"/>
      <c r="E785" s="11"/>
      <c r="F785" s="25"/>
    </row>
    <row r="786" spans="1:6" x14ac:dyDescent="0.25">
      <c r="A786" s="12"/>
      <c r="B786" s="11"/>
      <c r="C786" s="11"/>
      <c r="D786" s="11"/>
      <c r="E786" s="11"/>
      <c r="F786" s="25"/>
    </row>
    <row r="787" spans="1:6" x14ac:dyDescent="0.25">
      <c r="A787" s="12"/>
      <c r="B787" s="11"/>
      <c r="C787" s="11"/>
      <c r="D787" s="11"/>
      <c r="E787" s="11"/>
      <c r="F787" s="25"/>
    </row>
    <row r="788" spans="1:6" x14ac:dyDescent="0.25">
      <c r="A788" s="12"/>
      <c r="B788" s="11"/>
      <c r="C788" s="11"/>
      <c r="D788" s="11"/>
      <c r="E788" s="11"/>
      <c r="F788" s="25"/>
    </row>
    <row r="789" spans="1:6" x14ac:dyDescent="0.25">
      <c r="A789" s="12"/>
      <c r="B789" s="11"/>
      <c r="C789" s="11"/>
      <c r="D789" s="11"/>
      <c r="E789" s="11"/>
      <c r="F789" s="25"/>
    </row>
    <row r="790" spans="1:6" x14ac:dyDescent="0.25">
      <c r="A790" s="12"/>
      <c r="B790" s="11"/>
      <c r="C790" s="11"/>
      <c r="D790" s="11"/>
      <c r="E790" s="11"/>
      <c r="F790" s="25"/>
    </row>
    <row r="791" spans="1:6" x14ac:dyDescent="0.25">
      <c r="A791" s="12"/>
      <c r="B791" s="11"/>
      <c r="C791" s="11"/>
      <c r="D791" s="11"/>
      <c r="E791" s="11"/>
      <c r="F791" s="25"/>
    </row>
    <row r="792" spans="1:6" x14ac:dyDescent="0.25">
      <c r="A792" s="12"/>
      <c r="B792" s="11"/>
      <c r="C792" s="11"/>
      <c r="D792" s="11"/>
      <c r="E792" s="11"/>
      <c r="F792" s="25"/>
    </row>
    <row r="793" spans="1:6" x14ac:dyDescent="0.25">
      <c r="A793" s="12"/>
      <c r="B793" s="11"/>
      <c r="C793" s="11"/>
      <c r="D793" s="11"/>
      <c r="E793" s="11"/>
      <c r="F793" s="25"/>
    </row>
    <row r="794" spans="1:6" x14ac:dyDescent="0.25">
      <c r="A794" s="12"/>
      <c r="B794" s="11"/>
      <c r="C794" s="11"/>
      <c r="D794" s="11"/>
      <c r="E794" s="11"/>
      <c r="F794" s="25"/>
    </row>
    <row r="795" spans="1:6" x14ac:dyDescent="0.25">
      <c r="A795" s="12"/>
      <c r="B795" s="11"/>
      <c r="C795" s="11"/>
      <c r="D795" s="11"/>
      <c r="E795" s="11"/>
      <c r="F795" s="25"/>
    </row>
    <row r="796" spans="1:6" x14ac:dyDescent="0.25">
      <c r="A796" s="12"/>
      <c r="B796" s="11"/>
      <c r="C796" s="11"/>
      <c r="D796" s="11"/>
      <c r="E796" s="11"/>
      <c r="F796" s="25"/>
    </row>
    <row r="797" spans="1:6" x14ac:dyDescent="0.25">
      <c r="A797" s="12"/>
      <c r="B797" s="11"/>
      <c r="C797" s="11"/>
      <c r="D797" s="11"/>
      <c r="E797" s="11"/>
      <c r="F797" s="25"/>
    </row>
    <row r="798" spans="1:6" x14ac:dyDescent="0.25">
      <c r="A798" s="12"/>
      <c r="B798" s="11"/>
      <c r="C798" s="11"/>
      <c r="D798" s="11"/>
      <c r="E798" s="11"/>
      <c r="F798" s="25"/>
    </row>
    <row r="799" spans="1:6" x14ac:dyDescent="0.25">
      <c r="A799" s="12"/>
      <c r="B799" s="11"/>
      <c r="C799" s="11"/>
      <c r="D799" s="11"/>
      <c r="E799" s="11"/>
      <c r="F799" s="25"/>
    </row>
    <row r="800" spans="1:6" x14ac:dyDescent="0.25">
      <c r="A800" s="12"/>
      <c r="B800" s="11"/>
      <c r="C800" s="11"/>
      <c r="D800" s="11"/>
      <c r="E800" s="11"/>
      <c r="F800" s="25"/>
    </row>
    <row r="801" spans="1:6" x14ac:dyDescent="0.25">
      <c r="A801" s="12"/>
      <c r="B801" s="11"/>
      <c r="C801" s="11"/>
      <c r="D801" s="11"/>
      <c r="E801" s="11"/>
      <c r="F801" s="25"/>
    </row>
    <row r="802" spans="1:6" x14ac:dyDescent="0.25">
      <c r="A802" s="12"/>
      <c r="B802" s="11"/>
      <c r="C802" s="11"/>
      <c r="D802" s="11"/>
      <c r="E802" s="11"/>
      <c r="F802" s="25"/>
    </row>
    <row r="803" spans="1:6" x14ac:dyDescent="0.25">
      <c r="A803" s="12"/>
      <c r="B803" s="11"/>
      <c r="C803" s="11"/>
      <c r="D803" s="11"/>
      <c r="E803" s="11"/>
      <c r="F803" s="25"/>
    </row>
    <row r="804" spans="1:6" x14ac:dyDescent="0.25">
      <c r="A804" s="12"/>
      <c r="B804" s="11"/>
      <c r="C804" s="11"/>
      <c r="D804" s="11"/>
      <c r="E804" s="11"/>
      <c r="F804" s="25"/>
    </row>
    <row r="805" spans="1:6" x14ac:dyDescent="0.25">
      <c r="A805" s="12"/>
      <c r="B805" s="11"/>
      <c r="C805" s="11"/>
      <c r="D805" s="11"/>
      <c r="E805" s="11"/>
      <c r="F805" s="25"/>
    </row>
    <row r="806" spans="1:6" x14ac:dyDescent="0.25">
      <c r="A806" s="12"/>
      <c r="B806" s="11"/>
      <c r="C806" s="11"/>
      <c r="D806" s="11"/>
      <c r="E806" s="11"/>
      <c r="F806" s="25"/>
    </row>
    <row r="807" spans="1:6" x14ac:dyDescent="0.25">
      <c r="A807" s="12"/>
      <c r="B807" s="11"/>
      <c r="C807" s="11"/>
      <c r="D807" s="11"/>
      <c r="E807" s="11"/>
      <c r="F807" s="25"/>
    </row>
    <row r="808" spans="1:6" x14ac:dyDescent="0.25">
      <c r="A808" s="12"/>
      <c r="B808" s="11"/>
      <c r="C808" s="11"/>
      <c r="D808" s="11"/>
      <c r="E808" s="11"/>
      <c r="F808" s="25"/>
    </row>
    <row r="809" spans="1:6" x14ac:dyDescent="0.25">
      <c r="A809" s="12"/>
      <c r="B809" s="11"/>
      <c r="C809" s="11"/>
      <c r="D809" s="11"/>
      <c r="E809" s="11"/>
      <c r="F809" s="25"/>
    </row>
    <row r="810" spans="1:6" x14ac:dyDescent="0.25">
      <c r="A810" s="12"/>
      <c r="B810" s="11"/>
      <c r="C810" s="11"/>
      <c r="D810" s="11"/>
      <c r="E810" s="11"/>
      <c r="F810" s="25"/>
    </row>
    <row r="811" spans="1:6" x14ac:dyDescent="0.25">
      <c r="A811" s="12"/>
      <c r="B811" s="11"/>
      <c r="C811" s="11"/>
      <c r="D811" s="11"/>
      <c r="E811" s="11"/>
      <c r="F811" s="25"/>
    </row>
    <row r="812" spans="1:6" x14ac:dyDescent="0.25">
      <c r="A812" s="12"/>
      <c r="B812" s="11"/>
      <c r="C812" s="11"/>
      <c r="D812" s="11"/>
      <c r="E812" s="11"/>
      <c r="F812" s="25"/>
    </row>
    <row r="813" spans="1:6" x14ac:dyDescent="0.25">
      <c r="A813" s="12"/>
      <c r="B813" s="11"/>
      <c r="C813" s="11"/>
      <c r="D813" s="11"/>
      <c r="E813" s="11"/>
      <c r="F813" s="25"/>
    </row>
    <row r="814" spans="1:6" x14ac:dyDescent="0.25">
      <c r="A814" s="12"/>
      <c r="B814" s="11"/>
      <c r="C814" s="11"/>
      <c r="D814" s="11"/>
      <c r="E814" s="11"/>
      <c r="F814" s="25"/>
    </row>
    <row r="815" spans="1:6" x14ac:dyDescent="0.25">
      <c r="A815" s="12"/>
      <c r="B815" s="11"/>
      <c r="C815" s="11"/>
      <c r="D815" s="11"/>
      <c r="E815" s="11"/>
      <c r="F815" s="25"/>
    </row>
    <row r="816" spans="1:6" x14ac:dyDescent="0.25">
      <c r="A816" s="12"/>
      <c r="B816" s="11"/>
      <c r="C816" s="11"/>
      <c r="D816" s="11"/>
      <c r="E816" s="11"/>
      <c r="F816" s="25"/>
    </row>
    <row r="817" spans="1:6" x14ac:dyDescent="0.25">
      <c r="A817" s="12"/>
      <c r="B817" s="11"/>
      <c r="C817" s="11"/>
      <c r="D817" s="11"/>
      <c r="E817" s="11"/>
      <c r="F817" s="25"/>
    </row>
    <row r="818" spans="1:6" x14ac:dyDescent="0.25">
      <c r="A818" s="12"/>
      <c r="B818" s="11"/>
      <c r="C818" s="11"/>
      <c r="D818" s="11"/>
      <c r="E818" s="11"/>
      <c r="F818" s="25"/>
    </row>
    <row r="819" spans="1:6" x14ac:dyDescent="0.25">
      <c r="A819" s="12"/>
      <c r="B819" s="11"/>
      <c r="C819" s="11"/>
      <c r="D819" s="11"/>
      <c r="E819" s="11"/>
      <c r="F819" s="25"/>
    </row>
    <row r="820" spans="1:6" x14ac:dyDescent="0.25">
      <c r="A820" s="12"/>
      <c r="B820" s="11"/>
      <c r="C820" s="11"/>
      <c r="D820" s="11"/>
      <c r="E820" s="11"/>
      <c r="F820" s="25"/>
    </row>
    <row r="821" spans="1:6" x14ac:dyDescent="0.25">
      <c r="A821" s="12"/>
      <c r="B821" s="11"/>
      <c r="C821" s="11"/>
      <c r="D821" s="11"/>
      <c r="E821" s="11"/>
      <c r="F821" s="25"/>
    </row>
    <row r="822" spans="1:6" x14ac:dyDescent="0.25">
      <c r="A822" s="12"/>
      <c r="B822" s="11"/>
      <c r="C822" s="11"/>
      <c r="D822" s="11"/>
      <c r="E822" s="11"/>
      <c r="F822" s="25"/>
    </row>
    <row r="823" spans="1:6" x14ac:dyDescent="0.25">
      <c r="A823" s="12"/>
      <c r="B823" s="11"/>
      <c r="C823" s="11"/>
      <c r="D823" s="11"/>
      <c r="E823" s="11"/>
      <c r="F823" s="25"/>
    </row>
    <row r="824" spans="1:6" x14ac:dyDescent="0.25">
      <c r="A824" s="12"/>
      <c r="B824" s="11"/>
      <c r="C824" s="11"/>
      <c r="D824" s="11"/>
      <c r="E824" s="11"/>
      <c r="F824" s="25"/>
    </row>
    <row r="825" spans="1:6" x14ac:dyDescent="0.25">
      <c r="A825" s="12"/>
      <c r="B825" s="11"/>
      <c r="C825" s="11"/>
      <c r="D825" s="11"/>
      <c r="E825" s="11"/>
      <c r="F825" s="25"/>
    </row>
    <row r="826" spans="1:6" x14ac:dyDescent="0.25">
      <c r="A826" s="12"/>
      <c r="B826" s="11"/>
      <c r="C826" s="11"/>
      <c r="D826" s="11"/>
      <c r="E826" s="11"/>
      <c r="F826" s="25"/>
    </row>
    <row r="827" spans="1:6" x14ac:dyDescent="0.25">
      <c r="A827" s="12"/>
      <c r="B827" s="11"/>
      <c r="C827" s="11"/>
      <c r="D827" s="11"/>
      <c r="E827" s="11"/>
      <c r="F827" s="25"/>
    </row>
    <row r="828" spans="1:6" x14ac:dyDescent="0.25">
      <c r="A828" s="12"/>
      <c r="B828" s="11"/>
      <c r="C828" s="11"/>
      <c r="D828" s="11"/>
      <c r="E828" s="11"/>
      <c r="F828" s="25"/>
    </row>
    <row r="829" spans="1:6" x14ac:dyDescent="0.25">
      <c r="A829" s="12"/>
      <c r="B829" s="11"/>
      <c r="C829" s="11"/>
      <c r="D829" s="11"/>
      <c r="E829" s="11"/>
      <c r="F829" s="25"/>
    </row>
    <row r="830" spans="1:6" x14ac:dyDescent="0.25">
      <c r="A830" s="12"/>
      <c r="B830" s="11"/>
      <c r="C830" s="11"/>
      <c r="D830" s="11"/>
      <c r="E830" s="11"/>
      <c r="F830" s="25"/>
    </row>
    <row r="831" spans="1:6" x14ac:dyDescent="0.25">
      <c r="A831" s="12"/>
      <c r="B831" s="11"/>
      <c r="C831" s="11"/>
      <c r="D831" s="11"/>
      <c r="E831" s="11"/>
      <c r="F831" s="25"/>
    </row>
    <row r="832" spans="1:6" x14ac:dyDescent="0.25">
      <c r="A832" s="12"/>
      <c r="B832" s="11"/>
      <c r="C832" s="11"/>
      <c r="D832" s="11"/>
      <c r="E832" s="11"/>
      <c r="F832" s="25"/>
    </row>
    <row r="833" spans="1:6" x14ac:dyDescent="0.25">
      <c r="A833" s="12"/>
      <c r="B833" s="11"/>
      <c r="C833" s="11"/>
      <c r="D833" s="11"/>
      <c r="E833" s="11"/>
      <c r="F833" s="25"/>
    </row>
    <row r="834" spans="1:6" x14ac:dyDescent="0.25">
      <c r="A834" s="12"/>
      <c r="B834" s="11"/>
      <c r="C834" s="11"/>
      <c r="D834" s="11"/>
      <c r="E834" s="11"/>
      <c r="F834" s="25"/>
    </row>
    <row r="835" spans="1:6" x14ac:dyDescent="0.25">
      <c r="A835" s="12"/>
      <c r="B835" s="11"/>
      <c r="C835" s="11"/>
      <c r="D835" s="11"/>
      <c r="E835" s="11"/>
      <c r="F835" s="25"/>
    </row>
    <row r="836" spans="1:6" x14ac:dyDescent="0.25">
      <c r="A836" s="12"/>
      <c r="B836" s="11"/>
      <c r="C836" s="11"/>
      <c r="D836" s="11"/>
      <c r="E836" s="11"/>
      <c r="F836" s="25"/>
    </row>
    <row r="837" spans="1:6" x14ac:dyDescent="0.25">
      <c r="A837" s="12"/>
      <c r="B837" s="11"/>
      <c r="C837" s="11"/>
      <c r="D837" s="11"/>
      <c r="E837" s="11"/>
      <c r="F837" s="25"/>
    </row>
    <row r="838" spans="1:6" x14ac:dyDescent="0.25">
      <c r="A838" s="12"/>
      <c r="B838" s="11"/>
      <c r="C838" s="11"/>
      <c r="D838" s="11"/>
      <c r="E838" s="11"/>
      <c r="F838" s="25"/>
    </row>
    <row r="839" spans="1:6" x14ac:dyDescent="0.25">
      <c r="A839" s="12"/>
      <c r="B839" s="11"/>
      <c r="C839" s="11"/>
      <c r="D839" s="11"/>
      <c r="E839" s="11"/>
      <c r="F839" s="25"/>
    </row>
    <row r="840" spans="1:6" x14ac:dyDescent="0.25">
      <c r="A840" s="12"/>
      <c r="B840" s="11"/>
      <c r="C840" s="11"/>
      <c r="D840" s="11"/>
      <c r="E840" s="11"/>
      <c r="F840" s="25"/>
    </row>
    <row r="841" spans="1:6" x14ac:dyDescent="0.25">
      <c r="A841" s="12"/>
      <c r="B841" s="11"/>
      <c r="C841" s="11"/>
      <c r="D841" s="11"/>
      <c r="E841" s="11"/>
      <c r="F841" s="25"/>
    </row>
    <row r="842" spans="1:6" x14ac:dyDescent="0.25">
      <c r="A842" s="12"/>
      <c r="B842" s="11"/>
      <c r="C842" s="11"/>
      <c r="D842" s="11"/>
      <c r="E842" s="11"/>
      <c r="F842" s="25"/>
    </row>
    <row r="843" spans="1:6" x14ac:dyDescent="0.25">
      <c r="A843" s="12"/>
      <c r="B843" s="11"/>
      <c r="C843" s="11"/>
      <c r="D843" s="11"/>
      <c r="E843" s="11"/>
      <c r="F843" s="25"/>
    </row>
    <row r="844" spans="1:6" x14ac:dyDescent="0.25">
      <c r="A844" s="12"/>
      <c r="B844" s="11"/>
      <c r="C844" s="11"/>
      <c r="D844" s="11"/>
      <c r="E844" s="11"/>
      <c r="F844" s="25"/>
    </row>
    <row r="845" spans="1:6" x14ac:dyDescent="0.25">
      <c r="A845" s="12"/>
      <c r="B845" s="11"/>
      <c r="C845" s="11"/>
      <c r="D845" s="11"/>
      <c r="E845" s="11"/>
      <c r="F845" s="25"/>
    </row>
    <row r="846" spans="1:6" x14ac:dyDescent="0.25">
      <c r="A846" s="12"/>
      <c r="B846" s="11"/>
      <c r="C846" s="11"/>
      <c r="D846" s="11"/>
      <c r="E846" s="11"/>
      <c r="F846" s="25"/>
    </row>
    <row r="847" spans="1:6" x14ac:dyDescent="0.25">
      <c r="A847" s="12"/>
      <c r="B847" s="11"/>
      <c r="C847" s="11"/>
      <c r="D847" s="11"/>
      <c r="E847" s="11"/>
      <c r="F847" s="25"/>
    </row>
    <row r="848" spans="1:6" x14ac:dyDescent="0.25">
      <c r="A848" s="12"/>
      <c r="B848" s="11"/>
      <c r="C848" s="11"/>
      <c r="D848" s="11"/>
      <c r="E848" s="11"/>
      <c r="F848" s="25"/>
    </row>
    <row r="849" spans="1:6" x14ac:dyDescent="0.25">
      <c r="A849" s="12"/>
      <c r="B849" s="11"/>
      <c r="C849" s="11"/>
      <c r="D849" s="11"/>
      <c r="E849" s="11"/>
      <c r="F849" s="25"/>
    </row>
    <row r="850" spans="1:6" x14ac:dyDescent="0.25">
      <c r="A850" s="12"/>
      <c r="B850" s="11"/>
      <c r="C850" s="11"/>
      <c r="D850" s="11"/>
      <c r="E850" s="11"/>
      <c r="F850" s="25"/>
    </row>
    <row r="851" spans="1:6" x14ac:dyDescent="0.25">
      <c r="A851" s="12"/>
      <c r="B851" s="11"/>
      <c r="C851" s="11"/>
      <c r="D851" s="11"/>
      <c r="E851" s="11"/>
      <c r="F851" s="25"/>
    </row>
    <row r="852" spans="1:6" x14ac:dyDescent="0.25">
      <c r="A852" s="12"/>
      <c r="B852" s="11"/>
      <c r="C852" s="11"/>
      <c r="D852" s="11"/>
      <c r="E852" s="11"/>
      <c r="F852" s="25"/>
    </row>
    <row r="853" spans="1:6" x14ac:dyDescent="0.25">
      <c r="A853" s="12"/>
      <c r="B853" s="11"/>
      <c r="C853" s="11"/>
      <c r="D853" s="11"/>
      <c r="E853" s="11"/>
      <c r="F853" s="25"/>
    </row>
    <row r="854" spans="1:6" x14ac:dyDescent="0.25">
      <c r="A854" s="12"/>
      <c r="B854" s="11"/>
      <c r="C854" s="11"/>
      <c r="D854" s="11"/>
      <c r="E854" s="11"/>
      <c r="F854" s="25"/>
    </row>
    <row r="855" spans="1:6" x14ac:dyDescent="0.25">
      <c r="A855" s="12"/>
      <c r="B855" s="11"/>
      <c r="C855" s="11"/>
      <c r="D855" s="11"/>
      <c r="E855" s="11"/>
      <c r="F855" s="25"/>
    </row>
    <row r="856" spans="1:6" x14ac:dyDescent="0.25">
      <c r="A856" s="12"/>
      <c r="B856" s="11"/>
      <c r="C856" s="11"/>
      <c r="D856" s="11"/>
      <c r="E856" s="11"/>
      <c r="F856" s="25"/>
    </row>
    <row r="857" spans="1:6" x14ac:dyDescent="0.25">
      <c r="A857" s="12"/>
      <c r="B857" s="11"/>
      <c r="C857" s="11"/>
      <c r="D857" s="11"/>
      <c r="E857" s="11"/>
      <c r="F857" s="25"/>
    </row>
    <row r="858" spans="1:6" x14ac:dyDescent="0.25">
      <c r="A858" s="12"/>
      <c r="B858" s="11"/>
      <c r="C858" s="11"/>
      <c r="D858" s="11"/>
      <c r="E858" s="11"/>
      <c r="F858" s="25"/>
    </row>
    <row r="859" spans="1:6" x14ac:dyDescent="0.25">
      <c r="A859" s="12"/>
      <c r="B859" s="11"/>
      <c r="C859" s="11"/>
      <c r="D859" s="11"/>
      <c r="E859" s="11"/>
      <c r="F859" s="25"/>
    </row>
    <row r="860" spans="1:6" x14ac:dyDescent="0.25">
      <c r="A860" s="12"/>
      <c r="B860" s="11"/>
      <c r="C860" s="11"/>
      <c r="D860" s="11"/>
      <c r="E860" s="11"/>
      <c r="F860" s="25"/>
    </row>
    <row r="861" spans="1:6" x14ac:dyDescent="0.25">
      <c r="A861" s="12"/>
      <c r="B861" s="11"/>
      <c r="C861" s="11"/>
      <c r="D861" s="11"/>
      <c r="E861" s="11"/>
      <c r="F861" s="25"/>
    </row>
    <row r="862" spans="1:6" x14ac:dyDescent="0.25">
      <c r="A862" s="12"/>
      <c r="B862" s="11"/>
      <c r="C862" s="11"/>
      <c r="D862" s="11"/>
      <c r="E862" s="11"/>
      <c r="F862" s="25"/>
    </row>
    <row r="863" spans="1:6" x14ac:dyDescent="0.25">
      <c r="A863" s="12"/>
      <c r="B863" s="11"/>
      <c r="C863" s="11"/>
      <c r="D863" s="11"/>
      <c r="E863" s="11"/>
      <c r="F863" s="25"/>
    </row>
    <row r="864" spans="1:6" x14ac:dyDescent="0.25">
      <c r="A864" s="12"/>
      <c r="B864" s="11"/>
      <c r="C864" s="11"/>
      <c r="D864" s="11"/>
      <c r="E864" s="11"/>
      <c r="F864" s="25"/>
    </row>
    <row r="865" spans="1:6" x14ac:dyDescent="0.25">
      <c r="A865" s="12"/>
      <c r="B865" s="11"/>
      <c r="C865" s="11"/>
      <c r="D865" s="11"/>
      <c r="E865" s="11"/>
      <c r="F865" s="25"/>
    </row>
    <row r="866" spans="1:6" x14ac:dyDescent="0.25">
      <c r="A866" s="12"/>
      <c r="B866" s="11"/>
      <c r="C866" s="11"/>
      <c r="D866" s="11"/>
      <c r="E866" s="11"/>
      <c r="F866" s="25"/>
    </row>
    <row r="867" spans="1:6" x14ac:dyDescent="0.25">
      <c r="A867" s="12"/>
      <c r="B867" s="11"/>
      <c r="C867" s="11"/>
      <c r="D867" s="11"/>
      <c r="E867" s="11"/>
      <c r="F867" s="25"/>
    </row>
    <row r="868" spans="1:6" x14ac:dyDescent="0.25">
      <c r="A868" s="12"/>
      <c r="B868" s="11"/>
      <c r="C868" s="11"/>
      <c r="D868" s="11"/>
      <c r="E868" s="11"/>
      <c r="F868" s="25"/>
    </row>
    <row r="869" spans="1:6" x14ac:dyDescent="0.25">
      <c r="A869" s="12"/>
      <c r="B869" s="11"/>
      <c r="C869" s="11"/>
      <c r="D869" s="11"/>
      <c r="E869" s="11"/>
      <c r="F869" s="25"/>
    </row>
    <row r="870" spans="1:6" x14ac:dyDescent="0.25">
      <c r="A870" s="12"/>
      <c r="B870" s="11"/>
      <c r="C870" s="11"/>
      <c r="D870" s="11"/>
      <c r="E870" s="11"/>
      <c r="F870" s="25"/>
    </row>
    <row r="871" spans="1:6" x14ac:dyDescent="0.25">
      <c r="A871" s="12"/>
      <c r="B871" s="11"/>
      <c r="C871" s="11"/>
      <c r="D871" s="11"/>
      <c r="E871" s="11"/>
      <c r="F871" s="25"/>
    </row>
    <row r="872" spans="1:6" x14ac:dyDescent="0.25">
      <c r="A872" s="12"/>
      <c r="B872" s="11"/>
      <c r="C872" s="11"/>
      <c r="D872" s="11"/>
      <c r="E872" s="11"/>
      <c r="F872" s="25"/>
    </row>
    <row r="873" spans="1:6" x14ac:dyDescent="0.25">
      <c r="A873" s="12"/>
      <c r="B873" s="11"/>
      <c r="C873" s="11"/>
      <c r="D873" s="11"/>
      <c r="E873" s="11"/>
      <c r="F873" s="25"/>
    </row>
    <row r="874" spans="1:6" x14ac:dyDescent="0.25">
      <c r="A874" s="12"/>
      <c r="B874" s="11"/>
      <c r="C874" s="11"/>
      <c r="D874" s="11"/>
      <c r="E874" s="11"/>
      <c r="F874" s="25"/>
    </row>
    <row r="875" spans="1:6" x14ac:dyDescent="0.25">
      <c r="A875" s="12"/>
      <c r="B875" s="11"/>
      <c r="C875" s="11"/>
      <c r="D875" s="11"/>
      <c r="E875" s="11"/>
      <c r="F875" s="25"/>
    </row>
    <row r="876" spans="1:6" x14ac:dyDescent="0.25">
      <c r="A876" s="12"/>
      <c r="B876" s="11"/>
      <c r="C876" s="11"/>
      <c r="D876" s="11"/>
      <c r="E876" s="11"/>
      <c r="F876" s="25"/>
    </row>
    <row r="877" spans="1:6" x14ac:dyDescent="0.25">
      <c r="A877" s="12"/>
      <c r="B877" s="11"/>
      <c r="C877" s="11"/>
      <c r="D877" s="11"/>
      <c r="E877" s="11"/>
      <c r="F877" s="25"/>
    </row>
    <row r="878" spans="1:6" x14ac:dyDescent="0.25">
      <c r="A878" s="12"/>
      <c r="B878" s="11"/>
      <c r="C878" s="11"/>
      <c r="D878" s="11"/>
      <c r="E878" s="11"/>
      <c r="F878" s="25"/>
    </row>
    <row r="879" spans="1:6" x14ac:dyDescent="0.25">
      <c r="A879" s="12"/>
      <c r="B879" s="11"/>
      <c r="C879" s="11"/>
      <c r="D879" s="11"/>
      <c r="E879" s="11"/>
      <c r="F879" s="25"/>
    </row>
    <row r="880" spans="1:6" x14ac:dyDescent="0.25">
      <c r="A880" s="12"/>
      <c r="B880" s="11"/>
      <c r="C880" s="11"/>
      <c r="D880" s="11"/>
      <c r="E880" s="11"/>
      <c r="F880" s="25"/>
    </row>
    <row r="881" spans="1:6" x14ac:dyDescent="0.25">
      <c r="A881" s="12"/>
      <c r="B881" s="11"/>
      <c r="C881" s="11"/>
      <c r="D881" s="11"/>
      <c r="E881" s="11"/>
      <c r="F881" s="25"/>
    </row>
    <row r="882" spans="1:6" x14ac:dyDescent="0.25">
      <c r="A882" s="12"/>
      <c r="B882" s="11"/>
      <c r="C882" s="11"/>
      <c r="D882" s="11"/>
      <c r="E882" s="11"/>
      <c r="F882" s="25"/>
    </row>
    <row r="883" spans="1:6" x14ac:dyDescent="0.25">
      <c r="A883" s="12"/>
      <c r="B883" s="11"/>
      <c r="C883" s="11"/>
      <c r="D883" s="11"/>
      <c r="E883" s="11"/>
      <c r="F883" s="25"/>
    </row>
    <row r="884" spans="1:6" x14ac:dyDescent="0.25">
      <c r="A884" s="12"/>
      <c r="B884" s="11"/>
      <c r="C884" s="11"/>
      <c r="D884" s="11"/>
      <c r="E884" s="11"/>
      <c r="F884" s="25"/>
    </row>
    <row r="885" spans="1:6" x14ac:dyDescent="0.25">
      <c r="A885" s="12"/>
      <c r="B885" s="11"/>
      <c r="C885" s="11"/>
      <c r="D885" s="11"/>
      <c r="E885" s="11"/>
      <c r="F885" s="25"/>
    </row>
    <row r="886" spans="1:6" x14ac:dyDescent="0.25">
      <c r="A886" s="12"/>
      <c r="B886" s="11"/>
      <c r="C886" s="11"/>
      <c r="D886" s="11"/>
      <c r="E886" s="11"/>
      <c r="F886" s="25"/>
    </row>
    <row r="887" spans="1:6" x14ac:dyDescent="0.25">
      <c r="A887" s="12"/>
      <c r="B887" s="11"/>
      <c r="C887" s="11"/>
      <c r="D887" s="11"/>
      <c r="E887" s="11"/>
      <c r="F887" s="25"/>
    </row>
    <row r="888" spans="1:6" x14ac:dyDescent="0.25">
      <c r="A888" s="12"/>
      <c r="B888" s="11"/>
      <c r="C888" s="11"/>
      <c r="D888" s="11"/>
      <c r="E888" s="11"/>
      <c r="F888" s="25"/>
    </row>
    <row r="889" spans="1:6" x14ac:dyDescent="0.25">
      <c r="A889" s="12"/>
      <c r="B889" s="11"/>
      <c r="C889" s="11"/>
      <c r="D889" s="11"/>
      <c r="E889" s="11"/>
      <c r="F889" s="25"/>
    </row>
    <row r="890" spans="1:6" x14ac:dyDescent="0.25">
      <c r="A890" s="12"/>
      <c r="B890" s="11"/>
      <c r="C890" s="11"/>
      <c r="D890" s="11"/>
      <c r="E890" s="11"/>
      <c r="F890" s="25"/>
    </row>
    <row r="891" spans="1:6" x14ac:dyDescent="0.25">
      <c r="A891" s="12"/>
      <c r="B891" s="11"/>
      <c r="C891" s="11"/>
      <c r="D891" s="11"/>
      <c r="E891" s="11"/>
      <c r="F891" s="25"/>
    </row>
    <row r="892" spans="1:6" x14ac:dyDescent="0.25">
      <c r="A892" s="12"/>
      <c r="B892" s="11"/>
      <c r="C892" s="11"/>
      <c r="D892" s="11"/>
      <c r="E892" s="11"/>
      <c r="F892" s="25"/>
    </row>
    <row r="893" spans="1:6" x14ac:dyDescent="0.25">
      <c r="A893" s="12"/>
      <c r="B893" s="11"/>
      <c r="C893" s="11"/>
      <c r="D893" s="11"/>
      <c r="E893" s="11"/>
      <c r="F893" s="25"/>
    </row>
    <row r="894" spans="1:6" x14ac:dyDescent="0.25">
      <c r="A894" s="12"/>
      <c r="B894" s="11"/>
      <c r="C894" s="11"/>
      <c r="D894" s="11"/>
      <c r="E894" s="11"/>
      <c r="F894" s="25"/>
    </row>
    <row r="895" spans="1:6" x14ac:dyDescent="0.25">
      <c r="A895" s="12"/>
      <c r="B895" s="11"/>
      <c r="C895" s="11"/>
      <c r="D895" s="11"/>
      <c r="E895" s="11"/>
      <c r="F895" s="25"/>
    </row>
    <row r="896" spans="1:6" x14ac:dyDescent="0.25">
      <c r="A896" s="12"/>
      <c r="B896" s="11"/>
      <c r="C896" s="11"/>
      <c r="D896" s="11"/>
      <c r="E896" s="11"/>
      <c r="F896" s="25"/>
    </row>
    <row r="897" spans="1:6" x14ac:dyDescent="0.25">
      <c r="A897" s="12"/>
      <c r="B897" s="11"/>
      <c r="C897" s="11"/>
      <c r="D897" s="11"/>
      <c r="E897" s="11"/>
      <c r="F897" s="25"/>
    </row>
    <row r="898" spans="1:6" x14ac:dyDescent="0.25">
      <c r="A898" s="12"/>
      <c r="B898" s="11"/>
      <c r="C898" s="11"/>
      <c r="D898" s="11"/>
      <c r="E898" s="11"/>
      <c r="F898" s="25"/>
    </row>
    <row r="899" spans="1:6" x14ac:dyDescent="0.25">
      <c r="A899" s="12"/>
      <c r="B899" s="11"/>
      <c r="C899" s="11"/>
      <c r="D899" s="11"/>
      <c r="E899" s="11"/>
      <c r="F899" s="25"/>
    </row>
    <row r="900" spans="1:6" x14ac:dyDescent="0.25">
      <c r="A900" s="12"/>
      <c r="B900" s="11"/>
      <c r="C900" s="11"/>
      <c r="D900" s="11"/>
      <c r="E900" s="11"/>
      <c r="F900" s="25"/>
    </row>
    <row r="901" spans="1:6" x14ac:dyDescent="0.25">
      <c r="A901" s="12"/>
      <c r="B901" s="11"/>
      <c r="C901" s="11"/>
      <c r="D901" s="11"/>
      <c r="E901" s="11"/>
      <c r="F901" s="25"/>
    </row>
    <row r="902" spans="1:6" x14ac:dyDescent="0.25">
      <c r="A902" s="12"/>
      <c r="B902" s="11"/>
      <c r="C902" s="11"/>
      <c r="D902" s="11"/>
      <c r="E902" s="11"/>
      <c r="F902" s="25"/>
    </row>
    <row r="903" spans="1:6" x14ac:dyDescent="0.25">
      <c r="A903" s="12"/>
      <c r="B903" s="11"/>
      <c r="C903" s="11"/>
      <c r="D903" s="11"/>
      <c r="E903" s="11"/>
      <c r="F903" s="25"/>
    </row>
    <row r="904" spans="1:6" x14ac:dyDescent="0.25">
      <c r="A904" s="12"/>
      <c r="B904" s="11"/>
      <c r="C904" s="11"/>
      <c r="D904" s="11"/>
      <c r="E904" s="11"/>
      <c r="F904" s="25"/>
    </row>
    <row r="905" spans="1:6" x14ac:dyDescent="0.25">
      <c r="A905" s="12"/>
      <c r="B905" s="11"/>
      <c r="C905" s="11"/>
      <c r="D905" s="11"/>
      <c r="E905" s="11"/>
      <c r="F905" s="25"/>
    </row>
    <row r="906" spans="1:6" x14ac:dyDescent="0.25">
      <c r="A906" s="12"/>
      <c r="B906" s="11"/>
      <c r="C906" s="11"/>
      <c r="D906" s="11"/>
      <c r="E906" s="11"/>
      <c r="F906" s="25"/>
    </row>
    <row r="907" spans="1:6" x14ac:dyDescent="0.25">
      <c r="A907" s="12"/>
      <c r="B907" s="11"/>
      <c r="C907" s="11"/>
      <c r="D907" s="11"/>
      <c r="E907" s="11"/>
      <c r="F907" s="25"/>
    </row>
    <row r="908" spans="1:6" x14ac:dyDescent="0.25">
      <c r="A908" s="12"/>
      <c r="B908" s="11"/>
      <c r="C908" s="11"/>
      <c r="D908" s="11"/>
      <c r="E908" s="11"/>
      <c r="F908" s="25"/>
    </row>
    <row r="909" spans="1:6" x14ac:dyDescent="0.25">
      <c r="A909" s="12"/>
      <c r="B909" s="11"/>
      <c r="C909" s="11"/>
      <c r="D909" s="11"/>
      <c r="E909" s="11"/>
      <c r="F909" s="25"/>
    </row>
    <row r="910" spans="1:6" x14ac:dyDescent="0.25">
      <c r="A910" s="12"/>
      <c r="B910" s="11"/>
      <c r="C910" s="11"/>
      <c r="D910" s="11"/>
      <c r="E910" s="11"/>
      <c r="F910" s="25"/>
    </row>
    <row r="911" spans="1:6" x14ac:dyDescent="0.25">
      <c r="A911" s="12"/>
      <c r="B911" s="11"/>
      <c r="C911" s="11"/>
      <c r="D911" s="11"/>
      <c r="E911" s="11"/>
      <c r="F911" s="25"/>
    </row>
    <row r="912" spans="1:6" x14ac:dyDescent="0.25">
      <c r="A912" s="12"/>
      <c r="B912" s="11"/>
      <c r="C912" s="11"/>
      <c r="D912" s="11"/>
      <c r="E912" s="11"/>
      <c r="F912" s="25"/>
    </row>
    <row r="913" spans="1:6" x14ac:dyDescent="0.25">
      <c r="A913" s="12"/>
      <c r="B913" s="11"/>
      <c r="C913" s="11"/>
      <c r="D913" s="11"/>
      <c r="E913" s="11"/>
      <c r="F913" s="25"/>
    </row>
    <row r="914" spans="1:6" x14ac:dyDescent="0.25">
      <c r="A914" s="12"/>
      <c r="B914" s="11"/>
      <c r="C914" s="11"/>
      <c r="D914" s="11"/>
      <c r="E914" s="11"/>
      <c r="F914" s="25"/>
    </row>
    <row r="915" spans="1:6" x14ac:dyDescent="0.25">
      <c r="A915" s="12"/>
      <c r="B915" s="11"/>
      <c r="C915" s="11"/>
      <c r="D915" s="11"/>
      <c r="E915" s="11"/>
      <c r="F915" s="25"/>
    </row>
    <row r="916" spans="1:6" x14ac:dyDescent="0.25">
      <c r="A916" s="12"/>
      <c r="B916" s="11"/>
      <c r="C916" s="11"/>
      <c r="D916" s="11"/>
      <c r="E916" s="11"/>
      <c r="F916" s="25"/>
    </row>
    <row r="917" spans="1:6" x14ac:dyDescent="0.25">
      <c r="A917" s="12"/>
      <c r="B917" s="11"/>
      <c r="C917" s="11"/>
      <c r="D917" s="11"/>
      <c r="E917" s="11"/>
      <c r="F917" s="25"/>
    </row>
    <row r="918" spans="1:6" x14ac:dyDescent="0.25">
      <c r="A918" s="12"/>
      <c r="B918" s="11"/>
      <c r="C918" s="11"/>
      <c r="D918" s="11"/>
      <c r="E918" s="11"/>
      <c r="F918" s="25"/>
    </row>
    <row r="919" spans="1:6" x14ac:dyDescent="0.25">
      <c r="A919" s="12"/>
      <c r="B919" s="11"/>
      <c r="C919" s="11"/>
      <c r="D919" s="11"/>
      <c r="E919" s="11"/>
      <c r="F919" s="25"/>
    </row>
    <row r="920" spans="1:6" x14ac:dyDescent="0.25">
      <c r="A920" s="12"/>
      <c r="B920" s="11"/>
      <c r="C920" s="11"/>
      <c r="D920" s="11"/>
      <c r="E920" s="11"/>
      <c r="F920" s="25"/>
    </row>
    <row r="921" spans="1:6" x14ac:dyDescent="0.25">
      <c r="A921" s="12"/>
      <c r="B921" s="11"/>
      <c r="C921" s="11"/>
      <c r="D921" s="11"/>
      <c r="E921" s="11"/>
      <c r="F921" s="25"/>
    </row>
    <row r="922" spans="1:6" x14ac:dyDescent="0.25">
      <c r="A922" s="12"/>
      <c r="B922" s="11"/>
      <c r="C922" s="11"/>
      <c r="D922" s="11"/>
      <c r="E922" s="11"/>
      <c r="F922" s="25"/>
    </row>
    <row r="923" spans="1:6" x14ac:dyDescent="0.25">
      <c r="A923" s="12"/>
      <c r="B923" s="11"/>
      <c r="C923" s="11"/>
      <c r="D923" s="11"/>
      <c r="E923" s="11"/>
      <c r="F923" s="25"/>
    </row>
    <row r="924" spans="1:6" x14ac:dyDescent="0.25">
      <c r="A924" s="12"/>
      <c r="B924" s="11"/>
      <c r="C924" s="11"/>
      <c r="D924" s="11"/>
      <c r="E924" s="11"/>
      <c r="F924" s="25"/>
    </row>
    <row r="925" spans="1:6" x14ac:dyDescent="0.25">
      <c r="A925" s="12"/>
      <c r="B925" s="11"/>
      <c r="C925" s="11"/>
      <c r="D925" s="11"/>
      <c r="E925" s="11"/>
      <c r="F925" s="25"/>
    </row>
    <row r="926" spans="1:6" x14ac:dyDescent="0.25">
      <c r="A926" s="12"/>
      <c r="B926" s="11"/>
      <c r="C926" s="11"/>
      <c r="D926" s="11"/>
      <c r="E926" s="11"/>
      <c r="F926" s="25"/>
    </row>
    <row r="927" spans="1:6" x14ac:dyDescent="0.25">
      <c r="A927" s="12"/>
      <c r="B927" s="11"/>
      <c r="C927" s="11"/>
      <c r="D927" s="11"/>
      <c r="E927" s="11"/>
      <c r="F927" s="25"/>
    </row>
    <row r="928" spans="1:6" x14ac:dyDescent="0.25">
      <c r="A928" s="12"/>
      <c r="B928" s="11"/>
      <c r="C928" s="11"/>
      <c r="D928" s="11"/>
      <c r="E928" s="11"/>
      <c r="F928" s="25"/>
    </row>
    <row r="929" spans="1:6" x14ac:dyDescent="0.25">
      <c r="A929" s="12"/>
      <c r="B929" s="11"/>
      <c r="C929" s="11"/>
      <c r="D929" s="11"/>
      <c r="E929" s="11"/>
      <c r="F929" s="25"/>
    </row>
    <row r="930" spans="1:6" x14ac:dyDescent="0.25">
      <c r="A930" s="12"/>
      <c r="B930" s="11"/>
      <c r="C930" s="11"/>
      <c r="D930" s="11"/>
      <c r="E930" s="11"/>
      <c r="F930" s="25"/>
    </row>
    <row r="931" spans="1:6" x14ac:dyDescent="0.25">
      <c r="A931" s="12"/>
      <c r="B931" s="11"/>
      <c r="C931" s="11"/>
      <c r="D931" s="11"/>
      <c r="E931" s="11"/>
      <c r="F931" s="25"/>
    </row>
    <row r="932" spans="1:6" x14ac:dyDescent="0.25">
      <c r="A932" s="12"/>
      <c r="B932" s="11"/>
      <c r="C932" s="11"/>
      <c r="D932" s="11"/>
      <c r="E932" s="11"/>
      <c r="F932" s="25"/>
    </row>
    <row r="933" spans="1:6" x14ac:dyDescent="0.25">
      <c r="A933" s="12"/>
      <c r="B933" s="11"/>
      <c r="C933" s="11"/>
      <c r="D933" s="11"/>
      <c r="E933" s="11"/>
      <c r="F933" s="25"/>
    </row>
    <row r="934" spans="1:6" x14ac:dyDescent="0.25">
      <c r="A934" s="12"/>
      <c r="B934" s="11"/>
      <c r="C934" s="11"/>
      <c r="D934" s="11"/>
      <c r="E934" s="11"/>
      <c r="F934" s="25"/>
    </row>
    <row r="935" spans="1:6" x14ac:dyDescent="0.25">
      <c r="A935" s="12"/>
      <c r="B935" s="11"/>
      <c r="C935" s="11"/>
      <c r="D935" s="11"/>
      <c r="E935" s="11"/>
      <c r="F935" s="25"/>
    </row>
    <row r="936" spans="1:6" x14ac:dyDescent="0.25">
      <c r="A936" s="12"/>
      <c r="B936" s="11"/>
      <c r="C936" s="11"/>
      <c r="D936" s="11"/>
      <c r="E936" s="11"/>
      <c r="F936" s="25"/>
    </row>
    <row r="937" spans="1:6" x14ac:dyDescent="0.25">
      <c r="A937" s="12"/>
      <c r="B937" s="11"/>
      <c r="C937" s="11"/>
      <c r="D937" s="11"/>
      <c r="E937" s="11"/>
      <c r="F937" s="25"/>
    </row>
    <row r="938" spans="1:6" x14ac:dyDescent="0.25">
      <c r="A938" s="12"/>
      <c r="B938" s="11"/>
      <c r="C938" s="11"/>
      <c r="D938" s="11"/>
      <c r="E938" s="11"/>
      <c r="F938" s="25"/>
    </row>
    <row r="939" spans="1:6" x14ac:dyDescent="0.25">
      <c r="A939" s="12"/>
      <c r="B939" s="11"/>
      <c r="C939" s="11"/>
      <c r="D939" s="11"/>
      <c r="E939" s="11"/>
      <c r="F939" s="25"/>
    </row>
    <row r="940" spans="1:6" x14ac:dyDescent="0.25">
      <c r="A940" s="12"/>
      <c r="B940" s="11"/>
      <c r="C940" s="11"/>
      <c r="D940" s="11"/>
      <c r="E940" s="11"/>
      <c r="F940" s="25"/>
    </row>
    <row r="941" spans="1:6" x14ac:dyDescent="0.25">
      <c r="A941" s="12"/>
      <c r="B941" s="11"/>
      <c r="C941" s="11"/>
      <c r="D941" s="11"/>
      <c r="E941" s="11"/>
      <c r="F941" s="25"/>
    </row>
    <row r="942" spans="1:6" x14ac:dyDescent="0.25">
      <c r="A942" s="12"/>
      <c r="B942" s="11"/>
      <c r="C942" s="11"/>
      <c r="D942" s="11"/>
      <c r="E942" s="11"/>
      <c r="F942" s="25"/>
    </row>
    <row r="943" spans="1:6" x14ac:dyDescent="0.25">
      <c r="A943" s="12"/>
      <c r="B943" s="11"/>
      <c r="C943" s="11"/>
      <c r="D943" s="11"/>
      <c r="E943" s="11"/>
      <c r="F943" s="25"/>
    </row>
    <row r="944" spans="1:6" x14ac:dyDescent="0.25">
      <c r="A944" s="12"/>
      <c r="B944" s="11"/>
      <c r="C944" s="11"/>
      <c r="D944" s="11"/>
      <c r="E944" s="11"/>
      <c r="F944" s="25"/>
    </row>
    <row r="945" spans="1:6" x14ac:dyDescent="0.25">
      <c r="A945" s="12"/>
      <c r="B945" s="11"/>
      <c r="C945" s="11"/>
      <c r="D945" s="11"/>
      <c r="E945" s="11"/>
      <c r="F945" s="25"/>
    </row>
    <row r="946" spans="1:6" x14ac:dyDescent="0.25">
      <c r="A946" s="12"/>
      <c r="B946" s="11"/>
      <c r="C946" s="11"/>
      <c r="D946" s="11"/>
      <c r="E946" s="11"/>
      <c r="F946" s="25"/>
    </row>
    <row r="947" spans="1:6" x14ac:dyDescent="0.25">
      <c r="A947" s="12"/>
      <c r="B947" s="11"/>
      <c r="C947" s="11"/>
      <c r="D947" s="11"/>
      <c r="E947" s="11"/>
      <c r="F947" s="25"/>
    </row>
    <row r="948" spans="1:6" x14ac:dyDescent="0.25">
      <c r="A948" s="12"/>
      <c r="B948" s="11"/>
      <c r="C948" s="11"/>
      <c r="D948" s="11"/>
      <c r="E948" s="11"/>
      <c r="F948" s="25"/>
    </row>
    <row r="949" spans="1:6" x14ac:dyDescent="0.25">
      <c r="A949" s="12"/>
      <c r="B949" s="11"/>
      <c r="C949" s="11"/>
      <c r="D949" s="11"/>
      <c r="E949" s="11"/>
      <c r="F949" s="25"/>
    </row>
    <row r="950" spans="1:6" x14ac:dyDescent="0.25">
      <c r="A950" s="12"/>
      <c r="B950" s="11"/>
      <c r="C950" s="11"/>
      <c r="D950" s="11"/>
      <c r="E950" s="11"/>
      <c r="F950" s="25"/>
    </row>
    <row r="951" spans="1:6" x14ac:dyDescent="0.25">
      <c r="A951" s="12"/>
      <c r="B951" s="11"/>
      <c r="C951" s="11"/>
      <c r="D951" s="11"/>
      <c r="E951" s="11"/>
      <c r="F951" s="25"/>
    </row>
    <row r="952" spans="1:6" x14ac:dyDescent="0.25">
      <c r="A952" s="12"/>
      <c r="B952" s="11"/>
      <c r="C952" s="11"/>
      <c r="D952" s="11"/>
      <c r="E952" s="11"/>
      <c r="F952" s="25"/>
    </row>
    <row r="953" spans="1:6" x14ac:dyDescent="0.25">
      <c r="A953" s="12"/>
      <c r="B953" s="11"/>
      <c r="C953" s="11"/>
      <c r="D953" s="11"/>
      <c r="E953" s="11"/>
      <c r="F953" s="25"/>
    </row>
    <row r="954" spans="1:6" x14ac:dyDescent="0.25">
      <c r="A954" s="12"/>
      <c r="B954" s="11"/>
      <c r="C954" s="11"/>
      <c r="D954" s="11"/>
      <c r="E954" s="11"/>
      <c r="F954" s="25"/>
    </row>
    <row r="955" spans="1:6" x14ac:dyDescent="0.25">
      <c r="A955" s="12"/>
      <c r="B955" s="11"/>
      <c r="C955" s="11"/>
      <c r="D955" s="11"/>
      <c r="E955" s="11"/>
      <c r="F955" s="25"/>
    </row>
    <row r="956" spans="1:6" x14ac:dyDescent="0.25">
      <c r="A956" s="12"/>
      <c r="B956" s="11"/>
      <c r="C956" s="11"/>
      <c r="D956" s="11"/>
      <c r="E956" s="11"/>
      <c r="F956" s="25"/>
    </row>
    <row r="957" spans="1:6" x14ac:dyDescent="0.25">
      <c r="A957" s="12"/>
      <c r="B957" s="11"/>
      <c r="C957" s="11"/>
      <c r="D957" s="11"/>
      <c r="E957" s="11"/>
      <c r="F957" s="25"/>
    </row>
    <row r="958" spans="1:6" x14ac:dyDescent="0.25">
      <c r="A958" s="12"/>
      <c r="B958" s="11"/>
      <c r="C958" s="11"/>
      <c r="D958" s="11"/>
      <c r="E958" s="11"/>
      <c r="F958" s="25"/>
    </row>
    <row r="959" spans="1:6" x14ac:dyDescent="0.25">
      <c r="A959" s="12"/>
      <c r="B959" s="11"/>
      <c r="C959" s="11"/>
      <c r="D959" s="11"/>
      <c r="E959" s="11"/>
      <c r="F959" s="25"/>
    </row>
    <row r="960" spans="1:6" x14ac:dyDescent="0.25">
      <c r="A960" s="12"/>
      <c r="B960" s="11"/>
      <c r="C960" s="11"/>
      <c r="D960" s="11"/>
      <c r="E960" s="11"/>
      <c r="F960" s="25"/>
    </row>
    <row r="961" spans="1:6" x14ac:dyDescent="0.25">
      <c r="A961" s="12"/>
      <c r="B961" s="11"/>
      <c r="C961" s="11"/>
      <c r="D961" s="11"/>
      <c r="E961" s="11"/>
      <c r="F961" s="25"/>
    </row>
    <row r="962" spans="1:6" x14ac:dyDescent="0.25">
      <c r="A962" s="12"/>
      <c r="B962" s="11"/>
      <c r="C962" s="11"/>
      <c r="D962" s="11"/>
      <c r="E962" s="11"/>
      <c r="F962" s="25"/>
    </row>
    <row r="963" spans="1:6" x14ac:dyDescent="0.25">
      <c r="A963" s="12"/>
      <c r="B963" s="11"/>
      <c r="C963" s="11"/>
      <c r="D963" s="11"/>
      <c r="E963" s="11"/>
      <c r="F963" s="25"/>
    </row>
    <row r="964" spans="1:6" x14ac:dyDescent="0.25">
      <c r="A964" s="12"/>
      <c r="B964" s="11"/>
      <c r="C964" s="11"/>
      <c r="D964" s="11"/>
      <c r="E964" s="11"/>
      <c r="F964" s="25"/>
    </row>
    <row r="965" spans="1:6" x14ac:dyDescent="0.25">
      <c r="A965" s="12"/>
      <c r="B965" s="11"/>
      <c r="C965" s="11"/>
      <c r="D965" s="11"/>
      <c r="E965" s="11"/>
      <c r="F965" s="25"/>
    </row>
    <row r="966" spans="1:6" x14ac:dyDescent="0.25">
      <c r="A966" s="12"/>
      <c r="B966" s="11"/>
      <c r="C966" s="11"/>
      <c r="D966" s="11"/>
      <c r="E966" s="11"/>
      <c r="F966" s="25"/>
    </row>
    <row r="967" spans="1:6" x14ac:dyDescent="0.25">
      <c r="A967" s="12"/>
      <c r="B967" s="11"/>
      <c r="C967" s="11"/>
      <c r="D967" s="11"/>
      <c r="E967" s="11"/>
      <c r="F967" s="25"/>
    </row>
    <row r="968" spans="1:6" x14ac:dyDescent="0.25">
      <c r="A968" s="12"/>
      <c r="B968" s="11"/>
      <c r="C968" s="11"/>
      <c r="D968" s="11"/>
      <c r="E968" s="11"/>
      <c r="F968" s="25"/>
    </row>
    <row r="969" spans="1:6" x14ac:dyDescent="0.25">
      <c r="A969" s="12"/>
      <c r="B969" s="11"/>
      <c r="C969" s="11"/>
      <c r="D969" s="11"/>
      <c r="E969" s="11"/>
      <c r="F969" s="25"/>
    </row>
    <row r="970" spans="1:6" x14ac:dyDescent="0.25">
      <c r="A970" s="12"/>
      <c r="B970" s="11"/>
      <c r="C970" s="11"/>
      <c r="D970" s="11"/>
      <c r="E970" s="11"/>
      <c r="F970" s="25"/>
    </row>
    <row r="971" spans="1:6" x14ac:dyDescent="0.25">
      <c r="A971" s="12"/>
      <c r="B971" s="11"/>
      <c r="C971" s="11"/>
      <c r="D971" s="11"/>
      <c r="E971" s="11"/>
      <c r="F971" s="25"/>
    </row>
    <row r="972" spans="1:6" x14ac:dyDescent="0.25">
      <c r="A972" s="12"/>
      <c r="B972" s="11"/>
      <c r="C972" s="11"/>
      <c r="D972" s="11"/>
      <c r="E972" s="11"/>
      <c r="F972" s="25"/>
    </row>
    <row r="973" spans="1:6" x14ac:dyDescent="0.25">
      <c r="A973" s="12"/>
      <c r="B973" s="11"/>
      <c r="C973" s="11"/>
      <c r="D973" s="11"/>
      <c r="E973" s="11"/>
      <c r="F973" s="25"/>
    </row>
    <row r="974" spans="1:6" x14ac:dyDescent="0.25">
      <c r="A974" s="12"/>
      <c r="B974" s="11"/>
      <c r="C974" s="11"/>
      <c r="D974" s="11"/>
      <c r="E974" s="11"/>
      <c r="F974" s="25"/>
    </row>
    <row r="975" spans="1:6" x14ac:dyDescent="0.25">
      <c r="A975" s="12"/>
      <c r="B975" s="11"/>
      <c r="C975" s="11"/>
      <c r="D975" s="11"/>
      <c r="E975" s="11"/>
      <c r="F975" s="25"/>
    </row>
    <row r="976" spans="1:6" x14ac:dyDescent="0.25">
      <c r="A976" s="12"/>
      <c r="B976" s="11"/>
      <c r="C976" s="11"/>
      <c r="D976" s="11"/>
      <c r="E976" s="11"/>
      <c r="F976" s="25"/>
    </row>
    <row r="977" spans="1:6" x14ac:dyDescent="0.25">
      <c r="A977" s="12"/>
      <c r="B977" s="11"/>
      <c r="C977" s="11"/>
      <c r="D977" s="11"/>
      <c r="E977" s="11"/>
      <c r="F977" s="25"/>
    </row>
    <row r="978" spans="1:6" x14ac:dyDescent="0.25">
      <c r="A978" s="12"/>
      <c r="B978" s="11"/>
      <c r="C978" s="11"/>
      <c r="D978" s="11"/>
      <c r="E978" s="11"/>
      <c r="F978" s="25"/>
    </row>
    <row r="979" spans="1:6" x14ac:dyDescent="0.25">
      <c r="A979" s="12"/>
      <c r="B979" s="11"/>
      <c r="C979" s="11"/>
      <c r="D979" s="11"/>
      <c r="E979" s="11"/>
      <c r="F979" s="25"/>
    </row>
    <row r="980" spans="1:6" x14ac:dyDescent="0.25">
      <c r="A980" s="12"/>
      <c r="B980" s="11"/>
      <c r="C980" s="11"/>
      <c r="D980" s="11"/>
      <c r="E980" s="11"/>
      <c r="F980" s="25"/>
    </row>
    <row r="981" spans="1:6" x14ac:dyDescent="0.25">
      <c r="A981" s="12"/>
      <c r="B981" s="11"/>
      <c r="C981" s="11"/>
      <c r="D981" s="11"/>
      <c r="E981" s="11"/>
      <c r="F981" s="25"/>
    </row>
    <row r="982" spans="1:6" x14ac:dyDescent="0.25">
      <c r="A982" s="12"/>
      <c r="B982" s="11"/>
      <c r="C982" s="11"/>
      <c r="D982" s="11"/>
      <c r="E982" s="11"/>
      <c r="F982" s="25"/>
    </row>
    <row r="983" spans="1:6" x14ac:dyDescent="0.25">
      <c r="A983" s="12"/>
      <c r="B983" s="11"/>
      <c r="C983" s="11"/>
      <c r="D983" s="11"/>
      <c r="E983" s="11"/>
      <c r="F983" s="25"/>
    </row>
    <row r="984" spans="1:6" x14ac:dyDescent="0.25">
      <c r="A984" s="12"/>
      <c r="B984" s="11"/>
      <c r="C984" s="11"/>
      <c r="D984" s="11"/>
      <c r="E984" s="11"/>
      <c r="F984" s="25"/>
    </row>
    <row r="985" spans="1:6" x14ac:dyDescent="0.25">
      <c r="A985" s="12"/>
      <c r="B985" s="11"/>
      <c r="C985" s="11"/>
      <c r="D985" s="11"/>
      <c r="E985" s="11"/>
      <c r="F985" s="25"/>
    </row>
    <row r="986" spans="1:6" x14ac:dyDescent="0.25">
      <c r="A986" s="12"/>
      <c r="B986" s="11"/>
      <c r="C986" s="11"/>
      <c r="D986" s="11"/>
      <c r="E986" s="11"/>
      <c r="F986" s="25"/>
    </row>
    <row r="987" spans="1:6" x14ac:dyDescent="0.25">
      <c r="A987" s="12"/>
      <c r="B987" s="11"/>
      <c r="C987" s="11"/>
      <c r="D987" s="11"/>
      <c r="E987" s="11"/>
      <c r="F987" s="25"/>
    </row>
    <row r="988" spans="1:6" x14ac:dyDescent="0.25">
      <c r="A988" s="12"/>
      <c r="B988" s="11"/>
      <c r="C988" s="11"/>
      <c r="D988" s="11"/>
      <c r="E988" s="11"/>
      <c r="F988" s="25"/>
    </row>
    <row r="989" spans="1:6" x14ac:dyDescent="0.25">
      <c r="A989" s="12"/>
      <c r="B989" s="11"/>
      <c r="C989" s="11"/>
      <c r="D989" s="11"/>
      <c r="E989" s="11"/>
      <c r="F989" s="25"/>
    </row>
    <row r="990" spans="1:6" x14ac:dyDescent="0.25">
      <c r="A990" s="12"/>
      <c r="B990" s="11"/>
      <c r="C990" s="11"/>
      <c r="D990" s="11"/>
      <c r="E990" s="11"/>
      <c r="F990" s="25"/>
    </row>
    <row r="991" spans="1:6" x14ac:dyDescent="0.25">
      <c r="A991" s="12"/>
      <c r="B991" s="11"/>
      <c r="C991" s="11"/>
      <c r="D991" s="11"/>
      <c r="E991" s="11"/>
      <c r="F991" s="25"/>
    </row>
    <row r="992" spans="1:6" x14ac:dyDescent="0.25">
      <c r="A992" s="12"/>
      <c r="B992" s="11"/>
      <c r="C992" s="11"/>
      <c r="D992" s="11"/>
      <c r="E992" s="11"/>
      <c r="F992" s="25"/>
    </row>
    <row r="993" spans="1:6" x14ac:dyDescent="0.25">
      <c r="A993" s="12"/>
      <c r="B993" s="11"/>
      <c r="C993" s="11"/>
      <c r="D993" s="11"/>
      <c r="E993" s="11"/>
      <c r="F993" s="25"/>
    </row>
    <row r="994" spans="1:6" x14ac:dyDescent="0.25">
      <c r="A994" s="12"/>
      <c r="B994" s="11"/>
      <c r="C994" s="11"/>
      <c r="D994" s="11"/>
      <c r="E994" s="11"/>
      <c r="F994" s="25"/>
    </row>
    <row r="995" spans="1:6" x14ac:dyDescent="0.25">
      <c r="A995" s="12"/>
      <c r="B995" s="11"/>
      <c r="C995" s="11"/>
      <c r="D995" s="11"/>
      <c r="E995" s="11"/>
      <c r="F995" s="25"/>
    </row>
    <row r="996" spans="1:6" x14ac:dyDescent="0.25">
      <c r="A996" s="12"/>
      <c r="B996" s="11"/>
      <c r="C996" s="11"/>
      <c r="D996" s="11"/>
      <c r="E996" s="11"/>
      <c r="F996" s="25"/>
    </row>
    <row r="997" spans="1:6" x14ac:dyDescent="0.25">
      <c r="A997" s="12"/>
      <c r="B997" s="11"/>
      <c r="C997" s="11"/>
      <c r="D997" s="11"/>
      <c r="E997" s="11"/>
      <c r="F997" s="25"/>
    </row>
    <row r="998" spans="1:6" x14ac:dyDescent="0.25">
      <c r="A998" s="12"/>
      <c r="B998" s="11"/>
      <c r="C998" s="11"/>
      <c r="D998" s="11"/>
      <c r="E998" s="11"/>
      <c r="F998" s="25"/>
    </row>
    <row r="999" spans="1:6" x14ac:dyDescent="0.25">
      <c r="A999" s="12"/>
      <c r="B999" s="11"/>
      <c r="C999" s="11"/>
      <c r="D999" s="11"/>
      <c r="E999" s="11"/>
      <c r="F999" s="25"/>
    </row>
    <row r="1000" spans="1:6" x14ac:dyDescent="0.25">
      <c r="A1000" s="12"/>
      <c r="B1000" s="11"/>
      <c r="C1000" s="11"/>
      <c r="D1000" s="11"/>
      <c r="E1000" s="11"/>
      <c r="F1000" s="25"/>
    </row>
    <row r="1001" spans="1:6" x14ac:dyDescent="0.25">
      <c r="A1001" s="12"/>
      <c r="B1001" s="11"/>
      <c r="C1001" s="11"/>
      <c r="D1001" s="11"/>
      <c r="E1001" s="11"/>
      <c r="F1001" s="25"/>
    </row>
    <row r="1002" spans="1:6" x14ac:dyDescent="0.25">
      <c r="A1002" s="12"/>
      <c r="B1002" s="11"/>
      <c r="C1002" s="11"/>
      <c r="D1002" s="11"/>
      <c r="E1002" s="11"/>
      <c r="F1002" s="25"/>
    </row>
    <row r="1003" spans="1:6" x14ac:dyDescent="0.25">
      <c r="A1003" s="12"/>
      <c r="B1003" s="11"/>
      <c r="C1003" s="11"/>
      <c r="D1003" s="11"/>
      <c r="E1003" s="11"/>
      <c r="F1003" s="25"/>
    </row>
    <row r="1004" spans="1:6" x14ac:dyDescent="0.25">
      <c r="A1004" s="12"/>
      <c r="B1004" s="11"/>
      <c r="C1004" s="11"/>
      <c r="D1004" s="11"/>
      <c r="E1004" s="11"/>
      <c r="F1004" s="25"/>
    </row>
    <row r="1005" spans="1:6" x14ac:dyDescent="0.25">
      <c r="A1005" s="12"/>
      <c r="B1005" s="11"/>
      <c r="C1005" s="11"/>
      <c r="D1005" s="11"/>
      <c r="E1005" s="11"/>
      <c r="F1005" s="25"/>
    </row>
    <row r="1006" spans="1:6" x14ac:dyDescent="0.25">
      <c r="A1006" s="12"/>
      <c r="B1006" s="11"/>
      <c r="C1006" s="11"/>
      <c r="D1006" s="11"/>
      <c r="E1006" s="11"/>
      <c r="F1006" s="25"/>
    </row>
    <row r="1007" spans="1:6" x14ac:dyDescent="0.25">
      <c r="A1007" s="12"/>
      <c r="B1007" s="11"/>
      <c r="C1007" s="11"/>
      <c r="D1007" s="11"/>
      <c r="E1007" s="11"/>
      <c r="F1007" s="25"/>
    </row>
    <row r="1008" spans="1:6" x14ac:dyDescent="0.25">
      <c r="A1008" s="12"/>
      <c r="B1008" s="11"/>
      <c r="C1008" s="11"/>
      <c r="D1008" s="11"/>
      <c r="E1008" s="11"/>
      <c r="F1008" s="25"/>
    </row>
    <row r="1009" spans="1:6" x14ac:dyDescent="0.25">
      <c r="A1009" s="12"/>
      <c r="B1009" s="11"/>
      <c r="C1009" s="11"/>
      <c r="D1009" s="11"/>
      <c r="E1009" s="11"/>
      <c r="F1009" s="25"/>
    </row>
    <row r="1010" spans="1:6" x14ac:dyDescent="0.25">
      <c r="A1010" s="12"/>
      <c r="B1010" s="11"/>
      <c r="C1010" s="11"/>
      <c r="D1010" s="11"/>
      <c r="E1010" s="11"/>
      <c r="F1010" s="25"/>
    </row>
    <row r="1011" spans="1:6" x14ac:dyDescent="0.25">
      <c r="A1011" s="12"/>
      <c r="B1011" s="11"/>
      <c r="C1011" s="11"/>
      <c r="D1011" s="11"/>
      <c r="E1011" s="11"/>
      <c r="F1011" s="25"/>
    </row>
    <row r="1012" spans="1:6" x14ac:dyDescent="0.25">
      <c r="A1012" s="12"/>
    </row>
    <row r="1013" spans="1:6" x14ac:dyDescent="0.25">
      <c r="A1013" s="12"/>
    </row>
    <row r="1014" spans="1:6" x14ac:dyDescent="0.25">
      <c r="A1014" s="12"/>
    </row>
    <row r="1015" spans="1:6" x14ac:dyDescent="0.25">
      <c r="A1015" s="12"/>
    </row>
    <row r="1016" spans="1:6" x14ac:dyDescent="0.25">
      <c r="A1016" s="12"/>
    </row>
    <row r="1017" spans="1:6" x14ac:dyDescent="0.25">
      <c r="A1017" s="12"/>
    </row>
    <row r="1018" spans="1:6" x14ac:dyDescent="0.25">
      <c r="A1018" s="12"/>
    </row>
    <row r="1019" spans="1:6" x14ac:dyDescent="0.25">
      <c r="A1019" s="12"/>
    </row>
    <row r="1020" spans="1:6" x14ac:dyDescent="0.25">
      <c r="A1020" s="12"/>
    </row>
    <row r="1021" spans="1:6" x14ac:dyDescent="0.25">
      <c r="A1021" s="12"/>
    </row>
    <row r="1022" spans="1:6" x14ac:dyDescent="0.25">
      <c r="A1022" s="12"/>
    </row>
    <row r="1023" spans="1:6" x14ac:dyDescent="0.25">
      <c r="A1023" s="12"/>
    </row>
    <row r="1024" spans="1:6" x14ac:dyDescent="0.25">
      <c r="A1024" s="12"/>
    </row>
    <row r="1025" spans="1:6" x14ac:dyDescent="0.25">
      <c r="A1025" s="12"/>
    </row>
    <row r="1026" spans="1:6" x14ac:dyDescent="0.25">
      <c r="A1026" s="12"/>
    </row>
    <row r="1027" spans="1:6" x14ac:dyDescent="0.25">
      <c r="A1027" s="12"/>
    </row>
    <row r="1028" spans="1:6" x14ac:dyDescent="0.25">
      <c r="A1028" s="12"/>
    </row>
    <row r="1029" spans="1:6" x14ac:dyDescent="0.25">
      <c r="A1029" s="12"/>
    </row>
    <row r="1030" spans="1:6" x14ac:dyDescent="0.25">
      <c r="A1030" s="12"/>
    </row>
    <row r="1031" spans="1:6" x14ac:dyDescent="0.25">
      <c r="A1031" s="12"/>
    </row>
    <row r="1032" spans="1:6" x14ac:dyDescent="0.25">
      <c r="A1032" s="12"/>
    </row>
    <row r="1033" spans="1:6" x14ac:dyDescent="0.25">
      <c r="A1033" s="12"/>
      <c r="B1033" s="11"/>
      <c r="C1033" s="11"/>
      <c r="D1033" s="11"/>
      <c r="E1033" s="11"/>
      <c r="F1033" s="25"/>
    </row>
    <row r="1034" spans="1:6" x14ac:dyDescent="0.25">
      <c r="A1034" s="12"/>
      <c r="B1034" s="11"/>
      <c r="C1034" s="11"/>
      <c r="D1034" s="11"/>
      <c r="E1034" s="11"/>
      <c r="F1034" s="25"/>
    </row>
    <row r="1035" spans="1:6" x14ac:dyDescent="0.25">
      <c r="A1035" s="12"/>
      <c r="B1035" s="11"/>
      <c r="C1035" s="11"/>
      <c r="D1035" s="11"/>
      <c r="E1035" s="11"/>
      <c r="F1035" s="25"/>
    </row>
    <row r="1036" spans="1:6" x14ac:dyDescent="0.25">
      <c r="A1036" s="12"/>
      <c r="B1036" s="11"/>
      <c r="C1036" s="11"/>
      <c r="D1036" s="11"/>
      <c r="E1036" s="11"/>
      <c r="F1036" s="25"/>
    </row>
    <row r="1037" spans="1:6" x14ac:dyDescent="0.25">
      <c r="A1037" s="12"/>
      <c r="B1037" s="11"/>
      <c r="C1037" s="11"/>
      <c r="D1037" s="11"/>
      <c r="E1037" s="11"/>
      <c r="F1037" s="25"/>
    </row>
    <row r="1038" spans="1:6" x14ac:dyDescent="0.25">
      <c r="A1038" s="12"/>
      <c r="B1038" s="11"/>
      <c r="C1038" s="11"/>
      <c r="D1038" s="11"/>
      <c r="E1038" s="11"/>
      <c r="F1038" s="25"/>
    </row>
    <row r="1039" spans="1:6" x14ac:dyDescent="0.25">
      <c r="A1039" s="12"/>
      <c r="B1039" s="11"/>
      <c r="C1039" s="11"/>
      <c r="D1039" s="11"/>
      <c r="E1039" s="11"/>
      <c r="F1039" s="25"/>
    </row>
    <row r="1040" spans="1:6" x14ac:dyDescent="0.25">
      <c r="A1040" s="12"/>
      <c r="B1040" s="11"/>
      <c r="C1040" s="11"/>
      <c r="D1040" s="11"/>
      <c r="E1040" s="11"/>
      <c r="F1040" s="25"/>
    </row>
    <row r="1041" spans="1:6" x14ac:dyDescent="0.25">
      <c r="A1041" s="12"/>
      <c r="B1041" s="11"/>
      <c r="C1041" s="11"/>
      <c r="D1041" s="11"/>
      <c r="E1041" s="11"/>
      <c r="F1041" s="25"/>
    </row>
    <row r="1042" spans="1:6" x14ac:dyDescent="0.25">
      <c r="A1042" s="12"/>
      <c r="B1042" s="11"/>
      <c r="C1042" s="11"/>
      <c r="D1042" s="11"/>
      <c r="E1042" s="11"/>
      <c r="F1042" s="25"/>
    </row>
    <row r="1043" spans="1:6" x14ac:dyDescent="0.25">
      <c r="A1043" s="12"/>
      <c r="B1043" s="11"/>
      <c r="C1043" s="11"/>
      <c r="D1043" s="11"/>
      <c r="E1043" s="11"/>
      <c r="F1043" s="25"/>
    </row>
    <row r="1044" spans="1:6" x14ac:dyDescent="0.25">
      <c r="A1044" s="12"/>
      <c r="B1044" s="11"/>
      <c r="C1044" s="11"/>
      <c r="D1044" s="11"/>
      <c r="E1044" s="11"/>
      <c r="F1044" s="25"/>
    </row>
    <row r="1045" spans="1:6" x14ac:dyDescent="0.25">
      <c r="A1045" s="12"/>
      <c r="B1045" s="11"/>
      <c r="C1045" s="11"/>
      <c r="D1045" s="11"/>
      <c r="E1045" s="11"/>
      <c r="F1045" s="25"/>
    </row>
    <row r="1046" spans="1:6" x14ac:dyDescent="0.25">
      <c r="A1046" s="12"/>
      <c r="B1046" s="11"/>
      <c r="C1046" s="11"/>
      <c r="D1046" s="11"/>
      <c r="E1046" s="11"/>
      <c r="F1046" s="25"/>
    </row>
    <row r="1047" spans="1:6" x14ac:dyDescent="0.25">
      <c r="A1047" s="12"/>
      <c r="B1047" s="11"/>
      <c r="C1047" s="11"/>
      <c r="D1047" s="11"/>
      <c r="E1047" s="11"/>
      <c r="F1047" s="25"/>
    </row>
    <row r="1048" spans="1:6" x14ac:dyDescent="0.25">
      <c r="A1048" s="12"/>
      <c r="B1048" s="11"/>
      <c r="C1048" s="11"/>
      <c r="D1048" s="11"/>
      <c r="E1048" s="11"/>
      <c r="F1048" s="25"/>
    </row>
    <row r="1049" spans="1:6" x14ac:dyDescent="0.25">
      <c r="A1049" s="12"/>
      <c r="B1049" s="11"/>
      <c r="C1049" s="11"/>
      <c r="D1049" s="11"/>
      <c r="E1049" s="11"/>
      <c r="F1049" s="25"/>
    </row>
    <row r="1050" spans="1:6" x14ac:dyDescent="0.25">
      <c r="A1050" s="12"/>
      <c r="B1050" s="11"/>
      <c r="C1050" s="11"/>
      <c r="D1050" s="11"/>
      <c r="E1050" s="11"/>
      <c r="F1050" s="25"/>
    </row>
    <row r="1051" spans="1:6" x14ac:dyDescent="0.25">
      <c r="A1051" s="12"/>
      <c r="B1051" s="11"/>
      <c r="C1051" s="11"/>
      <c r="D1051" s="11"/>
      <c r="E1051" s="11"/>
      <c r="F1051" s="25"/>
    </row>
    <row r="1052" spans="1:6" x14ac:dyDescent="0.25">
      <c r="A1052" s="12"/>
      <c r="B1052" s="11"/>
      <c r="C1052" s="11"/>
      <c r="D1052" s="11"/>
      <c r="E1052" s="11"/>
      <c r="F1052" s="25"/>
    </row>
    <row r="1053" spans="1:6" x14ac:dyDescent="0.25">
      <c r="A1053" s="12"/>
      <c r="B1053" s="11"/>
      <c r="C1053" s="11"/>
      <c r="D1053" s="11"/>
      <c r="E1053" s="11"/>
      <c r="F1053" s="25"/>
    </row>
    <row r="1054" spans="1:6" x14ac:dyDescent="0.25">
      <c r="A1054" s="12"/>
      <c r="B1054" s="11"/>
      <c r="C1054" s="11"/>
      <c r="D1054" s="11"/>
      <c r="E1054" s="11"/>
      <c r="F1054" s="25"/>
    </row>
    <row r="1055" spans="1:6" x14ac:dyDescent="0.25">
      <c r="A1055" s="12"/>
      <c r="B1055" s="11"/>
      <c r="C1055" s="11"/>
      <c r="D1055" s="11"/>
      <c r="E1055" s="11"/>
      <c r="F1055" s="25"/>
    </row>
    <row r="1056" spans="1:6" x14ac:dyDescent="0.25">
      <c r="A1056" s="12"/>
      <c r="B1056" s="11"/>
      <c r="C1056" s="11"/>
      <c r="D1056" s="11"/>
      <c r="E1056" s="11"/>
      <c r="F1056" s="25"/>
    </row>
    <row r="1057" spans="1:6" x14ac:dyDescent="0.25">
      <c r="A1057" s="12"/>
      <c r="B1057" s="11"/>
      <c r="C1057" s="11"/>
      <c r="D1057" s="11"/>
      <c r="E1057" s="11"/>
      <c r="F1057" s="25"/>
    </row>
    <row r="1058" spans="1:6" x14ac:dyDescent="0.25">
      <c r="A1058" s="12"/>
      <c r="B1058" s="11"/>
      <c r="C1058" s="11"/>
      <c r="D1058" s="11"/>
      <c r="E1058" s="11"/>
      <c r="F1058" s="25"/>
    </row>
    <row r="1059" spans="1:6" x14ac:dyDescent="0.25">
      <c r="A1059" s="12"/>
      <c r="B1059" s="11"/>
      <c r="C1059" s="11"/>
      <c r="D1059" s="11"/>
      <c r="E1059" s="11"/>
      <c r="F1059" s="25"/>
    </row>
    <row r="1060" spans="1:6" x14ac:dyDescent="0.25">
      <c r="A1060" s="12"/>
      <c r="B1060" s="11"/>
      <c r="C1060" s="11"/>
      <c r="D1060" s="11"/>
      <c r="E1060" s="11"/>
      <c r="F1060" s="25"/>
    </row>
    <row r="1061" spans="1:6" x14ac:dyDescent="0.25">
      <c r="A1061" s="12"/>
      <c r="B1061" s="11"/>
      <c r="C1061" s="11"/>
      <c r="D1061" s="11"/>
      <c r="E1061" s="11"/>
      <c r="F1061" s="25"/>
    </row>
    <row r="1062" spans="1:6" x14ac:dyDescent="0.25">
      <c r="A1062" s="12"/>
      <c r="B1062" s="11"/>
      <c r="C1062" s="11"/>
      <c r="D1062" s="11"/>
      <c r="E1062" s="11"/>
      <c r="F1062" s="25"/>
    </row>
    <row r="1063" spans="1:6" x14ac:dyDescent="0.25">
      <c r="A1063" s="12"/>
      <c r="B1063" s="11"/>
      <c r="C1063" s="11"/>
      <c r="D1063" s="11"/>
      <c r="E1063" s="11"/>
      <c r="F1063" s="25"/>
    </row>
    <row r="1064" spans="1:6" x14ac:dyDescent="0.25">
      <c r="A1064" s="12"/>
      <c r="B1064" s="11"/>
      <c r="C1064" s="11"/>
      <c r="D1064" s="11"/>
      <c r="E1064" s="11"/>
      <c r="F1064" s="25"/>
    </row>
    <row r="1065" spans="1:6" x14ac:dyDescent="0.25">
      <c r="A1065" s="12"/>
      <c r="B1065" s="11"/>
      <c r="C1065" s="11"/>
      <c r="D1065" s="11"/>
      <c r="E1065" s="11"/>
      <c r="F1065" s="25"/>
    </row>
    <row r="1066" spans="1:6" x14ac:dyDescent="0.25">
      <c r="A1066" s="12"/>
      <c r="B1066" s="11"/>
      <c r="C1066" s="11"/>
      <c r="D1066" s="11"/>
      <c r="E1066" s="11"/>
      <c r="F1066" s="25"/>
    </row>
    <row r="1067" spans="1:6" x14ac:dyDescent="0.25">
      <c r="A1067" s="12"/>
      <c r="B1067" s="11"/>
      <c r="C1067" s="11"/>
      <c r="D1067" s="11"/>
      <c r="E1067" s="11"/>
      <c r="F1067" s="25"/>
    </row>
    <row r="1068" spans="1:6" x14ac:dyDescent="0.25">
      <c r="A1068" s="12"/>
      <c r="B1068" s="11"/>
      <c r="C1068" s="11"/>
      <c r="D1068" s="11"/>
      <c r="E1068" s="11"/>
      <c r="F1068" s="25"/>
    </row>
    <row r="1069" spans="1:6" x14ac:dyDescent="0.25">
      <c r="A1069" s="12"/>
      <c r="B1069" s="11"/>
      <c r="C1069" s="11"/>
      <c r="D1069" s="11"/>
      <c r="E1069" s="11"/>
      <c r="F1069" s="25"/>
    </row>
    <row r="1070" spans="1:6" x14ac:dyDescent="0.25">
      <c r="A1070" s="12"/>
      <c r="B1070" s="11"/>
      <c r="C1070" s="11"/>
      <c r="D1070" s="11"/>
      <c r="E1070" s="11"/>
      <c r="F1070" s="25"/>
    </row>
    <row r="1071" spans="1:6" x14ac:dyDescent="0.25">
      <c r="A1071" s="12"/>
      <c r="B1071" s="11"/>
      <c r="C1071" s="11"/>
      <c r="D1071" s="11"/>
      <c r="E1071" s="11"/>
      <c r="F1071" s="25"/>
    </row>
    <row r="1072" spans="1:6" x14ac:dyDescent="0.25">
      <c r="A1072" s="12"/>
      <c r="B1072" s="11"/>
      <c r="C1072" s="11"/>
      <c r="D1072" s="11"/>
      <c r="E1072" s="11"/>
      <c r="F1072" s="25"/>
    </row>
    <row r="1073" spans="1:6" x14ac:dyDescent="0.25">
      <c r="A1073" s="12"/>
      <c r="B1073" s="11"/>
      <c r="C1073" s="11"/>
      <c r="D1073" s="11"/>
      <c r="E1073" s="11"/>
      <c r="F1073" s="25"/>
    </row>
    <row r="1074" spans="1:6" x14ac:dyDescent="0.25">
      <c r="A1074" s="12"/>
      <c r="B1074" s="11"/>
      <c r="C1074" s="11"/>
      <c r="D1074" s="11"/>
      <c r="E1074" s="11"/>
      <c r="F1074" s="25"/>
    </row>
    <row r="1075" spans="1:6" x14ac:dyDescent="0.25">
      <c r="A1075" s="12"/>
      <c r="B1075" s="11"/>
      <c r="C1075" s="11"/>
      <c r="D1075" s="11"/>
      <c r="E1075" s="11"/>
      <c r="F1075" s="25"/>
    </row>
    <row r="1076" spans="1:6" x14ac:dyDescent="0.25">
      <c r="A1076" s="12"/>
      <c r="B1076" s="11"/>
      <c r="C1076" s="11"/>
      <c r="D1076" s="11"/>
      <c r="E1076" s="11"/>
      <c r="F1076" s="25"/>
    </row>
    <row r="1077" spans="1:6" x14ac:dyDescent="0.25">
      <c r="A1077" s="12"/>
      <c r="B1077" s="11"/>
      <c r="C1077" s="11"/>
      <c r="D1077" s="11"/>
      <c r="E1077" s="11"/>
      <c r="F1077" s="25"/>
    </row>
    <row r="1078" spans="1:6" x14ac:dyDescent="0.25">
      <c r="A1078" s="12"/>
      <c r="B1078" s="11"/>
      <c r="C1078" s="11"/>
      <c r="D1078" s="11"/>
      <c r="E1078" s="11"/>
      <c r="F1078" s="25"/>
    </row>
    <row r="1079" spans="1:6" x14ac:dyDescent="0.25">
      <c r="A1079" s="12"/>
      <c r="B1079" s="11"/>
      <c r="C1079" s="11"/>
      <c r="D1079" s="11"/>
      <c r="E1079" s="11"/>
      <c r="F1079" s="25"/>
    </row>
    <row r="1080" spans="1:6" x14ac:dyDescent="0.25">
      <c r="A1080" s="12"/>
      <c r="B1080" s="11"/>
      <c r="C1080" s="11"/>
      <c r="D1080" s="11"/>
      <c r="E1080" s="11"/>
      <c r="F1080" s="25"/>
    </row>
    <row r="1081" spans="1:6" x14ac:dyDescent="0.25">
      <c r="A1081" s="12"/>
      <c r="B1081" s="11"/>
      <c r="C1081" s="11"/>
      <c r="D1081" s="11"/>
      <c r="E1081" s="11"/>
      <c r="F1081" s="25"/>
    </row>
    <row r="1082" spans="1:6" x14ac:dyDescent="0.25">
      <c r="A1082" s="12"/>
      <c r="B1082" s="11"/>
      <c r="C1082" s="11"/>
      <c r="D1082" s="11"/>
      <c r="E1082" s="11"/>
      <c r="F1082" s="25"/>
    </row>
    <row r="1083" spans="1:6" x14ac:dyDescent="0.25">
      <c r="A1083" s="12"/>
      <c r="B1083" s="11"/>
      <c r="C1083" s="11"/>
      <c r="D1083" s="11"/>
      <c r="E1083" s="11"/>
      <c r="F1083" s="25"/>
    </row>
    <row r="1084" spans="1:6" x14ac:dyDescent="0.25">
      <c r="A1084" s="12"/>
      <c r="B1084" s="11"/>
      <c r="C1084" s="11"/>
      <c r="D1084" s="11"/>
      <c r="E1084" s="11"/>
      <c r="F1084" s="25"/>
    </row>
    <row r="1085" spans="1:6" x14ac:dyDescent="0.25">
      <c r="A1085" s="12"/>
      <c r="B1085" s="11"/>
      <c r="C1085" s="11"/>
      <c r="D1085" s="11"/>
      <c r="E1085" s="11"/>
      <c r="F1085" s="25"/>
    </row>
    <row r="1086" spans="1:6" x14ac:dyDescent="0.25">
      <c r="A1086" s="12"/>
      <c r="B1086" s="11"/>
      <c r="C1086" s="11"/>
      <c r="D1086" s="11"/>
      <c r="E1086" s="11"/>
      <c r="F1086" s="25"/>
    </row>
    <row r="1087" spans="1:6" x14ac:dyDescent="0.25">
      <c r="A1087" s="12"/>
      <c r="B1087" s="11"/>
      <c r="C1087" s="11"/>
      <c r="D1087" s="11"/>
      <c r="E1087" s="11"/>
      <c r="F1087" s="25"/>
    </row>
    <row r="1088" spans="1:6" x14ac:dyDescent="0.25">
      <c r="A1088" s="12"/>
      <c r="B1088" s="11"/>
      <c r="C1088" s="11"/>
      <c r="D1088" s="11"/>
      <c r="E1088" s="11"/>
      <c r="F1088" s="25"/>
    </row>
  </sheetData>
  <mergeCells count="1">
    <mergeCell ref="A1:F1"/>
  </mergeCells>
  <conditionalFormatting sqref="B12:B295">
    <cfRule type="cellIs" dxfId="221" priority="19747" operator="lessThan">
      <formula>99</formula>
    </cfRule>
    <cfRule type="cellIs" dxfId="220" priority="19748" operator="greaterThan">
      <formula>99</formula>
    </cfRule>
  </conditionalFormatting>
  <conditionalFormatting sqref="B300:B302 C302:F302">
    <cfRule type="cellIs" dxfId="219" priority="16093" operator="lessThan">
      <formula>99</formula>
    </cfRule>
    <cfRule type="cellIs" dxfId="218" priority="16094" operator="greaterThan">
      <formula>99</formula>
    </cfRule>
  </conditionalFormatting>
  <conditionalFormatting sqref="B307:B659">
    <cfRule type="cellIs" dxfId="217" priority="45" operator="lessThan">
      <formula>99</formula>
    </cfRule>
    <cfRule type="cellIs" dxfId="216" priority="46" operator="greaterThan">
      <formula>99</formula>
    </cfRule>
  </conditionalFormatting>
  <conditionalFormatting sqref="B3:F11">
    <cfRule type="cellIs" dxfId="215" priority="44419" operator="lessThan">
      <formula>99</formula>
    </cfRule>
    <cfRule type="cellIs" dxfId="214" priority="44420" operator="greaterThan">
      <formula>99</formula>
    </cfRule>
  </conditionalFormatting>
  <conditionalFormatting sqref="B296:F299">
    <cfRule type="cellIs" dxfId="213" priority="17635" operator="lessThan">
      <formula>99</formula>
    </cfRule>
    <cfRule type="cellIs" dxfId="212" priority="17636" operator="greaterThan">
      <formula>99</formula>
    </cfRule>
  </conditionalFormatting>
  <conditionalFormatting sqref="B303:F306">
    <cfRule type="cellIs" dxfId="211" priority="5457" operator="lessThan">
      <formula>99</formula>
    </cfRule>
    <cfRule type="cellIs" dxfId="210" priority="5458" operator="greaterThan">
      <formula>99</formula>
    </cfRule>
  </conditionalFormatting>
  <conditionalFormatting sqref="B1033:F1088">
    <cfRule type="cellIs" dxfId="209" priority="21935" operator="lessThan">
      <formula>99</formula>
    </cfRule>
    <cfRule type="cellIs" dxfId="208" priority="21936" operator="greaterThan">
      <formula>99</formula>
    </cfRule>
  </conditionalFormatting>
  <conditionalFormatting sqref="C71">
    <cfRule type="cellIs" dxfId="207" priority="21911" operator="lessThan">
      <formula>99</formula>
    </cfRule>
    <cfRule type="cellIs" dxfId="206" priority="21912" operator="greaterThan">
      <formula>99</formula>
    </cfRule>
  </conditionalFormatting>
  <conditionalFormatting sqref="C73:C182">
    <cfRule type="cellIs" dxfId="205" priority="21751" operator="lessThan">
      <formula>99</formula>
    </cfRule>
    <cfRule type="cellIs" dxfId="204" priority="21752" operator="greaterThan">
      <formula>99</formula>
    </cfRule>
  </conditionalFormatting>
  <conditionalFormatting sqref="C251:C256">
    <cfRule type="cellIs" dxfId="203" priority="35355" operator="lessThan">
      <formula>99</formula>
    </cfRule>
    <cfRule type="cellIs" dxfId="202" priority="35356" operator="greaterThan">
      <formula>99</formula>
    </cfRule>
  </conditionalFormatting>
  <conditionalFormatting sqref="C261:C263">
    <cfRule type="cellIs" dxfId="201" priority="20783" operator="lessThan">
      <formula>99</formula>
    </cfRule>
    <cfRule type="cellIs" dxfId="200" priority="20784" operator="greaterThan">
      <formula>99</formula>
    </cfRule>
  </conditionalFormatting>
  <conditionalFormatting sqref="C268:C269">
    <cfRule type="cellIs" dxfId="199" priority="20435" operator="lessThan">
      <formula>99</formula>
    </cfRule>
    <cfRule type="cellIs" dxfId="198" priority="20436" operator="greaterThan">
      <formula>99</formula>
    </cfRule>
  </conditionalFormatting>
  <conditionalFormatting sqref="C342:C370">
    <cfRule type="cellIs" dxfId="197" priority="427" operator="lessThan">
      <formula>99</formula>
    </cfRule>
    <cfRule type="cellIs" dxfId="196" priority="428" operator="greaterThan">
      <formula>99</formula>
    </cfRule>
  </conditionalFormatting>
  <conditionalFormatting sqref="C375:C394">
    <cfRule type="cellIs" dxfId="195" priority="32595" operator="lessThan">
      <formula>99</formula>
    </cfRule>
    <cfRule type="cellIs" dxfId="194" priority="32596" operator="greaterThan">
      <formula>99</formula>
    </cfRule>
  </conditionalFormatting>
  <conditionalFormatting sqref="C396:C409">
    <cfRule type="cellIs" dxfId="193" priority="32039" operator="lessThan">
      <formula>99</formula>
    </cfRule>
    <cfRule type="cellIs" dxfId="192" priority="32040" operator="greaterThan">
      <formula>99</formula>
    </cfRule>
  </conditionalFormatting>
  <conditionalFormatting sqref="C419:C430">
    <cfRule type="cellIs" dxfId="191" priority="31651" operator="lessThan">
      <formula>99</formula>
    </cfRule>
    <cfRule type="cellIs" dxfId="190" priority="31652" operator="greaterThan">
      <formula>99</formula>
    </cfRule>
  </conditionalFormatting>
  <conditionalFormatting sqref="C433:C448">
    <cfRule type="cellIs" dxfId="189" priority="30967" operator="lessThan">
      <formula>99</formula>
    </cfRule>
    <cfRule type="cellIs" dxfId="188" priority="30968" operator="greaterThan">
      <formula>99</formula>
    </cfRule>
  </conditionalFormatting>
  <conditionalFormatting sqref="C450:C460">
    <cfRule type="cellIs" dxfId="187" priority="30647" operator="lessThan">
      <formula>99</formula>
    </cfRule>
    <cfRule type="cellIs" dxfId="186" priority="30648" operator="greaterThan">
      <formula>99</formula>
    </cfRule>
  </conditionalFormatting>
  <conditionalFormatting sqref="C462:C486">
    <cfRule type="cellIs" dxfId="185" priority="30099" operator="lessThan">
      <formula>99</formula>
    </cfRule>
    <cfRule type="cellIs" dxfId="184" priority="30100" operator="greaterThan">
      <formula>99</formula>
    </cfRule>
  </conditionalFormatting>
  <conditionalFormatting sqref="C612:C614 C617:C635">
    <cfRule type="cellIs" dxfId="183" priority="7" operator="lessThan">
      <formula>99</formula>
    </cfRule>
    <cfRule type="cellIs" dxfId="182" priority="8" operator="greaterThan">
      <formula>99</formula>
    </cfRule>
  </conditionalFormatting>
  <conditionalFormatting sqref="C637:C641">
    <cfRule type="cellIs" dxfId="181" priority="26583" operator="lessThan">
      <formula>99</formula>
    </cfRule>
    <cfRule type="cellIs" dxfId="180" priority="26584" operator="greaterThan">
      <formula>99</formula>
    </cfRule>
  </conditionalFormatting>
  <conditionalFormatting sqref="C643:C648">
    <cfRule type="cellIs" dxfId="179" priority="26491" operator="lessThan">
      <formula>99</formula>
    </cfRule>
    <cfRule type="cellIs" dxfId="178" priority="26492" operator="greaterThan">
      <formula>99</formula>
    </cfRule>
  </conditionalFormatting>
  <conditionalFormatting sqref="C650:C655">
    <cfRule type="cellIs" dxfId="177" priority="26399" operator="lessThan">
      <formula>99</formula>
    </cfRule>
    <cfRule type="cellIs" dxfId="176" priority="26400" operator="greaterThan">
      <formula>99</formula>
    </cfRule>
  </conditionalFormatting>
  <conditionalFormatting sqref="C657:C662">
    <cfRule type="cellIs" dxfId="175" priority="26307" operator="lessThan">
      <formula>99</formula>
    </cfRule>
    <cfRule type="cellIs" dxfId="174" priority="26308" operator="greaterThan">
      <formula>99</formula>
    </cfRule>
  </conditionalFormatting>
  <conditionalFormatting sqref="C664:C669">
    <cfRule type="cellIs" dxfId="173" priority="26215" operator="lessThan">
      <formula>99</formula>
    </cfRule>
    <cfRule type="cellIs" dxfId="172" priority="26216" operator="greaterThan">
      <formula>99</formula>
    </cfRule>
  </conditionalFormatting>
  <conditionalFormatting sqref="C671:C683">
    <cfRule type="cellIs" dxfId="171" priority="25731" operator="lessThan">
      <formula>99</formula>
    </cfRule>
    <cfRule type="cellIs" dxfId="170" priority="25732" operator="greaterThan">
      <formula>99</formula>
    </cfRule>
  </conditionalFormatting>
  <conditionalFormatting sqref="C685:C697">
    <cfRule type="cellIs" dxfId="169" priority="25487" operator="lessThan">
      <formula>99</formula>
    </cfRule>
    <cfRule type="cellIs" dxfId="168" priority="25488" operator="greaterThan">
      <formula>99</formula>
    </cfRule>
  </conditionalFormatting>
  <conditionalFormatting sqref="C699:C704">
    <cfRule type="cellIs" dxfId="167" priority="25395" operator="lessThan">
      <formula>99</formula>
    </cfRule>
    <cfRule type="cellIs" dxfId="166" priority="25396" operator="greaterThan">
      <formula>99</formula>
    </cfRule>
  </conditionalFormatting>
  <conditionalFormatting sqref="C706:C711">
    <cfRule type="cellIs" dxfId="165" priority="25303" operator="lessThan">
      <formula>99</formula>
    </cfRule>
    <cfRule type="cellIs" dxfId="164" priority="25304" operator="greaterThan">
      <formula>99</formula>
    </cfRule>
  </conditionalFormatting>
  <conditionalFormatting sqref="C713:C728">
    <cfRule type="cellIs" dxfId="163" priority="24891" operator="lessThan">
      <formula>99</formula>
    </cfRule>
    <cfRule type="cellIs" dxfId="162" priority="24892" operator="greaterThan">
      <formula>99</formula>
    </cfRule>
  </conditionalFormatting>
  <conditionalFormatting sqref="C730:C740">
    <cfRule type="cellIs" dxfId="161" priority="24471" operator="lessThan">
      <formula>99</formula>
    </cfRule>
    <cfRule type="cellIs" dxfId="160" priority="24472" operator="greaterThan">
      <formula>99</formula>
    </cfRule>
  </conditionalFormatting>
  <conditionalFormatting sqref="C744:C750">
    <cfRule type="cellIs" dxfId="159" priority="24387" operator="lessThan">
      <formula>99</formula>
    </cfRule>
    <cfRule type="cellIs" dxfId="158" priority="24388" operator="greaterThan">
      <formula>99</formula>
    </cfRule>
  </conditionalFormatting>
  <conditionalFormatting sqref="C752:C763">
    <cfRule type="cellIs" dxfId="157" priority="24059" operator="lessThan">
      <formula>99</formula>
    </cfRule>
    <cfRule type="cellIs" dxfId="156" priority="24060" operator="greaterThan">
      <formula>99</formula>
    </cfRule>
  </conditionalFormatting>
  <conditionalFormatting sqref="C765:C774">
    <cfRule type="cellIs" dxfId="155" priority="23831" operator="lessThan">
      <formula>99</formula>
    </cfRule>
    <cfRule type="cellIs" dxfId="154" priority="23832" operator="greaterThan">
      <formula>99</formula>
    </cfRule>
  </conditionalFormatting>
  <conditionalFormatting sqref="C776:C788">
    <cfRule type="cellIs" dxfId="153" priority="23571" operator="lessThan">
      <formula>99</formula>
    </cfRule>
    <cfRule type="cellIs" dxfId="152" priority="23572" operator="greaterThan">
      <formula>99</formula>
    </cfRule>
  </conditionalFormatting>
  <conditionalFormatting sqref="C790:C795">
    <cfRule type="cellIs" dxfId="151" priority="23387" operator="lessThan">
      <formula>99</formula>
    </cfRule>
    <cfRule type="cellIs" dxfId="150" priority="23388" operator="greaterThan">
      <formula>99</formula>
    </cfRule>
  </conditionalFormatting>
  <conditionalFormatting sqref="C797:C802">
    <cfRule type="cellIs" dxfId="149" priority="23295" operator="lessThan">
      <formula>99</formula>
    </cfRule>
    <cfRule type="cellIs" dxfId="148" priority="23296" operator="greaterThan">
      <formula>99</formula>
    </cfRule>
  </conditionalFormatting>
  <conditionalFormatting sqref="C804:C809">
    <cfRule type="cellIs" dxfId="147" priority="23203" operator="lessThan">
      <formula>99</formula>
    </cfRule>
    <cfRule type="cellIs" dxfId="146" priority="23204" operator="greaterThan">
      <formula>99</formula>
    </cfRule>
  </conditionalFormatting>
  <conditionalFormatting sqref="C811:C816">
    <cfRule type="cellIs" dxfId="145" priority="23111" operator="lessThan">
      <formula>99</formula>
    </cfRule>
    <cfRule type="cellIs" dxfId="144" priority="23112" operator="greaterThan">
      <formula>99</formula>
    </cfRule>
  </conditionalFormatting>
  <conditionalFormatting sqref="C818:C823">
    <cfRule type="cellIs" dxfId="143" priority="23019" operator="lessThan">
      <formula>99</formula>
    </cfRule>
    <cfRule type="cellIs" dxfId="142" priority="23020" operator="greaterThan">
      <formula>99</formula>
    </cfRule>
  </conditionalFormatting>
  <conditionalFormatting sqref="C825:C830">
    <cfRule type="cellIs" dxfId="141" priority="22927" operator="lessThan">
      <formula>99</formula>
    </cfRule>
    <cfRule type="cellIs" dxfId="140" priority="22928" operator="greaterThan">
      <formula>99</formula>
    </cfRule>
  </conditionalFormatting>
  <conditionalFormatting sqref="C832:C837">
    <cfRule type="cellIs" dxfId="139" priority="22835" operator="lessThan">
      <formula>99</formula>
    </cfRule>
    <cfRule type="cellIs" dxfId="138" priority="22836" operator="greaterThan">
      <formula>99</formula>
    </cfRule>
  </conditionalFormatting>
  <conditionalFormatting sqref="C839:C844">
    <cfRule type="cellIs" dxfId="137" priority="22743" operator="lessThan">
      <formula>99</formula>
    </cfRule>
    <cfRule type="cellIs" dxfId="136" priority="22744" operator="greaterThan">
      <formula>99</formula>
    </cfRule>
  </conditionalFormatting>
  <conditionalFormatting sqref="C846:C935">
    <cfRule type="cellIs" dxfId="135" priority="22555" operator="lessThan">
      <formula>99</formula>
    </cfRule>
    <cfRule type="cellIs" dxfId="134" priority="22556" operator="greaterThan">
      <formula>99</formula>
    </cfRule>
  </conditionalFormatting>
  <conditionalFormatting sqref="C937:C970">
    <cfRule type="cellIs" dxfId="133" priority="22463" operator="lessThan">
      <formula>99</formula>
    </cfRule>
    <cfRule type="cellIs" dxfId="132" priority="22464" operator="greaterThan">
      <formula>99</formula>
    </cfRule>
  </conditionalFormatting>
  <conditionalFormatting sqref="C972:C984">
    <cfRule type="cellIs" dxfId="131" priority="22371" operator="lessThan">
      <formula>99</formula>
    </cfRule>
    <cfRule type="cellIs" dxfId="130" priority="22372" operator="greaterThan">
      <formula>99</formula>
    </cfRule>
  </conditionalFormatting>
  <conditionalFormatting sqref="C986:C991 C993:C1011">
    <cfRule type="cellIs" dxfId="129" priority="22187" operator="lessThan">
      <formula>99</formula>
    </cfRule>
    <cfRule type="cellIs" dxfId="128" priority="22188" operator="greaterThan">
      <formula>99</formula>
    </cfRule>
  </conditionalFormatting>
  <conditionalFormatting sqref="C1033">
    <cfRule type="cellIs" dxfId="127" priority="22095" operator="lessThan">
      <formula>99</formula>
    </cfRule>
    <cfRule type="cellIs" dxfId="126" priority="22096" operator="greaterThan">
      <formula>99</formula>
    </cfRule>
  </conditionalFormatting>
  <conditionalFormatting sqref="C1035:C1068 C1070:C1088">
    <cfRule type="cellIs" dxfId="125" priority="22003" operator="lessThan">
      <formula>99</formula>
    </cfRule>
    <cfRule type="cellIs" dxfId="124" priority="22004" operator="greaterThan">
      <formula>99</formula>
    </cfRule>
  </conditionalFormatting>
  <conditionalFormatting sqref="C71:D177">
    <cfRule type="cellIs" dxfId="123" priority="21891" operator="lessThan">
      <formula>99</formula>
    </cfRule>
    <cfRule type="cellIs" dxfId="122" priority="21892" operator="greaterThan">
      <formula>99</formula>
    </cfRule>
  </conditionalFormatting>
  <conditionalFormatting sqref="C179:D180">
    <cfRule type="cellIs" dxfId="121" priority="39343" operator="lessThan">
      <formula>99</formula>
    </cfRule>
    <cfRule type="cellIs" dxfId="120" priority="39344" operator="greaterThan">
      <formula>99</formula>
    </cfRule>
  </conditionalFormatting>
  <conditionalFormatting sqref="C183:D264">
    <cfRule type="cellIs" dxfId="119" priority="20835" operator="lessThan">
      <formula>99</formula>
    </cfRule>
    <cfRule type="cellIs" dxfId="118" priority="20836" operator="greaterThan">
      <formula>99</formula>
    </cfRule>
  </conditionalFormatting>
  <conditionalFormatting sqref="C268:D268">
    <cfRule type="cellIs" dxfId="117" priority="20487" operator="lessThan">
      <formula>99</formula>
    </cfRule>
    <cfRule type="cellIs" dxfId="116" priority="20488" operator="greaterThan">
      <formula>99</formula>
    </cfRule>
  </conditionalFormatting>
  <conditionalFormatting sqref="C270:D271 C272:C274">
    <cfRule type="cellIs" dxfId="115" priority="34855" operator="lessThan">
      <formula>99</formula>
    </cfRule>
    <cfRule type="cellIs" dxfId="114" priority="34856" operator="greaterThan">
      <formula>99</formula>
    </cfRule>
  </conditionalFormatting>
  <conditionalFormatting sqref="C275:D283">
    <cfRule type="cellIs" dxfId="113" priority="20363" operator="lessThan">
      <formula>99</formula>
    </cfRule>
    <cfRule type="cellIs" dxfId="112" priority="20364" operator="greaterThan">
      <formula>99</formula>
    </cfRule>
  </conditionalFormatting>
  <conditionalFormatting sqref="C300:D301 F300:F301">
    <cfRule type="cellIs" dxfId="111" priority="14257" operator="lessThan">
      <formula>99</formula>
    </cfRule>
    <cfRule type="cellIs" dxfId="110" priority="14258" operator="greaterThan">
      <formula>99</formula>
    </cfRule>
  </conditionalFormatting>
  <conditionalFormatting sqref="C338:D339">
    <cfRule type="cellIs" dxfId="109" priority="34167" operator="lessThan">
      <formula>99</formula>
    </cfRule>
    <cfRule type="cellIs" dxfId="108" priority="34168" operator="greaterThan">
      <formula>99</formula>
    </cfRule>
  </conditionalFormatting>
  <conditionalFormatting sqref="C373:D373">
    <cfRule type="cellIs" dxfId="107" priority="33087" operator="lessThan">
      <formula>99</formula>
    </cfRule>
    <cfRule type="cellIs" dxfId="106" priority="33088" operator="greaterThan">
      <formula>99</formula>
    </cfRule>
  </conditionalFormatting>
  <conditionalFormatting sqref="C433:D478">
    <cfRule type="cellIs" dxfId="105" priority="30319" operator="lessThan">
      <formula>99</formula>
    </cfRule>
    <cfRule type="cellIs" dxfId="104" priority="30320" operator="greaterThan">
      <formula>99</formula>
    </cfRule>
  </conditionalFormatting>
  <conditionalFormatting sqref="C481:D487">
    <cfRule type="cellIs" dxfId="103" priority="30079" operator="lessThan">
      <formula>99</formula>
    </cfRule>
    <cfRule type="cellIs" dxfId="102" priority="30080" operator="greaterThan">
      <formula>99</formula>
    </cfRule>
  </conditionalFormatting>
  <conditionalFormatting sqref="C489:D492">
    <cfRule type="cellIs" dxfId="101" priority="30091" operator="lessThan">
      <formula>99</formula>
    </cfRule>
    <cfRule type="cellIs" dxfId="100" priority="30092" operator="greaterThan">
      <formula>99</formula>
    </cfRule>
  </conditionalFormatting>
  <conditionalFormatting sqref="C496:D499">
    <cfRule type="cellIs" dxfId="99" priority="29847" operator="lessThan">
      <formula>99</formula>
    </cfRule>
    <cfRule type="cellIs" dxfId="98" priority="29848" operator="greaterThan">
      <formula>99</formula>
    </cfRule>
  </conditionalFormatting>
  <conditionalFormatting sqref="C501:D513">
    <cfRule type="cellIs" dxfId="97" priority="29467" operator="lessThan">
      <formula>99</formula>
    </cfRule>
    <cfRule type="cellIs" dxfId="96" priority="29468" operator="greaterThan">
      <formula>99</formula>
    </cfRule>
  </conditionalFormatting>
  <conditionalFormatting sqref="C516:D517 C519:D527">
    <cfRule type="cellIs" dxfId="95" priority="49" operator="lessThan">
      <formula>99</formula>
    </cfRule>
    <cfRule type="cellIs" dxfId="94" priority="50" operator="greaterThan">
      <formula>99</formula>
    </cfRule>
  </conditionalFormatting>
  <conditionalFormatting sqref="C13:E173">
    <cfRule type="cellIs" dxfId="93" priority="21919" operator="lessThan">
      <formula>99</formula>
    </cfRule>
    <cfRule type="cellIs" dxfId="92" priority="21920" operator="greaterThan">
      <formula>99</formula>
    </cfRule>
  </conditionalFormatting>
  <conditionalFormatting sqref="C265:E267">
    <cfRule type="cellIs" dxfId="91" priority="20503" operator="lessThan">
      <formula>99</formula>
    </cfRule>
    <cfRule type="cellIs" dxfId="90" priority="20504" operator="greaterThan">
      <formula>99</formula>
    </cfRule>
  </conditionalFormatting>
  <conditionalFormatting sqref="C334:E334">
    <cfRule type="cellIs" dxfId="89" priority="34155" operator="lessThan">
      <formula>99</formula>
    </cfRule>
    <cfRule type="cellIs" dxfId="88" priority="34156" operator="greaterThan">
      <formula>99</formula>
    </cfRule>
  </conditionalFormatting>
  <conditionalFormatting sqref="C336:E336">
    <cfRule type="cellIs" dxfId="87" priority="2607" operator="lessThan">
      <formula>99</formula>
    </cfRule>
    <cfRule type="cellIs" dxfId="86" priority="2608" operator="greaterThan">
      <formula>99</formula>
    </cfRule>
  </conditionalFormatting>
  <conditionalFormatting sqref="C409:E409">
    <cfRule type="cellIs" dxfId="85" priority="32215" operator="lessThan">
      <formula>99</formula>
    </cfRule>
    <cfRule type="cellIs" dxfId="84" priority="32216" operator="greaterThan">
      <formula>99</formula>
    </cfRule>
  </conditionalFormatting>
  <conditionalFormatting sqref="C448:E448">
    <cfRule type="cellIs" dxfId="83" priority="30975" operator="lessThan">
      <formula>99</formula>
    </cfRule>
    <cfRule type="cellIs" dxfId="82" priority="30976" operator="greaterThan">
      <formula>99</formula>
    </cfRule>
  </conditionalFormatting>
  <conditionalFormatting sqref="C460:E460">
    <cfRule type="cellIs" dxfId="81" priority="30655" operator="lessThan">
      <formula>99</formula>
    </cfRule>
    <cfRule type="cellIs" dxfId="80" priority="30656" operator="greaterThan">
      <formula>99</formula>
    </cfRule>
  </conditionalFormatting>
  <conditionalFormatting sqref="C486:E486">
    <cfRule type="cellIs" dxfId="79" priority="30107" operator="lessThan">
      <formula>99</formula>
    </cfRule>
    <cfRule type="cellIs" dxfId="78" priority="30108" operator="greaterThan">
      <formula>99</formula>
    </cfRule>
  </conditionalFormatting>
  <conditionalFormatting sqref="C610:E610">
    <cfRule type="cellIs" dxfId="77" priority="27339" operator="lessThan">
      <formula>99</formula>
    </cfRule>
    <cfRule type="cellIs" dxfId="76" priority="27340" operator="greaterThan">
      <formula>99</formula>
    </cfRule>
  </conditionalFormatting>
  <conditionalFormatting sqref="C612:E613">
    <cfRule type="cellIs" dxfId="75" priority="5" operator="lessThan">
      <formula>99</formula>
    </cfRule>
    <cfRule type="cellIs" dxfId="74" priority="6" operator="greaterThan">
      <formula>99</formula>
    </cfRule>
  </conditionalFormatting>
  <conditionalFormatting sqref="C635:E635">
    <cfRule type="cellIs" dxfId="73" priority="26683" operator="lessThan">
      <formula>99</formula>
    </cfRule>
    <cfRule type="cellIs" dxfId="72" priority="26684" operator="greaterThan">
      <formula>99</formula>
    </cfRule>
  </conditionalFormatting>
  <conditionalFormatting sqref="C648:E648">
    <cfRule type="cellIs" dxfId="71" priority="26499" operator="lessThan">
      <formula>99</formula>
    </cfRule>
    <cfRule type="cellIs" dxfId="70" priority="26500" operator="greaterThan">
      <formula>99</formula>
    </cfRule>
  </conditionalFormatting>
  <conditionalFormatting sqref="C662:E662">
    <cfRule type="cellIs" dxfId="69" priority="26315" operator="lessThan">
      <formula>99</formula>
    </cfRule>
    <cfRule type="cellIs" dxfId="68" priority="26316" operator="greaterThan">
      <formula>99</formula>
    </cfRule>
  </conditionalFormatting>
  <conditionalFormatting sqref="C669:E669">
    <cfRule type="cellIs" dxfId="67" priority="26223" operator="lessThan">
      <formula>99</formula>
    </cfRule>
    <cfRule type="cellIs" dxfId="66" priority="26224" operator="greaterThan">
      <formula>99</formula>
    </cfRule>
  </conditionalFormatting>
  <conditionalFormatting sqref="C683:E683">
    <cfRule type="cellIs" dxfId="65" priority="25739" operator="lessThan">
      <formula>99</formula>
    </cfRule>
    <cfRule type="cellIs" dxfId="64" priority="25740" operator="greaterThan">
      <formula>99</formula>
    </cfRule>
  </conditionalFormatting>
  <conditionalFormatting sqref="C697:E697">
    <cfRule type="cellIs" dxfId="63" priority="25495" operator="lessThan">
      <formula>99</formula>
    </cfRule>
    <cfRule type="cellIs" dxfId="62" priority="25496" operator="greaterThan">
      <formula>99</formula>
    </cfRule>
  </conditionalFormatting>
  <conditionalFormatting sqref="C704:E704">
    <cfRule type="cellIs" dxfId="61" priority="25403" operator="lessThan">
      <formula>99</formula>
    </cfRule>
    <cfRule type="cellIs" dxfId="60" priority="25404" operator="greaterThan">
      <formula>99</formula>
    </cfRule>
  </conditionalFormatting>
  <conditionalFormatting sqref="C711:E711">
    <cfRule type="cellIs" dxfId="59" priority="25311" operator="lessThan">
      <formula>99</formula>
    </cfRule>
    <cfRule type="cellIs" dxfId="58" priority="25312" operator="greaterThan">
      <formula>99</formula>
    </cfRule>
  </conditionalFormatting>
  <conditionalFormatting sqref="C727:E728">
    <cfRule type="cellIs" dxfId="57" priority="24899" operator="lessThan">
      <formula>99</formula>
    </cfRule>
    <cfRule type="cellIs" dxfId="56" priority="24900" operator="greaterThan">
      <formula>99</formula>
    </cfRule>
  </conditionalFormatting>
  <conditionalFormatting sqref="C739:E740">
    <cfRule type="cellIs" dxfId="55" priority="24479" operator="lessThan">
      <formula>99</formula>
    </cfRule>
    <cfRule type="cellIs" dxfId="54" priority="24480" operator="greaterThan">
      <formula>99</formula>
    </cfRule>
  </conditionalFormatting>
  <conditionalFormatting sqref="C742:E742">
    <cfRule type="cellIs" dxfId="53" priority="24731" operator="lessThan">
      <formula>99</formula>
    </cfRule>
    <cfRule type="cellIs" dxfId="52" priority="24732" operator="greaterThan">
      <formula>99</formula>
    </cfRule>
  </conditionalFormatting>
  <conditionalFormatting sqref="C763:E763">
    <cfRule type="cellIs" dxfId="51" priority="24159" operator="lessThan">
      <formula>99</formula>
    </cfRule>
    <cfRule type="cellIs" dxfId="50" priority="24160" operator="greaterThan">
      <formula>99</formula>
    </cfRule>
  </conditionalFormatting>
  <conditionalFormatting sqref="C774:E774">
    <cfRule type="cellIs" dxfId="49" priority="23839" operator="lessThan">
      <formula>99</formula>
    </cfRule>
    <cfRule type="cellIs" dxfId="48" priority="23840" operator="greaterThan">
      <formula>99</formula>
    </cfRule>
  </conditionalFormatting>
  <conditionalFormatting sqref="C788:E788 D789:E794">
    <cfRule type="cellIs" dxfId="47" priority="23579" operator="lessThan">
      <formula>99</formula>
    </cfRule>
    <cfRule type="cellIs" dxfId="46" priority="23580" operator="greaterThan">
      <formula>99</formula>
    </cfRule>
  </conditionalFormatting>
  <conditionalFormatting sqref="C795:E1011">
    <cfRule type="cellIs" dxfId="45" priority="22195" operator="lessThan">
      <formula>99</formula>
    </cfRule>
    <cfRule type="cellIs" dxfId="44" priority="22196" operator="greaterThan">
      <formula>99</formula>
    </cfRule>
  </conditionalFormatting>
  <conditionalFormatting sqref="C12:F12">
    <cfRule type="cellIs" dxfId="43" priority="44383" operator="lessThan">
      <formula>99</formula>
    </cfRule>
    <cfRule type="cellIs" dxfId="42" priority="44384" operator="greaterThan">
      <formula>99</formula>
    </cfRule>
  </conditionalFormatting>
  <conditionalFormatting sqref="C284:F295">
    <cfRule type="cellIs" dxfId="41" priority="19183" operator="lessThan">
      <formula>99</formula>
    </cfRule>
    <cfRule type="cellIs" dxfId="40" priority="19184" operator="greaterThan">
      <formula>99</formula>
    </cfRule>
  </conditionalFormatting>
  <conditionalFormatting sqref="C307:F432">
    <cfRule type="cellIs" dxfId="39" priority="147" operator="lessThan">
      <formula>99</formula>
    </cfRule>
    <cfRule type="cellIs" dxfId="38" priority="148" operator="greaterThan">
      <formula>99</formula>
    </cfRule>
  </conditionalFormatting>
  <conditionalFormatting sqref="C488:F601 C599:C610">
    <cfRule type="cellIs" dxfId="37" priority="17" operator="lessThan">
      <formula>99</formula>
    </cfRule>
    <cfRule type="cellIs" dxfId="36" priority="18" operator="greaterThan">
      <formula>99</formula>
    </cfRule>
  </conditionalFormatting>
  <conditionalFormatting sqref="C610:F616 D617:E618 E619:E620">
    <cfRule type="cellIs" dxfId="35" priority="1" operator="lessThan">
      <formula>99</formula>
    </cfRule>
    <cfRule type="cellIs" dxfId="34" priority="2" operator="greaterThan">
      <formula>99</formula>
    </cfRule>
  </conditionalFormatting>
  <conditionalFormatting sqref="D71:D182">
    <cfRule type="cellIs" dxfId="33" priority="21703" operator="lessThan">
      <formula>99</formula>
    </cfRule>
    <cfRule type="cellIs" dxfId="32" priority="21704" operator="greaterThan">
      <formula>99</formula>
    </cfRule>
  </conditionalFormatting>
  <conditionalFormatting sqref="D230:D235">
    <cfRule type="cellIs" dxfId="31" priority="35967" operator="lessThan">
      <formula>99</formula>
    </cfRule>
    <cfRule type="cellIs" dxfId="30" priority="35968" operator="greaterThan">
      <formula>99</formula>
    </cfRule>
  </conditionalFormatting>
  <conditionalFormatting sqref="D249:D264">
    <cfRule type="cellIs" dxfId="29" priority="20795" operator="lessThan">
      <formula>99</formula>
    </cfRule>
    <cfRule type="cellIs" dxfId="28" priority="20796" operator="greaterThan">
      <formula>99</formula>
    </cfRule>
  </conditionalFormatting>
  <conditionalFormatting sqref="D268:D276">
    <cfRule type="cellIs" dxfId="27" priority="20395" operator="lessThan">
      <formula>99</formula>
    </cfRule>
    <cfRule type="cellIs" dxfId="26" priority="20396" operator="greaterThan">
      <formula>99</formula>
    </cfRule>
  </conditionalFormatting>
  <conditionalFormatting sqref="D279:D281">
    <cfRule type="cellIs" dxfId="25" priority="34543" operator="lessThan">
      <formula>99</formula>
    </cfRule>
    <cfRule type="cellIs" dxfId="24" priority="34544" operator="greaterThan">
      <formula>99</formula>
    </cfRule>
  </conditionalFormatting>
  <conditionalFormatting sqref="D283">
    <cfRule type="cellIs" dxfId="23" priority="34447" operator="lessThan">
      <formula>99</formula>
    </cfRule>
    <cfRule type="cellIs" dxfId="22" priority="34448" operator="greaterThan">
      <formula>99</formula>
    </cfRule>
  </conditionalFormatting>
  <conditionalFormatting sqref="D341:D370">
    <cfRule type="cellIs" dxfId="21" priority="355" operator="lessThan">
      <formula>99</formula>
    </cfRule>
    <cfRule type="cellIs" dxfId="20" priority="356" operator="greaterThan">
      <formula>99</formula>
    </cfRule>
  </conditionalFormatting>
  <conditionalFormatting sqref="D375:D410">
    <cfRule type="cellIs" dxfId="19" priority="31999" operator="lessThan">
      <formula>99</formula>
    </cfRule>
    <cfRule type="cellIs" dxfId="18" priority="32000" operator="greaterThan">
      <formula>99</formula>
    </cfRule>
  </conditionalFormatting>
  <conditionalFormatting sqref="D775:E787">
    <cfRule type="cellIs" dxfId="17" priority="23663" operator="lessThan">
      <formula>99</formula>
    </cfRule>
    <cfRule type="cellIs" dxfId="16" priority="23664" operator="greaterThan">
      <formula>99</formula>
    </cfRule>
  </conditionalFormatting>
  <conditionalFormatting sqref="D433:F487">
    <cfRule type="cellIs" dxfId="15" priority="127" operator="lessThan">
      <formula>99</formula>
    </cfRule>
    <cfRule type="cellIs" dxfId="14" priority="128" operator="greaterThan">
      <formula>99</formula>
    </cfRule>
  </conditionalFormatting>
  <conditionalFormatting sqref="D602:F609">
    <cfRule type="cellIs" dxfId="13" priority="13" operator="lessThan">
      <formula>99</formula>
    </cfRule>
    <cfRule type="cellIs" dxfId="12" priority="14" operator="greaterThan">
      <formula>99</formula>
    </cfRule>
  </conditionalFormatting>
  <conditionalFormatting sqref="E71:E264">
    <cfRule type="cellIs" dxfId="11" priority="20759" operator="lessThan">
      <formula>99</formula>
    </cfRule>
    <cfRule type="cellIs" dxfId="10" priority="20760" operator="greaterThan">
      <formula>99</formula>
    </cfRule>
  </conditionalFormatting>
  <conditionalFormatting sqref="E268:E283">
    <cfRule type="cellIs" dxfId="9" priority="20375" operator="lessThan">
      <formula>99</formula>
    </cfRule>
    <cfRule type="cellIs" dxfId="8" priority="20376" operator="greaterThan">
      <formula>99</formula>
    </cfRule>
  </conditionalFormatting>
  <conditionalFormatting sqref="E299:E303">
    <cfRule type="cellIs" dxfId="7" priority="8543" operator="lessThan">
      <formula>99</formula>
    </cfRule>
    <cfRule type="cellIs" dxfId="6" priority="8544" operator="greaterThan">
      <formula>99</formula>
    </cfRule>
  </conditionalFormatting>
  <conditionalFormatting sqref="E613 F617:F620 C619:D621 B660:F1011 C621:F659">
    <cfRule type="cellIs" dxfId="5" priority="23" operator="lessThan">
      <formula>99</formula>
    </cfRule>
    <cfRule type="cellIs" dxfId="4" priority="24" operator="greaterThan">
      <formula>99</formula>
    </cfRule>
  </conditionalFormatting>
  <conditionalFormatting sqref="E655">
    <cfRule type="cellIs" dxfId="3" priority="26407" operator="lessThan">
      <formula>99</formula>
    </cfRule>
    <cfRule type="cellIs" dxfId="2" priority="26408" operator="greaterThan">
      <formula>99</formula>
    </cfRule>
  </conditionalFormatting>
  <conditionalFormatting sqref="F13:F283">
    <cfRule type="cellIs" dxfId="1" priority="20367" operator="lessThan">
      <formula>99</formula>
    </cfRule>
    <cfRule type="cellIs" dxfId="0" priority="20368" operator="greaterThan">
      <formula>99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RV27"/>
  <sheetViews>
    <sheetView zoomScale="90" zoomScaleNormal="90" workbookViewId="0">
      <selection activeCell="RY14" sqref="RY14"/>
    </sheetView>
  </sheetViews>
  <sheetFormatPr defaultColWidth="11.42578125" defaultRowHeight="15" x14ac:dyDescent="0.25"/>
  <cols>
    <col min="2" max="2" width="39.5703125" customWidth="1"/>
    <col min="3" max="3" width="12.5703125" hidden="1" customWidth="1"/>
    <col min="4" max="59" width="0" hidden="1" customWidth="1"/>
    <col min="60" max="60" width="12.5703125" hidden="1" customWidth="1"/>
    <col min="61" max="268" width="0" hidden="1" customWidth="1"/>
    <col min="269" max="269" width="9" hidden="1" customWidth="1"/>
    <col min="270" max="311" width="0" hidden="1" customWidth="1"/>
    <col min="312" max="319" width="0" style="57" hidden="1" customWidth="1"/>
    <col min="320" max="329" width="0" hidden="1" customWidth="1"/>
    <col min="330" max="330" width="0" style="57" hidden="1" customWidth="1"/>
    <col min="331" max="387" width="0" hidden="1" customWidth="1"/>
    <col min="388" max="388" width="12.140625" hidden="1" customWidth="1"/>
    <col min="389" max="393" width="0" hidden="1" customWidth="1"/>
    <col min="394" max="394" width="13.42578125" hidden="1" customWidth="1"/>
    <col min="395" max="407" width="0" hidden="1" customWidth="1"/>
    <col min="408" max="409" width="0" style="57" hidden="1" customWidth="1"/>
    <col min="410" max="440" width="0" hidden="1" customWidth="1"/>
    <col min="441" max="441" width="16" hidden="1" customWidth="1"/>
    <col min="442" max="442" width="14.85546875" hidden="1" customWidth="1"/>
    <col min="443" max="443" width="16.85546875" hidden="1" customWidth="1"/>
    <col min="444" max="444" width="13.140625" hidden="1" customWidth="1"/>
    <col min="445" max="445" width="14.42578125" hidden="1" customWidth="1"/>
    <col min="446" max="456" width="0" hidden="1" customWidth="1"/>
    <col min="457" max="457" width="11.85546875" hidden="1" customWidth="1"/>
    <col min="458" max="458" width="14.42578125" hidden="1" customWidth="1"/>
    <col min="459" max="472" width="0" hidden="1" customWidth="1"/>
    <col min="473" max="473" width="0" style="57" hidden="1" customWidth="1"/>
    <col min="474" max="483" width="0" hidden="1" customWidth="1"/>
    <col min="485" max="485" width="11.7109375" customWidth="1"/>
    <col min="486" max="486" width="13.140625" customWidth="1"/>
    <col min="487" max="487" width="16.140625" customWidth="1"/>
    <col min="490" max="490" width="15.7109375" customWidth="1"/>
  </cols>
  <sheetData>
    <row r="1" spans="2:490" x14ac:dyDescent="0.25">
      <c r="C1" s="113">
        <v>45028</v>
      </c>
      <c r="D1" s="113">
        <v>45029</v>
      </c>
      <c r="E1" s="113">
        <v>45030</v>
      </c>
      <c r="F1" s="113">
        <v>45031</v>
      </c>
      <c r="G1" s="113">
        <v>45032</v>
      </c>
      <c r="H1" s="113">
        <v>45033</v>
      </c>
      <c r="I1" s="113">
        <v>45034</v>
      </c>
      <c r="J1" s="113">
        <v>45035</v>
      </c>
      <c r="K1" s="113">
        <v>45036</v>
      </c>
      <c r="L1" s="113">
        <v>45037</v>
      </c>
      <c r="M1" s="113">
        <v>45038</v>
      </c>
      <c r="N1" s="113">
        <v>45039</v>
      </c>
      <c r="O1" s="113">
        <v>45040</v>
      </c>
      <c r="P1" s="113">
        <v>45041</v>
      </c>
      <c r="Q1" s="113">
        <v>45042</v>
      </c>
      <c r="R1" s="113">
        <v>45043</v>
      </c>
      <c r="S1" s="113">
        <v>45044</v>
      </c>
      <c r="T1" s="113">
        <v>45045</v>
      </c>
      <c r="U1" s="113">
        <v>45046</v>
      </c>
      <c r="V1" s="113">
        <v>45047</v>
      </c>
      <c r="W1" s="113">
        <v>45048</v>
      </c>
      <c r="X1" s="113">
        <v>45049</v>
      </c>
      <c r="Y1" s="113">
        <v>45050</v>
      </c>
      <c r="Z1" s="113">
        <v>45051</v>
      </c>
      <c r="AA1" s="113">
        <v>45052</v>
      </c>
      <c r="AB1" s="113">
        <v>45053</v>
      </c>
      <c r="AC1" s="113">
        <v>45054</v>
      </c>
      <c r="AD1" s="113">
        <v>45055</v>
      </c>
      <c r="AE1" s="113">
        <v>45056</v>
      </c>
      <c r="AF1" s="113">
        <v>45057</v>
      </c>
      <c r="AG1" s="113">
        <v>45058</v>
      </c>
      <c r="AH1" s="113">
        <v>45059</v>
      </c>
      <c r="AI1" s="113">
        <v>45060</v>
      </c>
      <c r="AJ1" s="113">
        <v>45061</v>
      </c>
      <c r="AK1" s="113">
        <v>45062</v>
      </c>
      <c r="AL1" s="113">
        <v>45063</v>
      </c>
      <c r="AM1" s="113">
        <v>45064</v>
      </c>
      <c r="AN1" s="113">
        <v>45065</v>
      </c>
      <c r="AO1" s="113">
        <v>45066</v>
      </c>
      <c r="AP1" s="113">
        <v>45067</v>
      </c>
      <c r="AQ1" s="113">
        <v>45068</v>
      </c>
      <c r="AR1" s="113">
        <v>45069</v>
      </c>
      <c r="AS1" s="113">
        <v>45070</v>
      </c>
      <c r="AT1" s="113">
        <v>45071</v>
      </c>
      <c r="AU1" s="113">
        <v>45072</v>
      </c>
      <c r="AV1" s="113">
        <v>45073</v>
      </c>
      <c r="AW1" s="113">
        <v>45074</v>
      </c>
      <c r="AX1" s="113">
        <v>45075</v>
      </c>
      <c r="AY1" s="113">
        <v>45076</v>
      </c>
      <c r="AZ1" s="113">
        <v>45077</v>
      </c>
      <c r="BA1" s="113">
        <v>45078</v>
      </c>
      <c r="BB1" s="113">
        <v>45079</v>
      </c>
      <c r="BC1" s="113">
        <v>45080</v>
      </c>
      <c r="BD1" s="113">
        <v>45081</v>
      </c>
      <c r="BE1" s="113">
        <v>45082</v>
      </c>
      <c r="BF1" s="113">
        <v>45083</v>
      </c>
      <c r="BG1" s="113">
        <v>45084</v>
      </c>
      <c r="BH1" s="113">
        <v>45085</v>
      </c>
      <c r="BI1" s="113">
        <v>45086</v>
      </c>
      <c r="BJ1" s="113">
        <v>45087</v>
      </c>
      <c r="BK1" s="113">
        <v>45088</v>
      </c>
      <c r="BL1" s="113">
        <v>45089</v>
      </c>
      <c r="BM1" s="113">
        <v>45090</v>
      </c>
      <c r="BN1" s="113">
        <v>45091</v>
      </c>
      <c r="BO1" s="113">
        <v>45092</v>
      </c>
      <c r="BP1" s="113">
        <v>45093</v>
      </c>
      <c r="BQ1" s="113">
        <v>45094</v>
      </c>
      <c r="BR1" s="113">
        <v>45095</v>
      </c>
      <c r="BS1" s="113">
        <v>45096</v>
      </c>
      <c r="BT1" s="113">
        <v>45097</v>
      </c>
      <c r="BU1" s="113">
        <v>45098</v>
      </c>
      <c r="BV1" s="113">
        <v>45099</v>
      </c>
      <c r="BW1" s="113">
        <v>45100</v>
      </c>
      <c r="BX1" s="113">
        <v>45101</v>
      </c>
      <c r="BY1" s="113">
        <v>45102</v>
      </c>
      <c r="BZ1" s="113">
        <v>45103</v>
      </c>
      <c r="CA1" s="113">
        <v>45104</v>
      </c>
      <c r="CB1" s="113">
        <v>45105</v>
      </c>
      <c r="CC1" s="113">
        <v>45106</v>
      </c>
      <c r="CD1" s="113">
        <v>45107</v>
      </c>
      <c r="CE1" s="113">
        <v>45108</v>
      </c>
      <c r="CF1" s="113">
        <v>45109</v>
      </c>
      <c r="CG1" s="113">
        <v>45110</v>
      </c>
      <c r="CH1" s="113">
        <v>45111</v>
      </c>
      <c r="CI1" s="113">
        <v>45112</v>
      </c>
      <c r="CJ1" s="113">
        <v>45113</v>
      </c>
      <c r="CK1" s="113">
        <v>45114</v>
      </c>
      <c r="CL1" s="113">
        <v>45115</v>
      </c>
      <c r="CM1" s="113">
        <v>45116</v>
      </c>
      <c r="CN1" s="113">
        <v>45117</v>
      </c>
      <c r="CO1" s="113">
        <v>45118</v>
      </c>
      <c r="CP1" s="113">
        <v>45119</v>
      </c>
      <c r="CQ1" s="113">
        <v>45120</v>
      </c>
      <c r="CR1" s="113">
        <v>45121</v>
      </c>
      <c r="CS1" s="113">
        <v>45122</v>
      </c>
      <c r="CT1" s="113">
        <v>45123</v>
      </c>
      <c r="CU1" s="113">
        <v>45124</v>
      </c>
      <c r="CV1" s="113">
        <v>45125</v>
      </c>
      <c r="CW1" s="113">
        <v>45126</v>
      </c>
      <c r="CX1" s="113">
        <v>45127</v>
      </c>
      <c r="CY1" s="113">
        <v>45128</v>
      </c>
      <c r="CZ1" s="113">
        <v>45129</v>
      </c>
      <c r="DA1" s="113">
        <v>45130</v>
      </c>
      <c r="DB1" s="113">
        <v>45131</v>
      </c>
      <c r="DC1" s="113">
        <v>45132</v>
      </c>
      <c r="DD1" s="113">
        <v>45133</v>
      </c>
      <c r="DE1" s="113">
        <v>45134</v>
      </c>
      <c r="DF1" s="113">
        <v>45135</v>
      </c>
      <c r="DG1" s="113">
        <v>45136</v>
      </c>
      <c r="DH1" s="113">
        <v>45137</v>
      </c>
      <c r="DI1" s="113">
        <v>45138</v>
      </c>
      <c r="DJ1" s="113">
        <v>45139</v>
      </c>
      <c r="DK1" s="113">
        <v>45140</v>
      </c>
      <c r="DL1" s="113">
        <v>45141</v>
      </c>
      <c r="DM1" s="113">
        <v>45142</v>
      </c>
      <c r="DN1" s="113">
        <v>45143</v>
      </c>
      <c r="DO1" s="113">
        <v>45144</v>
      </c>
      <c r="DP1" s="113">
        <v>45145</v>
      </c>
      <c r="DQ1" s="113">
        <v>45146</v>
      </c>
      <c r="DR1" s="113">
        <v>45147</v>
      </c>
      <c r="DS1" s="113">
        <v>45148</v>
      </c>
      <c r="DT1" s="113">
        <v>45149</v>
      </c>
      <c r="DU1" s="113">
        <v>45150</v>
      </c>
      <c r="DV1" s="113">
        <v>45151</v>
      </c>
      <c r="DW1" s="113">
        <v>45152</v>
      </c>
      <c r="DX1" s="113">
        <v>45153</v>
      </c>
      <c r="DY1" s="113">
        <v>45154</v>
      </c>
      <c r="DZ1" s="113">
        <v>45155</v>
      </c>
      <c r="EA1" s="113">
        <v>45156</v>
      </c>
      <c r="EB1" s="113">
        <v>45157</v>
      </c>
      <c r="EC1" s="113">
        <v>45158</v>
      </c>
      <c r="ED1" s="113">
        <v>45159</v>
      </c>
      <c r="EE1" s="113">
        <v>45160</v>
      </c>
      <c r="EF1" s="113">
        <v>45161</v>
      </c>
      <c r="EG1" s="113">
        <v>45162</v>
      </c>
      <c r="EH1" s="113">
        <v>45163</v>
      </c>
      <c r="EI1" s="113">
        <v>45164</v>
      </c>
      <c r="EJ1" s="113">
        <v>45165</v>
      </c>
      <c r="EK1" s="113">
        <v>45166</v>
      </c>
      <c r="EL1" s="113">
        <v>45167</v>
      </c>
      <c r="EM1" s="113">
        <v>45168</v>
      </c>
      <c r="EN1" s="113">
        <v>45169</v>
      </c>
      <c r="EO1" s="113">
        <v>45170</v>
      </c>
      <c r="EP1" s="113">
        <v>45171</v>
      </c>
      <c r="EQ1" s="113">
        <v>45172</v>
      </c>
      <c r="ER1" s="113">
        <v>45173</v>
      </c>
      <c r="ES1" s="113">
        <v>45174</v>
      </c>
      <c r="ET1" s="113">
        <v>45175</v>
      </c>
      <c r="EU1" s="113">
        <v>45176</v>
      </c>
      <c r="EV1" s="113">
        <v>45177</v>
      </c>
      <c r="EW1" s="113">
        <v>45178</v>
      </c>
      <c r="EX1" s="113">
        <v>45179</v>
      </c>
      <c r="EY1" s="113">
        <v>45180</v>
      </c>
      <c r="EZ1" s="113">
        <v>45181</v>
      </c>
      <c r="FA1" s="113">
        <v>45182</v>
      </c>
      <c r="FB1" s="113">
        <v>45183</v>
      </c>
      <c r="FC1" s="140">
        <v>45184</v>
      </c>
      <c r="FD1" s="140">
        <v>45185</v>
      </c>
      <c r="FE1" s="140">
        <v>45186</v>
      </c>
      <c r="FF1" s="140">
        <v>45187</v>
      </c>
      <c r="FG1" s="140">
        <v>45188</v>
      </c>
      <c r="FH1" s="140">
        <v>45189</v>
      </c>
      <c r="FI1" s="140">
        <v>45190</v>
      </c>
      <c r="FJ1" s="140">
        <v>45191</v>
      </c>
      <c r="FK1" s="140">
        <v>45192</v>
      </c>
      <c r="FL1" s="140">
        <v>45193</v>
      </c>
      <c r="FM1" s="140">
        <v>45194</v>
      </c>
      <c r="FN1" s="140">
        <v>45195</v>
      </c>
      <c r="FO1" s="140">
        <v>45196</v>
      </c>
      <c r="FP1" s="140">
        <v>45197</v>
      </c>
      <c r="FQ1" s="140">
        <v>45198</v>
      </c>
      <c r="FR1" s="140">
        <v>45199</v>
      </c>
      <c r="FS1" s="140">
        <v>45200</v>
      </c>
      <c r="FT1" s="140">
        <v>45201</v>
      </c>
      <c r="FU1" s="140">
        <v>45202</v>
      </c>
      <c r="FV1" s="140">
        <v>45203</v>
      </c>
      <c r="FW1" s="140">
        <v>45204</v>
      </c>
      <c r="FX1" s="140">
        <v>45205</v>
      </c>
      <c r="FY1" s="140">
        <v>45206</v>
      </c>
      <c r="FZ1" s="140">
        <v>45207</v>
      </c>
      <c r="GA1" s="140">
        <v>45208</v>
      </c>
      <c r="GB1" s="140">
        <v>45209</v>
      </c>
      <c r="GC1" s="140">
        <v>45210</v>
      </c>
      <c r="GD1" s="140">
        <v>45211</v>
      </c>
      <c r="GE1" s="140">
        <v>45212</v>
      </c>
      <c r="GF1" s="140">
        <v>45213</v>
      </c>
      <c r="GG1" s="140">
        <v>45214</v>
      </c>
      <c r="GH1" s="140">
        <v>45215</v>
      </c>
      <c r="GI1" s="140">
        <v>45216</v>
      </c>
      <c r="GJ1" s="140">
        <v>45217</v>
      </c>
      <c r="GK1" s="140">
        <v>45218</v>
      </c>
      <c r="GL1" s="140">
        <v>45219</v>
      </c>
      <c r="GM1" s="140">
        <v>45220</v>
      </c>
      <c r="GN1" s="140">
        <v>45221</v>
      </c>
      <c r="GO1" s="140">
        <v>45222</v>
      </c>
      <c r="GP1" s="140">
        <v>45223</v>
      </c>
      <c r="GQ1" s="140">
        <v>45224</v>
      </c>
      <c r="GR1" s="140">
        <v>45225</v>
      </c>
      <c r="GS1" s="168">
        <v>45226</v>
      </c>
      <c r="GT1" s="168">
        <v>45227</v>
      </c>
      <c r="GU1" s="168">
        <v>45228</v>
      </c>
      <c r="GV1" s="168">
        <v>45229</v>
      </c>
      <c r="GW1" s="168">
        <v>45230</v>
      </c>
      <c r="GX1" s="168">
        <v>45231</v>
      </c>
      <c r="GY1" s="168">
        <v>45232</v>
      </c>
      <c r="GZ1" s="168">
        <v>45233</v>
      </c>
      <c r="HA1" s="168">
        <v>45234</v>
      </c>
      <c r="HB1" s="168">
        <v>45235</v>
      </c>
      <c r="HC1" s="168">
        <v>45236</v>
      </c>
      <c r="HD1" s="168">
        <v>45237</v>
      </c>
      <c r="HE1" s="168">
        <v>45238</v>
      </c>
      <c r="HF1" s="168">
        <v>45239</v>
      </c>
      <c r="HG1" s="168">
        <v>45240</v>
      </c>
      <c r="HH1" s="168">
        <v>45241</v>
      </c>
      <c r="HI1" s="168">
        <v>45242</v>
      </c>
      <c r="HJ1" s="168">
        <v>45243</v>
      </c>
      <c r="HK1" s="168">
        <v>45244</v>
      </c>
      <c r="HL1" s="168">
        <v>45245</v>
      </c>
      <c r="HM1" s="168">
        <v>45246</v>
      </c>
      <c r="HN1" s="168">
        <v>45247</v>
      </c>
      <c r="HO1" s="168">
        <v>45248</v>
      </c>
      <c r="HP1" s="168">
        <v>45249</v>
      </c>
      <c r="HQ1" s="168">
        <v>45250</v>
      </c>
      <c r="HR1" s="168">
        <v>45251</v>
      </c>
      <c r="HS1" s="168">
        <v>45252</v>
      </c>
      <c r="HT1" s="168">
        <v>45253</v>
      </c>
      <c r="HU1" s="168">
        <v>45254</v>
      </c>
      <c r="HV1" s="168">
        <v>45255</v>
      </c>
      <c r="HW1" s="168">
        <v>45256</v>
      </c>
      <c r="HX1" s="168">
        <v>45257</v>
      </c>
      <c r="HY1" s="168">
        <v>45258</v>
      </c>
      <c r="HZ1" s="168">
        <v>45259</v>
      </c>
      <c r="IA1" s="168">
        <v>45260</v>
      </c>
      <c r="IB1" s="168">
        <v>45261</v>
      </c>
      <c r="IC1" s="168">
        <v>45262</v>
      </c>
      <c r="ID1" s="168">
        <v>45263</v>
      </c>
      <c r="IE1" s="168">
        <v>45264</v>
      </c>
      <c r="IF1" s="168">
        <v>45265</v>
      </c>
      <c r="IG1" s="168">
        <v>45266</v>
      </c>
      <c r="IH1" s="168">
        <v>45267</v>
      </c>
      <c r="II1" s="168">
        <v>45268</v>
      </c>
      <c r="IJ1" s="168">
        <v>45269</v>
      </c>
      <c r="IK1" s="168">
        <v>45270</v>
      </c>
      <c r="IL1" s="168">
        <v>45271</v>
      </c>
      <c r="IM1" s="168">
        <v>45272</v>
      </c>
      <c r="IN1" s="168">
        <v>45273</v>
      </c>
      <c r="IO1" s="168">
        <v>45274</v>
      </c>
      <c r="IP1" s="168">
        <v>45275</v>
      </c>
      <c r="IQ1" s="168">
        <v>45276</v>
      </c>
      <c r="IR1" s="168">
        <v>45277</v>
      </c>
      <c r="IS1" s="168">
        <v>45278</v>
      </c>
      <c r="IT1" s="168">
        <v>45279</v>
      </c>
      <c r="IU1" s="168">
        <v>45280</v>
      </c>
      <c r="IV1" s="168">
        <v>45281</v>
      </c>
      <c r="IW1" s="168">
        <v>45282</v>
      </c>
      <c r="IX1" s="168">
        <v>45283</v>
      </c>
      <c r="IY1" s="168">
        <v>45284</v>
      </c>
      <c r="IZ1" s="168">
        <v>45285</v>
      </c>
      <c r="JA1" s="168">
        <v>45286</v>
      </c>
      <c r="JB1" s="168">
        <v>45287</v>
      </c>
      <c r="JC1" s="168">
        <v>45288</v>
      </c>
      <c r="JD1" s="168">
        <v>45289</v>
      </c>
      <c r="JE1" s="168">
        <v>45290</v>
      </c>
      <c r="JF1" s="168">
        <v>45291</v>
      </c>
      <c r="JG1" s="168">
        <v>45292</v>
      </c>
      <c r="JH1" s="168">
        <v>45293</v>
      </c>
      <c r="JI1" s="168">
        <v>45294</v>
      </c>
      <c r="JJ1" s="168">
        <v>45295</v>
      </c>
      <c r="JK1" s="168">
        <v>45296</v>
      </c>
      <c r="JL1" s="168">
        <v>45297</v>
      </c>
      <c r="JM1" s="168">
        <v>45298</v>
      </c>
      <c r="JN1" s="168">
        <v>45299</v>
      </c>
      <c r="JO1" s="168">
        <v>45300</v>
      </c>
      <c r="JP1" s="168">
        <v>45301</v>
      </c>
      <c r="JQ1" s="168">
        <v>45302</v>
      </c>
      <c r="JR1" s="168">
        <v>45303</v>
      </c>
      <c r="JS1" s="168">
        <v>45304</v>
      </c>
      <c r="JT1" s="168">
        <v>45305</v>
      </c>
      <c r="JU1" s="168">
        <v>45306</v>
      </c>
      <c r="JV1" s="168">
        <v>45307</v>
      </c>
      <c r="JW1" s="168">
        <v>45308</v>
      </c>
      <c r="JX1" s="168">
        <v>45309</v>
      </c>
      <c r="JY1" s="168">
        <v>45310</v>
      </c>
      <c r="JZ1" s="168">
        <v>45311</v>
      </c>
      <c r="KA1" s="168">
        <v>45312</v>
      </c>
      <c r="KB1" s="168">
        <v>45313</v>
      </c>
      <c r="KC1" s="168">
        <v>45314</v>
      </c>
      <c r="KD1" s="168">
        <v>45315</v>
      </c>
      <c r="KE1" s="168">
        <v>45316</v>
      </c>
      <c r="KF1" s="168">
        <v>45317</v>
      </c>
      <c r="KG1" s="168">
        <v>45318</v>
      </c>
      <c r="KH1" s="168">
        <v>45319</v>
      </c>
      <c r="KI1" s="168">
        <v>45320</v>
      </c>
      <c r="KJ1" s="168">
        <v>45321</v>
      </c>
      <c r="KK1" s="168">
        <v>45322</v>
      </c>
      <c r="KL1" s="168">
        <v>45323</v>
      </c>
      <c r="KM1" s="168">
        <v>45324</v>
      </c>
      <c r="KN1" s="168">
        <v>45325</v>
      </c>
      <c r="KO1" s="168">
        <v>45326</v>
      </c>
      <c r="KP1" s="168">
        <v>45327</v>
      </c>
      <c r="KQ1" s="168">
        <v>45328</v>
      </c>
      <c r="KR1" s="168">
        <v>45329</v>
      </c>
      <c r="KS1" s="168">
        <v>45330</v>
      </c>
      <c r="KT1" s="168">
        <v>45331</v>
      </c>
      <c r="KU1" s="168">
        <v>45332</v>
      </c>
      <c r="KV1" s="168">
        <v>45333</v>
      </c>
      <c r="KW1" s="168">
        <v>45334</v>
      </c>
      <c r="KX1" s="168">
        <v>45335</v>
      </c>
      <c r="KY1" s="168">
        <v>45336</v>
      </c>
      <c r="KZ1" s="185">
        <v>45337</v>
      </c>
      <c r="LA1" s="185">
        <v>45338</v>
      </c>
      <c r="LB1" s="185">
        <v>45339</v>
      </c>
      <c r="LC1" s="185">
        <v>45340</v>
      </c>
      <c r="LD1" s="185">
        <v>45341</v>
      </c>
      <c r="LE1" s="185">
        <v>45342</v>
      </c>
      <c r="LF1" s="186">
        <v>45343</v>
      </c>
      <c r="LG1" s="185">
        <v>45344</v>
      </c>
      <c r="LH1" s="185">
        <v>45345</v>
      </c>
      <c r="LI1" s="185">
        <v>45346</v>
      </c>
      <c r="LJ1" s="185">
        <v>45347</v>
      </c>
      <c r="LK1" s="185">
        <v>45348</v>
      </c>
      <c r="LL1" s="185">
        <v>45349</v>
      </c>
      <c r="LM1" s="185">
        <v>45350</v>
      </c>
      <c r="LN1" s="185">
        <v>45351</v>
      </c>
      <c r="LO1" s="185">
        <v>45352</v>
      </c>
      <c r="LP1" s="185">
        <v>45353</v>
      </c>
      <c r="LQ1" s="185">
        <v>45354</v>
      </c>
      <c r="LR1" s="185">
        <v>45355</v>
      </c>
      <c r="LS1" s="185">
        <v>45356</v>
      </c>
      <c r="LT1" s="185">
        <v>45357</v>
      </c>
      <c r="LU1" s="185">
        <v>45358</v>
      </c>
      <c r="LV1" s="185">
        <v>45359</v>
      </c>
      <c r="LW1" s="185">
        <v>45360</v>
      </c>
      <c r="LX1" s="185">
        <v>45361</v>
      </c>
      <c r="LY1" s="186">
        <v>45362</v>
      </c>
      <c r="LZ1" s="185">
        <v>45363</v>
      </c>
      <c r="MA1" s="185">
        <v>45364</v>
      </c>
      <c r="MB1" s="185">
        <v>45365</v>
      </c>
      <c r="MC1" s="185">
        <v>45366</v>
      </c>
      <c r="MD1" s="185">
        <v>45367</v>
      </c>
      <c r="ME1" s="185">
        <v>45368</v>
      </c>
      <c r="MF1" s="185">
        <v>45369</v>
      </c>
      <c r="MG1" s="185">
        <v>45370</v>
      </c>
      <c r="MH1" s="185">
        <v>45371</v>
      </c>
      <c r="MI1" s="185">
        <v>45372</v>
      </c>
      <c r="MJ1" s="185">
        <v>45373</v>
      </c>
      <c r="MK1" s="185">
        <v>45374</v>
      </c>
      <c r="ML1" s="185">
        <v>45375</v>
      </c>
      <c r="MM1" s="185">
        <v>45376</v>
      </c>
      <c r="MN1" s="185">
        <v>45377</v>
      </c>
      <c r="MO1" s="185">
        <v>45378</v>
      </c>
      <c r="MP1" s="185">
        <v>45379</v>
      </c>
      <c r="MQ1" s="185">
        <v>45380</v>
      </c>
      <c r="MR1" s="185">
        <v>45381</v>
      </c>
      <c r="MS1" s="185">
        <v>45382</v>
      </c>
      <c r="MT1" s="185">
        <v>45383</v>
      </c>
      <c r="MU1" s="185">
        <v>45384</v>
      </c>
      <c r="MV1" s="185">
        <v>45385</v>
      </c>
      <c r="MW1" s="185">
        <v>45386</v>
      </c>
      <c r="MX1" s="185">
        <v>45387</v>
      </c>
      <c r="MY1" s="185">
        <v>45388</v>
      </c>
      <c r="MZ1" s="185">
        <v>45389</v>
      </c>
      <c r="NA1" s="185">
        <v>45390</v>
      </c>
      <c r="NB1" s="185">
        <v>45391</v>
      </c>
      <c r="NC1" s="185">
        <v>45392</v>
      </c>
      <c r="ND1" s="185">
        <v>45393</v>
      </c>
      <c r="NE1" s="185">
        <v>45394</v>
      </c>
      <c r="NF1" s="185">
        <v>45395</v>
      </c>
      <c r="NG1" s="185">
        <v>45396</v>
      </c>
      <c r="NH1" s="185">
        <v>45397</v>
      </c>
      <c r="NI1" s="185">
        <v>45398</v>
      </c>
      <c r="NJ1" s="185">
        <v>45399</v>
      </c>
      <c r="NK1" s="185">
        <v>45400</v>
      </c>
      <c r="NL1" s="185">
        <v>45401</v>
      </c>
      <c r="NM1" s="185">
        <v>45402</v>
      </c>
      <c r="NN1" s="185">
        <v>45403</v>
      </c>
      <c r="NO1" s="185">
        <v>45404</v>
      </c>
      <c r="NP1" s="185">
        <v>45405</v>
      </c>
      <c r="NQ1" s="185">
        <v>45406</v>
      </c>
      <c r="NR1" s="185">
        <v>45407</v>
      </c>
      <c r="NS1" s="185">
        <v>45408</v>
      </c>
      <c r="NT1" s="185">
        <v>45409</v>
      </c>
      <c r="NU1" s="185">
        <v>45410</v>
      </c>
      <c r="NV1" s="185">
        <v>45411</v>
      </c>
      <c r="NW1" s="185">
        <v>45412</v>
      </c>
      <c r="NX1" s="185">
        <v>45413</v>
      </c>
      <c r="NY1" s="185">
        <v>45414</v>
      </c>
      <c r="NZ1" s="185">
        <v>45415</v>
      </c>
      <c r="OA1" s="185">
        <v>45416</v>
      </c>
      <c r="OB1" s="185">
        <v>45417</v>
      </c>
      <c r="OC1" s="185">
        <v>45418</v>
      </c>
      <c r="OD1" s="185">
        <v>45419</v>
      </c>
      <c r="OE1" s="185">
        <v>45420</v>
      </c>
      <c r="OF1" s="185">
        <v>45421</v>
      </c>
      <c r="OG1" s="185">
        <v>45422</v>
      </c>
      <c r="OH1" s="185">
        <v>45423</v>
      </c>
      <c r="OI1" s="185">
        <v>45424</v>
      </c>
      <c r="OJ1" s="185">
        <v>45425</v>
      </c>
      <c r="OK1" s="185">
        <v>45426</v>
      </c>
      <c r="OL1" s="185">
        <v>45427</v>
      </c>
      <c r="OM1" s="185">
        <v>45428</v>
      </c>
      <c r="ON1" s="185">
        <v>45429</v>
      </c>
      <c r="OO1" s="185">
        <v>45430</v>
      </c>
      <c r="OP1" s="185">
        <v>45431</v>
      </c>
      <c r="OQ1" s="185">
        <v>45432</v>
      </c>
      <c r="OR1" s="185">
        <v>45433</v>
      </c>
      <c r="OS1" s="185">
        <v>45434</v>
      </c>
      <c r="OT1" s="185">
        <v>45435</v>
      </c>
      <c r="OU1" s="185">
        <v>45436</v>
      </c>
      <c r="OV1" s="185">
        <v>45437</v>
      </c>
      <c r="OW1" s="185">
        <v>45438</v>
      </c>
      <c r="OX1" s="185">
        <v>45439</v>
      </c>
      <c r="OY1" s="185">
        <v>45440</v>
      </c>
      <c r="OZ1" s="185">
        <v>45441</v>
      </c>
      <c r="PA1" s="185">
        <v>45442</v>
      </c>
      <c r="PB1" s="185">
        <v>45443</v>
      </c>
      <c r="PC1" s="185">
        <v>45444</v>
      </c>
      <c r="PD1" s="185">
        <v>45445</v>
      </c>
      <c r="PE1" s="185">
        <v>45446</v>
      </c>
      <c r="PF1" s="185">
        <v>45447</v>
      </c>
      <c r="PG1" s="185">
        <v>45448</v>
      </c>
      <c r="PH1" s="185">
        <v>45449</v>
      </c>
      <c r="PI1" s="185">
        <v>45450</v>
      </c>
      <c r="PJ1" s="185">
        <v>45451</v>
      </c>
      <c r="PK1" s="185">
        <v>45452</v>
      </c>
      <c r="PL1" s="185">
        <v>45453</v>
      </c>
      <c r="PM1" s="185">
        <v>45454</v>
      </c>
      <c r="PN1" s="185">
        <v>45455</v>
      </c>
      <c r="PO1" s="185">
        <v>45456</v>
      </c>
      <c r="PP1" s="185">
        <v>45457</v>
      </c>
      <c r="PQ1" s="185">
        <v>45458</v>
      </c>
      <c r="PR1" s="185">
        <v>45459</v>
      </c>
      <c r="PS1" s="185">
        <v>45460</v>
      </c>
      <c r="PT1" s="185">
        <v>45461</v>
      </c>
      <c r="PU1" s="185">
        <v>45462</v>
      </c>
      <c r="PV1" s="185">
        <v>45463</v>
      </c>
      <c r="PW1" s="185">
        <v>45464</v>
      </c>
      <c r="PX1" s="185">
        <v>45465</v>
      </c>
      <c r="PY1" s="333">
        <v>45466</v>
      </c>
      <c r="PZ1" s="333">
        <v>45467</v>
      </c>
      <c r="QA1" s="333">
        <v>45468</v>
      </c>
      <c r="QB1" s="333">
        <v>45469</v>
      </c>
      <c r="QC1" s="333">
        <v>45470</v>
      </c>
      <c r="QD1" s="333">
        <v>45471</v>
      </c>
      <c r="QE1" s="333">
        <v>45472</v>
      </c>
      <c r="QF1" s="333">
        <v>45473</v>
      </c>
      <c r="QG1" s="333">
        <v>45474</v>
      </c>
      <c r="QH1" s="333">
        <v>45475</v>
      </c>
      <c r="QI1" s="333">
        <v>45476</v>
      </c>
      <c r="QJ1" s="333">
        <v>45477</v>
      </c>
      <c r="QK1" s="333">
        <v>45478</v>
      </c>
      <c r="QL1" s="333">
        <v>45479</v>
      </c>
      <c r="QM1" s="333">
        <v>45480</v>
      </c>
      <c r="QN1" s="333">
        <v>45481</v>
      </c>
      <c r="QO1" s="333">
        <v>45482</v>
      </c>
      <c r="QP1" s="333">
        <v>45483</v>
      </c>
      <c r="QQ1" s="333">
        <v>45484</v>
      </c>
      <c r="QR1" s="333">
        <v>45485</v>
      </c>
      <c r="QS1" s="333">
        <v>45486</v>
      </c>
      <c r="QT1" s="333">
        <v>45487</v>
      </c>
      <c r="QU1" s="333">
        <v>45488</v>
      </c>
      <c r="QV1" s="333">
        <v>45489</v>
      </c>
      <c r="QW1" s="333">
        <v>45490</v>
      </c>
      <c r="QX1" s="333">
        <v>45491</v>
      </c>
      <c r="QY1" s="333">
        <v>45492</v>
      </c>
      <c r="QZ1" s="333">
        <v>45493</v>
      </c>
      <c r="RA1" s="333">
        <v>45494</v>
      </c>
      <c r="RB1" s="333">
        <v>45495</v>
      </c>
      <c r="RC1" s="333">
        <v>45496</v>
      </c>
      <c r="RD1" s="333">
        <v>45497</v>
      </c>
      <c r="RE1" s="333">
        <v>45498</v>
      </c>
      <c r="RF1" s="333">
        <v>45499</v>
      </c>
      <c r="RG1" s="333">
        <v>45500</v>
      </c>
      <c r="RH1" s="333">
        <v>45501</v>
      </c>
      <c r="RI1" s="346">
        <v>45502</v>
      </c>
      <c r="RJ1" s="333">
        <v>45503</v>
      </c>
      <c r="RK1" s="333">
        <v>45504</v>
      </c>
      <c r="RL1" s="333">
        <v>45505</v>
      </c>
      <c r="RM1" s="333">
        <v>45506</v>
      </c>
      <c r="RN1" s="333">
        <v>45507</v>
      </c>
      <c r="RO1" s="333">
        <v>45508</v>
      </c>
      <c r="RP1" s="333">
        <v>45509</v>
      </c>
      <c r="RQ1" s="333">
        <v>45510</v>
      </c>
      <c r="RR1" s="333">
        <v>45511</v>
      </c>
      <c r="RS1" s="333">
        <v>45512</v>
      </c>
      <c r="RT1" s="333">
        <v>45513</v>
      </c>
      <c r="RU1" s="333">
        <v>45514</v>
      </c>
      <c r="RV1" s="333">
        <v>45515</v>
      </c>
    </row>
    <row r="2" spans="2:490" ht="15.75" x14ac:dyDescent="0.25">
      <c r="B2" s="187">
        <v>600</v>
      </c>
      <c r="C2">
        <v>12172302</v>
      </c>
      <c r="D2">
        <v>11888692</v>
      </c>
      <c r="E2">
        <v>11821998</v>
      </c>
      <c r="F2">
        <v>11581162</v>
      </c>
      <c r="G2">
        <v>10237074</v>
      </c>
      <c r="H2">
        <v>11896580</v>
      </c>
      <c r="I2">
        <v>11285058</v>
      </c>
      <c r="J2">
        <v>10952152</v>
      </c>
      <c r="K2">
        <v>12621360</v>
      </c>
      <c r="L2">
        <v>11296068</v>
      </c>
      <c r="M2">
        <v>11111308</v>
      </c>
      <c r="N2">
        <v>10011950</v>
      </c>
      <c r="O2">
        <v>11834384</v>
      </c>
      <c r="P2">
        <v>4634737</v>
      </c>
      <c r="Q2">
        <v>10831906</v>
      </c>
      <c r="R2">
        <v>11098068</v>
      </c>
      <c r="S2">
        <v>11291792</v>
      </c>
      <c r="T2">
        <v>10930666</v>
      </c>
      <c r="U2">
        <v>9918136</v>
      </c>
      <c r="V2">
        <v>10788014</v>
      </c>
      <c r="W2">
        <v>11756686</v>
      </c>
      <c r="X2">
        <v>10916716</v>
      </c>
      <c r="Y2">
        <v>11437750</v>
      </c>
      <c r="Z2">
        <v>11487376</v>
      </c>
      <c r="AA2">
        <v>10907534</v>
      </c>
      <c r="AB2">
        <v>9843066</v>
      </c>
      <c r="AC2">
        <v>11563686</v>
      </c>
      <c r="AD2">
        <v>12050936</v>
      </c>
      <c r="AE2">
        <v>11272476</v>
      </c>
      <c r="AF2">
        <v>11019342</v>
      </c>
      <c r="AG2">
        <v>11594670</v>
      </c>
      <c r="AH2">
        <v>10708146</v>
      </c>
      <c r="AI2">
        <v>9572174</v>
      </c>
      <c r="AJ2">
        <v>10383672</v>
      </c>
      <c r="AK2">
        <v>11915480</v>
      </c>
      <c r="AL2">
        <v>10976250</v>
      </c>
      <c r="AM2">
        <v>10101766</v>
      </c>
      <c r="AN2">
        <v>11452310</v>
      </c>
      <c r="AO2">
        <v>10649814</v>
      </c>
      <c r="AP2">
        <v>9974546</v>
      </c>
      <c r="AQ2">
        <v>11225464</v>
      </c>
      <c r="AR2">
        <v>11743548</v>
      </c>
      <c r="AS2">
        <v>10642926</v>
      </c>
      <c r="AT2">
        <v>10573906</v>
      </c>
      <c r="AU2">
        <v>12116540</v>
      </c>
      <c r="AV2">
        <v>10910450</v>
      </c>
      <c r="AW2">
        <v>9860194</v>
      </c>
      <c r="AX2">
        <v>10764874</v>
      </c>
      <c r="AY2">
        <v>11883886</v>
      </c>
      <c r="AZ2">
        <v>10991322</v>
      </c>
      <c r="BA2">
        <v>10747858</v>
      </c>
      <c r="BB2">
        <v>11646602</v>
      </c>
      <c r="BC2">
        <v>11357810</v>
      </c>
      <c r="BD2">
        <v>10597994</v>
      </c>
      <c r="BE2">
        <v>11620634</v>
      </c>
      <c r="BF2">
        <v>12003602</v>
      </c>
      <c r="BG2">
        <v>10733072</v>
      </c>
      <c r="BH2">
        <v>11102200</v>
      </c>
      <c r="BI2">
        <v>11641494</v>
      </c>
      <c r="BJ2">
        <v>10533520</v>
      </c>
      <c r="BK2">
        <v>9947220</v>
      </c>
      <c r="BL2">
        <v>10965288</v>
      </c>
      <c r="BM2">
        <v>10993315</v>
      </c>
      <c r="BN2">
        <v>10277002</v>
      </c>
      <c r="BO2">
        <v>11356446</v>
      </c>
      <c r="BP2">
        <v>11273666</v>
      </c>
      <c r="BQ2">
        <v>10379510</v>
      </c>
      <c r="BR2">
        <v>9816362</v>
      </c>
      <c r="BS2">
        <v>10412072</v>
      </c>
      <c r="BT2">
        <v>11087938</v>
      </c>
      <c r="BU2">
        <v>9935390</v>
      </c>
      <c r="BV2">
        <v>5724744</v>
      </c>
      <c r="BW2">
        <v>10529903</v>
      </c>
      <c r="BX2">
        <v>10882408</v>
      </c>
      <c r="BY2">
        <v>9541764</v>
      </c>
      <c r="BZ2">
        <v>11602816</v>
      </c>
      <c r="CA2">
        <v>13250151</v>
      </c>
      <c r="CB2">
        <v>10281862</v>
      </c>
      <c r="CC2">
        <v>10268349</v>
      </c>
      <c r="CD2">
        <v>11080338</v>
      </c>
      <c r="CE2">
        <v>10075056</v>
      </c>
      <c r="CF2">
        <v>9616341</v>
      </c>
      <c r="CG2">
        <v>10888426</v>
      </c>
      <c r="CH2">
        <v>11812989</v>
      </c>
      <c r="CI2">
        <v>10839050</v>
      </c>
      <c r="CJ2">
        <v>10537747</v>
      </c>
      <c r="CK2">
        <v>11553616</v>
      </c>
      <c r="CL2">
        <v>10370454</v>
      </c>
      <c r="CM2">
        <f>1285217+2810</f>
        <v>1288027</v>
      </c>
      <c r="CO2">
        <v>27548276</v>
      </c>
      <c r="CP2">
        <v>10360507</v>
      </c>
      <c r="CQ2">
        <v>10185042</v>
      </c>
      <c r="CR2">
        <v>10786642</v>
      </c>
      <c r="CS2">
        <v>10441806</v>
      </c>
      <c r="CT2">
        <v>9356895</v>
      </c>
      <c r="CU2">
        <v>10952867</v>
      </c>
      <c r="CV2">
        <v>11290358</v>
      </c>
      <c r="CW2">
        <v>10765800</v>
      </c>
      <c r="CX2">
        <v>10088742</v>
      </c>
      <c r="DA2">
        <v>9382614</v>
      </c>
      <c r="DB2">
        <v>10889852</v>
      </c>
      <c r="DC2">
        <v>10748892</v>
      </c>
      <c r="DD2">
        <v>10215776</v>
      </c>
      <c r="DE2">
        <v>10299320</v>
      </c>
      <c r="DF2">
        <v>10737176</v>
      </c>
      <c r="DG2">
        <v>10205448</v>
      </c>
      <c r="DH2">
        <v>9147962</v>
      </c>
      <c r="DI2">
        <v>10702522</v>
      </c>
      <c r="DJ2">
        <v>11113872</v>
      </c>
      <c r="DK2">
        <v>10548152</v>
      </c>
      <c r="DL2">
        <v>10450618</v>
      </c>
      <c r="DM2">
        <v>11084774</v>
      </c>
      <c r="DN2">
        <v>10302030</v>
      </c>
      <c r="DO2">
        <v>9523248</v>
      </c>
      <c r="DP2">
        <v>10667876</v>
      </c>
      <c r="DQ2">
        <v>11351309</v>
      </c>
      <c r="DR2">
        <v>10008836</v>
      </c>
      <c r="DS2">
        <v>10419448</v>
      </c>
      <c r="DT2">
        <v>10887100</v>
      </c>
      <c r="DU2">
        <v>10206486</v>
      </c>
      <c r="DV2">
        <v>9348773</v>
      </c>
      <c r="DW2">
        <v>10669744</v>
      </c>
      <c r="DX2">
        <v>10619598</v>
      </c>
      <c r="DY2">
        <v>10436104</v>
      </c>
      <c r="DZ2">
        <v>10098516</v>
      </c>
      <c r="EA2">
        <v>11095104</v>
      </c>
      <c r="EB2">
        <v>10723880</v>
      </c>
      <c r="EC2">
        <v>9552626</v>
      </c>
      <c r="ED2">
        <v>10893912</v>
      </c>
      <c r="EE2">
        <v>12291893</v>
      </c>
      <c r="EF2">
        <v>10379000</v>
      </c>
      <c r="EG2">
        <v>10760594</v>
      </c>
      <c r="EH2">
        <v>11309610</v>
      </c>
      <c r="EI2">
        <v>10734683</v>
      </c>
      <c r="EJ2">
        <v>10185087</v>
      </c>
      <c r="EK2">
        <v>12292154</v>
      </c>
      <c r="EL2">
        <v>28427788</v>
      </c>
      <c r="EM2">
        <v>11301014</v>
      </c>
      <c r="EN2">
        <v>11520333</v>
      </c>
      <c r="EO2">
        <v>11999811</v>
      </c>
      <c r="EP2">
        <v>15000646</v>
      </c>
      <c r="EQ2">
        <v>10450618</v>
      </c>
      <c r="ER2">
        <v>13814770</v>
      </c>
      <c r="ES2">
        <v>14859466</v>
      </c>
      <c r="ET2">
        <v>11936473</v>
      </c>
      <c r="EU2">
        <v>12916349</v>
      </c>
      <c r="EV2">
        <v>12512712</v>
      </c>
      <c r="EW2">
        <v>11107057</v>
      </c>
      <c r="EX2">
        <v>10308636</v>
      </c>
      <c r="EY2">
        <v>11620898</v>
      </c>
      <c r="EZ2">
        <v>11496278</v>
      </c>
      <c r="FA2">
        <v>11054345</v>
      </c>
      <c r="FB2">
        <v>13750965</v>
      </c>
      <c r="FC2">
        <v>13157552</v>
      </c>
      <c r="FD2">
        <v>11005974</v>
      </c>
      <c r="FE2">
        <v>10015663</v>
      </c>
      <c r="FF2">
        <v>14108902</v>
      </c>
      <c r="FG2">
        <v>12969113</v>
      </c>
      <c r="FH2">
        <v>11530229</v>
      </c>
      <c r="FI2">
        <v>14149313</v>
      </c>
      <c r="FJ2">
        <v>12847870</v>
      </c>
      <c r="FK2">
        <v>11024284</v>
      </c>
      <c r="FL2">
        <v>11290825</v>
      </c>
      <c r="FM2">
        <v>12572378</v>
      </c>
      <c r="FN2">
        <v>14221454</v>
      </c>
      <c r="FO2">
        <v>10388856</v>
      </c>
      <c r="FP2">
        <v>10747636</v>
      </c>
      <c r="FQ2">
        <v>13155223</v>
      </c>
      <c r="FR2">
        <v>10349189</v>
      </c>
      <c r="FS2">
        <v>10191410</v>
      </c>
      <c r="FT2">
        <v>11344950</v>
      </c>
      <c r="FU2">
        <v>11564708</v>
      </c>
      <c r="FV2">
        <v>11080584</v>
      </c>
      <c r="FW2">
        <v>11797421</v>
      </c>
      <c r="FX2">
        <v>12533985</v>
      </c>
      <c r="FY2">
        <v>11557532</v>
      </c>
      <c r="FZ2">
        <v>10654194</v>
      </c>
      <c r="GA2">
        <v>12240830</v>
      </c>
      <c r="GB2">
        <v>12450008</v>
      </c>
      <c r="GC2">
        <v>11658644</v>
      </c>
      <c r="GD2">
        <v>11279300</v>
      </c>
      <c r="GE2">
        <v>12873020</v>
      </c>
      <c r="GF2">
        <v>11167974</v>
      </c>
      <c r="GG2">
        <v>10575222</v>
      </c>
      <c r="GH2">
        <v>11455544</v>
      </c>
      <c r="GI2">
        <v>11795286</v>
      </c>
      <c r="GJ2">
        <v>10911900</v>
      </c>
      <c r="GK2">
        <v>10758466</v>
      </c>
      <c r="GL2">
        <v>11712546</v>
      </c>
      <c r="GM2">
        <v>11584292</v>
      </c>
      <c r="GN2">
        <v>10478996</v>
      </c>
      <c r="GO2">
        <v>11462432</v>
      </c>
      <c r="GP2">
        <v>12086552</v>
      </c>
      <c r="GQ2">
        <v>11003266</v>
      </c>
      <c r="GR2">
        <v>11032834</v>
      </c>
      <c r="GS2">
        <v>11898212</v>
      </c>
      <c r="GT2">
        <v>11830040</v>
      </c>
      <c r="GU2">
        <v>10773092</v>
      </c>
      <c r="GV2">
        <v>11442338</v>
      </c>
      <c r="GW2">
        <v>13072340</v>
      </c>
      <c r="GX2">
        <v>11570792</v>
      </c>
      <c r="GY2">
        <v>11354554</v>
      </c>
      <c r="GZ2">
        <v>13505092</v>
      </c>
      <c r="HA2">
        <v>11924166</v>
      </c>
      <c r="HB2">
        <v>10692878</v>
      </c>
      <c r="HC2">
        <v>13211464</v>
      </c>
      <c r="HD2">
        <v>11650761</v>
      </c>
      <c r="HE2">
        <v>10230356</v>
      </c>
      <c r="HF2">
        <v>10130407</v>
      </c>
      <c r="HG2">
        <v>10780334</v>
      </c>
      <c r="HH2">
        <v>10711650</v>
      </c>
      <c r="HI2">
        <v>9833610</v>
      </c>
      <c r="HJ2">
        <v>10739811</v>
      </c>
      <c r="HK2">
        <v>11723636</v>
      </c>
      <c r="HL2">
        <v>11286672</v>
      </c>
      <c r="HM2">
        <v>13123210</v>
      </c>
      <c r="HN2">
        <v>13238780</v>
      </c>
      <c r="HO2">
        <v>12461748</v>
      </c>
      <c r="HP2">
        <v>11156692</v>
      </c>
      <c r="HQ2">
        <v>12596736</v>
      </c>
      <c r="HR2">
        <v>12364816</v>
      </c>
      <c r="HS2">
        <v>11305048</v>
      </c>
      <c r="HT2">
        <v>11358858</v>
      </c>
      <c r="HU2">
        <v>12713858</v>
      </c>
      <c r="HV2">
        <v>12233550</v>
      </c>
      <c r="HW2">
        <v>10882474</v>
      </c>
      <c r="HX2">
        <v>12249506</v>
      </c>
      <c r="HY2">
        <v>12896200</v>
      </c>
      <c r="HZ2">
        <v>12355308</v>
      </c>
      <c r="IA2">
        <v>12392592</v>
      </c>
      <c r="IB2">
        <v>14074070</v>
      </c>
      <c r="IC2">
        <v>12408054</v>
      </c>
      <c r="ID2">
        <v>10867038</v>
      </c>
      <c r="IE2">
        <v>12127660</v>
      </c>
      <c r="IF2">
        <v>12298096</v>
      </c>
      <c r="IG2">
        <v>11836278</v>
      </c>
      <c r="IH2">
        <v>11766902</v>
      </c>
      <c r="II2">
        <v>12638982</v>
      </c>
      <c r="IJ2">
        <v>11797372</v>
      </c>
      <c r="IK2">
        <v>6111848</v>
      </c>
      <c r="IL2">
        <v>12445249</v>
      </c>
      <c r="IM2">
        <v>11570378</v>
      </c>
      <c r="IN2">
        <v>11525473</v>
      </c>
      <c r="IO2">
        <v>12178725</v>
      </c>
      <c r="IP2">
        <v>12588827</v>
      </c>
      <c r="IQ2">
        <v>13494461</v>
      </c>
      <c r="IR2">
        <v>10950253</v>
      </c>
      <c r="IS2">
        <v>11856704</v>
      </c>
      <c r="IT2">
        <v>11572898</v>
      </c>
      <c r="IU2">
        <v>12005519</v>
      </c>
      <c r="IV2">
        <v>13085772</v>
      </c>
      <c r="IW2">
        <v>15455485</v>
      </c>
      <c r="IX2">
        <v>12717243</v>
      </c>
      <c r="IY2">
        <v>11903117</v>
      </c>
      <c r="IZ2">
        <v>10839290</v>
      </c>
      <c r="JA2">
        <v>12559127</v>
      </c>
      <c r="JB2">
        <v>12639110</v>
      </c>
      <c r="JC2">
        <v>13839153</v>
      </c>
      <c r="JD2" s="101">
        <v>16110715</v>
      </c>
      <c r="JE2" s="101">
        <v>12283156</v>
      </c>
      <c r="JF2" s="101">
        <v>12771427</v>
      </c>
      <c r="JG2" s="103">
        <v>11408039</v>
      </c>
      <c r="JH2" s="103">
        <v>12000394</v>
      </c>
      <c r="JI2" s="103">
        <v>16296923</v>
      </c>
      <c r="JJ2">
        <v>11432302</v>
      </c>
      <c r="JK2" s="101">
        <v>17259427</v>
      </c>
      <c r="JL2" s="101">
        <v>15689839</v>
      </c>
      <c r="JM2" s="101">
        <v>11852762</v>
      </c>
      <c r="JN2" s="101">
        <v>17525371</v>
      </c>
      <c r="JO2" s="112">
        <v>15669258</v>
      </c>
      <c r="JP2" s="103">
        <v>17272986</v>
      </c>
      <c r="JQ2" s="103">
        <v>18575649</v>
      </c>
      <c r="JR2" s="101">
        <v>20299144</v>
      </c>
      <c r="JS2" s="101">
        <v>14894851</v>
      </c>
      <c r="JT2" s="101">
        <v>16474358</v>
      </c>
      <c r="JU2" s="101">
        <v>14574923</v>
      </c>
      <c r="JV2" s="101">
        <v>14912721</v>
      </c>
      <c r="JW2">
        <v>12745267</v>
      </c>
      <c r="JX2">
        <v>13536795</v>
      </c>
      <c r="JY2">
        <v>14999277</v>
      </c>
      <c r="JZ2">
        <v>25163179</v>
      </c>
      <c r="KA2">
        <v>19062805</v>
      </c>
      <c r="KB2">
        <v>11911587</v>
      </c>
      <c r="KC2">
        <v>12499070</v>
      </c>
      <c r="KD2" s="175">
        <v>12150652</v>
      </c>
      <c r="KE2" s="101">
        <v>12970198</v>
      </c>
      <c r="KF2" s="101">
        <v>15733964</v>
      </c>
      <c r="KG2" s="101">
        <v>13576792</v>
      </c>
      <c r="KH2" s="101">
        <v>10340584</v>
      </c>
      <c r="KI2">
        <v>12002625</v>
      </c>
      <c r="KJ2">
        <v>12502283</v>
      </c>
      <c r="KK2">
        <v>13484321</v>
      </c>
      <c r="KL2">
        <v>12018334</v>
      </c>
      <c r="KM2" s="101">
        <v>12608077</v>
      </c>
      <c r="KN2" s="101">
        <v>11616949</v>
      </c>
      <c r="KO2" s="101">
        <v>11801910</v>
      </c>
      <c r="KP2" s="101">
        <v>13474177</v>
      </c>
      <c r="KQ2" s="101">
        <v>20736101</v>
      </c>
      <c r="KR2" s="101">
        <v>19512553</v>
      </c>
      <c r="KS2">
        <v>12045462</v>
      </c>
      <c r="KT2">
        <v>12512969</v>
      </c>
      <c r="KU2">
        <v>14471587</v>
      </c>
      <c r="KV2">
        <v>11800758</v>
      </c>
      <c r="KW2">
        <v>13039395</v>
      </c>
      <c r="KX2">
        <v>12853517</v>
      </c>
      <c r="KY2">
        <v>12011756</v>
      </c>
      <c r="KZ2" s="104">
        <v>14000911</v>
      </c>
      <c r="LA2" s="104">
        <v>14312164</v>
      </c>
      <c r="LB2" s="104">
        <v>14390994</v>
      </c>
      <c r="LC2" s="104">
        <v>17670723</v>
      </c>
      <c r="LD2" s="104">
        <v>14199943</v>
      </c>
      <c r="LE2" s="104">
        <v>13052992</v>
      </c>
      <c r="LF2" s="116">
        <v>12002387</v>
      </c>
      <c r="LG2" s="158">
        <v>15063230</v>
      </c>
      <c r="LH2" s="48">
        <v>12827769</v>
      </c>
      <c r="LI2" s="48">
        <v>12847979</v>
      </c>
      <c r="LJ2" s="48">
        <v>11225818</v>
      </c>
      <c r="LK2" s="48">
        <v>12546167</v>
      </c>
      <c r="LL2" s="48">
        <v>11848174</v>
      </c>
      <c r="LM2" s="48">
        <v>13215681</v>
      </c>
      <c r="LN2" s="48">
        <v>12946784</v>
      </c>
      <c r="LO2" s="104">
        <v>12961723</v>
      </c>
      <c r="LP2" s="104">
        <v>13314350</v>
      </c>
      <c r="LQ2" s="116">
        <v>11405389</v>
      </c>
      <c r="LR2" s="104">
        <v>13350126</v>
      </c>
      <c r="LS2" s="104">
        <v>12875596</v>
      </c>
      <c r="LT2" s="104">
        <v>13416855</v>
      </c>
      <c r="LU2" s="104">
        <v>11759812</v>
      </c>
      <c r="LV2" s="104">
        <v>13816473</v>
      </c>
      <c r="LW2" s="104">
        <v>12530391</v>
      </c>
      <c r="LX2" s="1">
        <v>12706957</v>
      </c>
      <c r="LY2" s="158">
        <v>13281092</v>
      </c>
      <c r="LZ2" s="48">
        <v>12034256</v>
      </c>
      <c r="MA2" s="48">
        <v>11544386</v>
      </c>
      <c r="MB2" s="1">
        <v>11410518</v>
      </c>
      <c r="MC2" s="1">
        <v>11389536</v>
      </c>
      <c r="MD2" s="1">
        <v>11310390</v>
      </c>
      <c r="ME2" s="48">
        <v>10866880</v>
      </c>
      <c r="MF2" s="48">
        <v>12228600</v>
      </c>
      <c r="MG2" s="48">
        <v>12702462</v>
      </c>
      <c r="MH2" s="48">
        <v>11936368</v>
      </c>
      <c r="MI2" s="48">
        <v>11494552</v>
      </c>
      <c r="MJ2" s="48">
        <v>12474736</v>
      </c>
      <c r="MK2" s="48">
        <v>12353112</v>
      </c>
      <c r="ML2" s="48">
        <v>10715854</v>
      </c>
      <c r="MM2" s="48">
        <v>11783946</v>
      </c>
      <c r="MN2" s="48">
        <v>12169282</v>
      </c>
      <c r="MO2" s="158">
        <v>11812332</v>
      </c>
      <c r="MP2" s="48">
        <v>12028428</v>
      </c>
      <c r="MQ2" s="104">
        <v>12725624</v>
      </c>
      <c r="MR2" s="104">
        <v>12554686</v>
      </c>
      <c r="MS2" s="104">
        <v>10441102</v>
      </c>
      <c r="MT2" s="104">
        <v>10814540</v>
      </c>
      <c r="MU2" s="104">
        <v>11886210</v>
      </c>
      <c r="MV2" s="104">
        <v>10854038</v>
      </c>
      <c r="MW2" s="1">
        <v>11355724</v>
      </c>
      <c r="MX2" s="48">
        <v>12842864</v>
      </c>
      <c r="MY2" s="48">
        <v>11368808</v>
      </c>
      <c r="MZ2" s="48">
        <v>10470976</v>
      </c>
      <c r="NA2" s="48">
        <v>13004110</v>
      </c>
      <c r="NB2" s="48">
        <v>13838600</v>
      </c>
      <c r="NC2" s="48">
        <v>11689940</v>
      </c>
      <c r="ND2" s="48">
        <v>11416148</v>
      </c>
      <c r="NE2" s="104">
        <v>12115424</v>
      </c>
      <c r="NF2" s="104">
        <v>11559634</v>
      </c>
      <c r="NG2" s="104">
        <v>10158518</v>
      </c>
      <c r="NH2" s="104">
        <v>11881782</v>
      </c>
      <c r="NI2" s="104">
        <v>11660436</v>
      </c>
      <c r="NJ2" s="104">
        <v>11575272</v>
      </c>
      <c r="NK2" s="104">
        <v>11427554</v>
      </c>
      <c r="NL2" s="48">
        <v>11979358</v>
      </c>
      <c r="NM2" s="48">
        <v>11692942</v>
      </c>
      <c r="NN2" s="158">
        <v>10051174</v>
      </c>
      <c r="NO2" s="48">
        <v>11292150</v>
      </c>
      <c r="NP2" s="48">
        <v>11492522</v>
      </c>
      <c r="NQ2" s="48">
        <v>11059844</v>
      </c>
      <c r="NR2" s="104">
        <v>10959144</v>
      </c>
      <c r="NS2" s="104">
        <v>12580726</v>
      </c>
      <c r="NT2" s="1">
        <v>32205512</v>
      </c>
      <c r="NU2" s="1">
        <v>29668106</v>
      </c>
      <c r="NV2">
        <v>13916495</v>
      </c>
      <c r="NW2" s="1">
        <v>17120579</v>
      </c>
      <c r="NX2" s="1">
        <v>11743890</v>
      </c>
      <c r="NY2" s="1">
        <v>15256784</v>
      </c>
      <c r="NZ2" s="1">
        <v>12182234</v>
      </c>
      <c r="OA2" s="1">
        <v>10902556</v>
      </c>
      <c r="OB2" s="1">
        <v>10245710</v>
      </c>
      <c r="OC2" s="48">
        <v>11511098</v>
      </c>
      <c r="OD2" s="48">
        <v>11322215</v>
      </c>
      <c r="OK2" s="48">
        <v>14305812</v>
      </c>
      <c r="OL2" s="48">
        <v>10529908</v>
      </c>
      <c r="OM2" s="48">
        <v>10320282</v>
      </c>
      <c r="ON2" s="48">
        <v>12593410</v>
      </c>
      <c r="OO2" s="48">
        <v>11101874</v>
      </c>
      <c r="OP2" s="48">
        <v>9897816</v>
      </c>
      <c r="OQ2" s="48">
        <v>10849994</v>
      </c>
      <c r="OR2" s="48">
        <v>10521638</v>
      </c>
      <c r="OS2" s="48">
        <v>10413576</v>
      </c>
      <c r="OT2" s="48">
        <v>10822678</v>
      </c>
      <c r="OU2" s="48">
        <v>12788238</v>
      </c>
      <c r="OV2" s="48">
        <v>12045984</v>
      </c>
      <c r="OW2" s="48">
        <v>10369496</v>
      </c>
      <c r="OX2" s="48">
        <v>11356064</v>
      </c>
      <c r="OY2" s="48">
        <v>11400418</v>
      </c>
      <c r="OZ2" s="48">
        <v>10850782</v>
      </c>
      <c r="PA2" s="48">
        <v>11182468</v>
      </c>
      <c r="PB2" s="104">
        <v>11532852</v>
      </c>
      <c r="PC2" s="48">
        <v>11494946</v>
      </c>
      <c r="PD2" s="48">
        <v>11023706</v>
      </c>
      <c r="PE2" s="48">
        <v>11624730</v>
      </c>
      <c r="PF2" s="48">
        <v>12394644</v>
      </c>
      <c r="PG2" s="48">
        <v>11538126</v>
      </c>
      <c r="PH2" s="48">
        <v>12220436</v>
      </c>
      <c r="PI2" s="101">
        <v>13283250</v>
      </c>
      <c r="PJ2" s="101">
        <v>11658862</v>
      </c>
      <c r="PK2" s="102">
        <v>10446246</v>
      </c>
      <c r="PL2" s="48">
        <v>11938168</v>
      </c>
      <c r="PM2" s="48">
        <v>11573444</v>
      </c>
      <c r="PN2" s="329">
        <v>11056292</v>
      </c>
      <c r="PO2" s="329">
        <v>10635656</v>
      </c>
      <c r="PP2" s="329">
        <v>11160168</v>
      </c>
      <c r="PQ2" s="329">
        <v>11736292</v>
      </c>
      <c r="PR2" s="48">
        <v>9331700</v>
      </c>
      <c r="PS2" s="48">
        <v>10214758</v>
      </c>
      <c r="PT2" s="48">
        <v>11261360</v>
      </c>
      <c r="PU2" s="48">
        <v>10328014</v>
      </c>
      <c r="PV2" s="48">
        <v>10443988</v>
      </c>
      <c r="PW2" s="48">
        <v>10672260</v>
      </c>
      <c r="PX2" s="48">
        <v>10595348</v>
      </c>
      <c r="PY2" s="2">
        <v>9701260</v>
      </c>
      <c r="PZ2" s="2">
        <v>10882762</v>
      </c>
      <c r="QA2" s="48">
        <v>10938966</v>
      </c>
      <c r="QB2" s="48">
        <v>10864494</v>
      </c>
      <c r="QC2" s="48">
        <v>10362806</v>
      </c>
      <c r="QD2" s="101">
        <v>11150294</v>
      </c>
      <c r="QE2" s="102">
        <v>10983784</v>
      </c>
      <c r="QF2" s="48">
        <v>9756920</v>
      </c>
      <c r="QG2" s="48">
        <v>11134050</v>
      </c>
      <c r="QH2" s="48">
        <v>11017490</v>
      </c>
      <c r="QI2" s="48">
        <v>10206136</v>
      </c>
      <c r="QJ2" s="5">
        <v>10623934</v>
      </c>
      <c r="QK2" s="48">
        <v>11118494</v>
      </c>
      <c r="QL2" s="48">
        <v>10553938</v>
      </c>
      <c r="QM2" s="48">
        <v>9172472</v>
      </c>
      <c r="QN2" s="48">
        <v>11015734</v>
      </c>
      <c r="QO2" s="48">
        <v>10968632</v>
      </c>
      <c r="QP2" s="48">
        <v>10449738</v>
      </c>
      <c r="QQ2" s="329">
        <v>14930848</v>
      </c>
      <c r="QR2" s="48">
        <v>13584177</v>
      </c>
      <c r="QS2" s="48">
        <v>13970190</v>
      </c>
      <c r="QT2" s="48">
        <v>13443833</v>
      </c>
      <c r="QU2" s="48">
        <v>12702008</v>
      </c>
      <c r="QV2" s="48">
        <v>14467986</v>
      </c>
      <c r="QW2" s="48">
        <v>12249198</v>
      </c>
      <c r="QX2" s="48">
        <v>10964841</v>
      </c>
      <c r="QY2" s="48">
        <v>14847863</v>
      </c>
      <c r="QZ2" s="48">
        <v>11365891</v>
      </c>
      <c r="RA2" s="48">
        <v>16655037</v>
      </c>
      <c r="RB2" s="48">
        <v>12821533</v>
      </c>
      <c r="RC2" s="48">
        <v>12477242</v>
      </c>
      <c r="RD2" s="48">
        <v>11860129</v>
      </c>
      <c r="RE2" s="48">
        <v>13984301</v>
      </c>
      <c r="RF2" s="48">
        <v>12327644</v>
      </c>
      <c r="RG2" s="48">
        <v>14285839</v>
      </c>
      <c r="RH2" s="48">
        <v>12622181</v>
      </c>
      <c r="RI2" s="158">
        <v>12361092</v>
      </c>
      <c r="RJ2" s="48">
        <v>12722434</v>
      </c>
      <c r="RK2" s="48">
        <v>12271482</v>
      </c>
      <c r="RL2" s="48">
        <v>13033708</v>
      </c>
      <c r="RM2" s="48">
        <v>13407965</v>
      </c>
      <c r="RN2" s="48">
        <v>13537942</v>
      </c>
      <c r="RO2" s="48">
        <v>13414913</v>
      </c>
      <c r="RP2" s="48">
        <v>12917053</v>
      </c>
      <c r="RQ2" s="48">
        <v>14568479</v>
      </c>
      <c r="RR2" s="48">
        <v>11320772</v>
      </c>
      <c r="RS2" s="48">
        <v>12756622</v>
      </c>
      <c r="RT2" s="48">
        <v>12795175</v>
      </c>
      <c r="RU2" s="48">
        <v>12390929</v>
      </c>
      <c r="RV2" s="48">
        <v>10807845</v>
      </c>
    </row>
    <row r="3" spans="2:490" ht="15.75" x14ac:dyDescent="0.25">
      <c r="B3" s="188">
        <v>503</v>
      </c>
      <c r="C3">
        <v>11164</v>
      </c>
      <c r="D3">
        <v>15180</v>
      </c>
      <c r="E3">
        <v>10984</v>
      </c>
      <c r="F3">
        <v>10352</v>
      </c>
      <c r="G3">
        <v>9796</v>
      </c>
      <c r="H3">
        <v>10304</v>
      </c>
      <c r="I3">
        <v>9868</v>
      </c>
      <c r="J3">
        <v>9038</v>
      </c>
      <c r="K3">
        <v>14716</v>
      </c>
      <c r="L3">
        <v>10488</v>
      </c>
      <c r="M3">
        <v>9852</v>
      </c>
      <c r="N3">
        <v>8816</v>
      </c>
      <c r="O3">
        <v>17166</v>
      </c>
      <c r="P3">
        <v>4254</v>
      </c>
      <c r="Q3">
        <v>8224</v>
      </c>
      <c r="R3">
        <v>10716</v>
      </c>
      <c r="S3">
        <v>8686</v>
      </c>
      <c r="T3">
        <v>18218</v>
      </c>
      <c r="U3">
        <v>8698</v>
      </c>
      <c r="V3">
        <v>8350</v>
      </c>
      <c r="W3">
        <v>13270</v>
      </c>
      <c r="X3">
        <v>21128</v>
      </c>
      <c r="Y3">
        <v>19876</v>
      </c>
      <c r="Z3">
        <v>12528</v>
      </c>
      <c r="AA3">
        <v>21766</v>
      </c>
      <c r="AB3">
        <v>15574</v>
      </c>
      <c r="AC3">
        <v>17116</v>
      </c>
      <c r="AD3">
        <v>10324</v>
      </c>
      <c r="AE3">
        <v>12820</v>
      </c>
      <c r="AF3">
        <v>12852</v>
      </c>
      <c r="AG3">
        <v>9526</v>
      </c>
      <c r="AH3">
        <v>11992</v>
      </c>
      <c r="AI3">
        <v>12020</v>
      </c>
      <c r="AJ3">
        <v>12666</v>
      </c>
      <c r="AK3">
        <v>9724</v>
      </c>
      <c r="AL3">
        <v>11074</v>
      </c>
      <c r="AM3">
        <v>9544</v>
      </c>
      <c r="AN3">
        <v>13500</v>
      </c>
      <c r="AO3">
        <v>19242</v>
      </c>
      <c r="AP3">
        <v>8326</v>
      </c>
      <c r="AQ3">
        <v>9324</v>
      </c>
      <c r="AR3">
        <v>10006</v>
      </c>
      <c r="AS3">
        <v>6194</v>
      </c>
      <c r="AT3">
        <v>10636</v>
      </c>
      <c r="AU3">
        <v>11684</v>
      </c>
      <c r="AV3">
        <v>11762</v>
      </c>
      <c r="AW3">
        <v>12706</v>
      </c>
      <c r="AX3">
        <v>13782</v>
      </c>
      <c r="AY3">
        <v>9828</v>
      </c>
      <c r="AZ3">
        <v>11280</v>
      </c>
      <c r="BA3">
        <v>13132</v>
      </c>
      <c r="BB3">
        <v>14758</v>
      </c>
      <c r="BC3">
        <v>14212</v>
      </c>
      <c r="BD3">
        <v>9062</v>
      </c>
      <c r="BE3">
        <v>19440</v>
      </c>
      <c r="BF3">
        <v>12350</v>
      </c>
      <c r="BG3">
        <v>10138</v>
      </c>
      <c r="BH3">
        <v>11816</v>
      </c>
      <c r="BI3">
        <v>13814</v>
      </c>
      <c r="BJ3">
        <v>9570</v>
      </c>
      <c r="BK3">
        <v>10878</v>
      </c>
      <c r="BL3">
        <v>10108</v>
      </c>
      <c r="BM3">
        <v>9200</v>
      </c>
      <c r="BN3">
        <v>9224</v>
      </c>
      <c r="BO3">
        <v>12096</v>
      </c>
      <c r="BP3">
        <v>13342</v>
      </c>
      <c r="BQ3">
        <v>10002</v>
      </c>
      <c r="BR3">
        <v>7170</v>
      </c>
      <c r="BS3">
        <v>10066</v>
      </c>
      <c r="BT3">
        <v>9306</v>
      </c>
      <c r="BU3">
        <v>6312</v>
      </c>
      <c r="BV3">
        <v>3896</v>
      </c>
      <c r="BW3">
        <v>15086</v>
      </c>
      <c r="BX3">
        <v>7468</v>
      </c>
      <c r="BY3">
        <v>7096</v>
      </c>
      <c r="BZ3">
        <v>7240</v>
      </c>
      <c r="CA3">
        <v>17128</v>
      </c>
      <c r="CB3">
        <v>7094</v>
      </c>
      <c r="CC3">
        <v>8650</v>
      </c>
      <c r="CD3">
        <v>12611</v>
      </c>
      <c r="CE3">
        <v>6260</v>
      </c>
      <c r="CF3">
        <v>6759</v>
      </c>
      <c r="CG3">
        <v>6965</v>
      </c>
      <c r="CH3">
        <v>16258</v>
      </c>
      <c r="CI3">
        <v>9476</v>
      </c>
      <c r="CJ3">
        <v>9022</v>
      </c>
      <c r="CK3">
        <v>11272</v>
      </c>
      <c r="CL3">
        <v>5652</v>
      </c>
      <c r="CM3">
        <v>724</v>
      </c>
      <c r="CO3">
        <v>30998</v>
      </c>
      <c r="CP3">
        <v>7463</v>
      </c>
      <c r="CQ3">
        <v>7304</v>
      </c>
      <c r="CR3">
        <v>10980</v>
      </c>
      <c r="CS3">
        <v>5612</v>
      </c>
      <c r="CT3">
        <v>6135</v>
      </c>
      <c r="CU3">
        <v>7423</v>
      </c>
      <c r="CV3">
        <v>15056</v>
      </c>
      <c r="CW3">
        <v>7003</v>
      </c>
      <c r="CX3">
        <v>9190</v>
      </c>
      <c r="CY3">
        <v>9170</v>
      </c>
      <c r="CZ3">
        <v>4692</v>
      </c>
      <c r="DA3">
        <v>4715</v>
      </c>
      <c r="DB3">
        <v>6064</v>
      </c>
      <c r="DC3">
        <v>11938</v>
      </c>
      <c r="DD3">
        <v>6182</v>
      </c>
      <c r="DE3">
        <v>6622</v>
      </c>
      <c r="DF3">
        <v>8918</v>
      </c>
      <c r="DG3">
        <v>4312</v>
      </c>
      <c r="DH3">
        <v>4181</v>
      </c>
      <c r="DI3">
        <v>4882</v>
      </c>
      <c r="DJ3">
        <v>11282</v>
      </c>
      <c r="DK3">
        <v>4240</v>
      </c>
      <c r="DL3">
        <v>4954</v>
      </c>
      <c r="DM3">
        <v>7920</v>
      </c>
      <c r="DN3">
        <v>3924</v>
      </c>
      <c r="DO3">
        <v>3682</v>
      </c>
      <c r="DP3">
        <v>3672</v>
      </c>
      <c r="DQ3">
        <v>9656</v>
      </c>
      <c r="DR3">
        <v>6214</v>
      </c>
      <c r="DS3">
        <v>5744</v>
      </c>
      <c r="DT3">
        <v>8080</v>
      </c>
      <c r="DU3">
        <v>3888</v>
      </c>
      <c r="DV3">
        <v>3616</v>
      </c>
      <c r="DW3">
        <v>3844</v>
      </c>
      <c r="DX3">
        <v>6896</v>
      </c>
      <c r="DY3">
        <v>6396</v>
      </c>
      <c r="DZ3">
        <v>6044</v>
      </c>
      <c r="EA3">
        <v>9278</v>
      </c>
      <c r="EB3">
        <v>4738</v>
      </c>
      <c r="EC3">
        <v>4030</v>
      </c>
      <c r="ED3">
        <v>4464</v>
      </c>
      <c r="EE3">
        <v>7889</v>
      </c>
      <c r="EF3">
        <v>6124</v>
      </c>
      <c r="EG3">
        <v>5364</v>
      </c>
      <c r="EH3">
        <v>7907</v>
      </c>
      <c r="EI3">
        <v>4544</v>
      </c>
      <c r="EJ3">
        <v>4029</v>
      </c>
      <c r="EK3">
        <v>4661</v>
      </c>
      <c r="EL3">
        <v>24015</v>
      </c>
      <c r="EM3">
        <v>5802</v>
      </c>
      <c r="EN3">
        <v>5712</v>
      </c>
      <c r="EO3">
        <v>7873</v>
      </c>
      <c r="EP3">
        <v>5495</v>
      </c>
      <c r="EQ3">
        <v>3656</v>
      </c>
      <c r="ER3">
        <v>4803</v>
      </c>
      <c r="ES3">
        <v>9729</v>
      </c>
      <c r="ET3">
        <v>5152</v>
      </c>
      <c r="EU3">
        <v>3513</v>
      </c>
      <c r="EV3">
        <v>3800</v>
      </c>
      <c r="EW3">
        <v>3090</v>
      </c>
      <c r="EX3">
        <v>3164</v>
      </c>
      <c r="EY3">
        <v>3467</v>
      </c>
      <c r="EZ3">
        <v>4008</v>
      </c>
      <c r="FA3">
        <v>3594</v>
      </c>
      <c r="FB3">
        <v>3652</v>
      </c>
      <c r="FC3">
        <v>3441</v>
      </c>
      <c r="FD3">
        <v>2692</v>
      </c>
      <c r="FE3">
        <v>2553</v>
      </c>
      <c r="FF3">
        <v>3628</v>
      </c>
      <c r="FG3">
        <v>4177</v>
      </c>
      <c r="FH3">
        <v>3367</v>
      </c>
      <c r="FI3">
        <v>3883</v>
      </c>
      <c r="FJ3">
        <v>3472</v>
      </c>
      <c r="FK3">
        <v>2884</v>
      </c>
      <c r="FL3">
        <v>3038</v>
      </c>
      <c r="FM3">
        <v>3136</v>
      </c>
      <c r="FN3">
        <v>4343</v>
      </c>
      <c r="FO3">
        <v>3315</v>
      </c>
      <c r="FP3">
        <v>2796</v>
      </c>
      <c r="FQ3">
        <v>940</v>
      </c>
      <c r="FR3">
        <v>848</v>
      </c>
      <c r="FS3">
        <v>519</v>
      </c>
      <c r="FT3">
        <v>735</v>
      </c>
      <c r="FU3">
        <v>880</v>
      </c>
      <c r="FV3">
        <v>1026</v>
      </c>
      <c r="FW3">
        <v>802</v>
      </c>
      <c r="FX3">
        <v>597</v>
      </c>
      <c r="FY3">
        <v>580</v>
      </c>
      <c r="FZ3">
        <v>524</v>
      </c>
      <c r="GA3">
        <v>948</v>
      </c>
      <c r="GB3">
        <v>832</v>
      </c>
      <c r="GC3">
        <v>1336</v>
      </c>
      <c r="GD3">
        <v>4638</v>
      </c>
      <c r="GE3">
        <v>5114</v>
      </c>
      <c r="GF3">
        <v>3238</v>
      </c>
      <c r="GG3">
        <v>3158</v>
      </c>
      <c r="GH3">
        <v>2656</v>
      </c>
      <c r="GI3">
        <v>2338</v>
      </c>
      <c r="GJ3">
        <v>2776</v>
      </c>
      <c r="GK3">
        <v>2132</v>
      </c>
      <c r="GL3">
        <v>2230</v>
      </c>
      <c r="GM3">
        <v>1866</v>
      </c>
      <c r="GN3">
        <v>1762</v>
      </c>
      <c r="GO3">
        <v>2016</v>
      </c>
      <c r="GP3">
        <v>2184</v>
      </c>
      <c r="GQ3">
        <v>2408</v>
      </c>
      <c r="GR3">
        <v>1568</v>
      </c>
      <c r="GS3">
        <v>1748</v>
      </c>
      <c r="GT3">
        <v>1910</v>
      </c>
      <c r="GU3">
        <v>1502</v>
      </c>
      <c r="GV3">
        <v>1320</v>
      </c>
      <c r="GW3">
        <v>1428</v>
      </c>
      <c r="GX3">
        <v>1956</v>
      </c>
      <c r="GY3">
        <v>1954</v>
      </c>
      <c r="GZ3">
        <v>2278</v>
      </c>
      <c r="HA3">
        <v>2016</v>
      </c>
      <c r="HB3">
        <v>776</v>
      </c>
      <c r="HC3">
        <v>1307</v>
      </c>
      <c r="HD3">
        <v>1316</v>
      </c>
      <c r="HE3">
        <v>1870</v>
      </c>
      <c r="HF3">
        <v>1196</v>
      </c>
      <c r="HG3">
        <v>1089</v>
      </c>
      <c r="HH3">
        <v>1342</v>
      </c>
      <c r="HI3">
        <v>918</v>
      </c>
      <c r="HJ3">
        <v>1265</v>
      </c>
      <c r="HK3">
        <v>1058</v>
      </c>
      <c r="HL3">
        <v>1618</v>
      </c>
      <c r="HM3">
        <v>958</v>
      </c>
      <c r="HN3">
        <v>946</v>
      </c>
      <c r="HO3">
        <v>810</v>
      </c>
      <c r="HP3">
        <v>780</v>
      </c>
      <c r="HQ3">
        <v>1014</v>
      </c>
      <c r="HR3">
        <v>926</v>
      </c>
      <c r="HS3">
        <v>1124</v>
      </c>
      <c r="HT3">
        <v>930</v>
      </c>
      <c r="HU3">
        <v>906</v>
      </c>
      <c r="HV3">
        <v>1036</v>
      </c>
      <c r="HW3">
        <v>854</v>
      </c>
      <c r="HX3">
        <v>1006</v>
      </c>
      <c r="HY3">
        <v>6326</v>
      </c>
      <c r="HZ3">
        <v>3902</v>
      </c>
      <c r="IA3">
        <v>1418</v>
      </c>
      <c r="IB3">
        <v>1218</v>
      </c>
      <c r="IC3">
        <v>1284</v>
      </c>
      <c r="ID3">
        <v>1026</v>
      </c>
      <c r="IE3">
        <v>1512</v>
      </c>
      <c r="IF3">
        <v>1620</v>
      </c>
      <c r="IG3">
        <v>2842</v>
      </c>
      <c r="IH3">
        <v>1460</v>
      </c>
      <c r="II3">
        <v>1174</v>
      </c>
      <c r="IJ3">
        <v>1238</v>
      </c>
      <c r="IK3">
        <v>524</v>
      </c>
      <c r="IL3">
        <v>1348</v>
      </c>
      <c r="IM3">
        <v>1331</v>
      </c>
      <c r="IN3">
        <v>1795</v>
      </c>
      <c r="IO3">
        <v>1158</v>
      </c>
      <c r="IP3">
        <v>1069</v>
      </c>
      <c r="IQ3">
        <v>1312</v>
      </c>
      <c r="IR3">
        <v>993</v>
      </c>
      <c r="IS3">
        <v>1059</v>
      </c>
      <c r="IT3">
        <v>1041</v>
      </c>
      <c r="IU3">
        <v>1743</v>
      </c>
      <c r="IV3">
        <v>1311</v>
      </c>
      <c r="IW3">
        <v>1261</v>
      </c>
      <c r="IX3">
        <v>966</v>
      </c>
      <c r="IY3">
        <v>778</v>
      </c>
      <c r="IZ3">
        <v>746</v>
      </c>
      <c r="JA3">
        <v>1189</v>
      </c>
      <c r="JB3">
        <v>997</v>
      </c>
      <c r="JC3">
        <v>1183</v>
      </c>
      <c r="JD3">
        <v>1230</v>
      </c>
      <c r="JE3">
        <v>932</v>
      </c>
      <c r="JF3">
        <v>674</v>
      </c>
      <c r="JG3">
        <v>718</v>
      </c>
      <c r="JH3">
        <v>911</v>
      </c>
      <c r="JI3">
        <v>1656</v>
      </c>
      <c r="JJ3">
        <v>1240</v>
      </c>
      <c r="JK3">
        <v>1440</v>
      </c>
      <c r="JL3">
        <v>1438</v>
      </c>
      <c r="JM3">
        <v>1096</v>
      </c>
      <c r="JN3">
        <v>1681</v>
      </c>
      <c r="JO3" s="112">
        <v>1535</v>
      </c>
      <c r="JP3">
        <v>1498</v>
      </c>
      <c r="JQ3">
        <v>2184</v>
      </c>
      <c r="JR3">
        <v>2879</v>
      </c>
      <c r="JS3">
        <v>1281</v>
      </c>
      <c r="JT3">
        <v>1588</v>
      </c>
      <c r="JU3">
        <v>1398</v>
      </c>
      <c r="JV3">
        <v>1719</v>
      </c>
      <c r="JW3">
        <v>1090</v>
      </c>
      <c r="JX3">
        <v>1143</v>
      </c>
      <c r="JY3">
        <v>1176</v>
      </c>
      <c r="JZ3">
        <v>4067</v>
      </c>
      <c r="KA3">
        <v>1998</v>
      </c>
      <c r="KB3">
        <v>1010</v>
      </c>
      <c r="KC3">
        <v>973</v>
      </c>
      <c r="KD3" s="108">
        <v>1517</v>
      </c>
      <c r="KE3">
        <v>1239</v>
      </c>
      <c r="KF3">
        <v>1450</v>
      </c>
      <c r="KG3">
        <v>963</v>
      </c>
      <c r="KH3">
        <v>756</v>
      </c>
      <c r="KI3">
        <v>806</v>
      </c>
      <c r="KJ3">
        <v>1517</v>
      </c>
      <c r="KK3">
        <v>1664</v>
      </c>
      <c r="KL3">
        <v>1121</v>
      </c>
      <c r="KM3">
        <v>923</v>
      </c>
      <c r="KN3">
        <v>981</v>
      </c>
      <c r="KO3">
        <v>1062</v>
      </c>
      <c r="KP3">
        <v>1436</v>
      </c>
      <c r="KQ3">
        <v>1882</v>
      </c>
      <c r="KR3">
        <v>3067</v>
      </c>
      <c r="KS3">
        <v>1059</v>
      </c>
      <c r="KT3">
        <v>850</v>
      </c>
      <c r="KU3">
        <v>943</v>
      </c>
      <c r="KV3">
        <v>756</v>
      </c>
      <c r="KW3">
        <v>962</v>
      </c>
      <c r="KX3">
        <v>1129</v>
      </c>
      <c r="KY3">
        <v>892</v>
      </c>
      <c r="KZ3" s="48">
        <v>1185</v>
      </c>
      <c r="LA3" s="48">
        <v>961</v>
      </c>
      <c r="LB3" s="48">
        <v>1131</v>
      </c>
      <c r="LC3" s="48">
        <v>1319</v>
      </c>
      <c r="LD3" s="48">
        <v>1154</v>
      </c>
      <c r="LE3" s="48">
        <v>1000</v>
      </c>
      <c r="LF3" s="158">
        <v>1343</v>
      </c>
      <c r="LG3" s="158">
        <v>1131</v>
      </c>
      <c r="LH3" s="48">
        <v>909</v>
      </c>
      <c r="LI3" s="48">
        <v>833</v>
      </c>
      <c r="LJ3" s="48">
        <v>852</v>
      </c>
      <c r="LK3" s="48">
        <v>1268</v>
      </c>
      <c r="LL3" s="48">
        <v>981</v>
      </c>
      <c r="LM3" s="48">
        <v>955</v>
      </c>
      <c r="LN3" s="48">
        <v>887</v>
      </c>
      <c r="LO3" s="48">
        <v>871</v>
      </c>
      <c r="LP3" s="48">
        <v>780</v>
      </c>
      <c r="LQ3" s="158">
        <v>837</v>
      </c>
      <c r="LR3" s="48">
        <v>838</v>
      </c>
      <c r="LS3" s="48">
        <v>870</v>
      </c>
      <c r="LT3" s="48">
        <v>805</v>
      </c>
      <c r="LU3" s="48">
        <v>729</v>
      </c>
      <c r="LV3" s="1">
        <v>873</v>
      </c>
      <c r="LW3" s="1">
        <v>768</v>
      </c>
      <c r="LX3" s="1">
        <v>757</v>
      </c>
      <c r="LY3" s="158">
        <v>702</v>
      </c>
      <c r="LZ3" s="48">
        <v>694</v>
      </c>
      <c r="MA3" s="48">
        <v>726</v>
      </c>
      <c r="MB3" s="1">
        <v>726</v>
      </c>
      <c r="MC3" s="1">
        <v>698</v>
      </c>
      <c r="MD3" s="1">
        <v>704</v>
      </c>
      <c r="ME3" s="48">
        <v>734</v>
      </c>
      <c r="MF3" s="48">
        <v>798</v>
      </c>
      <c r="MG3" s="48">
        <v>708</v>
      </c>
      <c r="MH3" s="48">
        <v>634</v>
      </c>
      <c r="MI3" s="48">
        <v>702</v>
      </c>
      <c r="MJ3" s="48">
        <v>610</v>
      </c>
      <c r="MK3" s="48">
        <v>774</v>
      </c>
      <c r="ML3" s="48">
        <v>712</v>
      </c>
      <c r="MM3" s="48">
        <v>652</v>
      </c>
      <c r="MN3" s="48">
        <v>704</v>
      </c>
      <c r="MO3" s="158">
        <v>634</v>
      </c>
      <c r="MP3" s="48">
        <v>668</v>
      </c>
      <c r="MQ3" s="1">
        <v>656</v>
      </c>
      <c r="MR3" s="1">
        <v>824</v>
      </c>
      <c r="MS3" s="1">
        <v>638</v>
      </c>
      <c r="MT3" s="1">
        <v>712</v>
      </c>
      <c r="MU3" s="1">
        <v>780</v>
      </c>
      <c r="MV3" s="1">
        <v>586</v>
      </c>
      <c r="MW3" s="1">
        <v>648</v>
      </c>
      <c r="MX3" s="48">
        <v>576</v>
      </c>
      <c r="MY3" s="48">
        <v>616</v>
      </c>
      <c r="MZ3" s="48">
        <v>618</v>
      </c>
      <c r="NA3" s="48">
        <v>606</v>
      </c>
      <c r="NB3" s="48">
        <v>702</v>
      </c>
      <c r="NC3" s="48">
        <v>576</v>
      </c>
      <c r="ND3" s="48">
        <v>800</v>
      </c>
      <c r="NE3" s="48">
        <v>530</v>
      </c>
      <c r="NF3" s="48">
        <v>938</v>
      </c>
      <c r="NG3" s="48">
        <v>528</v>
      </c>
      <c r="NH3" s="48">
        <v>624</v>
      </c>
      <c r="NI3" s="48">
        <v>648</v>
      </c>
      <c r="NJ3" s="48">
        <v>610</v>
      </c>
      <c r="NK3" s="48">
        <v>664</v>
      </c>
      <c r="NL3" s="48">
        <v>552</v>
      </c>
      <c r="NM3" s="48">
        <v>698</v>
      </c>
      <c r="NN3" s="158">
        <v>552</v>
      </c>
      <c r="NO3" s="48">
        <v>670</v>
      </c>
      <c r="NP3" s="48">
        <v>586</v>
      </c>
      <c r="NQ3" s="48">
        <v>594</v>
      </c>
      <c r="NR3" s="1">
        <v>624</v>
      </c>
      <c r="NS3" s="1">
        <v>590</v>
      </c>
      <c r="NT3" s="1">
        <v>1744</v>
      </c>
      <c r="NU3" s="1">
        <v>1487</v>
      </c>
      <c r="NV3" s="313">
        <v>1943</v>
      </c>
      <c r="NW3" s="1">
        <v>830</v>
      </c>
      <c r="NX3" s="1">
        <v>633</v>
      </c>
      <c r="NY3" s="1">
        <v>741</v>
      </c>
      <c r="NZ3" s="1">
        <v>631</v>
      </c>
      <c r="OA3" s="1">
        <v>523</v>
      </c>
      <c r="OB3" s="1">
        <v>582</v>
      </c>
      <c r="OC3" s="48">
        <v>624</v>
      </c>
      <c r="OD3" s="48">
        <v>567</v>
      </c>
      <c r="OK3" s="48">
        <v>820</v>
      </c>
      <c r="OL3" s="48">
        <v>584</v>
      </c>
      <c r="OM3" s="48">
        <v>568</v>
      </c>
      <c r="ON3" s="48">
        <v>510</v>
      </c>
      <c r="OO3" s="48">
        <v>532</v>
      </c>
      <c r="OP3" s="48">
        <v>646</v>
      </c>
      <c r="OQ3" s="48">
        <v>584</v>
      </c>
      <c r="OR3" s="48">
        <v>622</v>
      </c>
      <c r="OS3" s="48">
        <v>532</v>
      </c>
      <c r="OT3" s="48">
        <v>522</v>
      </c>
      <c r="OU3" s="48">
        <v>626</v>
      </c>
      <c r="OV3" s="48">
        <v>582</v>
      </c>
      <c r="OW3" s="48">
        <v>808</v>
      </c>
      <c r="OX3" s="48">
        <v>566</v>
      </c>
      <c r="OY3" s="48">
        <v>672</v>
      </c>
      <c r="OZ3" s="48">
        <v>620</v>
      </c>
      <c r="PA3" s="48">
        <v>1384</v>
      </c>
      <c r="PB3" s="48">
        <v>718</v>
      </c>
      <c r="PC3" s="48">
        <v>736</v>
      </c>
      <c r="PD3" s="48">
        <v>785</v>
      </c>
      <c r="PE3" s="329">
        <v>1126</v>
      </c>
      <c r="PF3" s="48">
        <v>910</v>
      </c>
      <c r="PG3" s="48">
        <v>1060</v>
      </c>
      <c r="PH3" s="48">
        <v>792</v>
      </c>
      <c r="PI3" s="48">
        <v>710</v>
      </c>
      <c r="PJ3" s="48">
        <v>926</v>
      </c>
      <c r="PK3" s="102">
        <v>1076</v>
      </c>
      <c r="PL3" s="48">
        <v>804</v>
      </c>
      <c r="PM3" s="48">
        <v>694</v>
      </c>
      <c r="PN3" s="1">
        <v>674</v>
      </c>
      <c r="PO3" s="48">
        <v>600</v>
      </c>
      <c r="PP3" s="329">
        <v>614</v>
      </c>
      <c r="PQ3" s="329">
        <v>684</v>
      </c>
      <c r="PR3" s="329">
        <v>608</v>
      </c>
      <c r="PS3" s="329">
        <v>672</v>
      </c>
      <c r="PT3" s="329">
        <v>558</v>
      </c>
      <c r="PU3" s="48">
        <v>544</v>
      </c>
      <c r="PV3" s="48">
        <v>596</v>
      </c>
      <c r="PW3" s="48">
        <v>602</v>
      </c>
      <c r="PX3" s="48">
        <v>690</v>
      </c>
      <c r="PY3" s="48">
        <v>642</v>
      </c>
      <c r="PZ3" s="2">
        <v>686</v>
      </c>
      <c r="QA3" s="48">
        <v>648</v>
      </c>
      <c r="QB3" s="48">
        <v>584</v>
      </c>
      <c r="QC3" s="48">
        <v>580</v>
      </c>
      <c r="QD3" s="48">
        <v>574</v>
      </c>
      <c r="QE3" s="158">
        <v>580</v>
      </c>
      <c r="QF3" s="48">
        <v>668</v>
      </c>
      <c r="QG3" s="48">
        <v>688</v>
      </c>
      <c r="QH3" s="48">
        <v>650</v>
      </c>
      <c r="QI3" s="48">
        <v>522</v>
      </c>
      <c r="QJ3" s="5">
        <v>590</v>
      </c>
      <c r="QK3" s="48">
        <v>590</v>
      </c>
      <c r="QL3" s="48">
        <v>488</v>
      </c>
      <c r="QM3" s="48">
        <v>548</v>
      </c>
      <c r="QN3" s="48">
        <v>546</v>
      </c>
      <c r="QO3" s="48">
        <v>566</v>
      </c>
      <c r="QP3" s="48">
        <v>554</v>
      </c>
      <c r="QQ3" s="329">
        <v>814</v>
      </c>
      <c r="QR3" s="48">
        <v>675</v>
      </c>
      <c r="QS3" s="48">
        <v>688</v>
      </c>
      <c r="QT3" s="48">
        <v>876</v>
      </c>
      <c r="QU3" s="48">
        <v>739</v>
      </c>
      <c r="QV3" s="48">
        <v>915</v>
      </c>
      <c r="QW3" s="48">
        <v>664</v>
      </c>
      <c r="QX3" s="48">
        <v>608</v>
      </c>
      <c r="QY3" s="48">
        <v>816</v>
      </c>
      <c r="QZ3" s="48">
        <v>592</v>
      </c>
      <c r="RA3" s="48">
        <v>927</v>
      </c>
      <c r="RB3" s="48">
        <v>663</v>
      </c>
      <c r="RC3" s="48">
        <v>639</v>
      </c>
      <c r="RD3" s="48">
        <v>654</v>
      </c>
      <c r="RE3" s="48">
        <v>745</v>
      </c>
      <c r="RF3" s="48">
        <v>560</v>
      </c>
      <c r="RG3" s="48">
        <v>689</v>
      </c>
      <c r="RH3" s="48">
        <v>686</v>
      </c>
      <c r="RI3" s="116">
        <v>576</v>
      </c>
      <c r="RJ3" s="48">
        <v>660</v>
      </c>
      <c r="RK3" s="48">
        <v>619</v>
      </c>
      <c r="RL3" s="48">
        <v>682</v>
      </c>
      <c r="RM3" s="48">
        <v>674</v>
      </c>
      <c r="RN3" s="48">
        <v>674</v>
      </c>
      <c r="RO3" s="48">
        <v>649</v>
      </c>
      <c r="RP3" s="48">
        <v>618</v>
      </c>
      <c r="RQ3" s="48">
        <v>903</v>
      </c>
      <c r="RR3" s="48">
        <v>553</v>
      </c>
      <c r="RS3" s="48">
        <v>652</v>
      </c>
      <c r="RT3" s="48">
        <v>595</v>
      </c>
      <c r="RU3" s="48">
        <v>645</v>
      </c>
      <c r="RV3" s="48">
        <v>619</v>
      </c>
    </row>
    <row r="4" spans="2:490" ht="15.75" x14ac:dyDescent="0.25">
      <c r="B4" s="188">
        <v>504</v>
      </c>
      <c r="C4">
        <v>1546</v>
      </c>
      <c r="D4">
        <v>1078</v>
      </c>
      <c r="E4">
        <v>2188</v>
      </c>
      <c r="F4">
        <v>1006</v>
      </c>
      <c r="G4">
        <v>3254</v>
      </c>
      <c r="H4">
        <v>2514</v>
      </c>
      <c r="I4">
        <v>982</v>
      </c>
      <c r="J4">
        <v>2612</v>
      </c>
      <c r="R4">
        <v>2295</v>
      </c>
      <c r="S4">
        <v>1198</v>
      </c>
      <c r="T4">
        <v>2406</v>
      </c>
      <c r="U4">
        <v>2766</v>
      </c>
      <c r="V4">
        <v>5100</v>
      </c>
      <c r="W4">
        <v>2144</v>
      </c>
      <c r="X4">
        <v>1078</v>
      </c>
      <c r="Y4">
        <v>1264</v>
      </c>
      <c r="Z4">
        <v>1108</v>
      </c>
      <c r="AA4">
        <v>908</v>
      </c>
      <c r="AB4">
        <v>1164</v>
      </c>
      <c r="AC4">
        <v>1216</v>
      </c>
      <c r="AD4">
        <v>1910</v>
      </c>
      <c r="AE4">
        <v>1130</v>
      </c>
      <c r="AF4">
        <v>1372</v>
      </c>
      <c r="AG4">
        <v>5680</v>
      </c>
      <c r="AH4">
        <v>6862</v>
      </c>
      <c r="AI4">
        <v>1166</v>
      </c>
      <c r="AJ4">
        <v>1642</v>
      </c>
      <c r="AK4">
        <v>2892</v>
      </c>
      <c r="AL4">
        <v>1198</v>
      </c>
      <c r="AM4">
        <v>3212</v>
      </c>
      <c r="AN4">
        <v>1318</v>
      </c>
      <c r="AO4">
        <v>1268</v>
      </c>
      <c r="AP4">
        <v>1612</v>
      </c>
      <c r="AQ4">
        <v>5826</v>
      </c>
      <c r="AR4">
        <v>2552</v>
      </c>
      <c r="AS4">
        <v>3002</v>
      </c>
      <c r="AT4">
        <v>1308</v>
      </c>
      <c r="AU4">
        <v>3478</v>
      </c>
      <c r="AV4">
        <v>1302</v>
      </c>
      <c r="AW4">
        <v>1998</v>
      </c>
      <c r="AX4">
        <v>2386</v>
      </c>
      <c r="AY4">
        <v>5162</v>
      </c>
      <c r="AZ4">
        <v>1326</v>
      </c>
      <c r="BA4">
        <v>1446</v>
      </c>
      <c r="BB4">
        <v>1248</v>
      </c>
      <c r="BC4">
        <v>1316</v>
      </c>
      <c r="BD4">
        <v>1256</v>
      </c>
      <c r="BE4">
        <v>1300</v>
      </c>
      <c r="BF4">
        <v>1396</v>
      </c>
      <c r="BG4">
        <v>1296</v>
      </c>
      <c r="BH4">
        <v>1424</v>
      </c>
      <c r="BL4">
        <v>1010</v>
      </c>
      <c r="BM4">
        <v>1041</v>
      </c>
      <c r="BN4">
        <v>1568</v>
      </c>
      <c r="BO4">
        <v>3492</v>
      </c>
      <c r="BP4">
        <v>978</v>
      </c>
      <c r="BQ4">
        <v>956</v>
      </c>
      <c r="BR4">
        <v>974</v>
      </c>
      <c r="BS4">
        <v>1214</v>
      </c>
      <c r="BT4">
        <v>1132</v>
      </c>
      <c r="BU4">
        <v>1552</v>
      </c>
      <c r="BV4">
        <v>614</v>
      </c>
      <c r="BW4">
        <v>2566</v>
      </c>
      <c r="BX4">
        <v>1134</v>
      </c>
      <c r="BY4">
        <v>1090</v>
      </c>
      <c r="BZ4">
        <v>1272</v>
      </c>
      <c r="CA4">
        <v>9441</v>
      </c>
      <c r="CB4">
        <v>916</v>
      </c>
      <c r="CC4">
        <v>1020</v>
      </c>
      <c r="CD4">
        <v>2625</v>
      </c>
      <c r="CE4">
        <v>958</v>
      </c>
      <c r="CF4">
        <v>1183</v>
      </c>
      <c r="CG4">
        <v>2068</v>
      </c>
      <c r="CH4">
        <v>3013</v>
      </c>
      <c r="CI4">
        <v>1257</v>
      </c>
      <c r="CJ4">
        <v>13077</v>
      </c>
      <c r="CK4">
        <v>4674</v>
      </c>
      <c r="CL4">
        <v>982</v>
      </c>
      <c r="CM4">
        <v>8556</v>
      </c>
      <c r="CO4">
        <v>6627</v>
      </c>
      <c r="CP4">
        <v>1664</v>
      </c>
      <c r="CQ4">
        <v>1996</v>
      </c>
      <c r="CR4">
        <v>1472</v>
      </c>
      <c r="CS4">
        <v>3318</v>
      </c>
      <c r="CT4">
        <v>1466</v>
      </c>
      <c r="CW4">
        <v>4063</v>
      </c>
      <c r="CX4">
        <v>1432</v>
      </c>
      <c r="DF4">
        <v>1046</v>
      </c>
      <c r="DG4">
        <v>1098</v>
      </c>
      <c r="DP4">
        <v>1190</v>
      </c>
      <c r="DQ4">
        <v>1201</v>
      </c>
      <c r="EA4">
        <v>1337</v>
      </c>
      <c r="EB4">
        <v>1258</v>
      </c>
      <c r="EC4">
        <v>12708</v>
      </c>
      <c r="ED4">
        <v>1356</v>
      </c>
      <c r="EE4">
        <v>1416</v>
      </c>
      <c r="EF4">
        <v>9838</v>
      </c>
      <c r="EG4">
        <v>2424</v>
      </c>
      <c r="EH4">
        <v>1971</v>
      </c>
      <c r="EI4">
        <v>5671</v>
      </c>
      <c r="EJ4">
        <v>2739</v>
      </c>
      <c r="EK4">
        <v>9290</v>
      </c>
      <c r="EL4">
        <v>13086</v>
      </c>
      <c r="EM4">
        <v>2089</v>
      </c>
      <c r="EN4">
        <v>3241</v>
      </c>
      <c r="EO4">
        <v>4009</v>
      </c>
      <c r="EP4">
        <v>3642</v>
      </c>
      <c r="EQ4">
        <v>3655</v>
      </c>
      <c r="ER4">
        <v>14269</v>
      </c>
      <c r="ES4">
        <v>2328</v>
      </c>
      <c r="ET4">
        <v>1763</v>
      </c>
      <c r="EU4">
        <v>15752</v>
      </c>
      <c r="EV4">
        <v>1841</v>
      </c>
      <c r="EW4">
        <v>6614</v>
      </c>
      <c r="EX4">
        <v>1731</v>
      </c>
      <c r="EY4">
        <v>1680</v>
      </c>
      <c r="EZ4">
        <v>1576</v>
      </c>
      <c r="FA4">
        <v>1815</v>
      </c>
      <c r="FB4">
        <v>24336</v>
      </c>
      <c r="FC4">
        <v>2983</v>
      </c>
      <c r="FD4">
        <v>5380</v>
      </c>
      <c r="FE4">
        <v>1503</v>
      </c>
      <c r="FF4">
        <v>2117</v>
      </c>
      <c r="FG4">
        <v>2436</v>
      </c>
      <c r="FH4">
        <v>4656</v>
      </c>
      <c r="FI4">
        <v>19132</v>
      </c>
      <c r="FJ4">
        <v>4014</v>
      </c>
      <c r="FK4">
        <v>149512</v>
      </c>
      <c r="FL4">
        <v>3762</v>
      </c>
      <c r="FM4">
        <v>2165</v>
      </c>
      <c r="FN4">
        <v>6800</v>
      </c>
      <c r="FO4">
        <v>1881</v>
      </c>
      <c r="FP4">
        <v>2034</v>
      </c>
      <c r="FQ4">
        <v>2674</v>
      </c>
      <c r="FR4">
        <v>1919</v>
      </c>
      <c r="FS4">
        <v>1931</v>
      </c>
      <c r="FT4">
        <v>1929</v>
      </c>
      <c r="FU4">
        <v>5116</v>
      </c>
      <c r="FV4">
        <v>5548</v>
      </c>
      <c r="FW4">
        <v>2554</v>
      </c>
      <c r="FX4">
        <v>7973</v>
      </c>
      <c r="FY4">
        <v>2142</v>
      </c>
      <c r="FZ4">
        <v>3184</v>
      </c>
      <c r="GA4">
        <v>1048</v>
      </c>
      <c r="GB4">
        <v>1404</v>
      </c>
      <c r="GC4">
        <v>826</v>
      </c>
      <c r="GD4">
        <v>154622</v>
      </c>
      <c r="GE4">
        <v>694</v>
      </c>
      <c r="GF4">
        <v>562</v>
      </c>
      <c r="GG4">
        <v>580</v>
      </c>
      <c r="GH4">
        <v>586</v>
      </c>
      <c r="GI4">
        <v>706</v>
      </c>
      <c r="GJ4">
        <v>662</v>
      </c>
      <c r="GK4">
        <v>644</v>
      </c>
      <c r="GL4">
        <v>8934</v>
      </c>
      <c r="GM4">
        <v>510</v>
      </c>
      <c r="GN4">
        <v>902</v>
      </c>
      <c r="GO4">
        <v>1406</v>
      </c>
      <c r="GP4">
        <v>3032</v>
      </c>
      <c r="GQ4">
        <v>1602</v>
      </c>
      <c r="GR4">
        <v>6360</v>
      </c>
      <c r="GS4">
        <v>6106</v>
      </c>
      <c r="GT4">
        <v>626</v>
      </c>
      <c r="GU4">
        <v>4342</v>
      </c>
      <c r="GV4">
        <v>636</v>
      </c>
      <c r="GW4">
        <v>846</v>
      </c>
      <c r="GX4">
        <v>3004</v>
      </c>
      <c r="GY4">
        <v>590</v>
      </c>
      <c r="GZ4">
        <v>1678</v>
      </c>
      <c r="HA4">
        <v>586</v>
      </c>
      <c r="HB4">
        <v>578</v>
      </c>
      <c r="HC4">
        <v>25172</v>
      </c>
      <c r="HD4">
        <v>4319</v>
      </c>
      <c r="HE4">
        <v>1440</v>
      </c>
      <c r="HF4">
        <v>1912</v>
      </c>
      <c r="HG4">
        <v>4334</v>
      </c>
      <c r="HH4">
        <v>4152</v>
      </c>
      <c r="HI4">
        <v>2412</v>
      </c>
      <c r="HJ4">
        <v>5833</v>
      </c>
      <c r="HK4">
        <v>6538</v>
      </c>
      <c r="HL4">
        <v>5362</v>
      </c>
      <c r="HM4">
        <v>2268</v>
      </c>
      <c r="HN4">
        <v>716</v>
      </c>
      <c r="HO4">
        <v>1356</v>
      </c>
      <c r="HP4">
        <v>674</v>
      </c>
      <c r="HQ4">
        <v>758</v>
      </c>
      <c r="HR4">
        <v>644</v>
      </c>
      <c r="HS4">
        <v>892</v>
      </c>
      <c r="HT4">
        <v>536</v>
      </c>
      <c r="HU4">
        <v>1544</v>
      </c>
      <c r="HV4">
        <v>700</v>
      </c>
      <c r="HW4">
        <v>588</v>
      </c>
      <c r="HX4">
        <v>3674</v>
      </c>
      <c r="HY4">
        <v>4830</v>
      </c>
      <c r="HZ4">
        <v>6892</v>
      </c>
      <c r="IA4">
        <v>732</v>
      </c>
      <c r="IB4">
        <v>783</v>
      </c>
      <c r="IC4">
        <v>8154</v>
      </c>
      <c r="ID4">
        <v>12312</v>
      </c>
      <c r="IE4">
        <v>748</v>
      </c>
      <c r="IF4">
        <v>5840</v>
      </c>
      <c r="IG4">
        <v>26174</v>
      </c>
      <c r="IH4">
        <v>10262</v>
      </c>
      <c r="II4">
        <v>1088</v>
      </c>
      <c r="IJ4">
        <v>21518</v>
      </c>
      <c r="IK4">
        <v>2322</v>
      </c>
      <c r="IL4">
        <v>1731</v>
      </c>
      <c r="IM4">
        <v>18889</v>
      </c>
      <c r="IN4">
        <v>12617</v>
      </c>
      <c r="IO4">
        <v>10970</v>
      </c>
      <c r="IP4">
        <v>5091</v>
      </c>
      <c r="IQ4">
        <v>4081</v>
      </c>
      <c r="IR4">
        <v>7933</v>
      </c>
      <c r="IS4">
        <v>1782</v>
      </c>
      <c r="IT4">
        <v>6720</v>
      </c>
      <c r="IU4">
        <v>8327</v>
      </c>
      <c r="IV4">
        <v>1979</v>
      </c>
      <c r="IW4">
        <v>4183</v>
      </c>
      <c r="IX4">
        <v>22866</v>
      </c>
      <c r="IY4">
        <v>4035</v>
      </c>
      <c r="IZ4">
        <v>1743</v>
      </c>
      <c r="JA4">
        <v>4635</v>
      </c>
      <c r="JB4">
        <v>1663</v>
      </c>
      <c r="JC4">
        <v>1944</v>
      </c>
      <c r="JD4">
        <v>3739</v>
      </c>
      <c r="JE4">
        <v>20273</v>
      </c>
      <c r="JF4">
        <v>5762</v>
      </c>
      <c r="JG4">
        <v>1238</v>
      </c>
      <c r="JH4">
        <v>1658</v>
      </c>
      <c r="JI4">
        <v>2241</v>
      </c>
      <c r="JJ4">
        <v>1873</v>
      </c>
      <c r="JK4">
        <v>2544</v>
      </c>
      <c r="JL4">
        <v>2067</v>
      </c>
      <c r="JM4">
        <v>1884</v>
      </c>
      <c r="JN4">
        <v>2164</v>
      </c>
      <c r="JO4">
        <v>2098</v>
      </c>
      <c r="JP4">
        <v>2823</v>
      </c>
      <c r="JQ4">
        <v>3376</v>
      </c>
      <c r="JR4">
        <v>10410</v>
      </c>
      <c r="JS4">
        <v>3318</v>
      </c>
      <c r="JT4">
        <v>2202</v>
      </c>
      <c r="JU4">
        <v>2562</v>
      </c>
      <c r="JV4">
        <v>11145</v>
      </c>
      <c r="JW4">
        <v>8889</v>
      </c>
      <c r="JX4">
        <v>1473</v>
      </c>
      <c r="JY4">
        <v>1680</v>
      </c>
      <c r="JZ4">
        <v>2750</v>
      </c>
      <c r="KA4">
        <v>2342</v>
      </c>
      <c r="KB4">
        <v>1326</v>
      </c>
      <c r="KC4">
        <v>6923</v>
      </c>
      <c r="KD4" s="108">
        <v>11608</v>
      </c>
      <c r="KE4">
        <v>49101</v>
      </c>
      <c r="KF4">
        <v>11177</v>
      </c>
      <c r="KG4">
        <v>1349</v>
      </c>
      <c r="KH4">
        <v>1054</v>
      </c>
      <c r="KI4">
        <v>1572</v>
      </c>
      <c r="KJ4">
        <v>1476</v>
      </c>
      <c r="KK4">
        <v>2002</v>
      </c>
      <c r="KL4">
        <v>1521</v>
      </c>
      <c r="KM4">
        <v>1561</v>
      </c>
      <c r="KN4">
        <v>1075</v>
      </c>
      <c r="KO4">
        <v>18603</v>
      </c>
      <c r="KP4">
        <v>1536</v>
      </c>
      <c r="KQ4">
        <v>2191</v>
      </c>
      <c r="KR4">
        <v>2091</v>
      </c>
      <c r="KS4">
        <v>1292</v>
      </c>
      <c r="KT4">
        <v>1990</v>
      </c>
      <c r="KU4">
        <v>11035</v>
      </c>
      <c r="KV4">
        <v>3723</v>
      </c>
      <c r="KW4">
        <v>45581</v>
      </c>
      <c r="KX4">
        <v>200149</v>
      </c>
      <c r="KY4">
        <v>1452</v>
      </c>
      <c r="KZ4" s="48">
        <v>1973</v>
      </c>
      <c r="LA4" s="48">
        <v>1807</v>
      </c>
      <c r="LB4" s="48">
        <v>1848</v>
      </c>
      <c r="LC4" s="48">
        <v>2071</v>
      </c>
      <c r="LD4" s="48">
        <v>1687</v>
      </c>
      <c r="LE4" s="48">
        <v>1386</v>
      </c>
      <c r="LF4" s="158">
        <v>1439</v>
      </c>
      <c r="LG4" s="158">
        <v>2019</v>
      </c>
      <c r="LH4" s="48">
        <v>1429</v>
      </c>
      <c r="LI4" s="48">
        <v>3934</v>
      </c>
      <c r="LJ4" s="48">
        <v>1587</v>
      </c>
      <c r="LK4" s="48">
        <v>1315</v>
      </c>
      <c r="LL4" s="48">
        <v>162850</v>
      </c>
      <c r="LM4" s="48">
        <v>1656</v>
      </c>
      <c r="LN4" s="48">
        <v>1657</v>
      </c>
      <c r="LO4" s="48">
        <v>1318</v>
      </c>
      <c r="LP4" s="48">
        <v>1655</v>
      </c>
      <c r="LQ4" s="158">
        <v>1406</v>
      </c>
      <c r="LR4" s="48">
        <v>1442</v>
      </c>
      <c r="LS4" s="48">
        <v>1209</v>
      </c>
      <c r="LT4" s="48">
        <v>2205</v>
      </c>
      <c r="LU4" s="48">
        <v>10313</v>
      </c>
      <c r="LV4" s="1">
        <v>1972</v>
      </c>
      <c r="LW4" s="1">
        <v>6194</v>
      </c>
      <c r="LX4" s="1">
        <v>5288</v>
      </c>
      <c r="LY4" s="158">
        <v>708</v>
      </c>
      <c r="LZ4" s="48">
        <v>758</v>
      </c>
      <c r="MA4" s="48">
        <v>13094</v>
      </c>
      <c r="MB4" s="1">
        <v>128970</v>
      </c>
      <c r="MC4" s="1">
        <v>9052</v>
      </c>
      <c r="MD4" s="1">
        <v>1014</v>
      </c>
      <c r="ME4" s="48">
        <v>806</v>
      </c>
      <c r="MF4" s="48">
        <v>728</v>
      </c>
      <c r="MG4" s="48">
        <v>618</v>
      </c>
      <c r="MH4" s="48">
        <v>620</v>
      </c>
      <c r="MI4" s="48">
        <v>634</v>
      </c>
      <c r="MJ4" s="48">
        <v>640</v>
      </c>
      <c r="MK4" s="48">
        <v>6906</v>
      </c>
      <c r="ML4" s="48">
        <v>516</v>
      </c>
      <c r="MM4" s="48">
        <v>11246</v>
      </c>
      <c r="MN4" s="48">
        <v>19042</v>
      </c>
      <c r="MO4" s="158">
        <v>63402</v>
      </c>
      <c r="MP4" s="48">
        <v>658</v>
      </c>
      <c r="MQ4" s="1">
        <v>24834</v>
      </c>
      <c r="MR4" s="1">
        <v>6948</v>
      </c>
      <c r="MS4" s="1">
        <v>1452</v>
      </c>
      <c r="MT4" s="1">
        <v>5560</v>
      </c>
      <c r="MU4" s="1">
        <v>908</v>
      </c>
      <c r="MV4" s="1">
        <v>524</v>
      </c>
      <c r="MW4" s="1">
        <v>532</v>
      </c>
      <c r="MX4" s="48">
        <v>13424</v>
      </c>
      <c r="MY4" s="48">
        <v>456</v>
      </c>
      <c r="MZ4" s="48">
        <v>2894</v>
      </c>
      <c r="NA4" s="48">
        <v>614</v>
      </c>
      <c r="NB4" s="48">
        <v>646</v>
      </c>
      <c r="NC4" s="48">
        <v>540</v>
      </c>
      <c r="ND4" s="48">
        <v>258570</v>
      </c>
      <c r="NE4" s="48">
        <v>768</v>
      </c>
      <c r="NF4" s="48">
        <v>554</v>
      </c>
      <c r="NG4" s="48">
        <v>516</v>
      </c>
      <c r="NH4" s="48">
        <v>2144</v>
      </c>
      <c r="NI4" s="48">
        <v>2974</v>
      </c>
      <c r="NJ4" s="48">
        <v>704</v>
      </c>
      <c r="NK4" s="48">
        <v>2354</v>
      </c>
      <c r="NL4" s="48">
        <v>590</v>
      </c>
      <c r="NM4" s="48">
        <v>588</v>
      </c>
      <c r="NN4" s="158">
        <v>3144</v>
      </c>
      <c r="NO4" s="48">
        <v>1026</v>
      </c>
      <c r="NP4" s="48">
        <v>4404</v>
      </c>
      <c r="NQ4" s="48">
        <v>662</v>
      </c>
      <c r="NR4" s="1">
        <v>612</v>
      </c>
      <c r="NS4" s="1">
        <v>621</v>
      </c>
      <c r="NT4" s="1">
        <v>3429</v>
      </c>
      <c r="NU4" s="1">
        <v>1544</v>
      </c>
      <c r="NV4" s="313">
        <v>3382</v>
      </c>
      <c r="NW4" s="1">
        <v>2417</v>
      </c>
      <c r="NX4" s="1">
        <v>567</v>
      </c>
      <c r="NY4" s="1">
        <v>956</v>
      </c>
      <c r="NZ4" s="1">
        <v>767</v>
      </c>
      <c r="OA4" s="1">
        <v>698</v>
      </c>
      <c r="OB4" s="1">
        <v>3060</v>
      </c>
      <c r="OC4" s="48">
        <v>658</v>
      </c>
      <c r="OD4" s="48">
        <v>1620</v>
      </c>
      <c r="OK4" s="48">
        <v>688</v>
      </c>
      <c r="OL4" s="48">
        <v>574</v>
      </c>
      <c r="OM4" s="48">
        <v>1468</v>
      </c>
      <c r="ON4" s="48">
        <v>510</v>
      </c>
      <c r="OO4" s="48">
        <v>514</v>
      </c>
      <c r="OP4" s="48">
        <v>492</v>
      </c>
      <c r="OQ4" s="48">
        <v>532</v>
      </c>
      <c r="OR4" s="48">
        <v>660</v>
      </c>
      <c r="OS4" s="48">
        <v>7330</v>
      </c>
      <c r="OT4" s="48">
        <v>704</v>
      </c>
      <c r="OU4" s="48">
        <v>3164</v>
      </c>
      <c r="OV4" s="48">
        <v>700</v>
      </c>
      <c r="OW4" s="48">
        <v>3850</v>
      </c>
      <c r="OX4" s="48">
        <v>680</v>
      </c>
      <c r="OY4" s="48">
        <v>14760</v>
      </c>
      <c r="OZ4" s="48">
        <v>764</v>
      </c>
      <c r="PA4" s="48">
        <v>1262</v>
      </c>
      <c r="PB4" s="48">
        <v>1842</v>
      </c>
      <c r="PC4" s="48">
        <v>616</v>
      </c>
      <c r="PD4" s="48">
        <v>747</v>
      </c>
      <c r="PE4" s="329">
        <v>568</v>
      </c>
      <c r="PF4" s="48">
        <v>3290</v>
      </c>
      <c r="PG4" s="48">
        <v>608</v>
      </c>
      <c r="PH4" s="48">
        <v>2730</v>
      </c>
      <c r="PI4" s="48">
        <v>2620</v>
      </c>
      <c r="PJ4" s="48">
        <v>540</v>
      </c>
      <c r="PK4" s="102">
        <v>34494</v>
      </c>
      <c r="PL4" s="48">
        <v>13052</v>
      </c>
      <c r="PM4" s="48">
        <v>530</v>
      </c>
      <c r="PN4" s="1">
        <v>3144</v>
      </c>
      <c r="PO4" s="329">
        <v>606</v>
      </c>
      <c r="PP4" s="329">
        <v>626</v>
      </c>
      <c r="PQ4" s="329">
        <v>253128</v>
      </c>
      <c r="PR4" s="329">
        <v>406</v>
      </c>
      <c r="PS4" s="329">
        <v>428</v>
      </c>
      <c r="PT4" s="329">
        <v>536</v>
      </c>
      <c r="PU4" s="48">
        <v>1640</v>
      </c>
      <c r="PV4" s="48">
        <v>590</v>
      </c>
      <c r="PW4" s="48">
        <v>1072</v>
      </c>
      <c r="PX4" s="48">
        <v>604</v>
      </c>
      <c r="PY4" s="48">
        <v>592</v>
      </c>
      <c r="PZ4" s="2">
        <v>658</v>
      </c>
      <c r="QA4" s="48">
        <v>3064</v>
      </c>
      <c r="QB4" s="48">
        <v>2918</v>
      </c>
      <c r="QC4" s="48">
        <v>2392</v>
      </c>
      <c r="QD4" s="48">
        <v>2532</v>
      </c>
      <c r="QE4" s="158">
        <v>2486</v>
      </c>
      <c r="QF4" s="48">
        <v>2472</v>
      </c>
      <c r="QG4" s="48">
        <v>2528</v>
      </c>
      <c r="QH4" s="48">
        <v>2596</v>
      </c>
      <c r="QI4" s="48">
        <v>2404</v>
      </c>
      <c r="QJ4" s="5">
        <v>2450</v>
      </c>
      <c r="QK4" s="48">
        <v>2450</v>
      </c>
      <c r="QL4" s="48">
        <v>3702</v>
      </c>
      <c r="QM4" s="48">
        <v>2210</v>
      </c>
      <c r="QN4" s="48">
        <v>2366</v>
      </c>
      <c r="QO4" s="48">
        <v>2528</v>
      </c>
      <c r="QP4" s="48">
        <v>2334</v>
      </c>
      <c r="QQ4" s="329">
        <v>3634</v>
      </c>
      <c r="QR4" s="48">
        <v>3322</v>
      </c>
      <c r="QS4" s="48">
        <v>3243</v>
      </c>
      <c r="QT4" s="48">
        <v>3495</v>
      </c>
      <c r="QU4" s="48">
        <v>3834</v>
      </c>
      <c r="QV4" s="48">
        <v>3587</v>
      </c>
      <c r="QW4" s="48">
        <v>4178</v>
      </c>
      <c r="QX4" s="48">
        <v>7900</v>
      </c>
      <c r="QY4" s="48">
        <v>3647</v>
      </c>
      <c r="QZ4" s="48">
        <v>2754</v>
      </c>
      <c r="RA4" s="48">
        <v>4352</v>
      </c>
      <c r="RB4" s="48">
        <v>1162</v>
      </c>
      <c r="RC4" s="48">
        <v>759</v>
      </c>
      <c r="RD4" s="48">
        <v>4047</v>
      </c>
      <c r="RE4" s="48">
        <v>4880</v>
      </c>
      <c r="RF4" s="48">
        <v>724</v>
      </c>
      <c r="RG4" s="48">
        <v>761</v>
      </c>
      <c r="RH4" s="48">
        <v>722</v>
      </c>
      <c r="RI4" s="158">
        <v>1793</v>
      </c>
      <c r="RJ4" s="48">
        <v>668</v>
      </c>
      <c r="RK4" s="48">
        <v>6019</v>
      </c>
      <c r="RL4" s="48">
        <v>1434</v>
      </c>
      <c r="RM4" s="48">
        <v>4331</v>
      </c>
      <c r="RN4" s="48">
        <v>790</v>
      </c>
      <c r="RO4" s="48">
        <v>747</v>
      </c>
      <c r="RP4" s="48">
        <v>776</v>
      </c>
      <c r="RQ4" s="48">
        <v>874</v>
      </c>
      <c r="RR4" s="48">
        <v>673</v>
      </c>
      <c r="RS4" s="48">
        <v>666</v>
      </c>
      <c r="RT4" s="48">
        <v>650</v>
      </c>
      <c r="RU4" s="48">
        <v>1108</v>
      </c>
      <c r="RV4" s="48">
        <v>1831</v>
      </c>
    </row>
    <row r="5" spans="2:490" ht="15.75" x14ac:dyDescent="0.25">
      <c r="B5" s="188">
        <v>516</v>
      </c>
      <c r="C5">
        <v>2714</v>
      </c>
      <c r="D5">
        <v>2208</v>
      </c>
      <c r="E5">
        <v>2276</v>
      </c>
      <c r="F5">
        <v>4088</v>
      </c>
      <c r="G5">
        <v>3348</v>
      </c>
      <c r="H5">
        <v>2464</v>
      </c>
      <c r="I5">
        <v>2770</v>
      </c>
      <c r="J5">
        <v>2354</v>
      </c>
      <c r="K5">
        <v>2680</v>
      </c>
      <c r="L5">
        <v>2032</v>
      </c>
      <c r="M5">
        <v>3846</v>
      </c>
      <c r="N5">
        <v>3180</v>
      </c>
      <c r="O5">
        <v>2394</v>
      </c>
      <c r="P5">
        <v>3774</v>
      </c>
      <c r="Q5">
        <v>2352</v>
      </c>
      <c r="R5">
        <v>2393</v>
      </c>
      <c r="S5">
        <v>2082</v>
      </c>
      <c r="T5">
        <v>2054</v>
      </c>
      <c r="U5">
        <v>2682</v>
      </c>
      <c r="V5">
        <v>2100</v>
      </c>
      <c r="W5">
        <v>2902</v>
      </c>
      <c r="X5">
        <v>3418</v>
      </c>
      <c r="Y5">
        <v>1686</v>
      </c>
      <c r="Z5">
        <v>3992</v>
      </c>
      <c r="AA5">
        <v>4434</v>
      </c>
      <c r="AB5">
        <v>1924</v>
      </c>
      <c r="AC5">
        <v>1530</v>
      </c>
      <c r="AD5">
        <v>1926</v>
      </c>
      <c r="AE5">
        <v>2570</v>
      </c>
      <c r="AF5">
        <v>1980</v>
      </c>
      <c r="AG5">
        <v>1816</v>
      </c>
      <c r="AH5">
        <v>4806</v>
      </c>
      <c r="AI5">
        <v>2708</v>
      </c>
      <c r="AJ5">
        <v>1740</v>
      </c>
      <c r="AK5">
        <v>2106</v>
      </c>
      <c r="AL5">
        <v>2926</v>
      </c>
      <c r="AM5">
        <v>1282</v>
      </c>
      <c r="AN5">
        <v>5792</v>
      </c>
      <c r="AO5">
        <v>8208</v>
      </c>
      <c r="AP5">
        <v>7910</v>
      </c>
      <c r="AQ5">
        <v>2364</v>
      </c>
      <c r="AR5">
        <v>1698</v>
      </c>
      <c r="AS5">
        <v>1612</v>
      </c>
      <c r="AT5">
        <v>1598</v>
      </c>
      <c r="AU5">
        <v>1662</v>
      </c>
      <c r="AV5">
        <v>1344</v>
      </c>
      <c r="AW5">
        <v>1530</v>
      </c>
      <c r="AX5">
        <v>1274</v>
      </c>
      <c r="AY5">
        <v>1996</v>
      </c>
      <c r="AZ5">
        <v>1502</v>
      </c>
      <c r="BA5">
        <v>1494</v>
      </c>
      <c r="BB5">
        <v>1492</v>
      </c>
      <c r="BC5">
        <v>1528</v>
      </c>
      <c r="BD5">
        <v>1300</v>
      </c>
      <c r="BE5">
        <v>1460</v>
      </c>
      <c r="BF5">
        <v>1550</v>
      </c>
      <c r="BG5">
        <v>1596</v>
      </c>
      <c r="BH5">
        <v>1642</v>
      </c>
      <c r="BI5">
        <v>2094</v>
      </c>
      <c r="BJ5">
        <v>1396</v>
      </c>
      <c r="BK5">
        <v>1484</v>
      </c>
      <c r="BL5">
        <v>1464</v>
      </c>
      <c r="BM5">
        <v>1366</v>
      </c>
      <c r="BN5">
        <v>1464</v>
      </c>
      <c r="BO5">
        <v>1560</v>
      </c>
      <c r="BP5">
        <v>1744</v>
      </c>
      <c r="BQ5">
        <v>1340</v>
      </c>
      <c r="BR5">
        <v>1450</v>
      </c>
      <c r="BS5">
        <v>1370</v>
      </c>
      <c r="BT5">
        <v>1436</v>
      </c>
      <c r="BU5">
        <v>1378</v>
      </c>
      <c r="BV5">
        <v>1874</v>
      </c>
      <c r="BW5">
        <v>5496</v>
      </c>
      <c r="BX5">
        <v>3490</v>
      </c>
      <c r="BY5">
        <v>1678</v>
      </c>
      <c r="BZ5">
        <v>1900</v>
      </c>
      <c r="CA5">
        <v>1948</v>
      </c>
      <c r="CB5">
        <v>1184</v>
      </c>
      <c r="CC5">
        <v>1309</v>
      </c>
      <c r="CD5">
        <v>1408</v>
      </c>
      <c r="CE5">
        <v>1400</v>
      </c>
      <c r="CF5">
        <v>1343</v>
      </c>
      <c r="CG5">
        <v>1385</v>
      </c>
      <c r="CH5">
        <v>1721</v>
      </c>
      <c r="CI5">
        <v>1449</v>
      </c>
      <c r="CJ5">
        <v>117924</v>
      </c>
      <c r="CK5">
        <v>1544</v>
      </c>
      <c r="CL5">
        <v>1242</v>
      </c>
      <c r="CM5">
        <v>215</v>
      </c>
      <c r="CO5">
        <v>3590</v>
      </c>
      <c r="CP5">
        <v>1218</v>
      </c>
      <c r="CQ5">
        <v>1412</v>
      </c>
      <c r="CR5">
        <v>1438</v>
      </c>
      <c r="CS5">
        <v>1756</v>
      </c>
      <c r="CT5">
        <v>1589</v>
      </c>
      <c r="CU5">
        <v>1774</v>
      </c>
      <c r="CV5">
        <v>1874</v>
      </c>
      <c r="CW5">
        <v>2053</v>
      </c>
      <c r="CX5">
        <v>1550</v>
      </c>
      <c r="CY5">
        <v>1924</v>
      </c>
      <c r="CZ5">
        <v>1500</v>
      </c>
      <c r="DA5">
        <v>2920</v>
      </c>
      <c r="DB5">
        <v>1678</v>
      </c>
      <c r="DC5">
        <v>1692</v>
      </c>
      <c r="DD5">
        <v>1492</v>
      </c>
      <c r="DE5">
        <v>1692</v>
      </c>
      <c r="DF5">
        <v>1574</v>
      </c>
      <c r="DG5">
        <v>1474</v>
      </c>
      <c r="DH5">
        <v>1323</v>
      </c>
      <c r="DI5">
        <v>1730</v>
      </c>
      <c r="DJ5">
        <v>2048</v>
      </c>
      <c r="DK5">
        <v>1654</v>
      </c>
      <c r="DL5">
        <v>1796</v>
      </c>
      <c r="DM5">
        <v>1658</v>
      </c>
      <c r="DN5">
        <v>1482</v>
      </c>
      <c r="DO5">
        <v>1490</v>
      </c>
      <c r="DP5">
        <v>1444</v>
      </c>
      <c r="DQ5">
        <v>1653</v>
      </c>
      <c r="DR5">
        <v>1550</v>
      </c>
      <c r="DS5">
        <v>1712</v>
      </c>
      <c r="DT5">
        <v>1832</v>
      </c>
      <c r="DU5">
        <v>1582</v>
      </c>
      <c r="DV5">
        <v>1562</v>
      </c>
      <c r="DW5">
        <v>4918</v>
      </c>
      <c r="DX5">
        <v>1724</v>
      </c>
      <c r="DY5">
        <v>1674</v>
      </c>
      <c r="DZ5">
        <v>1632</v>
      </c>
      <c r="EA5">
        <v>1874</v>
      </c>
      <c r="EB5">
        <v>1556</v>
      </c>
      <c r="EC5">
        <v>2278</v>
      </c>
      <c r="ED5">
        <v>2852</v>
      </c>
      <c r="EE5">
        <v>2021</v>
      </c>
      <c r="EF5">
        <v>10562</v>
      </c>
      <c r="EG5">
        <v>1760</v>
      </c>
      <c r="EH5">
        <v>2987</v>
      </c>
      <c r="EI5">
        <v>1649</v>
      </c>
      <c r="EJ5">
        <v>1529</v>
      </c>
      <c r="EK5">
        <v>2239</v>
      </c>
      <c r="EL5">
        <v>4878</v>
      </c>
      <c r="EM5">
        <v>1988</v>
      </c>
      <c r="EN5">
        <v>2026</v>
      </c>
      <c r="EO5">
        <v>2230</v>
      </c>
      <c r="EP5">
        <v>2366</v>
      </c>
      <c r="EQ5">
        <v>1607</v>
      </c>
      <c r="ER5">
        <v>2501</v>
      </c>
      <c r="ES5">
        <v>2983</v>
      </c>
      <c r="ET5">
        <v>2127</v>
      </c>
      <c r="EU5">
        <v>3035</v>
      </c>
      <c r="EV5">
        <v>1823</v>
      </c>
      <c r="EW5">
        <v>1760</v>
      </c>
      <c r="EX5">
        <v>1666</v>
      </c>
      <c r="EY5">
        <v>1896</v>
      </c>
      <c r="EZ5">
        <v>1728</v>
      </c>
      <c r="FA5">
        <v>1973</v>
      </c>
      <c r="FB5">
        <v>2433</v>
      </c>
      <c r="FC5">
        <v>2336</v>
      </c>
      <c r="FD5">
        <v>2064</v>
      </c>
      <c r="FE5">
        <v>1922</v>
      </c>
      <c r="FF5">
        <v>2745</v>
      </c>
      <c r="FG5">
        <v>2485</v>
      </c>
      <c r="FH5">
        <v>2176</v>
      </c>
      <c r="FI5">
        <v>9586</v>
      </c>
      <c r="FJ5">
        <v>2635</v>
      </c>
      <c r="FK5">
        <v>1804</v>
      </c>
      <c r="FL5">
        <v>1951</v>
      </c>
      <c r="FM5">
        <v>2316</v>
      </c>
      <c r="FN5">
        <v>2355</v>
      </c>
      <c r="FO5">
        <v>1728</v>
      </c>
      <c r="FP5">
        <v>2064</v>
      </c>
      <c r="FQ5">
        <v>2969</v>
      </c>
      <c r="FR5">
        <v>1751</v>
      </c>
      <c r="FS5">
        <v>1918</v>
      </c>
      <c r="FT5">
        <v>1932</v>
      </c>
      <c r="FU5">
        <v>2408</v>
      </c>
      <c r="FV5">
        <v>2091</v>
      </c>
      <c r="FW5">
        <v>2532</v>
      </c>
      <c r="FX5">
        <v>2605</v>
      </c>
      <c r="FY5">
        <v>2296</v>
      </c>
      <c r="FZ5">
        <v>2440</v>
      </c>
      <c r="GA5">
        <v>2544</v>
      </c>
      <c r="GB5">
        <v>2434</v>
      </c>
      <c r="GC5">
        <v>9354</v>
      </c>
      <c r="GD5">
        <v>2550</v>
      </c>
      <c r="GE5">
        <v>2264</v>
      </c>
      <c r="GF5">
        <v>1778</v>
      </c>
      <c r="GG5">
        <v>1770</v>
      </c>
      <c r="GH5">
        <v>1948</v>
      </c>
      <c r="GI5">
        <v>1892</v>
      </c>
      <c r="GJ5">
        <v>1980</v>
      </c>
      <c r="GK5">
        <v>1886</v>
      </c>
      <c r="GL5">
        <v>1766</v>
      </c>
      <c r="GM5">
        <v>1806</v>
      </c>
      <c r="GN5">
        <v>2278</v>
      </c>
      <c r="GO5">
        <v>2008</v>
      </c>
      <c r="GP5">
        <v>2082</v>
      </c>
      <c r="GQ5">
        <v>1840</v>
      </c>
      <c r="GR5">
        <v>2032</v>
      </c>
      <c r="GS5">
        <v>2224</v>
      </c>
      <c r="GT5">
        <v>2080</v>
      </c>
      <c r="GU5">
        <v>1974</v>
      </c>
      <c r="GV5">
        <v>2404</v>
      </c>
      <c r="GW5">
        <v>2078</v>
      </c>
      <c r="GX5">
        <v>2144</v>
      </c>
      <c r="GY5">
        <v>2714</v>
      </c>
      <c r="GZ5">
        <v>2116</v>
      </c>
      <c r="HA5">
        <v>2092</v>
      </c>
      <c r="HB5">
        <v>1642</v>
      </c>
      <c r="HC5">
        <v>2935</v>
      </c>
      <c r="HD5">
        <v>4685</v>
      </c>
      <c r="HE5">
        <v>2875</v>
      </c>
      <c r="HF5">
        <v>2432</v>
      </c>
      <c r="HG5">
        <v>2077</v>
      </c>
      <c r="HH5">
        <v>2446</v>
      </c>
      <c r="HI5">
        <v>2642</v>
      </c>
      <c r="HJ5">
        <v>1747</v>
      </c>
      <c r="HK5">
        <v>2100</v>
      </c>
      <c r="HL5">
        <v>2348</v>
      </c>
      <c r="HM5">
        <v>2604</v>
      </c>
      <c r="HN5">
        <v>2304</v>
      </c>
      <c r="HO5">
        <v>2162</v>
      </c>
      <c r="HP5">
        <v>2320</v>
      </c>
      <c r="HQ5">
        <v>2568</v>
      </c>
      <c r="HR5">
        <v>2527</v>
      </c>
      <c r="HS5">
        <v>1802</v>
      </c>
      <c r="HT5">
        <v>2022</v>
      </c>
      <c r="HU5">
        <v>2088</v>
      </c>
      <c r="HV5">
        <v>3120</v>
      </c>
      <c r="HW5">
        <v>2540</v>
      </c>
      <c r="HX5">
        <v>2724</v>
      </c>
      <c r="HY5">
        <v>2520</v>
      </c>
      <c r="HZ5">
        <v>2670</v>
      </c>
      <c r="IA5">
        <v>2468</v>
      </c>
      <c r="IB5">
        <v>2573</v>
      </c>
      <c r="IC5">
        <v>2720</v>
      </c>
      <c r="ID5">
        <v>2746</v>
      </c>
      <c r="IE5">
        <v>2782</v>
      </c>
      <c r="IF5">
        <v>2536</v>
      </c>
      <c r="IG5">
        <v>4830</v>
      </c>
      <c r="IH5">
        <v>3580</v>
      </c>
      <c r="II5">
        <v>4912</v>
      </c>
      <c r="IJ5">
        <v>2168</v>
      </c>
      <c r="IK5">
        <v>1120</v>
      </c>
      <c r="IL5">
        <v>3142</v>
      </c>
      <c r="IM5">
        <v>2652</v>
      </c>
      <c r="IN5">
        <v>2372</v>
      </c>
      <c r="IO5">
        <v>4039</v>
      </c>
      <c r="IP5">
        <v>3089</v>
      </c>
      <c r="IQ5">
        <v>3979</v>
      </c>
      <c r="IR5">
        <v>2546</v>
      </c>
      <c r="IS5">
        <v>2870</v>
      </c>
      <c r="IT5">
        <v>3008</v>
      </c>
      <c r="IU5">
        <v>4726</v>
      </c>
      <c r="IV5">
        <v>2694</v>
      </c>
      <c r="IW5">
        <v>3416</v>
      </c>
      <c r="IX5">
        <v>2638</v>
      </c>
      <c r="IY5">
        <v>1888</v>
      </c>
      <c r="IZ5">
        <v>1684</v>
      </c>
      <c r="JA5">
        <v>1895</v>
      </c>
      <c r="JB5">
        <v>3835</v>
      </c>
      <c r="JC5">
        <v>2769</v>
      </c>
      <c r="JD5">
        <v>2938</v>
      </c>
      <c r="JE5">
        <v>2831</v>
      </c>
      <c r="JF5">
        <v>2607</v>
      </c>
      <c r="JG5">
        <v>1529</v>
      </c>
      <c r="JH5">
        <v>1932</v>
      </c>
      <c r="JI5">
        <v>3009</v>
      </c>
      <c r="JJ5">
        <v>2230</v>
      </c>
      <c r="JK5">
        <v>3714</v>
      </c>
      <c r="JL5">
        <v>2950</v>
      </c>
      <c r="JM5">
        <v>4524</v>
      </c>
      <c r="JN5">
        <v>3194</v>
      </c>
      <c r="JO5" s="112">
        <v>4031</v>
      </c>
      <c r="JP5">
        <v>4041</v>
      </c>
      <c r="JQ5">
        <v>4099</v>
      </c>
      <c r="JR5">
        <v>3471</v>
      </c>
      <c r="JS5">
        <v>3363</v>
      </c>
      <c r="JT5">
        <v>2761</v>
      </c>
      <c r="JU5">
        <v>2580</v>
      </c>
      <c r="JV5">
        <v>2689</v>
      </c>
      <c r="JW5">
        <v>3443</v>
      </c>
      <c r="JX5">
        <v>2889</v>
      </c>
      <c r="JY5">
        <v>2281</v>
      </c>
      <c r="JZ5">
        <v>4328</v>
      </c>
      <c r="KA5">
        <v>3382</v>
      </c>
      <c r="KB5">
        <v>2729</v>
      </c>
      <c r="KC5">
        <v>2341</v>
      </c>
      <c r="KD5" s="108">
        <v>2143</v>
      </c>
      <c r="KE5">
        <v>2913</v>
      </c>
      <c r="KF5">
        <v>3573</v>
      </c>
      <c r="KG5">
        <v>2758</v>
      </c>
      <c r="KH5">
        <v>1952</v>
      </c>
      <c r="KI5">
        <v>1998</v>
      </c>
      <c r="KJ5">
        <v>2006</v>
      </c>
      <c r="KK5">
        <v>3005</v>
      </c>
      <c r="KL5">
        <v>2801</v>
      </c>
      <c r="KM5">
        <v>3525</v>
      </c>
      <c r="KN5">
        <v>2116</v>
      </c>
      <c r="KO5">
        <v>2688</v>
      </c>
      <c r="KP5">
        <v>2213</v>
      </c>
      <c r="KQ5">
        <v>4123</v>
      </c>
      <c r="KR5">
        <v>4045</v>
      </c>
      <c r="KS5">
        <v>2027</v>
      </c>
      <c r="KT5">
        <v>1975</v>
      </c>
      <c r="KU5">
        <v>2977</v>
      </c>
      <c r="KV5">
        <v>2312</v>
      </c>
      <c r="KW5">
        <v>2379</v>
      </c>
      <c r="KX5">
        <v>3526</v>
      </c>
      <c r="KY5">
        <v>2960</v>
      </c>
      <c r="KZ5" s="48">
        <v>3895</v>
      </c>
      <c r="LA5" s="48">
        <v>2593</v>
      </c>
      <c r="LB5" s="48">
        <v>2840</v>
      </c>
      <c r="LC5" s="48">
        <v>3679</v>
      </c>
      <c r="LD5" s="48">
        <v>2648</v>
      </c>
      <c r="LE5" s="48">
        <v>3436</v>
      </c>
      <c r="LF5" s="158">
        <v>9492</v>
      </c>
      <c r="LG5" s="158">
        <v>6354</v>
      </c>
      <c r="LH5" s="48">
        <v>2295</v>
      </c>
      <c r="LI5" s="48">
        <v>2484</v>
      </c>
      <c r="LJ5" s="48">
        <v>3712</v>
      </c>
      <c r="LK5" s="48">
        <v>2953</v>
      </c>
      <c r="LL5" s="48">
        <v>3197</v>
      </c>
      <c r="LM5" s="48">
        <v>2786</v>
      </c>
      <c r="LN5" s="48">
        <v>4790</v>
      </c>
      <c r="LO5" s="48">
        <v>2882</v>
      </c>
      <c r="LP5" s="48">
        <v>7236</v>
      </c>
      <c r="LQ5" s="158">
        <v>3315</v>
      </c>
      <c r="LR5" s="48">
        <v>4081</v>
      </c>
      <c r="LS5" s="48">
        <v>4301</v>
      </c>
      <c r="LT5" s="48">
        <v>3788</v>
      </c>
      <c r="LU5" s="48">
        <v>4025</v>
      </c>
      <c r="LV5" s="48">
        <v>3876</v>
      </c>
      <c r="LW5" s="1">
        <v>6325</v>
      </c>
      <c r="LX5" s="1">
        <v>3026</v>
      </c>
      <c r="LY5" s="158">
        <v>3832</v>
      </c>
      <c r="LZ5" s="48">
        <v>4272</v>
      </c>
      <c r="MA5" s="48">
        <v>3416</v>
      </c>
      <c r="MB5" s="1">
        <v>2800</v>
      </c>
      <c r="MC5" s="1">
        <v>3256</v>
      </c>
      <c r="MD5" s="1">
        <v>2572</v>
      </c>
      <c r="ME5" s="48">
        <v>2338</v>
      </c>
      <c r="MF5" s="48">
        <v>2552</v>
      </c>
      <c r="MG5" s="48">
        <v>3220</v>
      </c>
      <c r="MH5" s="48">
        <v>4368</v>
      </c>
      <c r="MI5" s="48">
        <v>2106</v>
      </c>
      <c r="MJ5" s="48">
        <v>2346</v>
      </c>
      <c r="MK5" s="48">
        <v>2606</v>
      </c>
      <c r="ML5" s="48">
        <v>2480</v>
      </c>
      <c r="MM5" s="48">
        <v>2250</v>
      </c>
      <c r="MN5" s="48">
        <v>2480</v>
      </c>
      <c r="MO5" s="158">
        <v>3714</v>
      </c>
      <c r="MP5" s="48">
        <v>3198</v>
      </c>
      <c r="MQ5" s="1">
        <v>2418</v>
      </c>
      <c r="MR5" s="1">
        <v>2180</v>
      </c>
      <c r="MS5" s="1">
        <v>2104</v>
      </c>
      <c r="MT5" s="1">
        <v>2048</v>
      </c>
      <c r="MU5" s="1">
        <v>2316</v>
      </c>
      <c r="MV5" s="1">
        <v>2022</v>
      </c>
      <c r="MW5" s="1">
        <v>2420</v>
      </c>
      <c r="MX5" s="48">
        <v>2528</v>
      </c>
      <c r="MY5" s="48">
        <v>2226</v>
      </c>
      <c r="MZ5" s="48">
        <v>2194</v>
      </c>
      <c r="NA5" s="48">
        <v>2418</v>
      </c>
      <c r="NB5" s="48">
        <v>2842</v>
      </c>
      <c r="NC5" s="48">
        <v>2066</v>
      </c>
      <c r="ND5" s="48">
        <v>4656</v>
      </c>
      <c r="NE5" s="48">
        <v>5058</v>
      </c>
      <c r="NF5" s="48">
        <v>5026</v>
      </c>
      <c r="NG5" s="48">
        <v>4364</v>
      </c>
      <c r="NH5" s="48">
        <v>4580</v>
      </c>
      <c r="NI5" s="48">
        <v>4064</v>
      </c>
      <c r="NJ5" s="48">
        <v>3792</v>
      </c>
      <c r="NK5" s="48">
        <v>3654</v>
      </c>
      <c r="NL5" s="48">
        <v>3986</v>
      </c>
      <c r="NM5" s="48">
        <v>3472</v>
      </c>
      <c r="NN5" s="158">
        <v>2878</v>
      </c>
      <c r="NO5" s="48">
        <v>3430</v>
      </c>
      <c r="NP5" s="48">
        <v>3878</v>
      </c>
      <c r="NQ5" s="48">
        <v>3336</v>
      </c>
      <c r="NR5" s="1">
        <v>3026</v>
      </c>
      <c r="NS5" s="1">
        <v>3087</v>
      </c>
      <c r="NT5" s="1">
        <v>11699</v>
      </c>
      <c r="NU5" s="1">
        <v>8870</v>
      </c>
      <c r="NV5" s="313">
        <v>11877</v>
      </c>
      <c r="NW5" s="1">
        <v>3477</v>
      </c>
      <c r="NX5" s="1">
        <v>2517</v>
      </c>
      <c r="NY5" s="1">
        <v>2990</v>
      </c>
      <c r="NZ5" s="1">
        <v>2457</v>
      </c>
      <c r="OA5" s="1">
        <v>2068</v>
      </c>
      <c r="OB5" s="1">
        <v>2148</v>
      </c>
      <c r="OC5" s="48">
        <v>2154</v>
      </c>
      <c r="OD5" s="48">
        <v>1999</v>
      </c>
      <c r="OK5" s="48">
        <v>2893</v>
      </c>
      <c r="OL5" s="48">
        <v>2083</v>
      </c>
      <c r="OM5" s="48">
        <v>3480</v>
      </c>
      <c r="ON5" s="48">
        <v>2296</v>
      </c>
      <c r="OO5" s="48">
        <v>2120</v>
      </c>
      <c r="OP5" s="48">
        <v>1810</v>
      </c>
      <c r="OQ5" s="48">
        <v>6184</v>
      </c>
      <c r="OR5" s="48">
        <v>2212</v>
      </c>
      <c r="OS5" s="48">
        <v>2276</v>
      </c>
      <c r="OT5" s="48">
        <v>3524</v>
      </c>
      <c r="OU5" s="48">
        <v>17946</v>
      </c>
      <c r="OV5" s="48">
        <v>2156</v>
      </c>
      <c r="OW5" s="48">
        <v>1950</v>
      </c>
      <c r="OX5" s="48">
        <v>2028</v>
      </c>
      <c r="OY5" s="48">
        <v>2842</v>
      </c>
      <c r="OZ5" s="48">
        <v>2810</v>
      </c>
      <c r="PA5" s="48">
        <v>2666</v>
      </c>
      <c r="PB5" s="48">
        <v>2344</v>
      </c>
      <c r="PC5" s="48">
        <v>2194</v>
      </c>
      <c r="PD5" s="48">
        <v>2338</v>
      </c>
      <c r="PE5" s="329">
        <v>2748</v>
      </c>
      <c r="PF5" s="48">
        <v>2202</v>
      </c>
      <c r="PG5" s="48">
        <v>3152</v>
      </c>
      <c r="PH5" s="48">
        <v>2756</v>
      </c>
      <c r="PI5" s="48">
        <v>2476</v>
      </c>
      <c r="PJ5" s="48">
        <v>2106</v>
      </c>
      <c r="PK5" s="102">
        <v>1952</v>
      </c>
      <c r="PL5" s="48">
        <v>2244</v>
      </c>
      <c r="PM5" s="48">
        <v>2054</v>
      </c>
      <c r="PN5" s="1">
        <v>1982</v>
      </c>
      <c r="PO5" s="329">
        <v>1978</v>
      </c>
      <c r="PP5" s="329">
        <v>2072</v>
      </c>
      <c r="PQ5" s="329">
        <v>3594</v>
      </c>
      <c r="PR5" s="329">
        <v>1622</v>
      </c>
      <c r="PS5" s="329">
        <v>2046</v>
      </c>
      <c r="PT5" s="329">
        <v>3374</v>
      </c>
      <c r="PU5" s="48">
        <v>1914</v>
      </c>
      <c r="PV5" s="48">
        <v>3952</v>
      </c>
      <c r="PW5" s="48">
        <v>2938</v>
      </c>
      <c r="PX5" s="48">
        <v>1730</v>
      </c>
      <c r="PY5" s="48">
        <v>1702</v>
      </c>
      <c r="PZ5" s="2">
        <v>1948</v>
      </c>
      <c r="QA5" s="48">
        <v>2256</v>
      </c>
      <c r="QB5" s="48">
        <v>1770</v>
      </c>
      <c r="QC5" s="48">
        <v>2886</v>
      </c>
      <c r="QD5" s="48">
        <v>2056</v>
      </c>
      <c r="QE5" s="158">
        <v>2052</v>
      </c>
      <c r="QF5" s="48">
        <v>3218</v>
      </c>
      <c r="QG5" s="48">
        <v>1988</v>
      </c>
      <c r="QH5" s="48">
        <v>2536</v>
      </c>
      <c r="QI5" s="48">
        <v>1754</v>
      </c>
      <c r="QJ5" s="5">
        <v>2236</v>
      </c>
      <c r="QK5" s="48">
        <v>2236</v>
      </c>
      <c r="QL5" s="48">
        <v>5006</v>
      </c>
      <c r="QM5" s="48">
        <v>1526</v>
      </c>
      <c r="QN5" s="48">
        <v>2258</v>
      </c>
      <c r="QO5" s="48">
        <v>1682</v>
      </c>
      <c r="QP5" s="48">
        <v>1776</v>
      </c>
      <c r="QQ5" s="329">
        <v>2691</v>
      </c>
      <c r="QR5" s="48">
        <v>2269</v>
      </c>
      <c r="QS5" s="48">
        <v>2480</v>
      </c>
      <c r="QT5" s="48">
        <v>2192</v>
      </c>
      <c r="QU5" s="48">
        <v>2322</v>
      </c>
      <c r="QV5" s="48">
        <v>4899</v>
      </c>
      <c r="QW5" s="48">
        <v>5631</v>
      </c>
      <c r="QX5" s="48">
        <v>8026</v>
      </c>
      <c r="QY5" s="48">
        <v>9756</v>
      </c>
      <c r="QZ5" s="48">
        <v>6839</v>
      </c>
      <c r="RA5" s="48">
        <v>10386</v>
      </c>
      <c r="RB5" s="48">
        <v>8027</v>
      </c>
      <c r="RC5" s="48">
        <v>7704</v>
      </c>
      <c r="RD5" s="48">
        <v>7171</v>
      </c>
      <c r="RE5" s="48">
        <v>9165</v>
      </c>
      <c r="RF5" s="48">
        <v>7443</v>
      </c>
      <c r="RG5" s="48">
        <v>7958</v>
      </c>
      <c r="RH5" s="48">
        <v>7359</v>
      </c>
      <c r="RI5" s="158">
        <v>7561</v>
      </c>
      <c r="RJ5" s="48">
        <v>8246</v>
      </c>
      <c r="RK5" s="48">
        <v>6715</v>
      </c>
      <c r="RL5" s="48">
        <v>7607</v>
      </c>
      <c r="RM5" s="48">
        <v>7609</v>
      </c>
      <c r="RN5" s="48">
        <v>7392</v>
      </c>
      <c r="RO5" s="48">
        <v>7671</v>
      </c>
      <c r="RP5" s="48">
        <v>7007</v>
      </c>
      <c r="RQ5" s="48">
        <v>7812</v>
      </c>
      <c r="RR5" s="48">
        <v>6399</v>
      </c>
      <c r="RS5" s="48">
        <v>7607</v>
      </c>
      <c r="RT5" s="48">
        <v>7625</v>
      </c>
      <c r="RU5" s="48">
        <v>7275</v>
      </c>
      <c r="RV5" s="48">
        <v>8469</v>
      </c>
    </row>
    <row r="6" spans="2:490" ht="15.75" x14ac:dyDescent="0.25">
      <c r="B6" s="187">
        <v>549</v>
      </c>
      <c r="BF6">
        <v>2</v>
      </c>
      <c r="BG6">
        <v>14</v>
      </c>
      <c r="BH6">
        <v>4</v>
      </c>
      <c r="BM6">
        <v>2</v>
      </c>
      <c r="BN6">
        <v>2</v>
      </c>
      <c r="BO6">
        <v>188</v>
      </c>
      <c r="BQ6">
        <v>4</v>
      </c>
      <c r="BR6">
        <v>2</v>
      </c>
      <c r="BT6">
        <v>2</v>
      </c>
      <c r="BU6">
        <v>4</v>
      </c>
      <c r="BV6">
        <v>2</v>
      </c>
      <c r="BW6">
        <v>4</v>
      </c>
      <c r="BY6">
        <v>2</v>
      </c>
      <c r="BZ6">
        <v>4</v>
      </c>
      <c r="CA6">
        <v>5</v>
      </c>
      <c r="CB6">
        <v>2</v>
      </c>
      <c r="CC6">
        <v>2</v>
      </c>
      <c r="CE6">
        <v>2</v>
      </c>
      <c r="CG6">
        <v>10</v>
      </c>
      <c r="CH6">
        <v>10</v>
      </c>
      <c r="CI6">
        <v>2</v>
      </c>
      <c r="CJ6">
        <v>2</v>
      </c>
      <c r="CK6">
        <v>6</v>
      </c>
      <c r="CL6">
        <v>2</v>
      </c>
      <c r="CM6">
        <v>2582</v>
      </c>
      <c r="CO6">
        <v>10194</v>
      </c>
      <c r="CP6">
        <v>5675</v>
      </c>
      <c r="CQ6">
        <v>4</v>
      </c>
      <c r="CR6">
        <v>2</v>
      </c>
      <c r="CS6">
        <v>10</v>
      </c>
      <c r="CT6">
        <v>9</v>
      </c>
      <c r="CU6">
        <v>3</v>
      </c>
      <c r="CV6">
        <v>6</v>
      </c>
      <c r="CW6">
        <v>3</v>
      </c>
      <c r="CZ6">
        <v>2</v>
      </c>
      <c r="DA6">
        <v>6</v>
      </c>
      <c r="DB6">
        <v>4</v>
      </c>
      <c r="DC6">
        <v>2</v>
      </c>
      <c r="DD6">
        <v>22</v>
      </c>
      <c r="DE6">
        <v>202</v>
      </c>
      <c r="DF6">
        <v>134</v>
      </c>
      <c r="DG6">
        <v>894</v>
      </c>
      <c r="DH6">
        <v>180</v>
      </c>
      <c r="DI6">
        <v>164</v>
      </c>
      <c r="DJ6">
        <v>108</v>
      </c>
      <c r="DK6">
        <v>272</v>
      </c>
      <c r="DL6">
        <v>1064</v>
      </c>
      <c r="DM6">
        <v>114</v>
      </c>
      <c r="DN6">
        <v>64</v>
      </c>
      <c r="DO6">
        <v>20</v>
      </c>
      <c r="DP6">
        <v>82</v>
      </c>
      <c r="DQ6">
        <v>162</v>
      </c>
      <c r="DR6">
        <v>776</v>
      </c>
      <c r="DS6">
        <v>158</v>
      </c>
      <c r="DT6">
        <v>624</v>
      </c>
      <c r="DU6">
        <v>42</v>
      </c>
      <c r="DV6">
        <v>1651</v>
      </c>
      <c r="DW6">
        <v>260</v>
      </c>
      <c r="DX6">
        <v>10</v>
      </c>
      <c r="DY6">
        <v>322</v>
      </c>
      <c r="DZ6">
        <v>322</v>
      </c>
      <c r="EA6">
        <v>258</v>
      </c>
      <c r="EB6">
        <v>16</v>
      </c>
      <c r="EC6">
        <v>102</v>
      </c>
      <c r="ED6">
        <v>42</v>
      </c>
      <c r="EE6">
        <v>227</v>
      </c>
      <c r="EF6">
        <v>162</v>
      </c>
      <c r="EG6">
        <v>68</v>
      </c>
      <c r="EH6">
        <v>85</v>
      </c>
      <c r="EI6">
        <v>52</v>
      </c>
      <c r="EJ6">
        <v>138</v>
      </c>
      <c r="EK6">
        <v>20125</v>
      </c>
      <c r="EL6">
        <v>8720</v>
      </c>
      <c r="EM6">
        <v>14</v>
      </c>
      <c r="EN6">
        <v>11</v>
      </c>
      <c r="EP6">
        <v>774</v>
      </c>
      <c r="EQ6">
        <v>534</v>
      </c>
      <c r="ER6">
        <v>4</v>
      </c>
      <c r="ES6">
        <v>9</v>
      </c>
      <c r="ET6">
        <v>1</v>
      </c>
      <c r="EU6">
        <v>6</v>
      </c>
      <c r="EV6">
        <v>4</v>
      </c>
      <c r="EW6">
        <v>62</v>
      </c>
      <c r="EX6">
        <v>3</v>
      </c>
      <c r="EY6">
        <v>2</v>
      </c>
      <c r="EZ6">
        <v>6</v>
      </c>
      <c r="FA6">
        <v>1198</v>
      </c>
      <c r="FB6">
        <v>4329</v>
      </c>
      <c r="FC6">
        <v>4028</v>
      </c>
      <c r="FD6">
        <v>3902</v>
      </c>
      <c r="FE6">
        <v>2814</v>
      </c>
      <c r="FF6">
        <v>1700</v>
      </c>
      <c r="FG6">
        <v>1530</v>
      </c>
      <c r="FH6">
        <v>1407</v>
      </c>
      <c r="FI6">
        <v>1795</v>
      </c>
      <c r="FJ6">
        <v>1666</v>
      </c>
      <c r="FK6">
        <v>1430</v>
      </c>
      <c r="FL6">
        <v>1516</v>
      </c>
      <c r="FM6">
        <v>1636</v>
      </c>
      <c r="FN6">
        <v>1980</v>
      </c>
      <c r="FO6">
        <v>1438</v>
      </c>
      <c r="FP6">
        <v>1628</v>
      </c>
      <c r="FQ6">
        <v>2196</v>
      </c>
      <c r="FR6">
        <v>1642</v>
      </c>
      <c r="FS6">
        <v>2200</v>
      </c>
      <c r="FT6">
        <v>1956</v>
      </c>
      <c r="FU6">
        <v>2080</v>
      </c>
      <c r="FV6">
        <v>1434</v>
      </c>
      <c r="FW6">
        <v>1255</v>
      </c>
      <c r="FX6">
        <v>25629</v>
      </c>
      <c r="FY6">
        <v>2670</v>
      </c>
      <c r="FZ6">
        <v>2468</v>
      </c>
      <c r="GA6">
        <v>3080</v>
      </c>
      <c r="GB6">
        <v>2628</v>
      </c>
      <c r="GC6">
        <v>1356</v>
      </c>
      <c r="GD6">
        <v>6</v>
      </c>
      <c r="GE6">
        <v>2</v>
      </c>
      <c r="GF6">
        <v>6</v>
      </c>
      <c r="GG6">
        <v>4</v>
      </c>
      <c r="GH6">
        <v>4</v>
      </c>
      <c r="GJ6">
        <v>4</v>
      </c>
      <c r="GK6">
        <v>8</v>
      </c>
      <c r="GL6">
        <v>6</v>
      </c>
      <c r="GM6">
        <v>4</v>
      </c>
      <c r="GO6">
        <v>2</v>
      </c>
      <c r="GP6">
        <v>4</v>
      </c>
      <c r="GQ6">
        <v>4</v>
      </c>
      <c r="GR6">
        <v>2</v>
      </c>
      <c r="GS6">
        <v>8</v>
      </c>
      <c r="GT6">
        <v>4</v>
      </c>
      <c r="GU6">
        <v>10</v>
      </c>
      <c r="GV6">
        <v>4</v>
      </c>
      <c r="GW6">
        <v>2</v>
      </c>
      <c r="GX6">
        <v>6</v>
      </c>
      <c r="GY6">
        <v>4</v>
      </c>
      <c r="GZ6">
        <v>10</v>
      </c>
      <c r="HB6">
        <v>2</v>
      </c>
      <c r="HC6">
        <v>7</v>
      </c>
      <c r="HD6">
        <v>2</v>
      </c>
      <c r="HE6">
        <v>4</v>
      </c>
      <c r="HG6">
        <v>4</v>
      </c>
      <c r="HH6">
        <v>2</v>
      </c>
      <c r="HI6">
        <v>6</v>
      </c>
      <c r="HJ6">
        <v>6</v>
      </c>
      <c r="HK6">
        <v>4</v>
      </c>
      <c r="HL6">
        <v>4</v>
      </c>
      <c r="HM6">
        <v>4</v>
      </c>
      <c r="HN6">
        <v>4</v>
      </c>
      <c r="HO6">
        <v>2</v>
      </c>
      <c r="HP6">
        <v>2</v>
      </c>
      <c r="HR6">
        <v>2</v>
      </c>
      <c r="HS6">
        <v>8</v>
      </c>
      <c r="HT6">
        <v>6</v>
      </c>
      <c r="HU6">
        <v>4</v>
      </c>
      <c r="HV6">
        <v>48</v>
      </c>
      <c r="HX6">
        <v>2</v>
      </c>
      <c r="HY6">
        <v>38</v>
      </c>
      <c r="HZ6">
        <v>32</v>
      </c>
      <c r="IA6">
        <v>8</v>
      </c>
      <c r="IB6">
        <v>2</v>
      </c>
      <c r="IC6">
        <v>6</v>
      </c>
      <c r="ID6">
        <v>136</v>
      </c>
      <c r="IE6">
        <v>4</v>
      </c>
      <c r="IF6">
        <v>2</v>
      </c>
      <c r="IG6">
        <v>6</v>
      </c>
      <c r="IH6">
        <v>4</v>
      </c>
      <c r="II6">
        <v>2</v>
      </c>
      <c r="IJ6">
        <v>2</v>
      </c>
      <c r="IK6">
        <v>708</v>
      </c>
      <c r="IL6">
        <v>986</v>
      </c>
      <c r="IM6">
        <v>878</v>
      </c>
      <c r="IN6">
        <v>933</v>
      </c>
      <c r="IO6">
        <v>923</v>
      </c>
      <c r="IP6">
        <v>1195</v>
      </c>
      <c r="IQ6">
        <v>1210</v>
      </c>
      <c r="IR6">
        <v>1047</v>
      </c>
      <c r="IS6">
        <v>1002</v>
      </c>
      <c r="IT6">
        <v>847</v>
      </c>
      <c r="IU6">
        <v>942</v>
      </c>
      <c r="IV6">
        <v>1151</v>
      </c>
      <c r="IW6">
        <v>698</v>
      </c>
      <c r="IX6">
        <v>270</v>
      </c>
      <c r="IY6">
        <v>6</v>
      </c>
      <c r="IZ6">
        <v>10</v>
      </c>
      <c r="JA6">
        <v>2</v>
      </c>
      <c r="JB6">
        <v>9</v>
      </c>
      <c r="JC6">
        <v>8</v>
      </c>
      <c r="JD6">
        <v>5</v>
      </c>
      <c r="JE6">
        <v>59</v>
      </c>
      <c r="JF6">
        <v>4</v>
      </c>
      <c r="JG6">
        <v>4</v>
      </c>
      <c r="JH6">
        <v>5</v>
      </c>
      <c r="JI6">
        <v>24</v>
      </c>
      <c r="JJ6">
        <v>41</v>
      </c>
      <c r="JK6">
        <v>6</v>
      </c>
      <c r="JL6">
        <v>3</v>
      </c>
      <c r="JM6">
        <v>1</v>
      </c>
      <c r="JN6">
        <v>11</v>
      </c>
      <c r="JO6" s="112">
        <v>10</v>
      </c>
      <c r="JP6">
        <v>16</v>
      </c>
      <c r="JQ6">
        <v>8</v>
      </c>
      <c r="JR6">
        <v>10</v>
      </c>
      <c r="JS6">
        <v>12</v>
      </c>
      <c r="JT6">
        <v>12</v>
      </c>
      <c r="JU6">
        <v>9</v>
      </c>
      <c r="JV6">
        <v>12</v>
      </c>
      <c r="JW6">
        <v>5</v>
      </c>
      <c r="JX6">
        <v>9</v>
      </c>
      <c r="JY6">
        <v>9</v>
      </c>
      <c r="JZ6">
        <v>10</v>
      </c>
      <c r="KA6">
        <v>4</v>
      </c>
      <c r="KB6">
        <v>11</v>
      </c>
      <c r="KC6">
        <v>5</v>
      </c>
      <c r="KD6" s="108">
        <v>5</v>
      </c>
      <c r="KE6">
        <v>7</v>
      </c>
      <c r="KF6">
        <v>1</v>
      </c>
      <c r="KG6">
        <v>8</v>
      </c>
      <c r="KH6">
        <v>5</v>
      </c>
      <c r="KI6">
        <v>133</v>
      </c>
      <c r="KJ6">
        <v>1992</v>
      </c>
      <c r="KK6">
        <v>98</v>
      </c>
      <c r="KL6">
        <v>17</v>
      </c>
      <c r="KM6">
        <v>20</v>
      </c>
      <c r="KN6">
        <v>53</v>
      </c>
      <c r="KO6">
        <v>13</v>
      </c>
      <c r="KP6">
        <v>13</v>
      </c>
      <c r="KQ6">
        <v>40</v>
      </c>
      <c r="KR6">
        <v>11</v>
      </c>
      <c r="KS6">
        <v>22</v>
      </c>
      <c r="KT6">
        <v>7358</v>
      </c>
      <c r="KU6">
        <v>12781</v>
      </c>
      <c r="KV6">
        <v>8</v>
      </c>
      <c r="KW6">
        <v>2</v>
      </c>
      <c r="KX6">
        <v>8</v>
      </c>
      <c r="KY6">
        <v>12</v>
      </c>
      <c r="KZ6" s="48">
        <v>12</v>
      </c>
      <c r="LA6" s="48">
        <v>11</v>
      </c>
      <c r="LB6" s="48">
        <v>11</v>
      </c>
      <c r="LC6" s="48">
        <v>5</v>
      </c>
      <c r="LD6" s="48">
        <v>4</v>
      </c>
      <c r="LE6" s="48">
        <v>6</v>
      </c>
      <c r="LF6" s="158">
        <v>8</v>
      </c>
      <c r="LG6" s="158">
        <v>13</v>
      </c>
      <c r="LH6" s="48">
        <v>11</v>
      </c>
      <c r="LI6" s="48">
        <v>2</v>
      </c>
      <c r="LJ6" s="48">
        <v>12</v>
      </c>
      <c r="LK6" s="48">
        <v>2</v>
      </c>
      <c r="LL6" s="48">
        <v>12</v>
      </c>
      <c r="LM6" s="48">
        <v>11</v>
      </c>
      <c r="LN6" s="48">
        <v>4</v>
      </c>
      <c r="LO6" s="48">
        <v>3</v>
      </c>
      <c r="LP6" s="48">
        <v>11</v>
      </c>
      <c r="LQ6" s="158">
        <v>6</v>
      </c>
      <c r="LR6" s="48">
        <v>2</v>
      </c>
      <c r="LS6" s="48">
        <v>4</v>
      </c>
      <c r="LT6" s="48">
        <v>15</v>
      </c>
      <c r="LU6" s="48">
        <v>14</v>
      </c>
      <c r="LV6" s="1">
        <v>4</v>
      </c>
      <c r="LW6" s="48">
        <v>68</v>
      </c>
      <c r="LX6" s="48">
        <v>6</v>
      </c>
      <c r="LY6" s="158">
        <v>6</v>
      </c>
      <c r="LZ6" s="48">
        <v>28</v>
      </c>
      <c r="MA6" s="48">
        <v>36</v>
      </c>
      <c r="MB6" s="1">
        <v>16</v>
      </c>
      <c r="MC6" s="1">
        <v>2</v>
      </c>
      <c r="MD6" s="1"/>
      <c r="ME6" s="48">
        <v>6</v>
      </c>
      <c r="MF6" s="48">
        <v>4</v>
      </c>
      <c r="MG6" s="48">
        <v>4</v>
      </c>
      <c r="MH6" s="48">
        <v>2</v>
      </c>
      <c r="MI6" s="48">
        <v>2</v>
      </c>
      <c r="MJ6" s="48">
        <v>4</v>
      </c>
      <c r="MK6" s="48">
        <v>2</v>
      </c>
      <c r="ML6" s="48">
        <v>6</v>
      </c>
      <c r="MM6" s="48">
        <v>2</v>
      </c>
      <c r="MN6" s="48">
        <v>8</v>
      </c>
      <c r="MO6" s="158">
        <v>6</v>
      </c>
      <c r="MP6" s="104">
        <v>2</v>
      </c>
      <c r="MQ6" s="1">
        <v>6</v>
      </c>
      <c r="MR6" s="48">
        <v>2</v>
      </c>
      <c r="MS6" s="1">
        <v>4</v>
      </c>
      <c r="MT6" s="1">
        <v>8</v>
      </c>
      <c r="MU6" s="1">
        <v>8</v>
      </c>
      <c r="MV6" s="1">
        <v>2</v>
      </c>
      <c r="MW6" s="1">
        <v>6</v>
      </c>
      <c r="MX6" s="48">
        <v>10</v>
      </c>
      <c r="MY6" s="48">
        <v>4</v>
      </c>
      <c r="MZ6" s="48">
        <v>4</v>
      </c>
      <c r="NA6" s="48"/>
      <c r="NB6" s="48">
        <v>2</v>
      </c>
      <c r="NC6" s="48">
        <v>4</v>
      </c>
      <c r="ND6" s="48">
        <v>166</v>
      </c>
      <c r="NE6" s="48">
        <v>16</v>
      </c>
      <c r="NF6" s="48"/>
      <c r="NG6" s="48">
        <v>6</v>
      </c>
      <c r="NH6" s="48">
        <v>8</v>
      </c>
      <c r="NI6" s="48">
        <v>82</v>
      </c>
      <c r="NJ6" s="48">
        <v>14</v>
      </c>
      <c r="NK6" s="48">
        <v>162</v>
      </c>
      <c r="NL6" s="48">
        <v>16</v>
      </c>
      <c r="NM6" s="48">
        <v>18</v>
      </c>
      <c r="NN6" s="158">
        <v>54</v>
      </c>
      <c r="NO6" s="48">
        <v>26</v>
      </c>
      <c r="NP6" s="48"/>
      <c r="NQ6" s="48">
        <v>4</v>
      </c>
      <c r="NR6" s="1">
        <v>102</v>
      </c>
      <c r="NS6" s="48">
        <v>4</v>
      </c>
      <c r="NT6" s="1">
        <v>66</v>
      </c>
      <c r="NU6" s="1">
        <v>143</v>
      </c>
      <c r="NV6" s="313">
        <v>16</v>
      </c>
      <c r="NW6" s="1">
        <v>10</v>
      </c>
      <c r="NX6" s="1">
        <v>3</v>
      </c>
      <c r="NY6" s="1">
        <v>10</v>
      </c>
      <c r="NZ6" s="1">
        <v>5</v>
      </c>
      <c r="OA6" s="1">
        <v>2</v>
      </c>
      <c r="OB6" s="1">
        <v>4</v>
      </c>
      <c r="OC6" s="48">
        <v>8</v>
      </c>
      <c r="OD6" s="48">
        <v>2</v>
      </c>
      <c r="OK6" s="48"/>
      <c r="OL6" s="48">
        <v>734</v>
      </c>
      <c r="OM6" s="48">
        <v>4</v>
      </c>
      <c r="ON6" s="48">
        <v>6</v>
      </c>
      <c r="OO6" s="48"/>
      <c r="OP6" s="48">
        <v>4</v>
      </c>
      <c r="OQ6" s="48">
        <v>8</v>
      </c>
      <c r="OR6" s="48">
        <v>12</v>
      </c>
      <c r="OS6" s="48">
        <v>2</v>
      </c>
      <c r="OT6" s="48">
        <v>4</v>
      </c>
      <c r="OU6" s="48"/>
      <c r="OV6" s="48">
        <v>2</v>
      </c>
      <c r="OW6" s="104">
        <v>2</v>
      </c>
      <c r="OX6" s="48"/>
      <c r="OY6" s="48">
        <v>4</v>
      </c>
      <c r="OZ6" s="48"/>
      <c r="PA6" s="48"/>
      <c r="PB6" s="48">
        <v>4</v>
      </c>
      <c r="PC6" s="48">
        <v>4</v>
      </c>
      <c r="PD6" s="48">
        <v>4</v>
      </c>
      <c r="PE6" s="329">
        <v>4</v>
      </c>
      <c r="PF6" s="104">
        <v>8</v>
      </c>
      <c r="PG6" s="48">
        <v>4</v>
      </c>
      <c r="PH6" s="48">
        <v>4</v>
      </c>
      <c r="PI6" s="48">
        <v>6</v>
      </c>
      <c r="PJ6" s="48">
        <v>8</v>
      </c>
      <c r="PK6" s="102">
        <v>2</v>
      </c>
      <c r="PL6" s="48">
        <v>6</v>
      </c>
      <c r="PM6" s="48">
        <v>2</v>
      </c>
      <c r="PN6" s="1">
        <v>4</v>
      </c>
      <c r="PO6" s="48">
        <v>6</v>
      </c>
      <c r="PP6" s="329">
        <v>8</v>
      </c>
      <c r="PQ6" s="329">
        <v>4</v>
      </c>
      <c r="PR6" s="329"/>
      <c r="PS6" s="329">
        <v>6</v>
      </c>
      <c r="PT6" s="329">
        <v>6</v>
      </c>
      <c r="PU6" s="48">
        <v>2</v>
      </c>
      <c r="PV6" s="48">
        <v>10</v>
      </c>
      <c r="PW6" s="48">
        <v>4</v>
      </c>
      <c r="PX6" s="48"/>
      <c r="PY6" s="48">
        <v>2</v>
      </c>
      <c r="PZ6" s="2">
        <v>4</v>
      </c>
      <c r="QA6" s="48">
        <v>4</v>
      </c>
      <c r="QB6" s="48">
        <v>10</v>
      </c>
      <c r="QC6" s="48">
        <v>6</v>
      </c>
      <c r="QD6" s="48">
        <v>8</v>
      </c>
      <c r="QE6" s="158">
        <v>4</v>
      </c>
      <c r="QF6" s="48">
        <v>8</v>
      </c>
      <c r="QG6" s="48">
        <v>26</v>
      </c>
      <c r="QH6" s="48">
        <v>6</v>
      </c>
      <c r="QI6" s="48">
        <v>6</v>
      </c>
      <c r="QJ6" s="5">
        <v>6</v>
      </c>
      <c r="QK6" s="48">
        <v>6</v>
      </c>
      <c r="QL6" s="48">
        <v>12</v>
      </c>
      <c r="QM6" s="48">
        <v>4</v>
      </c>
      <c r="QN6" s="48">
        <v>4</v>
      </c>
      <c r="QO6" s="48">
        <v>4</v>
      </c>
      <c r="QP6" s="48">
        <v>4</v>
      </c>
      <c r="QQ6" s="329">
        <v>7</v>
      </c>
      <c r="QR6" s="48">
        <v>9</v>
      </c>
      <c r="QS6" s="48">
        <v>17</v>
      </c>
      <c r="QT6" s="48">
        <v>4</v>
      </c>
      <c r="QU6" s="48">
        <v>2</v>
      </c>
      <c r="QV6" s="48">
        <v>5</v>
      </c>
      <c r="QW6" s="48">
        <v>2</v>
      </c>
      <c r="QX6" s="48">
        <v>2</v>
      </c>
      <c r="QY6" s="48">
        <v>5</v>
      </c>
      <c r="QZ6" s="48">
        <v>10</v>
      </c>
      <c r="RA6" s="48">
        <v>4</v>
      </c>
      <c r="RB6" s="48">
        <v>2</v>
      </c>
      <c r="RC6" s="48">
        <v>4</v>
      </c>
      <c r="RD6" s="48">
        <v>4</v>
      </c>
      <c r="RE6" s="48">
        <v>4</v>
      </c>
      <c r="RF6" s="48">
        <v>5</v>
      </c>
      <c r="RG6" s="48">
        <v>3</v>
      </c>
      <c r="RH6" s="48">
        <v>4</v>
      </c>
      <c r="RI6" s="158"/>
      <c r="RJ6" s="48">
        <v>5</v>
      </c>
      <c r="RK6" s="48">
        <v>3</v>
      </c>
      <c r="RL6" s="48">
        <v>24</v>
      </c>
      <c r="RM6" s="48">
        <v>9</v>
      </c>
      <c r="RN6" s="48">
        <v>13</v>
      </c>
      <c r="RO6" s="48">
        <v>7</v>
      </c>
      <c r="RP6" s="48">
        <v>28</v>
      </c>
      <c r="RQ6" s="48">
        <v>5</v>
      </c>
      <c r="RR6" s="48">
        <v>7</v>
      </c>
      <c r="RS6" s="48">
        <v>6</v>
      </c>
      <c r="RT6" s="48">
        <v>27</v>
      </c>
      <c r="RU6" s="48">
        <v>9</v>
      </c>
      <c r="RV6" s="48">
        <v>9</v>
      </c>
    </row>
    <row r="7" spans="2:490" ht="15.75" x14ac:dyDescent="0.25">
      <c r="B7" s="187">
        <v>539</v>
      </c>
      <c r="FQ7">
        <v>14092</v>
      </c>
      <c r="FS7">
        <v>2</v>
      </c>
      <c r="FX7">
        <v>5067</v>
      </c>
      <c r="FY7">
        <v>4620</v>
      </c>
      <c r="FZ7">
        <v>4726</v>
      </c>
      <c r="GA7">
        <v>4686</v>
      </c>
      <c r="GB7">
        <v>4200</v>
      </c>
      <c r="GC7">
        <v>4452</v>
      </c>
      <c r="GD7">
        <v>4508</v>
      </c>
      <c r="GE7">
        <v>4448</v>
      </c>
      <c r="GF7">
        <v>4120</v>
      </c>
      <c r="GG7">
        <v>4070</v>
      </c>
      <c r="GH7">
        <v>4186</v>
      </c>
      <c r="GI7">
        <v>4040</v>
      </c>
      <c r="GJ7">
        <v>4172</v>
      </c>
      <c r="GK7">
        <v>3808</v>
      </c>
      <c r="GL7">
        <v>3986</v>
      </c>
      <c r="GM7">
        <v>4212</v>
      </c>
      <c r="GN7">
        <v>3842</v>
      </c>
      <c r="GO7">
        <v>3882</v>
      </c>
      <c r="GP7">
        <v>4106</v>
      </c>
      <c r="GQ7">
        <v>3630</v>
      </c>
      <c r="GR7">
        <v>3510</v>
      </c>
      <c r="GS7">
        <v>3714</v>
      </c>
      <c r="GT7">
        <v>3798</v>
      </c>
      <c r="GU7">
        <v>3672</v>
      </c>
      <c r="GV7">
        <v>3628</v>
      </c>
      <c r="GW7">
        <v>3718</v>
      </c>
      <c r="GX7">
        <v>3644</v>
      </c>
      <c r="GY7">
        <v>3676</v>
      </c>
      <c r="GZ7">
        <v>3888</v>
      </c>
      <c r="HA7">
        <v>3576</v>
      </c>
      <c r="HB7">
        <v>3592</v>
      </c>
      <c r="HC7">
        <v>3671</v>
      </c>
      <c r="HD7">
        <v>3776</v>
      </c>
      <c r="HE7">
        <v>3188</v>
      </c>
      <c r="HF7">
        <v>3246</v>
      </c>
      <c r="HG7">
        <v>3383</v>
      </c>
      <c r="HH7">
        <v>3444</v>
      </c>
      <c r="HI7">
        <v>3618</v>
      </c>
      <c r="HJ7">
        <v>3398</v>
      </c>
      <c r="HK7">
        <v>3528</v>
      </c>
      <c r="HL7">
        <v>3346</v>
      </c>
      <c r="HM7">
        <v>3332</v>
      </c>
      <c r="HN7">
        <v>3532</v>
      </c>
      <c r="HO7">
        <v>3398</v>
      </c>
      <c r="HP7">
        <v>3286</v>
      </c>
      <c r="HQ7">
        <v>3198</v>
      </c>
      <c r="HR7">
        <v>3218</v>
      </c>
      <c r="HS7">
        <v>3012</v>
      </c>
      <c r="HT7">
        <v>3240</v>
      </c>
      <c r="HU7">
        <v>3210</v>
      </c>
      <c r="HV7">
        <v>3266</v>
      </c>
      <c r="HW7">
        <v>3110</v>
      </c>
      <c r="HX7">
        <v>3250</v>
      </c>
      <c r="HY7">
        <v>3346</v>
      </c>
      <c r="HZ7">
        <v>3352</v>
      </c>
      <c r="IA7">
        <v>3398</v>
      </c>
      <c r="IB7">
        <v>5179</v>
      </c>
      <c r="IC7">
        <v>3806</v>
      </c>
      <c r="ID7">
        <v>3352</v>
      </c>
      <c r="IE7">
        <v>3546</v>
      </c>
      <c r="IF7">
        <v>3416</v>
      </c>
      <c r="IG7">
        <v>3352</v>
      </c>
      <c r="IH7">
        <v>3254</v>
      </c>
      <c r="II7">
        <v>3546</v>
      </c>
      <c r="IJ7">
        <v>3326</v>
      </c>
      <c r="IK7">
        <v>1850</v>
      </c>
      <c r="IL7">
        <v>3290</v>
      </c>
      <c r="IM7">
        <v>3100</v>
      </c>
      <c r="IN7">
        <v>2829</v>
      </c>
      <c r="IO7">
        <v>3048</v>
      </c>
      <c r="IP7">
        <v>3342</v>
      </c>
      <c r="IQ7">
        <v>3303</v>
      </c>
      <c r="IR7">
        <v>3043</v>
      </c>
      <c r="IS7">
        <v>3030</v>
      </c>
      <c r="IT7">
        <v>2828</v>
      </c>
      <c r="IU7">
        <v>3068</v>
      </c>
      <c r="IV7">
        <v>3367</v>
      </c>
      <c r="IW7">
        <v>3795</v>
      </c>
      <c r="IX7">
        <v>2924</v>
      </c>
      <c r="IY7">
        <v>2925</v>
      </c>
      <c r="IZ7">
        <v>2787</v>
      </c>
      <c r="JA7">
        <v>3001</v>
      </c>
      <c r="JB7">
        <v>3163</v>
      </c>
      <c r="JC7">
        <v>3432</v>
      </c>
      <c r="JD7">
        <v>3639</v>
      </c>
      <c r="JE7">
        <v>2570</v>
      </c>
      <c r="JF7">
        <v>2607</v>
      </c>
      <c r="JG7">
        <v>2957</v>
      </c>
      <c r="JH7">
        <v>3104</v>
      </c>
      <c r="JI7">
        <v>4315</v>
      </c>
      <c r="JJ7">
        <v>3060</v>
      </c>
      <c r="JK7">
        <v>4419</v>
      </c>
      <c r="JL7">
        <v>3763</v>
      </c>
      <c r="JM7">
        <v>3532</v>
      </c>
      <c r="JN7">
        <v>4186</v>
      </c>
      <c r="JO7">
        <v>3976</v>
      </c>
      <c r="JP7">
        <v>4423</v>
      </c>
      <c r="JQ7">
        <v>4852</v>
      </c>
      <c r="JR7">
        <v>1767</v>
      </c>
      <c r="KD7" s="108"/>
      <c r="KG7">
        <v>1</v>
      </c>
      <c r="KZ7" s="48"/>
      <c r="LA7" s="48"/>
      <c r="LB7" s="48"/>
      <c r="LC7" s="48"/>
      <c r="LD7" s="48"/>
      <c r="LE7" s="48"/>
      <c r="LF7" s="158"/>
      <c r="LG7" s="158"/>
      <c r="LH7" s="48"/>
      <c r="LI7" s="48"/>
      <c r="LJ7" s="48"/>
      <c r="LK7" s="48"/>
      <c r="LL7" s="48"/>
      <c r="LM7" s="48"/>
      <c r="LN7" s="48"/>
      <c r="LO7" s="48"/>
      <c r="LP7" s="48"/>
      <c r="LQ7" s="158"/>
      <c r="LR7" s="48"/>
      <c r="LS7" s="48"/>
      <c r="LT7" s="48"/>
      <c r="LU7" s="48"/>
      <c r="LV7" s="1"/>
      <c r="LW7" s="1"/>
      <c r="LX7" s="1"/>
      <c r="LY7" s="158"/>
      <c r="LZ7" s="48"/>
      <c r="MA7" s="48"/>
      <c r="MB7" s="1"/>
      <c r="MC7" s="1"/>
      <c r="MD7" s="1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158"/>
      <c r="MP7" s="48"/>
      <c r="MQ7" s="1"/>
      <c r="MR7" s="1"/>
      <c r="MS7" s="1"/>
      <c r="MT7" s="1"/>
      <c r="MU7" s="1"/>
      <c r="MV7" s="1"/>
      <c r="MW7" s="1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158"/>
      <c r="NO7" s="48"/>
      <c r="NP7" s="48"/>
      <c r="NQ7" s="48"/>
      <c r="NR7" s="1"/>
      <c r="NS7" s="1"/>
      <c r="NT7" s="1"/>
      <c r="NU7" s="1"/>
      <c r="NV7" s="313"/>
      <c r="NW7" s="1"/>
      <c r="NX7" s="1"/>
      <c r="NY7" s="1"/>
      <c r="NZ7" s="1"/>
      <c r="OA7" s="1"/>
      <c r="OB7" s="1"/>
      <c r="OC7" s="48"/>
      <c r="OD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102"/>
      <c r="PL7" s="48"/>
      <c r="PM7" s="48"/>
      <c r="PN7" s="1"/>
      <c r="PO7" s="48"/>
      <c r="PP7" s="329"/>
      <c r="PQ7" s="329"/>
      <c r="PR7" s="329"/>
      <c r="PS7" s="329"/>
      <c r="PT7" s="329"/>
      <c r="PU7" s="48"/>
      <c r="PV7" s="48"/>
      <c r="PW7" s="48"/>
      <c r="PX7" s="48"/>
      <c r="PY7" s="2"/>
      <c r="PZ7" s="2"/>
      <c r="QA7" s="48"/>
      <c r="QB7" s="48"/>
      <c r="QC7" s="48"/>
      <c r="QD7" s="48"/>
      <c r="QE7" s="158"/>
      <c r="QF7" s="48"/>
      <c r="QG7" s="48"/>
      <c r="QH7" s="48"/>
      <c r="QI7" s="48"/>
      <c r="QJ7" s="5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15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</row>
    <row r="8" spans="2:490" ht="15.75" x14ac:dyDescent="0.25">
      <c r="B8" s="188">
        <v>527</v>
      </c>
      <c r="C8">
        <v>4004</v>
      </c>
      <c r="D8">
        <v>2548</v>
      </c>
      <c r="E8">
        <v>3270</v>
      </c>
      <c r="F8">
        <v>2480</v>
      </c>
      <c r="G8">
        <v>2122</v>
      </c>
      <c r="H8">
        <v>2854</v>
      </c>
      <c r="I8">
        <v>1444</v>
      </c>
      <c r="J8">
        <v>1448</v>
      </c>
      <c r="K8">
        <v>3180</v>
      </c>
      <c r="L8">
        <v>1616</v>
      </c>
      <c r="M8">
        <v>948</v>
      </c>
      <c r="N8">
        <v>802</v>
      </c>
      <c r="O8">
        <v>1000</v>
      </c>
      <c r="P8">
        <v>363</v>
      </c>
      <c r="Q8">
        <v>2855</v>
      </c>
      <c r="R8">
        <v>1217</v>
      </c>
      <c r="S8">
        <v>1506</v>
      </c>
      <c r="T8">
        <v>1388</v>
      </c>
      <c r="U8">
        <v>16108</v>
      </c>
      <c r="V8">
        <v>2088</v>
      </c>
      <c r="W8">
        <v>13560</v>
      </c>
      <c r="X8">
        <v>2406</v>
      </c>
      <c r="Y8">
        <v>2452</v>
      </c>
      <c r="Z8">
        <v>2542</v>
      </c>
      <c r="AA8">
        <v>2406</v>
      </c>
      <c r="AB8">
        <v>2254</v>
      </c>
      <c r="AC8">
        <v>3464</v>
      </c>
      <c r="AD8">
        <v>2246</v>
      </c>
      <c r="AE8">
        <v>3110</v>
      </c>
      <c r="AF8">
        <v>2992</v>
      </c>
      <c r="AG8">
        <v>2516</v>
      </c>
      <c r="AH8">
        <v>2436</v>
      </c>
      <c r="AI8">
        <v>15256</v>
      </c>
      <c r="AJ8">
        <v>3442</v>
      </c>
      <c r="AK8">
        <v>9790</v>
      </c>
      <c r="AL8">
        <v>7822</v>
      </c>
      <c r="AM8">
        <v>9724</v>
      </c>
      <c r="AN8">
        <v>23950</v>
      </c>
      <c r="AO8">
        <v>29458</v>
      </c>
      <c r="AP8">
        <v>24858</v>
      </c>
      <c r="AQ8">
        <v>31692</v>
      </c>
      <c r="AR8">
        <v>30862</v>
      </c>
      <c r="AS8">
        <v>24624</v>
      </c>
      <c r="AT8">
        <v>30106</v>
      </c>
      <c r="AU8">
        <v>33792</v>
      </c>
      <c r="AV8">
        <v>26658</v>
      </c>
      <c r="AW8">
        <v>39518</v>
      </c>
      <c r="AX8">
        <v>55940</v>
      </c>
      <c r="AY8">
        <v>59310</v>
      </c>
      <c r="AZ8">
        <v>30506</v>
      </c>
      <c r="BA8">
        <v>4196</v>
      </c>
      <c r="BB8">
        <v>4302</v>
      </c>
      <c r="BC8">
        <v>5656</v>
      </c>
      <c r="BD8">
        <v>2530</v>
      </c>
      <c r="BE8">
        <v>4574</v>
      </c>
      <c r="BF8">
        <v>11602</v>
      </c>
      <c r="BG8">
        <v>12524</v>
      </c>
      <c r="BH8">
        <v>39366</v>
      </c>
      <c r="BI8">
        <v>42926</v>
      </c>
      <c r="BJ8">
        <v>3738</v>
      </c>
      <c r="BK8">
        <v>17804</v>
      </c>
      <c r="BL8">
        <v>16934</v>
      </c>
      <c r="BM8">
        <v>15693</v>
      </c>
      <c r="BN8">
        <v>24658</v>
      </c>
      <c r="BO8">
        <v>37362</v>
      </c>
      <c r="BP8">
        <v>27658</v>
      </c>
      <c r="BQ8">
        <v>22072</v>
      </c>
      <c r="BR8">
        <v>58576</v>
      </c>
      <c r="BS8">
        <v>60146</v>
      </c>
      <c r="BT8">
        <v>51694</v>
      </c>
      <c r="BU8">
        <v>31824</v>
      </c>
      <c r="BV8">
        <v>15124</v>
      </c>
      <c r="BW8">
        <v>75726</v>
      </c>
      <c r="BX8">
        <v>63440</v>
      </c>
      <c r="BY8">
        <v>70618</v>
      </c>
      <c r="BZ8">
        <v>89298</v>
      </c>
      <c r="CA8">
        <v>78148</v>
      </c>
      <c r="CB8">
        <v>2386</v>
      </c>
      <c r="CC8">
        <v>2296</v>
      </c>
      <c r="CD8">
        <v>2148</v>
      </c>
      <c r="CE8">
        <v>2648</v>
      </c>
      <c r="CF8">
        <v>2194</v>
      </c>
      <c r="CG8">
        <v>2852</v>
      </c>
      <c r="CH8">
        <v>3374</v>
      </c>
      <c r="CI8">
        <v>4545</v>
      </c>
      <c r="CJ8">
        <v>2240</v>
      </c>
      <c r="CK8">
        <v>6508</v>
      </c>
      <c r="CL8">
        <v>2200</v>
      </c>
      <c r="CM8">
        <v>1227</v>
      </c>
      <c r="CO8">
        <v>27440</v>
      </c>
      <c r="CP8">
        <v>10420</v>
      </c>
      <c r="CQ8">
        <v>16680</v>
      </c>
      <c r="CR8">
        <v>7298</v>
      </c>
      <c r="CS8">
        <v>6508</v>
      </c>
      <c r="CT8">
        <v>7269</v>
      </c>
      <c r="CU8">
        <v>13616</v>
      </c>
      <c r="CV8">
        <v>6366</v>
      </c>
      <c r="CW8">
        <v>7100</v>
      </c>
      <c r="CX8">
        <v>8562</v>
      </c>
      <c r="CY8">
        <v>6344</v>
      </c>
      <c r="CZ8">
        <v>4552</v>
      </c>
      <c r="DA8">
        <v>7854</v>
      </c>
      <c r="DB8">
        <v>12936</v>
      </c>
      <c r="DC8">
        <v>16188</v>
      </c>
      <c r="DD8">
        <v>5700</v>
      </c>
      <c r="DE8">
        <v>7518</v>
      </c>
      <c r="DF8">
        <v>8206</v>
      </c>
      <c r="DG8">
        <v>10294</v>
      </c>
      <c r="DH8">
        <v>8262</v>
      </c>
      <c r="DI8">
        <v>27072</v>
      </c>
      <c r="DJ8">
        <v>12464</v>
      </c>
      <c r="DK8">
        <v>15906</v>
      </c>
      <c r="DL8">
        <v>24944</v>
      </c>
      <c r="DM8">
        <v>7758</v>
      </c>
      <c r="DN8">
        <v>6530</v>
      </c>
      <c r="DO8">
        <v>6820</v>
      </c>
      <c r="DP8">
        <v>7782</v>
      </c>
      <c r="DQ8">
        <v>10870</v>
      </c>
      <c r="DR8">
        <v>6396</v>
      </c>
      <c r="DS8">
        <v>7668</v>
      </c>
      <c r="DT8">
        <v>6696</v>
      </c>
      <c r="DU8">
        <v>2708</v>
      </c>
      <c r="DV8">
        <v>2807</v>
      </c>
      <c r="DW8">
        <v>3198</v>
      </c>
      <c r="DX8">
        <v>3576</v>
      </c>
      <c r="DY8">
        <v>3000</v>
      </c>
      <c r="DZ8">
        <v>3008</v>
      </c>
      <c r="EA8">
        <v>3227</v>
      </c>
      <c r="EB8">
        <v>2574</v>
      </c>
      <c r="EC8">
        <v>2494</v>
      </c>
      <c r="ED8">
        <v>2712</v>
      </c>
      <c r="EE8">
        <v>2993</v>
      </c>
      <c r="EF8">
        <v>11396</v>
      </c>
      <c r="EG8">
        <v>8880</v>
      </c>
      <c r="EH8">
        <v>4453</v>
      </c>
      <c r="EI8">
        <v>2727</v>
      </c>
      <c r="EJ8">
        <v>2965</v>
      </c>
      <c r="EK8">
        <v>3503</v>
      </c>
      <c r="EL8">
        <v>8244</v>
      </c>
      <c r="EM8">
        <v>3402</v>
      </c>
      <c r="EN8">
        <v>3027</v>
      </c>
      <c r="EO8">
        <v>3496</v>
      </c>
      <c r="EP8">
        <v>4049</v>
      </c>
      <c r="EQ8">
        <v>3093</v>
      </c>
      <c r="ER8">
        <v>4644</v>
      </c>
      <c r="ES8">
        <v>3325</v>
      </c>
      <c r="ET8">
        <v>2569</v>
      </c>
      <c r="EU8">
        <v>3163</v>
      </c>
      <c r="EV8">
        <v>2961</v>
      </c>
      <c r="EW8">
        <v>3021</v>
      </c>
      <c r="EX8">
        <v>2567</v>
      </c>
      <c r="EY8">
        <v>2311</v>
      </c>
      <c r="EZ8">
        <v>2784</v>
      </c>
      <c r="FA8">
        <v>2412</v>
      </c>
      <c r="FB8">
        <v>3378</v>
      </c>
      <c r="FC8">
        <v>2583</v>
      </c>
      <c r="FD8">
        <v>2136</v>
      </c>
      <c r="FE8">
        <v>2140</v>
      </c>
      <c r="FF8">
        <v>3381</v>
      </c>
      <c r="FG8">
        <v>2937</v>
      </c>
      <c r="FH8">
        <v>2535</v>
      </c>
      <c r="FI8">
        <v>31536</v>
      </c>
      <c r="FJ8">
        <v>33345</v>
      </c>
      <c r="FK8">
        <v>23040</v>
      </c>
      <c r="FL8">
        <v>2220</v>
      </c>
      <c r="FM8">
        <v>24063</v>
      </c>
      <c r="FN8">
        <v>18623</v>
      </c>
      <c r="FO8">
        <v>19925</v>
      </c>
      <c r="FP8">
        <v>25788</v>
      </c>
      <c r="FQ8">
        <v>26813</v>
      </c>
      <c r="FR8">
        <v>31864</v>
      </c>
      <c r="FS8">
        <v>2852</v>
      </c>
      <c r="FT8">
        <v>1780</v>
      </c>
      <c r="FU8">
        <v>2840</v>
      </c>
      <c r="FV8">
        <v>2832</v>
      </c>
      <c r="FW8">
        <v>11654</v>
      </c>
      <c r="FX8">
        <v>18449</v>
      </c>
      <c r="FY8">
        <v>18442</v>
      </c>
      <c r="FZ8">
        <v>22132</v>
      </c>
      <c r="GA8">
        <v>34334</v>
      </c>
      <c r="GB8">
        <v>2042</v>
      </c>
      <c r="GC8">
        <v>1528</v>
      </c>
      <c r="GD8">
        <v>1808</v>
      </c>
      <c r="GE8">
        <v>1082</v>
      </c>
      <c r="GF8">
        <v>5510</v>
      </c>
      <c r="GG8">
        <v>1146</v>
      </c>
      <c r="GH8">
        <v>2696</v>
      </c>
      <c r="GI8">
        <v>2762</v>
      </c>
      <c r="GJ8">
        <v>2912</v>
      </c>
      <c r="GK8">
        <v>2568</v>
      </c>
      <c r="GL8">
        <v>2726</v>
      </c>
      <c r="GM8">
        <v>2400</v>
      </c>
      <c r="GN8">
        <v>2248</v>
      </c>
      <c r="GO8">
        <v>2026</v>
      </c>
      <c r="GP8">
        <v>1452</v>
      </c>
      <c r="GQ8">
        <v>1042</v>
      </c>
      <c r="GR8">
        <v>970</v>
      </c>
      <c r="GS8">
        <v>998</v>
      </c>
      <c r="GT8">
        <v>970</v>
      </c>
      <c r="GU8">
        <v>840</v>
      </c>
      <c r="GV8">
        <v>920</v>
      </c>
      <c r="GW8">
        <v>968</v>
      </c>
      <c r="GX8">
        <v>1064</v>
      </c>
      <c r="GY8">
        <v>1064</v>
      </c>
      <c r="GZ8">
        <v>1124</v>
      </c>
      <c r="HA8">
        <v>836</v>
      </c>
      <c r="HB8">
        <v>806</v>
      </c>
      <c r="HC8">
        <v>1058</v>
      </c>
      <c r="HD8">
        <v>1634</v>
      </c>
      <c r="HE8">
        <v>1139</v>
      </c>
      <c r="HF8">
        <v>1790</v>
      </c>
      <c r="HG8">
        <v>1231</v>
      </c>
      <c r="HH8">
        <v>12060</v>
      </c>
      <c r="HI8">
        <v>1124</v>
      </c>
      <c r="HJ8">
        <v>1040</v>
      </c>
      <c r="HK8">
        <v>1092</v>
      </c>
      <c r="HL8">
        <v>1030</v>
      </c>
      <c r="HM8">
        <v>1054</v>
      </c>
      <c r="HN8">
        <v>862</v>
      </c>
      <c r="HO8">
        <v>762</v>
      </c>
      <c r="HP8">
        <v>798</v>
      </c>
      <c r="HQ8">
        <v>34100</v>
      </c>
      <c r="HR8">
        <v>28632</v>
      </c>
      <c r="HS8">
        <v>2132</v>
      </c>
      <c r="HT8">
        <v>19994</v>
      </c>
      <c r="HU8">
        <v>28318</v>
      </c>
      <c r="HV8">
        <v>21476</v>
      </c>
      <c r="HW8">
        <v>14608</v>
      </c>
      <c r="HX8">
        <v>36650</v>
      </c>
      <c r="HY8">
        <v>25868</v>
      </c>
      <c r="HZ8">
        <v>32464</v>
      </c>
      <c r="IA8">
        <v>21384</v>
      </c>
      <c r="IB8">
        <v>1480</v>
      </c>
      <c r="IC8">
        <v>1174</v>
      </c>
      <c r="ID8">
        <v>1334</v>
      </c>
      <c r="IE8">
        <v>1148</v>
      </c>
      <c r="IF8">
        <v>9254</v>
      </c>
      <c r="IG8">
        <v>1998</v>
      </c>
      <c r="IH8">
        <v>3674</v>
      </c>
      <c r="II8">
        <v>2618</v>
      </c>
      <c r="IJ8">
        <v>1624</v>
      </c>
      <c r="IK8">
        <v>11596</v>
      </c>
      <c r="IL8">
        <v>26570</v>
      </c>
      <c r="IM8">
        <v>22975</v>
      </c>
      <c r="IN8">
        <v>17361</v>
      </c>
      <c r="IO8">
        <v>30959</v>
      </c>
      <c r="IP8">
        <v>29366</v>
      </c>
      <c r="IQ8">
        <v>26466</v>
      </c>
      <c r="IR8">
        <v>21881</v>
      </c>
      <c r="IS8">
        <v>29519</v>
      </c>
      <c r="IT8">
        <v>25676</v>
      </c>
      <c r="IU8">
        <v>25431</v>
      </c>
      <c r="IV8">
        <v>26224</v>
      </c>
      <c r="IW8">
        <v>23950</v>
      </c>
      <c r="IX8">
        <v>29130</v>
      </c>
      <c r="IY8">
        <v>29121</v>
      </c>
      <c r="IZ8">
        <v>49807</v>
      </c>
      <c r="JA8">
        <v>34430</v>
      </c>
      <c r="JB8">
        <v>29758</v>
      </c>
      <c r="JC8">
        <v>27900</v>
      </c>
      <c r="JD8">
        <v>60006</v>
      </c>
      <c r="JE8">
        <v>70864</v>
      </c>
      <c r="JF8">
        <v>90410</v>
      </c>
      <c r="JG8">
        <v>15830</v>
      </c>
      <c r="JH8">
        <v>9443</v>
      </c>
      <c r="JI8">
        <v>2416</v>
      </c>
      <c r="JJ8">
        <v>1515</v>
      </c>
      <c r="JK8">
        <v>2343</v>
      </c>
      <c r="JL8">
        <v>7737</v>
      </c>
      <c r="JM8">
        <v>8996</v>
      </c>
      <c r="JN8">
        <v>33430</v>
      </c>
      <c r="JO8" s="112">
        <v>27122</v>
      </c>
      <c r="JP8">
        <v>23792</v>
      </c>
      <c r="JQ8">
        <v>527</v>
      </c>
      <c r="JR8">
        <v>37641</v>
      </c>
      <c r="JS8">
        <v>3117</v>
      </c>
      <c r="JT8">
        <v>29470</v>
      </c>
      <c r="JU8">
        <v>40441</v>
      </c>
      <c r="JV8">
        <v>72498</v>
      </c>
      <c r="JW8">
        <v>90532</v>
      </c>
      <c r="JX8">
        <v>29379</v>
      </c>
      <c r="JY8">
        <v>1652</v>
      </c>
      <c r="JZ8">
        <v>2772</v>
      </c>
      <c r="KA8">
        <v>2343</v>
      </c>
      <c r="KB8">
        <v>1471</v>
      </c>
      <c r="KC8">
        <v>1394</v>
      </c>
      <c r="KD8" s="108">
        <v>1448</v>
      </c>
      <c r="KE8">
        <v>1486</v>
      </c>
      <c r="KF8">
        <v>6757</v>
      </c>
      <c r="KG8">
        <v>5901</v>
      </c>
      <c r="KH8">
        <v>989</v>
      </c>
      <c r="KI8">
        <v>7350</v>
      </c>
      <c r="KJ8">
        <v>3142</v>
      </c>
      <c r="KK8">
        <v>1936</v>
      </c>
      <c r="KL8">
        <v>1581</v>
      </c>
      <c r="KM8">
        <v>2104</v>
      </c>
      <c r="KN8">
        <v>1932</v>
      </c>
      <c r="KO8">
        <v>2076</v>
      </c>
      <c r="KP8">
        <v>1732</v>
      </c>
      <c r="KQ8">
        <v>3580</v>
      </c>
      <c r="KR8">
        <v>2925</v>
      </c>
      <c r="KS8">
        <v>1823</v>
      </c>
      <c r="KT8">
        <v>3109</v>
      </c>
      <c r="KU8">
        <v>2286</v>
      </c>
      <c r="KV8">
        <v>1673</v>
      </c>
      <c r="KW8">
        <v>1670</v>
      </c>
      <c r="KX8">
        <v>3592</v>
      </c>
      <c r="KY8">
        <v>2222</v>
      </c>
      <c r="KZ8" s="48">
        <v>2543</v>
      </c>
      <c r="LA8" s="48">
        <v>2476</v>
      </c>
      <c r="LB8" s="48">
        <v>2285</v>
      </c>
      <c r="LC8" s="48">
        <v>2786</v>
      </c>
      <c r="LD8" s="48">
        <v>2831</v>
      </c>
      <c r="LE8" s="48">
        <v>5496</v>
      </c>
      <c r="LF8" s="158">
        <v>2379</v>
      </c>
      <c r="LG8" s="158">
        <v>3081</v>
      </c>
      <c r="LH8" s="48">
        <v>2206</v>
      </c>
      <c r="LI8" s="48">
        <v>1927</v>
      </c>
      <c r="LJ8" s="48">
        <v>2073</v>
      </c>
      <c r="LK8" s="48">
        <v>2077</v>
      </c>
      <c r="LL8" s="48">
        <v>2674</v>
      </c>
      <c r="LM8" s="48">
        <v>2366</v>
      </c>
      <c r="LN8" s="48">
        <v>2414</v>
      </c>
      <c r="LO8" s="48">
        <v>2059</v>
      </c>
      <c r="LP8" s="48">
        <v>2247</v>
      </c>
      <c r="LQ8" s="158">
        <v>3022</v>
      </c>
      <c r="LR8" s="48">
        <v>3657</v>
      </c>
      <c r="LS8" s="48">
        <v>5139</v>
      </c>
      <c r="LT8" s="48">
        <v>7521</v>
      </c>
      <c r="LU8" s="48">
        <v>41465</v>
      </c>
      <c r="LV8" s="1">
        <v>68408</v>
      </c>
      <c r="LW8" s="1">
        <v>39560</v>
      </c>
      <c r="LX8" s="1">
        <v>12428</v>
      </c>
      <c r="LY8" s="158">
        <v>20168</v>
      </c>
      <c r="LZ8" s="48">
        <v>14800</v>
      </c>
      <c r="MA8" s="48">
        <v>24850</v>
      </c>
      <c r="MB8" s="1">
        <v>14834</v>
      </c>
      <c r="MC8" s="1">
        <v>33972</v>
      </c>
      <c r="MD8" s="1">
        <v>1140</v>
      </c>
      <c r="ME8" s="48">
        <v>1558</v>
      </c>
      <c r="MF8" s="48">
        <v>1282</v>
      </c>
      <c r="MG8" s="104">
        <v>1282</v>
      </c>
      <c r="MH8" s="48">
        <v>752</v>
      </c>
      <c r="MI8" s="48">
        <v>2534</v>
      </c>
      <c r="MJ8" s="48">
        <v>4754</v>
      </c>
      <c r="MK8" s="48">
        <v>946</v>
      </c>
      <c r="ML8" s="48">
        <v>840</v>
      </c>
      <c r="MM8" s="48">
        <v>874</v>
      </c>
      <c r="MN8" s="48">
        <v>1376</v>
      </c>
      <c r="MO8" s="158">
        <v>21714</v>
      </c>
      <c r="MP8" s="48">
        <v>7274</v>
      </c>
      <c r="MQ8" s="1">
        <v>13470</v>
      </c>
      <c r="MR8" s="1">
        <v>1060</v>
      </c>
      <c r="MS8" s="1">
        <v>970</v>
      </c>
      <c r="MT8" s="1">
        <v>848</v>
      </c>
      <c r="MU8" s="1">
        <v>5208</v>
      </c>
      <c r="MV8" s="1">
        <v>880</v>
      </c>
      <c r="MW8" s="1">
        <v>884</v>
      </c>
      <c r="MX8" s="48">
        <v>1036</v>
      </c>
      <c r="MY8" s="48">
        <v>748</v>
      </c>
      <c r="MZ8" s="48">
        <v>682</v>
      </c>
      <c r="NA8" s="48">
        <v>982</v>
      </c>
      <c r="NB8" s="48">
        <v>1326</v>
      </c>
      <c r="NC8" s="48">
        <v>682</v>
      </c>
      <c r="ND8" s="48">
        <v>13392</v>
      </c>
      <c r="NE8" s="48">
        <v>2812</v>
      </c>
      <c r="NF8" s="48">
        <v>1440</v>
      </c>
      <c r="NG8" s="48">
        <v>1338</v>
      </c>
      <c r="NH8" s="48">
        <v>1742</v>
      </c>
      <c r="NI8" s="48">
        <v>4416</v>
      </c>
      <c r="NJ8" s="48">
        <v>1374</v>
      </c>
      <c r="NK8" s="48">
        <v>1554</v>
      </c>
      <c r="NL8" s="48">
        <v>1630</v>
      </c>
      <c r="NM8" s="48">
        <v>1496</v>
      </c>
      <c r="NN8" s="158">
        <v>1280</v>
      </c>
      <c r="NO8" s="48">
        <v>1450</v>
      </c>
      <c r="NP8" s="48">
        <v>4002</v>
      </c>
      <c r="NQ8" s="48">
        <v>1900</v>
      </c>
      <c r="NR8" s="1">
        <v>1440</v>
      </c>
      <c r="NS8" s="1">
        <v>1503</v>
      </c>
      <c r="NT8" s="1">
        <v>4222</v>
      </c>
      <c r="NU8" s="1">
        <v>3808</v>
      </c>
      <c r="NV8" s="313">
        <v>4715</v>
      </c>
      <c r="NW8" s="1">
        <v>7701</v>
      </c>
      <c r="NX8" s="1">
        <v>1529</v>
      </c>
      <c r="NY8" s="1">
        <v>2179</v>
      </c>
      <c r="NZ8" s="1">
        <v>1978</v>
      </c>
      <c r="OA8" s="1">
        <v>1815</v>
      </c>
      <c r="OB8" s="1">
        <v>1432</v>
      </c>
      <c r="OC8" s="48">
        <v>1900</v>
      </c>
      <c r="OD8" s="48">
        <v>2102</v>
      </c>
      <c r="OK8" s="48">
        <v>1833</v>
      </c>
      <c r="OL8" s="48">
        <v>1509</v>
      </c>
      <c r="OM8" s="48">
        <v>29568</v>
      </c>
      <c r="ON8" s="48">
        <v>5972</v>
      </c>
      <c r="OO8" s="48">
        <v>9356</v>
      </c>
      <c r="OP8" s="48">
        <v>7430</v>
      </c>
      <c r="OQ8" s="48">
        <v>1430</v>
      </c>
      <c r="OR8" s="48">
        <v>9618</v>
      </c>
      <c r="OS8" s="48">
        <v>45968</v>
      </c>
      <c r="OT8" s="48">
        <v>16518</v>
      </c>
      <c r="OU8" s="48">
        <v>15600</v>
      </c>
      <c r="OV8" s="48">
        <v>2162</v>
      </c>
      <c r="OW8" s="48">
        <v>1248</v>
      </c>
      <c r="OX8" s="48">
        <v>10610</v>
      </c>
      <c r="OY8" s="48">
        <v>23810</v>
      </c>
      <c r="OZ8" s="48">
        <v>19430</v>
      </c>
      <c r="PA8" s="48">
        <v>26370</v>
      </c>
      <c r="PB8" s="48">
        <v>18640</v>
      </c>
      <c r="PC8" s="48">
        <v>1712</v>
      </c>
      <c r="PD8" s="48">
        <v>15732</v>
      </c>
      <c r="PE8" s="329">
        <v>1872</v>
      </c>
      <c r="PF8" s="48">
        <v>12062</v>
      </c>
      <c r="PG8" s="48">
        <v>1816</v>
      </c>
      <c r="PH8" s="48">
        <v>6930</v>
      </c>
      <c r="PI8" s="48">
        <v>7944</v>
      </c>
      <c r="PJ8" s="48">
        <v>5396</v>
      </c>
      <c r="PK8" s="102">
        <v>2536</v>
      </c>
      <c r="PL8" s="48">
        <v>2722</v>
      </c>
      <c r="PM8" s="48">
        <v>2148</v>
      </c>
      <c r="PN8" s="1">
        <v>1554</v>
      </c>
      <c r="PO8" s="329">
        <v>1570</v>
      </c>
      <c r="PP8" s="329">
        <v>1526</v>
      </c>
      <c r="PQ8" s="329">
        <v>6334</v>
      </c>
      <c r="PR8" s="329">
        <v>1054</v>
      </c>
      <c r="PS8" s="329">
        <v>1412</v>
      </c>
      <c r="PT8" s="329">
        <v>1592</v>
      </c>
      <c r="PU8" s="48">
        <v>1610</v>
      </c>
      <c r="PV8" s="48">
        <v>1818</v>
      </c>
      <c r="PW8" s="48">
        <v>1884</v>
      </c>
      <c r="PX8" s="48">
        <v>2096</v>
      </c>
      <c r="PY8" s="48">
        <v>2008</v>
      </c>
      <c r="PZ8" s="2">
        <v>2138</v>
      </c>
      <c r="QA8" s="48">
        <v>2794</v>
      </c>
      <c r="QB8" s="48">
        <v>8606</v>
      </c>
      <c r="QC8" s="48">
        <v>1922</v>
      </c>
      <c r="QD8" s="48">
        <v>2050</v>
      </c>
      <c r="QE8" s="158">
        <v>2068</v>
      </c>
      <c r="QF8" s="48">
        <v>2158</v>
      </c>
      <c r="QG8" s="48">
        <v>2188</v>
      </c>
      <c r="QH8" s="48">
        <v>1760</v>
      </c>
      <c r="QI8" s="48">
        <v>1906</v>
      </c>
      <c r="QJ8" s="5">
        <v>1582</v>
      </c>
      <c r="QK8" s="48">
        <v>1582</v>
      </c>
      <c r="QL8" s="48">
        <v>1794</v>
      </c>
      <c r="QM8" s="48">
        <v>2076</v>
      </c>
      <c r="QN8" s="48">
        <v>1558</v>
      </c>
      <c r="QO8" s="48">
        <v>2192</v>
      </c>
      <c r="QP8" s="48">
        <v>2430</v>
      </c>
      <c r="QQ8" s="329">
        <v>3618</v>
      </c>
      <c r="QR8" s="48">
        <v>3665</v>
      </c>
      <c r="QS8" s="104">
        <v>3018</v>
      </c>
      <c r="QT8" s="48">
        <v>3262</v>
      </c>
      <c r="QU8" s="48">
        <v>2093</v>
      </c>
      <c r="QV8" s="48">
        <v>2423</v>
      </c>
      <c r="QW8" s="48">
        <v>1629</v>
      </c>
      <c r="QX8" s="48">
        <v>2438</v>
      </c>
      <c r="QY8" s="48">
        <v>2307</v>
      </c>
      <c r="QZ8" s="48">
        <v>2052</v>
      </c>
      <c r="RA8" s="48">
        <v>2758</v>
      </c>
      <c r="RB8" s="48">
        <v>2286</v>
      </c>
      <c r="RC8" s="48">
        <v>2252</v>
      </c>
      <c r="RD8" s="48">
        <v>1946</v>
      </c>
      <c r="RE8" s="48">
        <v>2197</v>
      </c>
      <c r="RF8" s="48">
        <v>1840</v>
      </c>
      <c r="RG8" s="48">
        <v>2250</v>
      </c>
      <c r="RH8" s="48">
        <v>2347</v>
      </c>
      <c r="RI8" s="158">
        <v>11068</v>
      </c>
      <c r="RJ8" s="104">
        <v>2009</v>
      </c>
      <c r="RK8" s="48">
        <v>3152</v>
      </c>
      <c r="RL8" s="48">
        <v>4882</v>
      </c>
      <c r="RM8" s="48">
        <v>2050</v>
      </c>
      <c r="RN8" s="48">
        <v>1912</v>
      </c>
      <c r="RO8" s="48">
        <v>2078</v>
      </c>
      <c r="RP8" s="48">
        <v>2016</v>
      </c>
      <c r="RQ8" s="48">
        <v>2025</v>
      </c>
      <c r="RR8" s="48">
        <v>1696</v>
      </c>
      <c r="RS8" s="48">
        <v>2316</v>
      </c>
      <c r="RT8" s="48">
        <v>15803</v>
      </c>
      <c r="RU8" s="48">
        <v>52413</v>
      </c>
      <c r="RV8" s="48">
        <v>36158</v>
      </c>
    </row>
    <row r="9" spans="2:490" ht="15.75" x14ac:dyDescent="0.25">
      <c r="B9" s="188">
        <v>565</v>
      </c>
      <c r="C9">
        <v>380</v>
      </c>
      <c r="D9">
        <v>288</v>
      </c>
      <c r="E9">
        <v>326</v>
      </c>
      <c r="F9">
        <v>258</v>
      </c>
      <c r="G9">
        <v>256</v>
      </c>
      <c r="H9">
        <v>294</v>
      </c>
      <c r="I9">
        <v>278</v>
      </c>
      <c r="J9">
        <v>314</v>
      </c>
      <c r="L9">
        <v>238</v>
      </c>
      <c r="M9">
        <v>208</v>
      </c>
      <c r="N9">
        <v>274</v>
      </c>
      <c r="O9">
        <v>312</v>
      </c>
      <c r="P9">
        <v>132</v>
      </c>
      <c r="Q9">
        <v>310</v>
      </c>
      <c r="S9">
        <v>276</v>
      </c>
      <c r="T9">
        <v>242</v>
      </c>
      <c r="U9">
        <v>304</v>
      </c>
      <c r="V9">
        <v>286</v>
      </c>
      <c r="W9">
        <v>366</v>
      </c>
      <c r="X9">
        <v>322</v>
      </c>
      <c r="Y9">
        <v>360</v>
      </c>
      <c r="Z9">
        <v>298</v>
      </c>
      <c r="AA9">
        <v>308</v>
      </c>
      <c r="AB9">
        <v>378</v>
      </c>
      <c r="AC9">
        <v>362</v>
      </c>
      <c r="AD9">
        <v>430</v>
      </c>
      <c r="AE9">
        <v>312</v>
      </c>
      <c r="AF9">
        <v>312</v>
      </c>
      <c r="AG9">
        <v>336</v>
      </c>
      <c r="AH9">
        <v>260</v>
      </c>
      <c r="AI9">
        <v>296</v>
      </c>
      <c r="AJ9">
        <v>304</v>
      </c>
      <c r="AK9">
        <v>382</v>
      </c>
      <c r="AL9">
        <v>312</v>
      </c>
      <c r="AM9">
        <v>354</v>
      </c>
      <c r="AN9">
        <v>374</v>
      </c>
      <c r="AO9">
        <v>328</v>
      </c>
      <c r="AP9">
        <v>298</v>
      </c>
      <c r="AQ9">
        <v>294</v>
      </c>
      <c r="AR9">
        <v>296</v>
      </c>
      <c r="AS9">
        <v>324</v>
      </c>
      <c r="AT9">
        <v>288</v>
      </c>
      <c r="AU9">
        <v>326</v>
      </c>
      <c r="AV9">
        <v>268</v>
      </c>
      <c r="AW9">
        <v>352</v>
      </c>
      <c r="AX9">
        <v>324</v>
      </c>
      <c r="AY9">
        <v>336</v>
      </c>
      <c r="AZ9">
        <v>316</v>
      </c>
      <c r="BA9">
        <v>302</v>
      </c>
      <c r="BB9">
        <v>370</v>
      </c>
      <c r="BC9">
        <v>240</v>
      </c>
      <c r="BD9">
        <v>292</v>
      </c>
      <c r="BE9">
        <v>340</v>
      </c>
      <c r="BF9">
        <v>318</v>
      </c>
      <c r="BG9">
        <v>366</v>
      </c>
      <c r="BH9">
        <v>274</v>
      </c>
      <c r="BI9">
        <v>308</v>
      </c>
      <c r="BJ9">
        <v>314</v>
      </c>
      <c r="BK9">
        <v>322</v>
      </c>
      <c r="BL9">
        <v>268</v>
      </c>
      <c r="BM9">
        <v>262</v>
      </c>
      <c r="BN9">
        <v>250</v>
      </c>
      <c r="BO9">
        <v>286</v>
      </c>
      <c r="BP9">
        <v>248</v>
      </c>
      <c r="BQ9">
        <v>244</v>
      </c>
      <c r="BR9">
        <v>278</v>
      </c>
      <c r="BS9">
        <v>334</v>
      </c>
      <c r="BT9">
        <v>306</v>
      </c>
      <c r="BU9">
        <v>238</v>
      </c>
      <c r="BV9">
        <v>170</v>
      </c>
      <c r="BW9">
        <v>341</v>
      </c>
      <c r="BX9">
        <v>282</v>
      </c>
      <c r="BY9">
        <v>246</v>
      </c>
      <c r="BZ9">
        <v>278</v>
      </c>
      <c r="CA9">
        <v>328</v>
      </c>
      <c r="CB9">
        <v>268</v>
      </c>
      <c r="CC9">
        <v>327</v>
      </c>
      <c r="CD9">
        <v>271</v>
      </c>
      <c r="CE9">
        <v>274</v>
      </c>
      <c r="CF9">
        <v>255</v>
      </c>
      <c r="CG9">
        <v>293</v>
      </c>
      <c r="CH9">
        <v>296</v>
      </c>
      <c r="CI9">
        <v>329</v>
      </c>
      <c r="CJ9">
        <v>309</v>
      </c>
      <c r="CK9">
        <v>356</v>
      </c>
      <c r="CL9">
        <v>238</v>
      </c>
      <c r="CM9">
        <v>35</v>
      </c>
      <c r="CO9">
        <v>724</v>
      </c>
      <c r="CP9">
        <v>270</v>
      </c>
      <c r="CQ9">
        <v>306</v>
      </c>
      <c r="CR9">
        <v>318</v>
      </c>
      <c r="CS9">
        <v>262</v>
      </c>
      <c r="CT9">
        <v>271</v>
      </c>
      <c r="CU9">
        <v>347</v>
      </c>
      <c r="CV9">
        <v>344</v>
      </c>
      <c r="CW9">
        <v>312</v>
      </c>
      <c r="CX9">
        <v>270</v>
      </c>
      <c r="CY9">
        <v>296</v>
      </c>
      <c r="CZ9">
        <v>308</v>
      </c>
      <c r="DA9">
        <v>297</v>
      </c>
      <c r="DB9">
        <v>318</v>
      </c>
      <c r="DC9">
        <v>298</v>
      </c>
      <c r="DD9">
        <v>242</v>
      </c>
      <c r="DE9">
        <v>316</v>
      </c>
      <c r="DF9">
        <v>354</v>
      </c>
      <c r="DG9">
        <v>288</v>
      </c>
      <c r="DH9">
        <v>276</v>
      </c>
      <c r="DI9">
        <v>300</v>
      </c>
      <c r="DJ9">
        <v>380</v>
      </c>
      <c r="DK9">
        <v>280</v>
      </c>
      <c r="DL9">
        <v>314</v>
      </c>
      <c r="DM9">
        <v>350</v>
      </c>
      <c r="DN9">
        <v>308</v>
      </c>
      <c r="DO9">
        <v>282</v>
      </c>
      <c r="DP9">
        <v>258</v>
      </c>
      <c r="DQ9">
        <v>368</v>
      </c>
      <c r="DR9">
        <v>320</v>
      </c>
      <c r="DS9">
        <v>250</v>
      </c>
      <c r="DT9">
        <v>364</v>
      </c>
      <c r="DU9">
        <v>274</v>
      </c>
      <c r="DV9">
        <v>252</v>
      </c>
      <c r="DW9">
        <v>296</v>
      </c>
      <c r="DX9">
        <v>362</v>
      </c>
      <c r="DY9">
        <v>246</v>
      </c>
      <c r="DZ9">
        <v>328</v>
      </c>
      <c r="EA9">
        <v>336</v>
      </c>
      <c r="EB9">
        <v>312</v>
      </c>
      <c r="EC9">
        <v>404</v>
      </c>
      <c r="ED9">
        <v>276</v>
      </c>
      <c r="EE9">
        <v>293</v>
      </c>
      <c r="EF9">
        <v>438</v>
      </c>
      <c r="EG9">
        <v>476</v>
      </c>
      <c r="EH9">
        <v>431</v>
      </c>
      <c r="EI9">
        <v>452</v>
      </c>
      <c r="EJ9">
        <v>477</v>
      </c>
      <c r="EK9">
        <v>547</v>
      </c>
      <c r="EL9">
        <v>1309</v>
      </c>
      <c r="EM9">
        <v>501</v>
      </c>
      <c r="EN9">
        <v>520</v>
      </c>
      <c r="EO9">
        <v>466</v>
      </c>
      <c r="EP9">
        <v>630</v>
      </c>
      <c r="EQ9">
        <v>487</v>
      </c>
      <c r="ER9">
        <v>599</v>
      </c>
      <c r="ES9">
        <v>624</v>
      </c>
      <c r="ET9">
        <v>513</v>
      </c>
      <c r="EU9">
        <v>35</v>
      </c>
      <c r="EV9">
        <v>35</v>
      </c>
      <c r="EW9">
        <v>31</v>
      </c>
      <c r="EX9">
        <v>26</v>
      </c>
      <c r="EY9">
        <v>40</v>
      </c>
      <c r="EZ9">
        <v>34</v>
      </c>
      <c r="FA9">
        <v>20</v>
      </c>
      <c r="FB9">
        <v>44</v>
      </c>
      <c r="FC9">
        <v>19</v>
      </c>
      <c r="FD9">
        <v>30</v>
      </c>
      <c r="FE9">
        <v>38</v>
      </c>
      <c r="FF9">
        <v>42</v>
      </c>
      <c r="FG9">
        <v>37</v>
      </c>
      <c r="FH9">
        <v>32</v>
      </c>
      <c r="FI9">
        <v>44</v>
      </c>
      <c r="FJ9">
        <v>57</v>
      </c>
      <c r="FK9">
        <v>68</v>
      </c>
      <c r="FL9">
        <v>44</v>
      </c>
      <c r="FM9">
        <v>33</v>
      </c>
      <c r="FN9">
        <v>36</v>
      </c>
      <c r="FO9">
        <v>26</v>
      </c>
      <c r="FP9">
        <v>32</v>
      </c>
      <c r="FQ9">
        <v>32</v>
      </c>
      <c r="FR9">
        <v>46</v>
      </c>
      <c r="FS9">
        <v>39</v>
      </c>
      <c r="FT9">
        <v>25</v>
      </c>
      <c r="FU9">
        <v>30</v>
      </c>
      <c r="FV9">
        <v>42</v>
      </c>
      <c r="FW9">
        <v>59</v>
      </c>
      <c r="FX9">
        <v>42</v>
      </c>
      <c r="FY9">
        <v>38</v>
      </c>
      <c r="FZ9">
        <v>20</v>
      </c>
      <c r="GA9">
        <v>18</v>
      </c>
      <c r="GB9">
        <v>36</v>
      </c>
      <c r="GC9">
        <v>32</v>
      </c>
      <c r="GD9">
        <v>46</v>
      </c>
      <c r="GE9">
        <v>24</v>
      </c>
      <c r="GF9">
        <v>36</v>
      </c>
      <c r="GG9">
        <v>32</v>
      </c>
      <c r="GH9">
        <v>58</v>
      </c>
      <c r="GI9">
        <v>72</v>
      </c>
      <c r="GJ9">
        <v>28</v>
      </c>
      <c r="GK9">
        <v>34</v>
      </c>
      <c r="GL9">
        <v>50</v>
      </c>
      <c r="GM9">
        <v>34</v>
      </c>
      <c r="GN9">
        <v>40</v>
      </c>
      <c r="GO9">
        <v>30</v>
      </c>
      <c r="GP9">
        <v>30</v>
      </c>
      <c r="GQ9">
        <v>46</v>
      </c>
      <c r="GR9">
        <v>42</v>
      </c>
      <c r="GS9">
        <v>34</v>
      </c>
      <c r="GT9">
        <v>44</v>
      </c>
      <c r="GU9">
        <v>28</v>
      </c>
      <c r="GV9">
        <v>36</v>
      </c>
      <c r="GW9">
        <v>32</v>
      </c>
      <c r="GX9">
        <v>44</v>
      </c>
      <c r="GY9">
        <v>46</v>
      </c>
      <c r="GZ9">
        <v>88</v>
      </c>
      <c r="HA9">
        <v>34</v>
      </c>
      <c r="HB9">
        <v>34</v>
      </c>
      <c r="HC9">
        <v>86</v>
      </c>
      <c r="HD9">
        <v>53</v>
      </c>
      <c r="HE9">
        <v>21</v>
      </c>
      <c r="HF9">
        <v>42</v>
      </c>
      <c r="HG9">
        <v>30</v>
      </c>
      <c r="HH9">
        <v>44</v>
      </c>
      <c r="HI9">
        <v>28</v>
      </c>
      <c r="HJ9">
        <v>33</v>
      </c>
      <c r="HK9">
        <v>50</v>
      </c>
      <c r="HL9">
        <v>58</v>
      </c>
      <c r="HM9">
        <v>48</v>
      </c>
      <c r="HN9">
        <v>88</v>
      </c>
      <c r="HO9">
        <v>32</v>
      </c>
      <c r="HP9">
        <v>52</v>
      </c>
      <c r="HQ9">
        <v>40</v>
      </c>
      <c r="HR9">
        <v>42</v>
      </c>
      <c r="HS9">
        <v>38</v>
      </c>
      <c r="HT9">
        <v>44</v>
      </c>
      <c r="HU9">
        <v>40</v>
      </c>
      <c r="HV9">
        <v>38</v>
      </c>
      <c r="HW9">
        <v>32</v>
      </c>
      <c r="HX9">
        <v>38</v>
      </c>
      <c r="HY9">
        <v>46</v>
      </c>
      <c r="HZ9">
        <v>50</v>
      </c>
      <c r="IA9">
        <v>46</v>
      </c>
      <c r="IB9">
        <v>49</v>
      </c>
      <c r="IC9">
        <v>38</v>
      </c>
      <c r="ID9">
        <v>24</v>
      </c>
      <c r="IE9">
        <v>34</v>
      </c>
      <c r="IF9">
        <v>36</v>
      </c>
      <c r="IG9">
        <v>34</v>
      </c>
      <c r="IH9">
        <v>38</v>
      </c>
      <c r="II9">
        <v>24</v>
      </c>
      <c r="IJ9">
        <v>26</v>
      </c>
      <c r="IK9">
        <v>12</v>
      </c>
      <c r="IL9">
        <v>39</v>
      </c>
      <c r="IM9">
        <v>43</v>
      </c>
      <c r="IN9">
        <v>41</v>
      </c>
      <c r="IO9">
        <v>36</v>
      </c>
      <c r="IP9">
        <v>38</v>
      </c>
      <c r="IQ9">
        <v>51</v>
      </c>
      <c r="IR9">
        <v>58</v>
      </c>
      <c r="IS9">
        <v>85</v>
      </c>
      <c r="IT9">
        <v>38</v>
      </c>
      <c r="IU9">
        <v>44</v>
      </c>
      <c r="IV9">
        <v>34</v>
      </c>
      <c r="IW9">
        <v>47</v>
      </c>
      <c r="IX9">
        <v>51</v>
      </c>
      <c r="IY9">
        <v>50</v>
      </c>
      <c r="IZ9">
        <v>42</v>
      </c>
      <c r="JA9">
        <v>47</v>
      </c>
      <c r="JB9">
        <v>37</v>
      </c>
      <c r="JC9">
        <v>37</v>
      </c>
      <c r="JD9">
        <v>59</v>
      </c>
      <c r="JE9">
        <v>25</v>
      </c>
      <c r="JF9">
        <v>34</v>
      </c>
      <c r="JG9">
        <v>37</v>
      </c>
      <c r="JH9">
        <v>30</v>
      </c>
      <c r="JI9">
        <v>69</v>
      </c>
      <c r="JJ9">
        <v>54</v>
      </c>
      <c r="JK9">
        <v>75</v>
      </c>
      <c r="JL9">
        <v>50</v>
      </c>
      <c r="JM9">
        <v>80</v>
      </c>
      <c r="JN9">
        <v>71</v>
      </c>
      <c r="JO9" s="112">
        <v>61</v>
      </c>
      <c r="JP9">
        <v>52</v>
      </c>
      <c r="JQ9">
        <v>55</v>
      </c>
      <c r="JR9">
        <v>76</v>
      </c>
      <c r="JS9">
        <v>55</v>
      </c>
      <c r="JT9">
        <v>39</v>
      </c>
      <c r="JU9">
        <v>42</v>
      </c>
      <c r="JV9">
        <v>46</v>
      </c>
      <c r="JW9" s="101">
        <v>35</v>
      </c>
      <c r="JX9">
        <v>36</v>
      </c>
      <c r="JY9">
        <v>54</v>
      </c>
      <c r="JZ9">
        <v>73</v>
      </c>
      <c r="KA9">
        <v>58</v>
      </c>
      <c r="KB9">
        <v>34</v>
      </c>
      <c r="KC9">
        <v>33</v>
      </c>
      <c r="KD9" s="108">
        <v>24</v>
      </c>
      <c r="KE9">
        <v>44</v>
      </c>
      <c r="KF9">
        <v>34</v>
      </c>
      <c r="KG9">
        <v>29</v>
      </c>
      <c r="KH9">
        <v>23</v>
      </c>
      <c r="KI9">
        <v>20</v>
      </c>
      <c r="KJ9">
        <v>14</v>
      </c>
      <c r="KK9">
        <v>40</v>
      </c>
      <c r="KL9">
        <v>83</v>
      </c>
      <c r="KM9">
        <v>36</v>
      </c>
      <c r="KN9">
        <v>43</v>
      </c>
      <c r="KO9">
        <v>30</v>
      </c>
      <c r="KP9">
        <v>21</v>
      </c>
      <c r="KQ9">
        <v>60</v>
      </c>
      <c r="KR9">
        <v>55</v>
      </c>
      <c r="KS9">
        <v>46</v>
      </c>
      <c r="KT9">
        <v>27</v>
      </c>
      <c r="KU9">
        <v>54</v>
      </c>
      <c r="KV9">
        <v>41</v>
      </c>
      <c r="KW9">
        <v>45</v>
      </c>
      <c r="KX9">
        <v>30</v>
      </c>
      <c r="KY9">
        <v>32</v>
      </c>
      <c r="KZ9" s="48">
        <v>93</v>
      </c>
      <c r="LA9" s="48">
        <v>65</v>
      </c>
      <c r="LB9" s="48">
        <v>46</v>
      </c>
      <c r="LC9" s="48">
        <v>47</v>
      </c>
      <c r="LD9" s="48">
        <v>41</v>
      </c>
      <c r="LE9" s="48">
        <v>23</v>
      </c>
      <c r="LF9" s="158">
        <v>34</v>
      </c>
      <c r="LG9" s="158">
        <v>47</v>
      </c>
      <c r="LH9" s="48">
        <v>37</v>
      </c>
      <c r="LI9" s="48">
        <v>33</v>
      </c>
      <c r="LJ9" s="48">
        <v>35</v>
      </c>
      <c r="LK9" s="48">
        <v>28</v>
      </c>
      <c r="LL9" s="48">
        <v>48</v>
      </c>
      <c r="LM9" s="48">
        <v>41</v>
      </c>
      <c r="LN9" s="48">
        <v>34</v>
      </c>
      <c r="LO9" s="48">
        <v>36</v>
      </c>
      <c r="LP9" s="48">
        <v>43</v>
      </c>
      <c r="LQ9" s="158">
        <v>32</v>
      </c>
      <c r="LR9" s="48">
        <v>32</v>
      </c>
      <c r="LS9" s="48">
        <v>24</v>
      </c>
      <c r="LT9" s="48">
        <v>28</v>
      </c>
      <c r="LU9" s="48">
        <v>42</v>
      </c>
      <c r="LV9" s="1">
        <v>28</v>
      </c>
      <c r="LW9" s="48">
        <v>23</v>
      </c>
      <c r="LX9" s="48">
        <v>55</v>
      </c>
      <c r="LY9" s="158">
        <v>92</v>
      </c>
      <c r="LZ9" s="48">
        <v>24</v>
      </c>
      <c r="MA9" s="48">
        <v>26</v>
      </c>
      <c r="MB9" s="1">
        <v>26</v>
      </c>
      <c r="MC9" s="1">
        <v>18</v>
      </c>
      <c r="MD9" s="1">
        <v>26</v>
      </c>
      <c r="ME9" s="48">
        <v>36</v>
      </c>
      <c r="MF9" s="48">
        <v>24</v>
      </c>
      <c r="MG9" s="48">
        <v>32</v>
      </c>
      <c r="MH9" s="48">
        <v>34</v>
      </c>
      <c r="MI9" s="48">
        <v>18</v>
      </c>
      <c r="MJ9" s="48">
        <v>28</v>
      </c>
      <c r="MK9" s="48">
        <v>58</v>
      </c>
      <c r="ML9" s="48">
        <v>34</v>
      </c>
      <c r="MM9" s="48">
        <v>36</v>
      </c>
      <c r="MN9" s="48">
        <v>36</v>
      </c>
      <c r="MO9" s="158">
        <v>48</v>
      </c>
      <c r="MP9" s="48">
        <v>14</v>
      </c>
      <c r="MQ9" s="1">
        <v>54</v>
      </c>
      <c r="MR9" s="1">
        <v>106</v>
      </c>
      <c r="MS9" s="1">
        <v>34</v>
      </c>
      <c r="MT9" s="1">
        <v>42</v>
      </c>
      <c r="MU9" s="1">
        <v>32</v>
      </c>
      <c r="MV9" s="1">
        <v>40</v>
      </c>
      <c r="MW9" s="1">
        <v>38</v>
      </c>
      <c r="MX9" s="48">
        <v>24</v>
      </c>
      <c r="MY9" s="104">
        <v>42</v>
      </c>
      <c r="MZ9" s="48">
        <v>22</v>
      </c>
      <c r="NA9" s="48">
        <v>46</v>
      </c>
      <c r="NB9" s="48">
        <v>40</v>
      </c>
      <c r="NC9" s="48">
        <v>42</v>
      </c>
      <c r="ND9" s="48">
        <v>86</v>
      </c>
      <c r="NE9" s="48">
        <v>46</v>
      </c>
      <c r="NF9" s="48">
        <v>40</v>
      </c>
      <c r="NG9" s="48">
        <v>46</v>
      </c>
      <c r="NH9" s="48">
        <v>40</v>
      </c>
      <c r="NI9" s="48">
        <v>58</v>
      </c>
      <c r="NJ9" s="48">
        <v>34</v>
      </c>
      <c r="NK9" s="48">
        <v>72</v>
      </c>
      <c r="NL9" s="48">
        <v>32</v>
      </c>
      <c r="NM9" s="48">
        <v>22</v>
      </c>
      <c r="NN9" s="158">
        <v>28</v>
      </c>
      <c r="NO9" s="48">
        <v>36</v>
      </c>
      <c r="NP9" s="48">
        <v>20</v>
      </c>
      <c r="NQ9" s="104">
        <v>30</v>
      </c>
      <c r="NR9" s="1">
        <v>38</v>
      </c>
      <c r="NS9" s="1">
        <v>75</v>
      </c>
      <c r="NT9" s="1">
        <v>94</v>
      </c>
      <c r="NU9" s="1">
        <v>92</v>
      </c>
      <c r="NV9" s="313">
        <v>99</v>
      </c>
      <c r="NW9" s="1">
        <v>38</v>
      </c>
      <c r="NX9" s="1">
        <v>37</v>
      </c>
      <c r="NY9" s="1">
        <v>43</v>
      </c>
      <c r="NZ9" s="1">
        <v>25</v>
      </c>
      <c r="OA9" s="1">
        <v>34</v>
      </c>
      <c r="OB9" s="1">
        <v>22</v>
      </c>
      <c r="OC9" s="48">
        <v>34</v>
      </c>
      <c r="OD9" s="48">
        <v>22</v>
      </c>
      <c r="OK9" s="48">
        <v>30</v>
      </c>
      <c r="OL9" s="48">
        <v>38</v>
      </c>
      <c r="OM9" s="48">
        <v>22</v>
      </c>
      <c r="ON9" s="48">
        <v>34</v>
      </c>
      <c r="OO9" s="48">
        <v>32</v>
      </c>
      <c r="OP9" s="48">
        <v>22</v>
      </c>
      <c r="OQ9" s="48">
        <v>16</v>
      </c>
      <c r="OR9" s="48">
        <v>18</v>
      </c>
      <c r="OS9" s="48">
        <v>46</v>
      </c>
      <c r="OT9" s="48">
        <v>22</v>
      </c>
      <c r="OU9" s="48">
        <v>36</v>
      </c>
      <c r="OV9" s="48">
        <v>20</v>
      </c>
      <c r="OW9" s="48">
        <v>30</v>
      </c>
      <c r="OX9" s="48">
        <v>14</v>
      </c>
      <c r="OY9" s="104">
        <v>32</v>
      </c>
      <c r="OZ9" s="48">
        <v>32</v>
      </c>
      <c r="PA9" s="48">
        <v>70</v>
      </c>
      <c r="PB9" s="48">
        <v>42</v>
      </c>
      <c r="PC9" s="48">
        <v>48</v>
      </c>
      <c r="PD9" s="48">
        <v>35</v>
      </c>
      <c r="PE9" s="329">
        <v>34</v>
      </c>
      <c r="PF9" s="48">
        <v>38</v>
      </c>
      <c r="PG9" s="48">
        <v>28</v>
      </c>
      <c r="PH9" s="48">
        <v>42</v>
      </c>
      <c r="PI9" s="48">
        <v>32</v>
      </c>
      <c r="PJ9" s="48">
        <v>28</v>
      </c>
      <c r="PK9" s="102">
        <v>40</v>
      </c>
      <c r="PL9" s="48">
        <v>54</v>
      </c>
      <c r="PM9" s="48">
        <v>20</v>
      </c>
      <c r="PN9" s="1">
        <v>34</v>
      </c>
      <c r="PO9" s="329">
        <v>24</v>
      </c>
      <c r="PP9" s="329">
        <v>32</v>
      </c>
      <c r="PQ9" s="329">
        <v>28</v>
      </c>
      <c r="PR9" s="329">
        <v>34</v>
      </c>
      <c r="PS9" s="329">
        <v>16</v>
      </c>
      <c r="PT9" s="329">
        <v>38</v>
      </c>
      <c r="PU9" s="48">
        <v>26</v>
      </c>
      <c r="PV9" s="48">
        <v>42</v>
      </c>
      <c r="PW9" s="48">
        <v>40</v>
      </c>
      <c r="PX9" s="48">
        <v>42</v>
      </c>
      <c r="PY9" s="48">
        <v>38</v>
      </c>
      <c r="PZ9" s="2">
        <v>40</v>
      </c>
      <c r="QA9" s="48">
        <v>54</v>
      </c>
      <c r="QB9" s="48">
        <v>24</v>
      </c>
      <c r="QC9" s="48">
        <v>54</v>
      </c>
      <c r="QD9" s="48">
        <v>56</v>
      </c>
      <c r="QE9" s="158">
        <v>48</v>
      </c>
      <c r="QF9" s="48">
        <v>36</v>
      </c>
      <c r="QG9" s="48">
        <v>44</v>
      </c>
      <c r="QH9" s="48">
        <v>28</v>
      </c>
      <c r="QI9" s="48">
        <v>40</v>
      </c>
      <c r="QJ9" s="5">
        <v>40</v>
      </c>
      <c r="QK9" s="48">
        <v>40</v>
      </c>
      <c r="QL9" s="48">
        <v>24</v>
      </c>
      <c r="QM9" s="48">
        <v>28</v>
      </c>
      <c r="QN9" s="104">
        <v>48</v>
      </c>
      <c r="QO9" s="48">
        <v>38</v>
      </c>
      <c r="QP9" s="48">
        <v>20</v>
      </c>
      <c r="QQ9" s="329">
        <v>50</v>
      </c>
      <c r="QR9" s="48">
        <v>69</v>
      </c>
      <c r="QS9" s="48">
        <v>50</v>
      </c>
      <c r="QT9" s="48">
        <v>63</v>
      </c>
      <c r="QU9" s="104">
        <v>41</v>
      </c>
      <c r="QV9" s="48">
        <v>49</v>
      </c>
      <c r="QW9" s="48">
        <v>63</v>
      </c>
      <c r="QX9" s="48">
        <v>48</v>
      </c>
      <c r="QY9" s="48">
        <v>52</v>
      </c>
      <c r="QZ9" s="48">
        <v>31</v>
      </c>
      <c r="RA9" s="48">
        <v>78</v>
      </c>
      <c r="RB9" s="48">
        <v>71</v>
      </c>
      <c r="RC9" s="48">
        <v>39</v>
      </c>
      <c r="RD9" s="48">
        <v>47</v>
      </c>
      <c r="RE9" s="48">
        <v>47</v>
      </c>
      <c r="RF9" s="48">
        <v>33</v>
      </c>
      <c r="RG9" s="48">
        <v>56</v>
      </c>
      <c r="RH9" s="48">
        <v>35</v>
      </c>
      <c r="RI9" s="158">
        <v>54</v>
      </c>
      <c r="RJ9" s="48">
        <v>41</v>
      </c>
      <c r="RK9" s="48">
        <v>69</v>
      </c>
      <c r="RL9" s="48">
        <v>54</v>
      </c>
      <c r="RM9" s="48">
        <v>75</v>
      </c>
      <c r="RN9" s="48">
        <v>47</v>
      </c>
      <c r="RO9" s="48">
        <v>32</v>
      </c>
      <c r="RP9" s="48">
        <v>66</v>
      </c>
      <c r="RQ9" s="48">
        <v>76</v>
      </c>
      <c r="RR9" s="48">
        <v>65</v>
      </c>
      <c r="RS9" s="48">
        <v>123</v>
      </c>
      <c r="RT9" s="48">
        <v>57</v>
      </c>
      <c r="RU9" s="48">
        <v>59</v>
      </c>
      <c r="RV9" s="48">
        <v>48</v>
      </c>
    </row>
    <row r="10" spans="2:490" ht="15.75" x14ac:dyDescent="0.25">
      <c r="B10" s="187">
        <v>513</v>
      </c>
      <c r="C10">
        <v>622</v>
      </c>
      <c r="D10">
        <v>608</v>
      </c>
      <c r="E10">
        <v>592</v>
      </c>
      <c r="F10">
        <v>612</v>
      </c>
      <c r="G10">
        <v>536</v>
      </c>
      <c r="H10">
        <v>554</v>
      </c>
      <c r="I10">
        <v>536</v>
      </c>
      <c r="J10">
        <v>610</v>
      </c>
      <c r="K10">
        <v>528</v>
      </c>
      <c r="L10">
        <v>408</v>
      </c>
      <c r="M10">
        <v>496</v>
      </c>
      <c r="N10">
        <v>480</v>
      </c>
      <c r="O10">
        <v>556</v>
      </c>
      <c r="P10">
        <v>215</v>
      </c>
      <c r="Q10">
        <v>601</v>
      </c>
      <c r="R10">
        <v>587</v>
      </c>
      <c r="S10">
        <v>502</v>
      </c>
      <c r="T10">
        <v>540</v>
      </c>
      <c r="U10">
        <v>546</v>
      </c>
      <c r="V10">
        <v>568</v>
      </c>
      <c r="W10">
        <v>606</v>
      </c>
      <c r="X10">
        <v>566</v>
      </c>
      <c r="Y10">
        <v>582</v>
      </c>
      <c r="Z10">
        <v>496</v>
      </c>
      <c r="AA10">
        <v>522</v>
      </c>
      <c r="AB10">
        <v>518</v>
      </c>
      <c r="AC10">
        <v>516</v>
      </c>
      <c r="AD10">
        <v>566</v>
      </c>
      <c r="AE10">
        <v>614</v>
      </c>
      <c r="AF10">
        <v>574</v>
      </c>
      <c r="AG10">
        <v>522</v>
      </c>
      <c r="AH10">
        <v>490</v>
      </c>
      <c r="AI10">
        <v>574</v>
      </c>
      <c r="AJ10">
        <v>484</v>
      </c>
      <c r="AK10">
        <v>568</v>
      </c>
      <c r="AL10">
        <v>424</v>
      </c>
      <c r="AM10">
        <v>496</v>
      </c>
      <c r="AN10">
        <v>560</v>
      </c>
      <c r="AO10">
        <v>548</v>
      </c>
      <c r="AP10">
        <v>684</v>
      </c>
      <c r="AQ10">
        <v>530</v>
      </c>
      <c r="AR10">
        <v>534</v>
      </c>
      <c r="AS10">
        <v>588</v>
      </c>
      <c r="AT10">
        <v>514</v>
      </c>
      <c r="AU10">
        <v>552</v>
      </c>
      <c r="AV10">
        <v>538</v>
      </c>
      <c r="AW10">
        <v>638</v>
      </c>
      <c r="AX10">
        <v>488</v>
      </c>
      <c r="AY10">
        <v>506</v>
      </c>
      <c r="AZ10">
        <v>482</v>
      </c>
      <c r="BA10">
        <v>570</v>
      </c>
      <c r="BB10">
        <v>562</v>
      </c>
      <c r="BC10">
        <v>502</v>
      </c>
      <c r="BD10">
        <v>436</v>
      </c>
      <c r="BE10">
        <v>500</v>
      </c>
      <c r="BF10">
        <v>582</v>
      </c>
      <c r="BG10">
        <v>552</v>
      </c>
      <c r="BH10">
        <v>458</v>
      </c>
      <c r="BI10">
        <v>556</v>
      </c>
      <c r="BJ10">
        <v>532</v>
      </c>
      <c r="BK10">
        <v>486</v>
      </c>
      <c r="BL10">
        <v>416</v>
      </c>
      <c r="BM10">
        <v>475</v>
      </c>
      <c r="BN10">
        <v>522</v>
      </c>
      <c r="BO10">
        <v>520</v>
      </c>
      <c r="BP10">
        <v>550</v>
      </c>
      <c r="BQ10">
        <v>492</v>
      </c>
      <c r="BR10">
        <v>556</v>
      </c>
      <c r="BS10">
        <v>504</v>
      </c>
      <c r="BT10">
        <v>528</v>
      </c>
      <c r="BU10">
        <v>482</v>
      </c>
      <c r="BV10">
        <v>238</v>
      </c>
      <c r="BW10">
        <v>589</v>
      </c>
      <c r="BX10">
        <v>568</v>
      </c>
      <c r="BY10">
        <v>550</v>
      </c>
      <c r="BZ10">
        <v>620</v>
      </c>
      <c r="CA10">
        <v>609</v>
      </c>
      <c r="CB10">
        <v>543</v>
      </c>
      <c r="CC10">
        <v>582</v>
      </c>
      <c r="CD10">
        <v>513</v>
      </c>
      <c r="CE10">
        <v>506</v>
      </c>
      <c r="CF10">
        <v>580</v>
      </c>
      <c r="CG10">
        <v>611</v>
      </c>
      <c r="CH10">
        <v>559</v>
      </c>
      <c r="CI10">
        <v>490</v>
      </c>
      <c r="CJ10">
        <v>498</v>
      </c>
      <c r="CK10">
        <v>486</v>
      </c>
      <c r="CL10">
        <v>444</v>
      </c>
      <c r="CM10">
        <v>77</v>
      </c>
      <c r="CO10">
        <v>1105</v>
      </c>
      <c r="CP10">
        <v>527</v>
      </c>
      <c r="CQ10">
        <v>564</v>
      </c>
      <c r="CR10">
        <v>466</v>
      </c>
      <c r="CS10">
        <v>482</v>
      </c>
      <c r="CT10">
        <v>630</v>
      </c>
      <c r="CU10">
        <v>697</v>
      </c>
      <c r="CV10">
        <v>708</v>
      </c>
      <c r="CW10">
        <v>663</v>
      </c>
      <c r="CX10">
        <v>602</v>
      </c>
      <c r="CY10">
        <v>592</v>
      </c>
      <c r="CZ10">
        <v>610</v>
      </c>
      <c r="DA10">
        <v>610</v>
      </c>
      <c r="DB10">
        <v>598</v>
      </c>
      <c r="DC10">
        <v>622</v>
      </c>
      <c r="DD10">
        <v>590</v>
      </c>
      <c r="DE10">
        <v>624</v>
      </c>
      <c r="DF10">
        <v>540</v>
      </c>
      <c r="DG10">
        <v>698</v>
      </c>
      <c r="DH10">
        <v>552</v>
      </c>
      <c r="DI10">
        <v>586</v>
      </c>
      <c r="DJ10">
        <v>696</v>
      </c>
      <c r="DK10">
        <v>550</v>
      </c>
      <c r="DL10">
        <v>632</v>
      </c>
      <c r="DM10">
        <v>602</v>
      </c>
      <c r="DN10">
        <v>522</v>
      </c>
      <c r="DO10">
        <v>526</v>
      </c>
      <c r="DP10">
        <v>676</v>
      </c>
      <c r="DQ10">
        <v>596</v>
      </c>
      <c r="DR10">
        <v>606</v>
      </c>
      <c r="DS10">
        <v>556</v>
      </c>
      <c r="DT10">
        <v>538</v>
      </c>
      <c r="DU10">
        <v>528</v>
      </c>
      <c r="DV10">
        <v>556</v>
      </c>
      <c r="DW10">
        <v>508</v>
      </c>
      <c r="DX10">
        <v>578</v>
      </c>
      <c r="DY10">
        <v>574</v>
      </c>
      <c r="DZ10">
        <v>608</v>
      </c>
      <c r="EA10">
        <v>595</v>
      </c>
      <c r="EB10">
        <v>594</v>
      </c>
      <c r="EC10">
        <v>518</v>
      </c>
      <c r="ED10">
        <v>496</v>
      </c>
      <c r="EE10">
        <v>658</v>
      </c>
      <c r="EF10">
        <v>546</v>
      </c>
      <c r="EG10">
        <v>614</v>
      </c>
      <c r="EH10">
        <v>585</v>
      </c>
      <c r="EI10">
        <v>575</v>
      </c>
      <c r="EJ10">
        <v>564</v>
      </c>
      <c r="EK10">
        <v>582</v>
      </c>
      <c r="EL10">
        <v>1436</v>
      </c>
      <c r="EM10">
        <v>547</v>
      </c>
      <c r="EN10">
        <v>588</v>
      </c>
      <c r="EO10">
        <v>656</v>
      </c>
      <c r="EP10">
        <v>707</v>
      </c>
      <c r="EQ10">
        <v>530</v>
      </c>
      <c r="ER10">
        <v>708</v>
      </c>
      <c r="ES10">
        <v>666</v>
      </c>
      <c r="ET10">
        <v>578</v>
      </c>
      <c r="EU10">
        <v>670</v>
      </c>
      <c r="EV10">
        <v>578</v>
      </c>
      <c r="EW10">
        <v>548</v>
      </c>
      <c r="EX10">
        <v>592</v>
      </c>
      <c r="EY10">
        <v>500</v>
      </c>
      <c r="EZ10">
        <v>518</v>
      </c>
      <c r="FA10">
        <v>613</v>
      </c>
      <c r="FB10">
        <v>596</v>
      </c>
      <c r="FC10">
        <v>573</v>
      </c>
      <c r="FD10">
        <v>574</v>
      </c>
      <c r="FE10">
        <v>555</v>
      </c>
      <c r="FF10">
        <v>570</v>
      </c>
      <c r="FG10">
        <v>608</v>
      </c>
      <c r="FH10">
        <v>582</v>
      </c>
      <c r="FI10">
        <v>660</v>
      </c>
      <c r="FJ10">
        <v>681</v>
      </c>
      <c r="FK10">
        <v>588</v>
      </c>
      <c r="FL10">
        <v>634</v>
      </c>
      <c r="FM10">
        <v>617</v>
      </c>
      <c r="FN10">
        <v>625</v>
      </c>
      <c r="FO10">
        <v>472</v>
      </c>
      <c r="FP10">
        <v>582</v>
      </c>
      <c r="FQ10">
        <v>660</v>
      </c>
      <c r="FR10">
        <v>498</v>
      </c>
      <c r="FS10">
        <v>580</v>
      </c>
      <c r="FT10">
        <v>517</v>
      </c>
      <c r="FU10">
        <v>504</v>
      </c>
      <c r="FV10">
        <v>554</v>
      </c>
      <c r="FW10">
        <v>620</v>
      </c>
      <c r="FX10">
        <v>652</v>
      </c>
      <c r="FY10">
        <v>684</v>
      </c>
      <c r="FZ10">
        <v>696</v>
      </c>
      <c r="GA10">
        <v>628</v>
      </c>
      <c r="GB10">
        <v>560</v>
      </c>
      <c r="GC10">
        <v>548</v>
      </c>
      <c r="GD10">
        <v>698</v>
      </c>
      <c r="GE10">
        <v>830</v>
      </c>
      <c r="GF10">
        <v>730</v>
      </c>
      <c r="GG10">
        <v>722</v>
      </c>
      <c r="GH10">
        <v>608</v>
      </c>
      <c r="GI10">
        <v>634</v>
      </c>
      <c r="GJ10">
        <v>538</v>
      </c>
      <c r="GK10">
        <v>564</v>
      </c>
      <c r="GL10">
        <v>624</v>
      </c>
      <c r="GM10">
        <v>584</v>
      </c>
      <c r="GN10">
        <v>542</v>
      </c>
      <c r="GO10">
        <v>618</v>
      </c>
      <c r="GP10">
        <v>536</v>
      </c>
      <c r="GQ10">
        <v>486</v>
      </c>
      <c r="GR10">
        <v>530</v>
      </c>
      <c r="GS10">
        <v>516</v>
      </c>
      <c r="GT10">
        <v>590</v>
      </c>
      <c r="GU10">
        <v>572</v>
      </c>
      <c r="GV10">
        <v>608</v>
      </c>
      <c r="GW10">
        <v>596</v>
      </c>
      <c r="GX10">
        <v>662</v>
      </c>
      <c r="GY10">
        <v>536</v>
      </c>
      <c r="GZ10">
        <v>716</v>
      </c>
      <c r="HA10">
        <v>536</v>
      </c>
      <c r="HB10">
        <v>526</v>
      </c>
      <c r="HC10">
        <v>635</v>
      </c>
      <c r="HD10">
        <v>675</v>
      </c>
      <c r="HE10">
        <v>528</v>
      </c>
      <c r="HF10">
        <v>535</v>
      </c>
      <c r="HG10">
        <v>548</v>
      </c>
      <c r="HH10">
        <v>510</v>
      </c>
      <c r="HI10">
        <v>536</v>
      </c>
      <c r="HJ10">
        <v>479</v>
      </c>
      <c r="HK10">
        <v>548</v>
      </c>
      <c r="HL10">
        <v>628</v>
      </c>
      <c r="HM10">
        <v>516</v>
      </c>
      <c r="HN10">
        <v>474</v>
      </c>
      <c r="HO10">
        <v>468</v>
      </c>
      <c r="HP10">
        <v>592</v>
      </c>
      <c r="HQ10">
        <v>628</v>
      </c>
      <c r="HR10">
        <v>516</v>
      </c>
      <c r="HS10">
        <v>630</v>
      </c>
      <c r="HT10">
        <v>576</v>
      </c>
      <c r="HU10">
        <v>600</v>
      </c>
      <c r="HV10">
        <v>588</v>
      </c>
      <c r="HW10">
        <v>612</v>
      </c>
      <c r="HX10">
        <v>624</v>
      </c>
      <c r="HY10">
        <v>586</v>
      </c>
      <c r="HZ10">
        <v>600</v>
      </c>
      <c r="IA10">
        <v>600</v>
      </c>
      <c r="IB10">
        <v>734</v>
      </c>
      <c r="IC10">
        <v>596</v>
      </c>
      <c r="ID10">
        <v>628</v>
      </c>
      <c r="IE10">
        <v>584</v>
      </c>
      <c r="IF10">
        <v>624</v>
      </c>
      <c r="IG10">
        <v>652</v>
      </c>
      <c r="IH10">
        <v>574</v>
      </c>
      <c r="II10">
        <v>604</v>
      </c>
      <c r="IJ10">
        <v>606</v>
      </c>
      <c r="IK10">
        <v>406</v>
      </c>
      <c r="IL10">
        <v>672</v>
      </c>
      <c r="IM10">
        <v>548</v>
      </c>
      <c r="IN10">
        <v>524</v>
      </c>
      <c r="IO10">
        <v>595</v>
      </c>
      <c r="IP10">
        <v>594</v>
      </c>
      <c r="IQ10">
        <v>693</v>
      </c>
      <c r="IR10">
        <v>513</v>
      </c>
      <c r="IS10">
        <v>645</v>
      </c>
      <c r="IT10">
        <v>603</v>
      </c>
      <c r="IU10">
        <v>578</v>
      </c>
      <c r="IV10">
        <v>633</v>
      </c>
      <c r="IW10">
        <v>650</v>
      </c>
      <c r="IX10">
        <v>534</v>
      </c>
      <c r="IY10">
        <v>481</v>
      </c>
      <c r="IZ10">
        <v>498</v>
      </c>
      <c r="JA10">
        <v>523</v>
      </c>
      <c r="JB10">
        <v>567</v>
      </c>
      <c r="JC10">
        <v>631</v>
      </c>
      <c r="JD10">
        <v>742</v>
      </c>
      <c r="JE10">
        <v>590</v>
      </c>
      <c r="JF10" s="101">
        <v>414</v>
      </c>
      <c r="JG10">
        <v>443</v>
      </c>
      <c r="JH10">
        <v>562</v>
      </c>
      <c r="JI10">
        <v>803</v>
      </c>
      <c r="JJ10">
        <v>676</v>
      </c>
      <c r="JK10">
        <v>824</v>
      </c>
      <c r="JL10">
        <v>802</v>
      </c>
      <c r="JM10">
        <v>634</v>
      </c>
      <c r="JN10">
        <v>769</v>
      </c>
      <c r="JO10" s="112">
        <v>797</v>
      </c>
      <c r="JP10">
        <v>952</v>
      </c>
      <c r="JQ10">
        <v>1041</v>
      </c>
      <c r="JR10">
        <v>983</v>
      </c>
      <c r="JS10">
        <v>669</v>
      </c>
      <c r="JT10">
        <v>894</v>
      </c>
      <c r="JU10">
        <v>759</v>
      </c>
      <c r="JV10">
        <v>789</v>
      </c>
      <c r="JW10">
        <v>662</v>
      </c>
      <c r="JX10">
        <v>673</v>
      </c>
      <c r="JY10">
        <v>741</v>
      </c>
      <c r="JZ10">
        <v>1304</v>
      </c>
      <c r="KA10">
        <v>1082</v>
      </c>
      <c r="KB10">
        <v>544</v>
      </c>
      <c r="KC10">
        <v>639</v>
      </c>
      <c r="KD10" s="108">
        <v>607</v>
      </c>
      <c r="KE10">
        <v>762</v>
      </c>
      <c r="KF10">
        <v>905</v>
      </c>
      <c r="KG10">
        <v>760</v>
      </c>
      <c r="KH10">
        <v>605</v>
      </c>
      <c r="KI10">
        <v>511</v>
      </c>
      <c r="KJ10">
        <v>653</v>
      </c>
      <c r="KK10">
        <v>908</v>
      </c>
      <c r="KL10">
        <v>688</v>
      </c>
      <c r="KM10">
        <v>647</v>
      </c>
      <c r="KN10">
        <v>611</v>
      </c>
      <c r="KO10">
        <v>683</v>
      </c>
      <c r="KP10">
        <v>649</v>
      </c>
      <c r="KQ10">
        <v>1149</v>
      </c>
      <c r="KR10">
        <v>840</v>
      </c>
      <c r="KS10">
        <v>617</v>
      </c>
      <c r="KT10">
        <v>600</v>
      </c>
      <c r="KU10">
        <v>738</v>
      </c>
      <c r="KV10">
        <v>617</v>
      </c>
      <c r="KW10">
        <v>760</v>
      </c>
      <c r="KX10">
        <v>671</v>
      </c>
      <c r="KY10">
        <v>640</v>
      </c>
      <c r="KZ10" s="48">
        <v>852</v>
      </c>
      <c r="LA10" s="48">
        <v>835</v>
      </c>
      <c r="LB10" s="48">
        <v>890</v>
      </c>
      <c r="LC10" s="48">
        <v>1125</v>
      </c>
      <c r="LD10" s="48">
        <v>776</v>
      </c>
      <c r="LE10" s="48">
        <v>744</v>
      </c>
      <c r="LF10" s="158">
        <v>713</v>
      </c>
      <c r="LG10" s="158">
        <v>961</v>
      </c>
      <c r="LH10" s="48">
        <v>782</v>
      </c>
      <c r="LI10" s="48">
        <v>798</v>
      </c>
      <c r="LJ10" s="48">
        <v>633</v>
      </c>
      <c r="LK10" s="48">
        <v>664</v>
      </c>
      <c r="LL10" s="48">
        <v>670</v>
      </c>
      <c r="LM10" s="48">
        <v>879</v>
      </c>
      <c r="LN10" s="48">
        <v>730</v>
      </c>
      <c r="LO10" s="48">
        <v>724</v>
      </c>
      <c r="LP10" s="48">
        <v>651</v>
      </c>
      <c r="LQ10" s="158">
        <v>793</v>
      </c>
      <c r="LR10" s="48">
        <v>636</v>
      </c>
      <c r="LS10" s="48">
        <v>705</v>
      </c>
      <c r="LT10" s="48">
        <v>694</v>
      </c>
      <c r="LU10" s="48">
        <v>700</v>
      </c>
      <c r="LV10" s="1">
        <v>733</v>
      </c>
      <c r="LW10" s="1">
        <v>709</v>
      </c>
      <c r="LX10" s="1">
        <v>672</v>
      </c>
      <c r="LY10" s="158">
        <v>578</v>
      </c>
      <c r="LZ10" s="48">
        <v>664</v>
      </c>
      <c r="MA10" s="48">
        <v>688</v>
      </c>
      <c r="MB10" s="1">
        <v>858</v>
      </c>
      <c r="MC10" s="1">
        <v>598</v>
      </c>
      <c r="MD10" s="1">
        <v>608</v>
      </c>
      <c r="ME10" s="48">
        <v>660</v>
      </c>
      <c r="MF10" s="48">
        <v>614</v>
      </c>
      <c r="MG10" s="48">
        <v>724</v>
      </c>
      <c r="MH10" s="48">
        <v>672</v>
      </c>
      <c r="MI10" s="48">
        <v>648</v>
      </c>
      <c r="MJ10" s="48">
        <v>732</v>
      </c>
      <c r="MK10" s="48">
        <v>674</v>
      </c>
      <c r="ML10" s="48">
        <v>642</v>
      </c>
      <c r="MM10" s="48">
        <v>574</v>
      </c>
      <c r="MN10" s="48">
        <v>522</v>
      </c>
      <c r="MO10" s="158">
        <v>576</v>
      </c>
      <c r="MP10" s="48">
        <v>678</v>
      </c>
      <c r="MQ10" s="1">
        <v>866</v>
      </c>
      <c r="MR10" s="1">
        <v>748</v>
      </c>
      <c r="MS10" s="1">
        <v>640</v>
      </c>
      <c r="MT10" s="1">
        <v>658</v>
      </c>
      <c r="MU10" s="1">
        <v>752</v>
      </c>
      <c r="MV10" s="1">
        <v>604</v>
      </c>
      <c r="MW10" s="1">
        <v>670</v>
      </c>
      <c r="MX10" s="48">
        <v>584</v>
      </c>
      <c r="MY10" s="48">
        <v>602</v>
      </c>
      <c r="MZ10" s="48">
        <v>536</v>
      </c>
      <c r="NA10" s="48">
        <v>616</v>
      </c>
      <c r="NB10" s="48">
        <v>646</v>
      </c>
      <c r="NC10" s="48">
        <v>674</v>
      </c>
      <c r="ND10" s="48">
        <v>598</v>
      </c>
      <c r="NE10" s="48">
        <v>650</v>
      </c>
      <c r="NF10" s="48">
        <v>598</v>
      </c>
      <c r="NG10" s="48">
        <v>630</v>
      </c>
      <c r="NH10" s="48">
        <v>616</v>
      </c>
      <c r="NI10" s="48">
        <v>610</v>
      </c>
      <c r="NJ10" s="48">
        <v>652</v>
      </c>
      <c r="NK10" s="48">
        <v>616</v>
      </c>
      <c r="NL10" s="48">
        <v>600</v>
      </c>
      <c r="NM10" s="48">
        <v>650</v>
      </c>
      <c r="NN10" s="158">
        <v>658</v>
      </c>
      <c r="NO10" s="48">
        <v>598</v>
      </c>
      <c r="NP10" s="48">
        <v>712</v>
      </c>
      <c r="NQ10" s="48">
        <v>656</v>
      </c>
      <c r="NR10" s="1">
        <v>600</v>
      </c>
      <c r="NS10" s="1">
        <v>699</v>
      </c>
      <c r="NT10" s="1">
        <v>2026</v>
      </c>
      <c r="NU10" s="1">
        <v>2015</v>
      </c>
      <c r="NV10" s="313">
        <v>2187</v>
      </c>
      <c r="NW10" s="1">
        <v>992</v>
      </c>
      <c r="NX10" s="1">
        <v>881</v>
      </c>
      <c r="NY10" s="1">
        <v>1009</v>
      </c>
      <c r="NZ10" s="1">
        <v>761</v>
      </c>
      <c r="OA10" s="1">
        <v>579</v>
      </c>
      <c r="OB10" s="1">
        <v>694</v>
      </c>
      <c r="OC10" s="48">
        <v>704</v>
      </c>
      <c r="OD10" s="48">
        <v>557</v>
      </c>
      <c r="OK10" s="48">
        <v>745</v>
      </c>
      <c r="OL10" s="48">
        <v>321</v>
      </c>
      <c r="OM10" s="48">
        <v>400</v>
      </c>
      <c r="ON10" s="48">
        <v>352</v>
      </c>
      <c r="OO10" s="48">
        <v>342</v>
      </c>
      <c r="OP10" s="48">
        <v>360</v>
      </c>
      <c r="OQ10" s="48">
        <v>384</v>
      </c>
      <c r="OR10" s="48">
        <v>234</v>
      </c>
      <c r="OS10" s="48">
        <v>48</v>
      </c>
      <c r="OT10" s="48">
        <v>54</v>
      </c>
      <c r="OU10" s="48">
        <v>68</v>
      </c>
      <c r="OV10" s="48">
        <v>70</v>
      </c>
      <c r="OW10" s="48">
        <v>38</v>
      </c>
      <c r="OX10" s="48">
        <v>32</v>
      </c>
      <c r="OY10" s="104">
        <v>34</v>
      </c>
      <c r="OZ10" s="48">
        <v>48</v>
      </c>
      <c r="PA10" s="48">
        <v>48</v>
      </c>
      <c r="PB10" s="48">
        <v>72</v>
      </c>
      <c r="PC10" s="48">
        <v>70</v>
      </c>
      <c r="PD10" s="48">
        <v>40</v>
      </c>
      <c r="PE10" s="329">
        <v>60</v>
      </c>
      <c r="PF10" s="48">
        <v>74</v>
      </c>
      <c r="PG10" s="48">
        <v>52</v>
      </c>
      <c r="PH10" s="48">
        <v>70</v>
      </c>
      <c r="PI10" s="48">
        <v>112</v>
      </c>
      <c r="PJ10" s="48">
        <v>52</v>
      </c>
      <c r="PK10" s="102">
        <v>46</v>
      </c>
      <c r="PL10" s="48">
        <v>62</v>
      </c>
      <c r="PM10" s="48">
        <v>42</v>
      </c>
      <c r="PN10" s="1">
        <v>56</v>
      </c>
      <c r="PO10" s="329">
        <v>48</v>
      </c>
      <c r="PP10" s="329">
        <v>46</v>
      </c>
      <c r="PQ10" s="329">
        <v>30</v>
      </c>
      <c r="PR10" s="329">
        <v>56</v>
      </c>
      <c r="PS10" s="329">
        <v>52</v>
      </c>
      <c r="PT10" s="329">
        <v>38</v>
      </c>
      <c r="PU10" s="48">
        <v>50</v>
      </c>
      <c r="PV10" s="48">
        <v>36</v>
      </c>
      <c r="PW10" s="48">
        <v>32</v>
      </c>
      <c r="PX10" s="48">
        <v>60</v>
      </c>
      <c r="PY10" s="48">
        <v>38</v>
      </c>
      <c r="PZ10" s="2">
        <v>38</v>
      </c>
      <c r="QA10" s="48">
        <v>48</v>
      </c>
      <c r="QB10" s="48">
        <v>64</v>
      </c>
      <c r="QC10" s="48">
        <v>66</v>
      </c>
      <c r="QD10" s="48">
        <v>24</v>
      </c>
      <c r="QE10" s="158">
        <v>40</v>
      </c>
      <c r="QF10" s="48">
        <v>48</v>
      </c>
      <c r="QG10" s="48">
        <v>44</v>
      </c>
      <c r="QH10" s="48">
        <v>50</v>
      </c>
      <c r="QI10" s="48">
        <v>36</v>
      </c>
      <c r="QJ10" s="5">
        <v>30</v>
      </c>
      <c r="QK10" s="48">
        <v>30</v>
      </c>
      <c r="QL10" s="48">
        <v>34</v>
      </c>
      <c r="QM10" s="48">
        <v>54</v>
      </c>
      <c r="QN10" s="48">
        <v>38</v>
      </c>
      <c r="QO10" s="48">
        <v>38</v>
      </c>
      <c r="QP10" s="48">
        <v>40</v>
      </c>
      <c r="QQ10" s="329">
        <v>72</v>
      </c>
      <c r="QR10" s="48">
        <v>58</v>
      </c>
      <c r="QS10" s="48">
        <v>72</v>
      </c>
      <c r="QT10" s="48">
        <v>51</v>
      </c>
      <c r="QU10" s="48">
        <v>52</v>
      </c>
      <c r="QV10" s="48">
        <v>64</v>
      </c>
      <c r="QW10" s="48">
        <v>34</v>
      </c>
      <c r="QX10" s="104">
        <v>48</v>
      </c>
      <c r="QY10" s="48">
        <v>72</v>
      </c>
      <c r="QZ10" s="48">
        <v>55</v>
      </c>
      <c r="RA10" s="48">
        <v>95</v>
      </c>
      <c r="RB10" s="48">
        <v>69</v>
      </c>
      <c r="RC10" s="48">
        <v>70</v>
      </c>
      <c r="RD10" s="48">
        <v>42</v>
      </c>
      <c r="RE10" s="48">
        <v>62</v>
      </c>
      <c r="RF10" s="48">
        <v>45</v>
      </c>
      <c r="RG10" s="48">
        <v>56</v>
      </c>
      <c r="RH10" s="48">
        <v>74</v>
      </c>
      <c r="RI10" s="158">
        <v>53</v>
      </c>
      <c r="RJ10" s="48">
        <v>70</v>
      </c>
      <c r="RK10" s="104">
        <v>74</v>
      </c>
      <c r="RL10" s="48">
        <v>92</v>
      </c>
      <c r="RM10" s="48">
        <v>63</v>
      </c>
      <c r="RN10" s="48">
        <v>64</v>
      </c>
      <c r="RO10" s="48">
        <v>61</v>
      </c>
      <c r="RP10" s="48">
        <v>59</v>
      </c>
      <c r="RQ10" s="48">
        <v>59</v>
      </c>
      <c r="RR10" s="48">
        <v>61</v>
      </c>
      <c r="RS10" s="48">
        <v>64</v>
      </c>
      <c r="RT10" s="48">
        <v>49</v>
      </c>
      <c r="RU10" s="48">
        <v>49</v>
      </c>
      <c r="RV10" s="48">
        <v>76</v>
      </c>
    </row>
    <row r="11" spans="2:490" ht="15.75" x14ac:dyDescent="0.25">
      <c r="B11" s="187">
        <v>514</v>
      </c>
      <c r="C11">
        <v>18</v>
      </c>
      <c r="D11">
        <v>14</v>
      </c>
      <c r="E11">
        <v>14</v>
      </c>
      <c r="F11">
        <v>12</v>
      </c>
      <c r="G11">
        <v>52</v>
      </c>
      <c r="H11">
        <v>46</v>
      </c>
      <c r="I11">
        <v>30</v>
      </c>
      <c r="J11">
        <v>18</v>
      </c>
      <c r="K11">
        <v>12</v>
      </c>
      <c r="L11">
        <v>12</v>
      </c>
      <c r="M11">
        <v>20</v>
      </c>
      <c r="O11">
        <v>8</v>
      </c>
      <c r="P11">
        <v>10</v>
      </c>
      <c r="Q11">
        <v>31</v>
      </c>
      <c r="R11">
        <v>16</v>
      </c>
      <c r="S11">
        <v>8</v>
      </c>
      <c r="T11">
        <v>18</v>
      </c>
      <c r="U11">
        <v>6</v>
      </c>
      <c r="V11">
        <v>22</v>
      </c>
      <c r="W11">
        <v>8</v>
      </c>
      <c r="X11">
        <v>8</v>
      </c>
      <c r="Y11">
        <v>34</v>
      </c>
      <c r="Z11">
        <v>38</v>
      </c>
      <c r="AA11">
        <v>24</v>
      </c>
      <c r="AB11">
        <v>14</v>
      </c>
      <c r="AC11">
        <v>18</v>
      </c>
      <c r="AD11">
        <v>18</v>
      </c>
      <c r="AE11">
        <v>22</v>
      </c>
      <c r="AF11">
        <v>28</v>
      </c>
      <c r="AG11">
        <v>36</v>
      </c>
      <c r="AH11">
        <v>12</v>
      </c>
      <c r="AI11">
        <v>10</v>
      </c>
      <c r="AJ11">
        <v>10</v>
      </c>
      <c r="AK11">
        <v>12</v>
      </c>
      <c r="AL11">
        <v>8</v>
      </c>
      <c r="AM11">
        <v>28</v>
      </c>
      <c r="AN11">
        <v>6</v>
      </c>
      <c r="AO11">
        <v>26</v>
      </c>
      <c r="AP11">
        <v>10</v>
      </c>
      <c r="AQ11">
        <v>12</v>
      </c>
      <c r="AR11">
        <v>26</v>
      </c>
      <c r="AS11">
        <v>2</v>
      </c>
      <c r="AT11">
        <v>18</v>
      </c>
      <c r="AU11">
        <v>30</v>
      </c>
      <c r="AV11">
        <v>16</v>
      </c>
      <c r="AW11">
        <v>10</v>
      </c>
      <c r="AX11">
        <v>16</v>
      </c>
      <c r="AY11">
        <v>12</v>
      </c>
      <c r="AZ11">
        <v>18</v>
      </c>
      <c r="BA11">
        <v>16</v>
      </c>
      <c r="BC11">
        <v>8</v>
      </c>
      <c r="BD11">
        <v>24</v>
      </c>
      <c r="BE11">
        <v>42</v>
      </c>
      <c r="BF11">
        <v>2</v>
      </c>
      <c r="BG11">
        <v>10</v>
      </c>
      <c r="BH11">
        <v>24</v>
      </c>
      <c r="BI11">
        <v>24</v>
      </c>
      <c r="BJ11">
        <v>10</v>
      </c>
      <c r="BK11">
        <v>14</v>
      </c>
      <c r="BL11">
        <v>8</v>
      </c>
      <c r="BM11">
        <v>27</v>
      </c>
      <c r="BN11">
        <v>16</v>
      </c>
      <c r="BO11">
        <v>34</v>
      </c>
      <c r="BP11">
        <v>10</v>
      </c>
      <c r="BQ11">
        <v>22</v>
      </c>
      <c r="BR11">
        <v>20</v>
      </c>
      <c r="BS11">
        <v>26</v>
      </c>
      <c r="BT11">
        <v>46</v>
      </c>
      <c r="BU11">
        <v>16</v>
      </c>
      <c r="BV11">
        <v>32</v>
      </c>
      <c r="BW11">
        <v>35</v>
      </c>
      <c r="BX11">
        <v>46</v>
      </c>
      <c r="BY11">
        <v>30</v>
      </c>
      <c r="BZ11">
        <v>38</v>
      </c>
      <c r="CA11">
        <v>33</v>
      </c>
      <c r="CB11">
        <v>21</v>
      </c>
      <c r="CC11">
        <v>34</v>
      </c>
      <c r="CD11">
        <v>16</v>
      </c>
      <c r="CE11">
        <v>28</v>
      </c>
      <c r="CF11">
        <v>37</v>
      </c>
      <c r="CG11">
        <v>15</v>
      </c>
      <c r="CH11">
        <v>22</v>
      </c>
      <c r="CI11">
        <v>39</v>
      </c>
      <c r="CJ11">
        <v>19</v>
      </c>
      <c r="CK11">
        <v>39</v>
      </c>
      <c r="CL11">
        <v>16</v>
      </c>
      <c r="CM11">
        <v>8</v>
      </c>
      <c r="CO11">
        <v>111</v>
      </c>
      <c r="CP11">
        <v>61</v>
      </c>
      <c r="CQ11">
        <v>64</v>
      </c>
      <c r="CR11">
        <v>78</v>
      </c>
      <c r="CS11">
        <v>46</v>
      </c>
      <c r="CT11">
        <v>65</v>
      </c>
      <c r="CU11">
        <v>110</v>
      </c>
      <c r="CV11">
        <v>82</v>
      </c>
      <c r="CW11">
        <v>45</v>
      </c>
      <c r="CX11">
        <v>66</v>
      </c>
      <c r="CY11">
        <v>84</v>
      </c>
      <c r="CZ11">
        <v>102</v>
      </c>
      <c r="DA11">
        <v>121</v>
      </c>
      <c r="DB11">
        <v>108</v>
      </c>
      <c r="DC11">
        <v>110</v>
      </c>
      <c r="DD11">
        <v>106</v>
      </c>
      <c r="DE11">
        <v>130</v>
      </c>
      <c r="DF11">
        <v>124</v>
      </c>
      <c r="DG11">
        <v>158</v>
      </c>
      <c r="DH11">
        <v>141</v>
      </c>
      <c r="DI11">
        <v>154</v>
      </c>
      <c r="DJ11">
        <v>136</v>
      </c>
      <c r="DK11">
        <v>108</v>
      </c>
      <c r="DL11">
        <v>146</v>
      </c>
      <c r="DM11">
        <v>144</v>
      </c>
      <c r="DN11">
        <v>122</v>
      </c>
      <c r="DO11">
        <v>107</v>
      </c>
      <c r="DP11">
        <v>144</v>
      </c>
      <c r="DQ11">
        <v>134</v>
      </c>
      <c r="DR11">
        <v>150</v>
      </c>
      <c r="DS11">
        <v>116</v>
      </c>
      <c r="DT11">
        <v>150</v>
      </c>
      <c r="DU11">
        <v>96</v>
      </c>
      <c r="DV11">
        <v>111</v>
      </c>
      <c r="DW11">
        <v>116</v>
      </c>
      <c r="DX11">
        <v>128</v>
      </c>
      <c r="DY11">
        <v>140</v>
      </c>
      <c r="DZ11">
        <v>150</v>
      </c>
      <c r="EA11">
        <v>134</v>
      </c>
      <c r="EB11">
        <v>122</v>
      </c>
      <c r="EC11">
        <v>146</v>
      </c>
      <c r="ED11">
        <v>132</v>
      </c>
      <c r="EE11">
        <v>134</v>
      </c>
      <c r="EF11">
        <v>120</v>
      </c>
      <c r="EG11">
        <v>162</v>
      </c>
      <c r="EH11">
        <v>103</v>
      </c>
      <c r="EI11">
        <v>97</v>
      </c>
      <c r="EJ11">
        <v>116</v>
      </c>
      <c r="EK11">
        <v>108</v>
      </c>
      <c r="EL11">
        <v>285</v>
      </c>
      <c r="EM11">
        <v>103</v>
      </c>
      <c r="EN11">
        <v>131</v>
      </c>
      <c r="EO11">
        <v>122</v>
      </c>
      <c r="EP11">
        <v>211</v>
      </c>
      <c r="EQ11">
        <v>119</v>
      </c>
      <c r="ER11">
        <v>194</v>
      </c>
      <c r="ES11">
        <v>141</v>
      </c>
      <c r="ET11">
        <v>152</v>
      </c>
      <c r="EU11">
        <v>168</v>
      </c>
      <c r="EV11">
        <v>119</v>
      </c>
      <c r="EW11">
        <v>132</v>
      </c>
      <c r="EX11">
        <v>150</v>
      </c>
      <c r="EY11">
        <v>122</v>
      </c>
      <c r="EZ11">
        <v>134</v>
      </c>
      <c r="FA11">
        <v>104</v>
      </c>
      <c r="FB11">
        <v>253</v>
      </c>
      <c r="FC11">
        <v>217</v>
      </c>
      <c r="FD11">
        <v>82</v>
      </c>
      <c r="FE11">
        <v>144</v>
      </c>
      <c r="FF11">
        <v>105</v>
      </c>
      <c r="FG11">
        <v>153</v>
      </c>
      <c r="FH11">
        <v>166</v>
      </c>
      <c r="FI11">
        <v>131</v>
      </c>
      <c r="FJ11">
        <v>126</v>
      </c>
      <c r="FK11">
        <v>132</v>
      </c>
      <c r="FL11">
        <v>141</v>
      </c>
      <c r="FM11">
        <v>165</v>
      </c>
      <c r="FN11">
        <v>147</v>
      </c>
      <c r="FO11">
        <v>138</v>
      </c>
      <c r="FP11">
        <v>152</v>
      </c>
      <c r="FQ11">
        <v>165</v>
      </c>
      <c r="FR11">
        <v>132</v>
      </c>
      <c r="FS11">
        <v>134</v>
      </c>
      <c r="FT11">
        <v>105</v>
      </c>
      <c r="FU11">
        <v>144</v>
      </c>
      <c r="FV11">
        <v>140</v>
      </c>
      <c r="FW11">
        <v>157</v>
      </c>
      <c r="FX11">
        <v>22</v>
      </c>
      <c r="FY11">
        <v>36</v>
      </c>
      <c r="FZ11">
        <v>46</v>
      </c>
      <c r="GA11">
        <v>44</v>
      </c>
      <c r="GB11">
        <v>30</v>
      </c>
      <c r="GC11">
        <v>40</v>
      </c>
      <c r="GD11">
        <v>36</v>
      </c>
      <c r="GE11">
        <v>44</v>
      </c>
      <c r="GF11">
        <v>14</v>
      </c>
      <c r="GG11">
        <v>56</v>
      </c>
      <c r="GH11">
        <v>22</v>
      </c>
      <c r="GI11">
        <v>44</v>
      </c>
      <c r="GJ11">
        <v>32</v>
      </c>
      <c r="GK11">
        <v>34</v>
      </c>
      <c r="GL11">
        <v>26</v>
      </c>
      <c r="GM11">
        <v>40</v>
      </c>
      <c r="GN11">
        <v>42</v>
      </c>
      <c r="GO11">
        <v>32</v>
      </c>
      <c r="GP11">
        <v>40</v>
      </c>
      <c r="GQ11">
        <v>36</v>
      </c>
      <c r="GR11">
        <v>26</v>
      </c>
      <c r="GS11">
        <v>54</v>
      </c>
      <c r="GT11">
        <v>24</v>
      </c>
      <c r="GU11">
        <v>34</v>
      </c>
      <c r="GV11">
        <v>38</v>
      </c>
      <c r="GW11">
        <v>48</v>
      </c>
      <c r="GX11">
        <v>38</v>
      </c>
      <c r="GY11">
        <v>44</v>
      </c>
      <c r="GZ11">
        <v>44</v>
      </c>
      <c r="HA11">
        <v>28</v>
      </c>
      <c r="HB11">
        <v>30</v>
      </c>
      <c r="HC11">
        <v>40</v>
      </c>
      <c r="HD11">
        <v>32</v>
      </c>
      <c r="HE11">
        <v>28</v>
      </c>
      <c r="HF11">
        <v>34</v>
      </c>
      <c r="HG11">
        <v>46</v>
      </c>
      <c r="HH11">
        <v>36</v>
      </c>
      <c r="HI11">
        <v>32</v>
      </c>
      <c r="HJ11">
        <v>16</v>
      </c>
      <c r="HK11">
        <v>34</v>
      </c>
      <c r="HL11">
        <v>28</v>
      </c>
      <c r="HM11">
        <v>32</v>
      </c>
      <c r="HN11">
        <v>32</v>
      </c>
      <c r="HO11">
        <v>20</v>
      </c>
      <c r="HP11">
        <v>30</v>
      </c>
      <c r="HQ11">
        <v>24</v>
      </c>
      <c r="HR11">
        <v>22</v>
      </c>
      <c r="HS11">
        <v>14</v>
      </c>
      <c r="HT11">
        <v>22</v>
      </c>
      <c r="HU11">
        <v>8</v>
      </c>
      <c r="HV11">
        <v>30</v>
      </c>
      <c r="HW11">
        <v>16</v>
      </c>
      <c r="HX11">
        <v>22</v>
      </c>
      <c r="HY11">
        <v>30</v>
      </c>
      <c r="HZ11">
        <v>12</v>
      </c>
      <c r="IA11">
        <v>20</v>
      </c>
      <c r="IB11">
        <v>31</v>
      </c>
      <c r="IC11">
        <v>30</v>
      </c>
      <c r="ID11">
        <v>20</v>
      </c>
      <c r="IE11">
        <v>22</v>
      </c>
      <c r="IF11">
        <v>16</v>
      </c>
      <c r="IG11">
        <v>48</v>
      </c>
      <c r="IH11">
        <v>14</v>
      </c>
      <c r="II11">
        <v>20</v>
      </c>
      <c r="IJ11">
        <v>32</v>
      </c>
      <c r="IK11">
        <v>74</v>
      </c>
      <c r="IL11">
        <v>112</v>
      </c>
      <c r="IM11">
        <v>78</v>
      </c>
      <c r="IN11">
        <v>135</v>
      </c>
      <c r="IO11">
        <v>132</v>
      </c>
      <c r="IP11">
        <v>143</v>
      </c>
      <c r="IQ11">
        <v>150</v>
      </c>
      <c r="IR11">
        <v>135</v>
      </c>
      <c r="IS11">
        <v>103</v>
      </c>
      <c r="IT11">
        <v>103</v>
      </c>
      <c r="IU11">
        <v>122</v>
      </c>
      <c r="IV11">
        <v>135</v>
      </c>
      <c r="IW11">
        <v>153</v>
      </c>
      <c r="IX11">
        <v>140</v>
      </c>
      <c r="IY11">
        <v>88</v>
      </c>
      <c r="IZ11">
        <v>104</v>
      </c>
      <c r="JA11">
        <v>88</v>
      </c>
      <c r="JB11">
        <v>142</v>
      </c>
      <c r="JC11">
        <v>109</v>
      </c>
      <c r="JD11">
        <v>147</v>
      </c>
      <c r="JE11">
        <v>130</v>
      </c>
      <c r="JF11">
        <v>63</v>
      </c>
      <c r="JG11">
        <v>71</v>
      </c>
      <c r="JH11">
        <v>97</v>
      </c>
      <c r="JI11">
        <v>134</v>
      </c>
      <c r="JJ11">
        <v>105</v>
      </c>
      <c r="JK11">
        <v>224</v>
      </c>
      <c r="JL11">
        <v>108</v>
      </c>
      <c r="JM11">
        <v>144</v>
      </c>
      <c r="JN11">
        <v>141</v>
      </c>
      <c r="JO11" s="112">
        <v>155</v>
      </c>
      <c r="JP11">
        <v>179</v>
      </c>
      <c r="JQ11">
        <v>201</v>
      </c>
      <c r="JR11">
        <v>173</v>
      </c>
      <c r="JS11">
        <v>144</v>
      </c>
      <c r="JT11">
        <v>225</v>
      </c>
      <c r="JU11">
        <v>152</v>
      </c>
      <c r="JV11">
        <v>163</v>
      </c>
      <c r="JW11">
        <v>141</v>
      </c>
      <c r="JX11">
        <v>143</v>
      </c>
      <c r="JY11">
        <v>189</v>
      </c>
      <c r="JZ11">
        <v>254</v>
      </c>
      <c r="KA11">
        <v>237</v>
      </c>
      <c r="KB11">
        <v>139</v>
      </c>
      <c r="KC11">
        <v>160</v>
      </c>
      <c r="KD11" s="108">
        <v>182</v>
      </c>
      <c r="KE11">
        <v>148</v>
      </c>
      <c r="KF11">
        <v>177</v>
      </c>
      <c r="KG11">
        <v>136</v>
      </c>
      <c r="KH11">
        <v>98</v>
      </c>
      <c r="KI11">
        <v>120</v>
      </c>
      <c r="KJ11">
        <v>165</v>
      </c>
      <c r="KK11">
        <v>164</v>
      </c>
      <c r="KL11">
        <v>93</v>
      </c>
      <c r="KM11">
        <v>156</v>
      </c>
      <c r="KN11">
        <v>136</v>
      </c>
      <c r="KO11">
        <v>151</v>
      </c>
      <c r="KP11">
        <v>146</v>
      </c>
      <c r="KQ11">
        <v>239</v>
      </c>
      <c r="KR11">
        <v>227</v>
      </c>
      <c r="KS11">
        <v>154</v>
      </c>
      <c r="KT11">
        <v>198</v>
      </c>
      <c r="KU11">
        <v>197</v>
      </c>
      <c r="KV11">
        <v>137</v>
      </c>
      <c r="KW11">
        <v>199</v>
      </c>
      <c r="KX11">
        <v>168</v>
      </c>
      <c r="KY11">
        <v>118</v>
      </c>
      <c r="KZ11" s="48">
        <v>209</v>
      </c>
      <c r="LA11" s="48">
        <v>182</v>
      </c>
      <c r="LB11" s="48">
        <v>236</v>
      </c>
      <c r="LC11" s="48">
        <v>286</v>
      </c>
      <c r="LD11" s="48">
        <v>179</v>
      </c>
      <c r="LE11" s="48">
        <v>177</v>
      </c>
      <c r="LF11" s="158">
        <v>189</v>
      </c>
      <c r="LG11" s="158">
        <v>215</v>
      </c>
      <c r="LH11" s="48">
        <v>162</v>
      </c>
      <c r="LI11" s="48">
        <v>163</v>
      </c>
      <c r="LJ11" s="48">
        <v>144</v>
      </c>
      <c r="LK11" s="48">
        <v>181</v>
      </c>
      <c r="LL11" s="48">
        <v>153</v>
      </c>
      <c r="LM11" s="48">
        <v>199</v>
      </c>
      <c r="LN11" s="48">
        <v>130</v>
      </c>
      <c r="LO11" s="48">
        <v>105</v>
      </c>
      <c r="LP11" s="48">
        <v>136</v>
      </c>
      <c r="LQ11" s="158">
        <v>148</v>
      </c>
      <c r="LR11" s="48">
        <v>107</v>
      </c>
      <c r="LS11" s="48">
        <v>140</v>
      </c>
      <c r="LT11" s="48">
        <v>142</v>
      </c>
      <c r="LU11" s="48">
        <v>128</v>
      </c>
      <c r="LV11" s="1">
        <v>104</v>
      </c>
      <c r="LW11" s="1">
        <v>110</v>
      </c>
      <c r="LX11" s="48">
        <v>14</v>
      </c>
      <c r="LY11" s="158">
        <v>34</v>
      </c>
      <c r="LZ11" s="48">
        <v>54</v>
      </c>
      <c r="MA11" s="48">
        <v>22</v>
      </c>
      <c r="MB11" s="1">
        <v>16</v>
      </c>
      <c r="MC11" s="1">
        <v>28</v>
      </c>
      <c r="MD11" s="1">
        <v>50</v>
      </c>
      <c r="ME11" s="48">
        <v>28</v>
      </c>
      <c r="MF11" s="48">
        <v>24</v>
      </c>
      <c r="MG11" s="48">
        <v>30</v>
      </c>
      <c r="MH11" s="48">
        <v>18</v>
      </c>
      <c r="MI11" s="48">
        <v>26</v>
      </c>
      <c r="MJ11" s="48">
        <v>24</v>
      </c>
      <c r="MK11" s="48">
        <v>12</v>
      </c>
      <c r="ML11" s="48">
        <v>10</v>
      </c>
      <c r="MM11" s="48">
        <v>10</v>
      </c>
      <c r="MN11" s="48">
        <v>6</v>
      </c>
      <c r="MO11" s="158">
        <v>18</v>
      </c>
      <c r="MP11" s="104">
        <v>6</v>
      </c>
      <c r="MQ11" s="1">
        <v>38</v>
      </c>
      <c r="MR11" s="1">
        <v>12</v>
      </c>
      <c r="MS11" s="1">
        <v>2</v>
      </c>
      <c r="MT11" s="1">
        <v>10</v>
      </c>
      <c r="MU11" s="1">
        <v>16</v>
      </c>
      <c r="MV11" s="1">
        <v>6</v>
      </c>
      <c r="MW11" s="104">
        <v>22</v>
      </c>
      <c r="MX11" s="48">
        <v>52</v>
      </c>
      <c r="MY11" s="48">
        <v>14</v>
      </c>
      <c r="MZ11" s="48">
        <v>14</v>
      </c>
      <c r="NA11" s="48">
        <v>14</v>
      </c>
      <c r="NB11" s="48">
        <v>24</v>
      </c>
      <c r="NC11" s="48">
        <v>24</v>
      </c>
      <c r="ND11" s="48">
        <v>14</v>
      </c>
      <c r="NE11" s="48">
        <v>14</v>
      </c>
      <c r="NF11" s="48">
        <v>18</v>
      </c>
      <c r="NG11" s="48">
        <v>20</v>
      </c>
      <c r="NH11" s="48">
        <v>12</v>
      </c>
      <c r="NI11" s="48">
        <v>14</v>
      </c>
      <c r="NJ11" s="48">
        <v>12</v>
      </c>
      <c r="NK11" s="48">
        <v>18</v>
      </c>
      <c r="NL11" s="48">
        <v>34</v>
      </c>
      <c r="NM11" s="48">
        <v>16</v>
      </c>
      <c r="NN11" s="158">
        <v>6</v>
      </c>
      <c r="NO11" s="48">
        <v>16</v>
      </c>
      <c r="NP11" s="48">
        <v>6</v>
      </c>
      <c r="NQ11" s="48">
        <v>4</v>
      </c>
      <c r="NR11" s="1">
        <v>14</v>
      </c>
      <c r="NS11" s="1">
        <v>34</v>
      </c>
      <c r="NT11" s="1">
        <v>59</v>
      </c>
      <c r="NU11" s="1">
        <v>49</v>
      </c>
      <c r="NV11" s="313">
        <v>46</v>
      </c>
      <c r="NW11" s="1">
        <v>16</v>
      </c>
      <c r="NX11" s="1">
        <v>11</v>
      </c>
      <c r="NY11" s="1">
        <v>21</v>
      </c>
      <c r="NZ11" s="1">
        <v>21</v>
      </c>
      <c r="OA11" s="1">
        <v>16</v>
      </c>
      <c r="OB11" s="1">
        <v>18</v>
      </c>
      <c r="OC11" s="48">
        <v>26</v>
      </c>
      <c r="OD11" s="48">
        <v>13</v>
      </c>
      <c r="OK11" s="48">
        <v>22</v>
      </c>
      <c r="OL11" s="48">
        <v>10</v>
      </c>
      <c r="OM11" s="48">
        <v>10</v>
      </c>
      <c r="ON11" s="48">
        <v>4</v>
      </c>
      <c r="OO11" s="48">
        <v>14</v>
      </c>
      <c r="OP11" s="48">
        <v>12</v>
      </c>
      <c r="OQ11" s="48">
        <v>20</v>
      </c>
      <c r="OR11" s="48">
        <v>4</v>
      </c>
      <c r="OS11" s="48">
        <v>16</v>
      </c>
      <c r="OT11" s="48">
        <v>8</v>
      </c>
      <c r="OU11" s="48">
        <v>46</v>
      </c>
      <c r="OV11" s="48">
        <v>22</v>
      </c>
      <c r="OW11" s="48">
        <v>14</v>
      </c>
      <c r="OX11" s="48">
        <v>10</v>
      </c>
      <c r="OY11" s="48">
        <v>12</v>
      </c>
      <c r="OZ11" s="48">
        <v>20</v>
      </c>
      <c r="PA11" s="48">
        <v>26</v>
      </c>
      <c r="PB11" s="48">
        <v>12</v>
      </c>
      <c r="PC11" s="48">
        <v>6</v>
      </c>
      <c r="PD11" s="48"/>
      <c r="PE11" s="329">
        <v>8</v>
      </c>
      <c r="PF11" s="48">
        <v>12</v>
      </c>
      <c r="PG11" s="48">
        <v>14</v>
      </c>
      <c r="PH11" s="48">
        <v>10</v>
      </c>
      <c r="PI11" s="48">
        <v>40</v>
      </c>
      <c r="PJ11" s="48">
        <v>16</v>
      </c>
      <c r="PK11" s="102">
        <v>22</v>
      </c>
      <c r="PL11" s="48">
        <v>34</v>
      </c>
      <c r="PM11" s="48">
        <v>10</v>
      </c>
      <c r="PN11" s="1">
        <v>8</v>
      </c>
      <c r="PO11" s="329">
        <v>18</v>
      </c>
      <c r="PP11" s="329">
        <v>30</v>
      </c>
      <c r="PQ11" s="329">
        <v>14</v>
      </c>
      <c r="PR11" s="329">
        <v>10</v>
      </c>
      <c r="PS11" s="329">
        <v>2</v>
      </c>
      <c r="PT11" s="329">
        <v>14</v>
      </c>
      <c r="PU11" s="48">
        <v>10</v>
      </c>
      <c r="PV11" s="48">
        <v>4</v>
      </c>
      <c r="PW11" s="48">
        <v>16</v>
      </c>
      <c r="PX11" s="48">
        <v>12</v>
      </c>
      <c r="PY11" s="48">
        <v>16</v>
      </c>
      <c r="PZ11" s="2">
        <v>12</v>
      </c>
      <c r="QA11" s="48">
        <v>22</v>
      </c>
      <c r="QB11" s="48">
        <v>24</v>
      </c>
      <c r="QC11" s="48">
        <v>6</v>
      </c>
      <c r="QD11" s="48">
        <v>62</v>
      </c>
      <c r="QE11" s="158">
        <v>20</v>
      </c>
      <c r="QF11" s="48">
        <v>38</v>
      </c>
      <c r="QG11" s="48">
        <v>16</v>
      </c>
      <c r="QH11" s="48">
        <v>10</v>
      </c>
      <c r="QI11" s="48">
        <v>10</v>
      </c>
      <c r="QJ11" s="5">
        <v>12</v>
      </c>
      <c r="QK11" s="48">
        <v>12</v>
      </c>
      <c r="QL11" s="48">
        <v>22</v>
      </c>
      <c r="QM11" s="48">
        <v>18</v>
      </c>
      <c r="QN11" s="48">
        <v>24</v>
      </c>
      <c r="QO11" s="48">
        <v>6</v>
      </c>
      <c r="QP11" s="48">
        <v>18</v>
      </c>
      <c r="QQ11" s="329">
        <v>21</v>
      </c>
      <c r="QR11" s="48">
        <v>48</v>
      </c>
      <c r="QS11" s="48">
        <v>52</v>
      </c>
      <c r="QT11" s="48">
        <v>17</v>
      </c>
      <c r="QU11" s="48">
        <v>48</v>
      </c>
      <c r="QV11" s="48">
        <v>41</v>
      </c>
      <c r="QW11" s="48">
        <v>23</v>
      </c>
      <c r="QX11" s="48">
        <v>34</v>
      </c>
      <c r="QY11" s="48">
        <v>35</v>
      </c>
      <c r="QZ11" s="48">
        <v>24</v>
      </c>
      <c r="RA11" s="48">
        <v>33</v>
      </c>
      <c r="RB11" s="48">
        <v>19</v>
      </c>
      <c r="RC11" s="48">
        <v>67</v>
      </c>
      <c r="RD11" s="48">
        <v>15</v>
      </c>
      <c r="RE11" s="48">
        <v>16</v>
      </c>
      <c r="RF11" s="48">
        <v>31</v>
      </c>
      <c r="RG11" s="48">
        <v>20</v>
      </c>
      <c r="RH11" s="48">
        <v>14</v>
      </c>
      <c r="RI11" s="158">
        <v>9</v>
      </c>
      <c r="RJ11" s="48">
        <v>5</v>
      </c>
      <c r="RK11" s="48">
        <v>23</v>
      </c>
      <c r="RL11" s="104">
        <v>20</v>
      </c>
      <c r="RM11" s="48">
        <v>5</v>
      </c>
      <c r="RN11" s="48">
        <v>16</v>
      </c>
      <c r="RO11" s="48">
        <v>11</v>
      </c>
      <c r="RP11" s="48">
        <v>17</v>
      </c>
      <c r="RQ11" s="48">
        <v>12</v>
      </c>
      <c r="RR11" s="48">
        <v>7</v>
      </c>
      <c r="RS11" s="48">
        <v>16</v>
      </c>
      <c r="RT11" s="48">
        <v>15</v>
      </c>
      <c r="RU11" s="48">
        <v>23</v>
      </c>
      <c r="RV11" s="48">
        <v>10</v>
      </c>
    </row>
    <row r="12" spans="2:490" ht="15.75" x14ac:dyDescent="0.25">
      <c r="B12" s="188">
        <v>540</v>
      </c>
      <c r="C12">
        <v>382</v>
      </c>
      <c r="D12">
        <v>410</v>
      </c>
      <c r="E12">
        <v>424</v>
      </c>
      <c r="F12">
        <v>368</v>
      </c>
      <c r="G12">
        <v>254</v>
      </c>
      <c r="H12">
        <v>322</v>
      </c>
      <c r="I12">
        <v>330</v>
      </c>
      <c r="J12">
        <v>270</v>
      </c>
      <c r="K12">
        <v>326</v>
      </c>
      <c r="L12">
        <v>248</v>
      </c>
      <c r="M12">
        <v>284</v>
      </c>
      <c r="N12">
        <v>276</v>
      </c>
      <c r="O12">
        <v>480</v>
      </c>
      <c r="P12">
        <v>127</v>
      </c>
      <c r="Q12">
        <v>366</v>
      </c>
      <c r="R12">
        <v>286</v>
      </c>
      <c r="S12">
        <v>282</v>
      </c>
      <c r="T12">
        <v>368</v>
      </c>
      <c r="U12">
        <v>246</v>
      </c>
      <c r="V12">
        <v>394</v>
      </c>
      <c r="W12">
        <v>308</v>
      </c>
      <c r="X12">
        <v>326</v>
      </c>
      <c r="Y12">
        <v>340</v>
      </c>
      <c r="Z12">
        <v>292</v>
      </c>
      <c r="AA12">
        <v>316</v>
      </c>
      <c r="AB12">
        <v>274</v>
      </c>
      <c r="AC12">
        <v>252</v>
      </c>
      <c r="AD12">
        <v>284</v>
      </c>
      <c r="AE12">
        <v>502</v>
      </c>
      <c r="AF12">
        <v>554</v>
      </c>
      <c r="AG12">
        <v>422</v>
      </c>
      <c r="AH12">
        <v>460</v>
      </c>
      <c r="AI12">
        <v>492</v>
      </c>
      <c r="AJ12">
        <v>596</v>
      </c>
      <c r="AK12">
        <v>378</v>
      </c>
      <c r="AL12">
        <v>454</v>
      </c>
      <c r="AM12">
        <v>510</v>
      </c>
      <c r="AN12">
        <v>284</v>
      </c>
      <c r="AO12">
        <v>300</v>
      </c>
      <c r="AP12">
        <v>292</v>
      </c>
      <c r="AQ12">
        <v>276</v>
      </c>
      <c r="AR12">
        <v>236</v>
      </c>
      <c r="AS12">
        <v>290</v>
      </c>
      <c r="AT12">
        <v>316</v>
      </c>
      <c r="AU12">
        <v>270</v>
      </c>
      <c r="AV12">
        <v>242</v>
      </c>
      <c r="AW12">
        <v>274</v>
      </c>
      <c r="AX12">
        <v>286</v>
      </c>
      <c r="AY12">
        <v>328</v>
      </c>
      <c r="AZ12">
        <v>334</v>
      </c>
      <c r="BA12">
        <v>570</v>
      </c>
      <c r="BB12">
        <v>326</v>
      </c>
      <c r="BC12">
        <v>324</v>
      </c>
      <c r="BD12">
        <v>272</v>
      </c>
      <c r="BE12">
        <v>306</v>
      </c>
      <c r="BF12">
        <v>270</v>
      </c>
      <c r="BG12">
        <v>290</v>
      </c>
      <c r="BH12">
        <v>290</v>
      </c>
      <c r="BI12">
        <v>276</v>
      </c>
      <c r="BJ12">
        <v>296</v>
      </c>
      <c r="BK12">
        <v>302</v>
      </c>
      <c r="BL12">
        <v>248</v>
      </c>
      <c r="BM12">
        <v>245</v>
      </c>
      <c r="BN12">
        <v>270</v>
      </c>
      <c r="BO12">
        <v>3252</v>
      </c>
      <c r="BP12">
        <v>734</v>
      </c>
      <c r="BQ12">
        <v>566</v>
      </c>
      <c r="BR12">
        <v>384</v>
      </c>
      <c r="BS12">
        <v>362</v>
      </c>
      <c r="BT12">
        <v>316</v>
      </c>
      <c r="BU12">
        <v>316</v>
      </c>
      <c r="BV12">
        <v>152</v>
      </c>
      <c r="BW12">
        <v>510</v>
      </c>
      <c r="BX12">
        <v>434</v>
      </c>
      <c r="BY12">
        <v>340</v>
      </c>
      <c r="BZ12">
        <v>406</v>
      </c>
      <c r="CA12">
        <v>288</v>
      </c>
      <c r="CB12">
        <v>288</v>
      </c>
      <c r="CC12">
        <v>302</v>
      </c>
      <c r="CD12">
        <v>337</v>
      </c>
      <c r="CE12">
        <v>1720</v>
      </c>
      <c r="CF12">
        <v>663</v>
      </c>
      <c r="CG12">
        <v>423</v>
      </c>
      <c r="CH12">
        <v>365</v>
      </c>
      <c r="CI12">
        <v>334</v>
      </c>
      <c r="CJ12">
        <v>336</v>
      </c>
      <c r="CK12">
        <v>292</v>
      </c>
      <c r="CL12">
        <v>344</v>
      </c>
      <c r="CM12">
        <v>124</v>
      </c>
      <c r="CO12">
        <v>1363</v>
      </c>
      <c r="CP12">
        <v>658</v>
      </c>
      <c r="CQ12">
        <v>738</v>
      </c>
      <c r="CR12">
        <v>1792</v>
      </c>
      <c r="CS12">
        <v>2444</v>
      </c>
      <c r="CT12">
        <v>2756</v>
      </c>
      <c r="CU12">
        <v>3070</v>
      </c>
      <c r="CV12">
        <v>4936</v>
      </c>
      <c r="CW12">
        <v>2763</v>
      </c>
      <c r="CX12">
        <v>2476</v>
      </c>
      <c r="CY12">
        <v>2424</v>
      </c>
      <c r="CZ12">
        <v>4674</v>
      </c>
      <c r="DA12">
        <v>2333</v>
      </c>
      <c r="DB12">
        <v>9882</v>
      </c>
      <c r="DC12">
        <v>724</v>
      </c>
      <c r="DD12">
        <v>268</v>
      </c>
      <c r="DE12">
        <v>282</v>
      </c>
      <c r="DF12">
        <v>300</v>
      </c>
      <c r="DG12">
        <v>302</v>
      </c>
      <c r="DH12">
        <v>227</v>
      </c>
      <c r="DI12">
        <v>246</v>
      </c>
      <c r="DJ12">
        <v>322</v>
      </c>
      <c r="DK12">
        <v>294</v>
      </c>
      <c r="DL12">
        <v>266</v>
      </c>
      <c r="DM12">
        <v>262</v>
      </c>
      <c r="DN12">
        <v>258</v>
      </c>
      <c r="DO12">
        <v>274</v>
      </c>
      <c r="DP12">
        <v>266</v>
      </c>
      <c r="DQ12">
        <v>313</v>
      </c>
      <c r="DR12">
        <v>280</v>
      </c>
      <c r="DS12">
        <v>284</v>
      </c>
      <c r="DT12">
        <v>278</v>
      </c>
      <c r="DU12">
        <v>394</v>
      </c>
      <c r="DV12">
        <v>851</v>
      </c>
      <c r="DW12">
        <v>366</v>
      </c>
      <c r="DX12">
        <v>368</v>
      </c>
      <c r="DY12">
        <v>482</v>
      </c>
      <c r="DZ12">
        <v>518</v>
      </c>
      <c r="EA12">
        <v>664</v>
      </c>
      <c r="EB12">
        <v>532</v>
      </c>
      <c r="EC12">
        <v>444</v>
      </c>
      <c r="ED12">
        <v>472</v>
      </c>
      <c r="EE12">
        <v>533</v>
      </c>
      <c r="EF12">
        <v>424</v>
      </c>
      <c r="EG12">
        <v>462</v>
      </c>
      <c r="EH12">
        <v>607</v>
      </c>
      <c r="EI12">
        <v>464</v>
      </c>
      <c r="EJ12">
        <v>420</v>
      </c>
      <c r="EK12">
        <v>527</v>
      </c>
      <c r="EL12">
        <v>974</v>
      </c>
      <c r="EM12">
        <v>396</v>
      </c>
      <c r="EN12">
        <v>487</v>
      </c>
      <c r="EO12">
        <v>492</v>
      </c>
      <c r="EP12">
        <v>738</v>
      </c>
      <c r="EQ12">
        <v>418</v>
      </c>
      <c r="ER12">
        <v>588</v>
      </c>
      <c r="ES12">
        <v>523</v>
      </c>
      <c r="EU12">
        <v>525</v>
      </c>
      <c r="EV12">
        <v>509</v>
      </c>
      <c r="EW12">
        <v>488</v>
      </c>
      <c r="EX12">
        <v>463</v>
      </c>
      <c r="EY12">
        <v>402</v>
      </c>
      <c r="EZ12">
        <v>410</v>
      </c>
      <c r="FA12">
        <v>444</v>
      </c>
      <c r="FB12">
        <v>18483</v>
      </c>
      <c r="FC12">
        <v>593</v>
      </c>
      <c r="FD12">
        <v>518</v>
      </c>
      <c r="FE12">
        <v>464</v>
      </c>
      <c r="FF12">
        <v>801</v>
      </c>
      <c r="FG12">
        <v>564</v>
      </c>
      <c r="FH12">
        <v>509</v>
      </c>
      <c r="FI12">
        <v>539</v>
      </c>
      <c r="FJ12">
        <v>33493</v>
      </c>
      <c r="FK12">
        <v>3828</v>
      </c>
      <c r="FL12">
        <v>751</v>
      </c>
      <c r="FM12">
        <v>378</v>
      </c>
      <c r="FN12">
        <v>672</v>
      </c>
      <c r="FO12">
        <v>394</v>
      </c>
      <c r="FP12">
        <v>406</v>
      </c>
      <c r="FQ12">
        <v>560</v>
      </c>
      <c r="FR12">
        <v>348</v>
      </c>
      <c r="FS12">
        <v>416</v>
      </c>
      <c r="FT12">
        <v>362</v>
      </c>
      <c r="FU12">
        <v>386</v>
      </c>
      <c r="FV12">
        <v>368</v>
      </c>
      <c r="FW12">
        <v>416</v>
      </c>
      <c r="FX12">
        <v>1345</v>
      </c>
      <c r="FY12">
        <v>352</v>
      </c>
      <c r="FZ12">
        <v>13506</v>
      </c>
      <c r="GA12">
        <v>394</v>
      </c>
      <c r="GB12">
        <v>344</v>
      </c>
      <c r="GC12">
        <v>400</v>
      </c>
      <c r="GD12">
        <v>483294</v>
      </c>
      <c r="GE12">
        <v>684</v>
      </c>
      <c r="GF12">
        <v>432</v>
      </c>
      <c r="GG12">
        <v>408</v>
      </c>
      <c r="GH12">
        <v>394</v>
      </c>
      <c r="GI12">
        <v>334</v>
      </c>
      <c r="GJ12">
        <v>332</v>
      </c>
      <c r="GK12">
        <v>356</v>
      </c>
      <c r="GL12">
        <v>486</v>
      </c>
      <c r="GM12">
        <v>378</v>
      </c>
      <c r="GN12">
        <v>9294</v>
      </c>
      <c r="GO12">
        <v>480</v>
      </c>
      <c r="GP12">
        <v>372</v>
      </c>
      <c r="GQ12">
        <v>394</v>
      </c>
      <c r="GR12">
        <v>444</v>
      </c>
      <c r="GS12">
        <v>400</v>
      </c>
      <c r="GT12">
        <v>452</v>
      </c>
      <c r="GU12">
        <v>338</v>
      </c>
      <c r="GV12">
        <v>368</v>
      </c>
      <c r="GW12">
        <v>368</v>
      </c>
      <c r="GX12">
        <v>510</v>
      </c>
      <c r="GY12">
        <v>444</v>
      </c>
      <c r="GZ12">
        <v>560</v>
      </c>
      <c r="HA12">
        <v>464</v>
      </c>
      <c r="HB12">
        <v>428</v>
      </c>
      <c r="HC12">
        <v>12857</v>
      </c>
      <c r="HD12">
        <v>451</v>
      </c>
      <c r="HE12">
        <v>429</v>
      </c>
      <c r="HF12">
        <v>394</v>
      </c>
      <c r="HG12">
        <v>511</v>
      </c>
      <c r="HH12">
        <v>396</v>
      </c>
      <c r="HI12">
        <v>420</v>
      </c>
      <c r="HJ12">
        <v>378</v>
      </c>
      <c r="HK12">
        <v>484</v>
      </c>
      <c r="HL12">
        <v>462</v>
      </c>
      <c r="HM12">
        <v>528</v>
      </c>
      <c r="HN12">
        <v>500</v>
      </c>
      <c r="HO12">
        <v>590</v>
      </c>
      <c r="HP12">
        <v>792</v>
      </c>
      <c r="HQ12">
        <v>462</v>
      </c>
      <c r="HR12">
        <v>438</v>
      </c>
      <c r="HS12">
        <v>438</v>
      </c>
      <c r="HT12">
        <v>418</v>
      </c>
      <c r="HU12">
        <v>432</v>
      </c>
      <c r="HV12">
        <v>454</v>
      </c>
      <c r="HW12">
        <v>528</v>
      </c>
      <c r="HX12">
        <v>472</v>
      </c>
      <c r="HY12">
        <v>528</v>
      </c>
      <c r="HZ12">
        <v>1188</v>
      </c>
      <c r="IA12">
        <v>1102</v>
      </c>
      <c r="IB12">
        <v>1455</v>
      </c>
      <c r="IC12">
        <v>1308</v>
      </c>
      <c r="ID12">
        <v>1122</v>
      </c>
      <c r="IE12">
        <v>1244</v>
      </c>
      <c r="IF12">
        <v>1240</v>
      </c>
      <c r="IG12">
        <v>1162</v>
      </c>
      <c r="IH12">
        <v>3342</v>
      </c>
      <c r="II12">
        <v>4948</v>
      </c>
      <c r="IJ12">
        <v>3080</v>
      </c>
      <c r="IK12">
        <v>1288</v>
      </c>
      <c r="IL12">
        <v>2444</v>
      </c>
      <c r="IM12">
        <v>1913</v>
      </c>
      <c r="IN12">
        <v>1805</v>
      </c>
      <c r="IO12">
        <v>1565</v>
      </c>
      <c r="IP12">
        <v>1779</v>
      </c>
      <c r="IQ12">
        <v>1890</v>
      </c>
      <c r="IR12">
        <v>1588</v>
      </c>
      <c r="IS12">
        <v>1824</v>
      </c>
      <c r="IT12">
        <v>1682</v>
      </c>
      <c r="IU12">
        <v>1693</v>
      </c>
      <c r="IV12">
        <v>1809</v>
      </c>
      <c r="IW12">
        <v>1811</v>
      </c>
      <c r="IX12">
        <v>1425</v>
      </c>
      <c r="IY12">
        <v>1516</v>
      </c>
      <c r="IZ12">
        <v>1296</v>
      </c>
      <c r="JA12">
        <v>1338</v>
      </c>
      <c r="JB12">
        <v>1362</v>
      </c>
      <c r="JC12">
        <v>1393</v>
      </c>
      <c r="JD12">
        <v>1665</v>
      </c>
      <c r="JE12">
        <v>1163</v>
      </c>
      <c r="JF12">
        <v>1231</v>
      </c>
      <c r="JG12">
        <v>1245</v>
      </c>
      <c r="JH12">
        <v>1349</v>
      </c>
      <c r="JI12">
        <v>1844</v>
      </c>
      <c r="JJ12">
        <v>1284</v>
      </c>
      <c r="JK12">
        <v>2014</v>
      </c>
      <c r="JL12">
        <v>1821</v>
      </c>
      <c r="JM12">
        <v>1551</v>
      </c>
      <c r="JN12">
        <v>2113</v>
      </c>
      <c r="JO12" s="112">
        <v>1905</v>
      </c>
      <c r="JP12">
        <v>2155</v>
      </c>
      <c r="JQ12">
        <v>2103</v>
      </c>
      <c r="JR12">
        <v>2478</v>
      </c>
      <c r="JS12">
        <v>1614</v>
      </c>
      <c r="JT12">
        <v>2011</v>
      </c>
      <c r="JU12">
        <v>1652</v>
      </c>
      <c r="JV12">
        <v>1669</v>
      </c>
      <c r="JW12">
        <v>1589</v>
      </c>
      <c r="JX12">
        <v>1393</v>
      </c>
      <c r="JY12">
        <v>1784</v>
      </c>
      <c r="JZ12">
        <v>2711</v>
      </c>
      <c r="KA12">
        <v>2369</v>
      </c>
      <c r="KB12">
        <v>1326</v>
      </c>
      <c r="KC12">
        <v>1252</v>
      </c>
      <c r="KD12" s="108">
        <v>1362</v>
      </c>
      <c r="KE12">
        <v>1099</v>
      </c>
      <c r="KF12">
        <v>1334</v>
      </c>
      <c r="KG12">
        <v>1092</v>
      </c>
      <c r="KH12">
        <v>939</v>
      </c>
      <c r="KI12">
        <v>876</v>
      </c>
      <c r="KJ12">
        <v>1249</v>
      </c>
      <c r="KK12">
        <v>1115</v>
      </c>
      <c r="KL12">
        <v>925</v>
      </c>
      <c r="KM12">
        <v>922</v>
      </c>
      <c r="KN12">
        <v>823</v>
      </c>
      <c r="KO12">
        <v>1006</v>
      </c>
      <c r="KP12">
        <v>1059</v>
      </c>
      <c r="KQ12">
        <v>1607</v>
      </c>
      <c r="KR12">
        <v>1301</v>
      </c>
      <c r="KS12">
        <v>899</v>
      </c>
      <c r="KT12">
        <v>1024</v>
      </c>
      <c r="KU12">
        <v>1068</v>
      </c>
      <c r="KV12">
        <v>788</v>
      </c>
      <c r="KW12">
        <v>1184</v>
      </c>
      <c r="KX12">
        <v>948</v>
      </c>
      <c r="KY12">
        <v>918</v>
      </c>
      <c r="KZ12" s="48">
        <v>1056</v>
      </c>
      <c r="LA12" s="48">
        <v>1180</v>
      </c>
      <c r="LB12" s="48">
        <v>1133</v>
      </c>
      <c r="LC12" s="48">
        <v>1311</v>
      </c>
      <c r="LD12" s="48">
        <v>1270</v>
      </c>
      <c r="LE12" s="48">
        <v>874</v>
      </c>
      <c r="LF12" s="158">
        <v>855</v>
      </c>
      <c r="LG12" s="158">
        <v>890</v>
      </c>
      <c r="LH12" s="48">
        <v>1027</v>
      </c>
      <c r="LI12" s="48">
        <v>892</v>
      </c>
      <c r="LJ12" s="48">
        <v>861</v>
      </c>
      <c r="LK12" s="48">
        <v>876</v>
      </c>
      <c r="LL12" s="48">
        <v>850</v>
      </c>
      <c r="LM12" s="48">
        <v>1075</v>
      </c>
      <c r="LN12" s="48">
        <v>940</v>
      </c>
      <c r="LO12" s="48">
        <v>1029</v>
      </c>
      <c r="LP12" s="48">
        <v>876</v>
      </c>
      <c r="LQ12" s="158">
        <v>1002</v>
      </c>
      <c r="LR12" s="48">
        <v>1027</v>
      </c>
      <c r="LS12" s="48">
        <v>906</v>
      </c>
      <c r="LT12" s="48">
        <v>871</v>
      </c>
      <c r="LU12" s="48">
        <v>709</v>
      </c>
      <c r="LV12" s="1">
        <v>887</v>
      </c>
      <c r="LW12" s="1">
        <v>849</v>
      </c>
      <c r="LX12" s="1">
        <v>936</v>
      </c>
      <c r="LY12" s="158">
        <v>844</v>
      </c>
      <c r="LZ12" s="48">
        <v>844</v>
      </c>
      <c r="MA12" s="48">
        <v>772</v>
      </c>
      <c r="MB12" s="1">
        <v>824</v>
      </c>
      <c r="MC12" s="1">
        <v>796</v>
      </c>
      <c r="MD12" s="1">
        <v>784</v>
      </c>
      <c r="ME12" s="48">
        <v>814</v>
      </c>
      <c r="MF12" s="48">
        <v>952</v>
      </c>
      <c r="MG12" s="48">
        <v>1084</v>
      </c>
      <c r="MH12" s="48">
        <v>784</v>
      </c>
      <c r="MI12" s="48">
        <v>680</v>
      </c>
      <c r="MJ12" s="48">
        <v>840</v>
      </c>
      <c r="MK12" s="48">
        <v>890</v>
      </c>
      <c r="ML12" s="48">
        <v>750</v>
      </c>
      <c r="MM12" s="48">
        <v>824</v>
      </c>
      <c r="MN12" s="48">
        <v>910</v>
      </c>
      <c r="MO12" s="158">
        <v>786</v>
      </c>
      <c r="MP12" s="48">
        <v>712</v>
      </c>
      <c r="MQ12" s="1">
        <v>628</v>
      </c>
      <c r="MR12" s="1">
        <v>682</v>
      </c>
      <c r="MS12" s="1">
        <v>652</v>
      </c>
      <c r="MT12" s="1">
        <v>686</v>
      </c>
      <c r="MU12" s="1">
        <v>778</v>
      </c>
      <c r="MV12" s="1">
        <v>622</v>
      </c>
      <c r="MW12" s="1">
        <v>704</v>
      </c>
      <c r="MX12" s="48">
        <v>1184</v>
      </c>
      <c r="MY12" s="48">
        <v>1050</v>
      </c>
      <c r="MZ12" s="48">
        <v>1060</v>
      </c>
      <c r="NA12" s="48">
        <v>33938</v>
      </c>
      <c r="NB12" s="48">
        <v>1438</v>
      </c>
      <c r="NC12" s="48">
        <v>1178</v>
      </c>
      <c r="ND12" s="48">
        <v>1100</v>
      </c>
      <c r="NE12" s="48">
        <v>1240</v>
      </c>
      <c r="NF12" s="48">
        <v>1190</v>
      </c>
      <c r="NG12" s="48">
        <v>1126</v>
      </c>
      <c r="NH12" s="48">
        <v>1270</v>
      </c>
      <c r="NI12" s="48">
        <v>1300</v>
      </c>
      <c r="NJ12" s="48">
        <v>1102</v>
      </c>
      <c r="NK12" s="48">
        <v>1122</v>
      </c>
      <c r="NL12" s="48">
        <v>1046</v>
      </c>
      <c r="NM12" s="48">
        <v>1058</v>
      </c>
      <c r="NN12" s="158">
        <v>972</v>
      </c>
      <c r="NO12" s="48">
        <v>1072</v>
      </c>
      <c r="NP12" s="48">
        <v>408</v>
      </c>
      <c r="NQ12" s="48">
        <v>384</v>
      </c>
      <c r="NR12" s="1">
        <v>352</v>
      </c>
      <c r="NS12" s="1">
        <v>431</v>
      </c>
      <c r="NT12" s="1">
        <v>1127</v>
      </c>
      <c r="NU12" s="1">
        <v>1083</v>
      </c>
      <c r="NV12" s="313">
        <v>1231</v>
      </c>
      <c r="NW12" s="1">
        <v>478</v>
      </c>
      <c r="NX12" s="1">
        <v>424</v>
      </c>
      <c r="NY12" s="1">
        <v>518</v>
      </c>
      <c r="NZ12" s="1">
        <v>374</v>
      </c>
      <c r="OA12" s="1">
        <v>336</v>
      </c>
      <c r="OB12" s="1">
        <v>372</v>
      </c>
      <c r="OC12" s="48">
        <v>390</v>
      </c>
      <c r="OD12" s="48">
        <v>328</v>
      </c>
      <c r="OK12" s="48">
        <v>464</v>
      </c>
      <c r="OL12" s="48">
        <v>347</v>
      </c>
      <c r="OM12" s="48">
        <v>300</v>
      </c>
      <c r="ON12" s="48">
        <v>412</v>
      </c>
      <c r="OO12" s="48">
        <v>332</v>
      </c>
      <c r="OP12" s="48">
        <v>326</v>
      </c>
      <c r="OQ12" s="48">
        <v>356</v>
      </c>
      <c r="OR12" s="48">
        <v>316</v>
      </c>
      <c r="OS12" s="48">
        <v>358</v>
      </c>
      <c r="OT12" s="48">
        <v>286</v>
      </c>
      <c r="OU12" s="48">
        <v>374</v>
      </c>
      <c r="OV12" s="48">
        <v>384</v>
      </c>
      <c r="OW12" s="48">
        <v>344</v>
      </c>
      <c r="OX12" s="48">
        <v>368</v>
      </c>
      <c r="OY12" s="48">
        <v>378</v>
      </c>
      <c r="OZ12" s="48">
        <v>408</v>
      </c>
      <c r="PA12" s="48">
        <v>522</v>
      </c>
      <c r="PB12" s="48">
        <v>1212</v>
      </c>
      <c r="PC12" s="48">
        <v>1014</v>
      </c>
      <c r="PD12" s="48">
        <v>1165</v>
      </c>
      <c r="PE12" s="329">
        <v>1200</v>
      </c>
      <c r="PF12" s="48">
        <v>654</v>
      </c>
      <c r="PG12" s="48">
        <v>586</v>
      </c>
      <c r="PH12" s="48">
        <v>1362</v>
      </c>
      <c r="PI12" s="48">
        <v>1142</v>
      </c>
      <c r="PJ12" s="48">
        <v>1230</v>
      </c>
      <c r="PK12" s="102">
        <v>668</v>
      </c>
      <c r="PL12" s="48">
        <v>884</v>
      </c>
      <c r="PM12" s="48">
        <v>538</v>
      </c>
      <c r="PN12" s="1">
        <v>996</v>
      </c>
      <c r="PO12" s="329">
        <v>506</v>
      </c>
      <c r="PP12" s="329">
        <v>2260</v>
      </c>
      <c r="PQ12" s="329">
        <v>782</v>
      </c>
      <c r="PR12" s="329">
        <v>562</v>
      </c>
      <c r="PS12" s="329">
        <v>646</v>
      </c>
      <c r="PT12" s="329">
        <v>566</v>
      </c>
      <c r="PU12" s="48">
        <v>534</v>
      </c>
      <c r="PV12" s="48">
        <v>572</v>
      </c>
      <c r="PW12" s="48">
        <v>790</v>
      </c>
      <c r="PX12" s="48">
        <v>588</v>
      </c>
      <c r="PY12" s="48">
        <v>518</v>
      </c>
      <c r="PZ12" s="2">
        <v>562</v>
      </c>
      <c r="QA12" s="48">
        <v>568</v>
      </c>
      <c r="QB12" s="48">
        <v>572</v>
      </c>
      <c r="QC12" s="48">
        <v>470</v>
      </c>
      <c r="QD12" s="48">
        <v>584</v>
      </c>
      <c r="QE12" s="158">
        <v>452</v>
      </c>
      <c r="QF12" s="48">
        <v>492</v>
      </c>
      <c r="QG12" s="48">
        <v>574</v>
      </c>
      <c r="QH12" s="48">
        <v>464</v>
      </c>
      <c r="QI12" s="48">
        <v>474</v>
      </c>
      <c r="QJ12" s="5">
        <v>474</v>
      </c>
      <c r="QK12" s="48">
        <v>474</v>
      </c>
      <c r="QL12" s="48">
        <v>806</v>
      </c>
      <c r="QM12" s="48">
        <v>456</v>
      </c>
      <c r="QN12" s="48">
        <v>658</v>
      </c>
      <c r="QO12" s="48">
        <v>558</v>
      </c>
      <c r="QP12" s="48">
        <v>772</v>
      </c>
      <c r="QQ12" s="329">
        <v>736</v>
      </c>
      <c r="QR12" s="48">
        <v>716</v>
      </c>
      <c r="QS12" s="48">
        <v>756</v>
      </c>
      <c r="QT12" s="48">
        <v>683</v>
      </c>
      <c r="QU12" s="48">
        <v>658</v>
      </c>
      <c r="QV12" s="48">
        <v>766</v>
      </c>
      <c r="QW12" s="48">
        <v>598</v>
      </c>
      <c r="QX12" s="48">
        <v>575</v>
      </c>
      <c r="QY12" s="48">
        <v>1162</v>
      </c>
      <c r="QZ12" s="48">
        <v>604</v>
      </c>
      <c r="RA12" s="48">
        <v>969</v>
      </c>
      <c r="RB12" s="48">
        <v>762</v>
      </c>
      <c r="RC12" s="48">
        <v>601</v>
      </c>
      <c r="RD12" s="48">
        <v>567</v>
      </c>
      <c r="RE12" s="48">
        <v>646</v>
      </c>
      <c r="RF12" s="104">
        <v>740</v>
      </c>
      <c r="RG12" s="48">
        <v>624</v>
      </c>
      <c r="RH12" s="48">
        <v>626</v>
      </c>
      <c r="RI12" s="158">
        <v>902</v>
      </c>
      <c r="RJ12" s="48">
        <v>923</v>
      </c>
      <c r="RK12" s="48">
        <v>612</v>
      </c>
      <c r="RL12" s="48">
        <v>636</v>
      </c>
      <c r="RM12" s="48">
        <v>677</v>
      </c>
      <c r="RN12" s="48">
        <v>12964</v>
      </c>
      <c r="RO12" s="48">
        <v>737</v>
      </c>
      <c r="RP12" s="48">
        <v>695</v>
      </c>
      <c r="RQ12" s="48">
        <v>768</v>
      </c>
      <c r="RR12" s="48">
        <v>669</v>
      </c>
      <c r="RS12" s="48">
        <v>618</v>
      </c>
      <c r="RT12" s="48">
        <v>1180</v>
      </c>
      <c r="RU12" s="48">
        <v>821</v>
      </c>
      <c r="RV12" s="48">
        <v>821</v>
      </c>
    </row>
    <row r="13" spans="2:490" ht="15.75" x14ac:dyDescent="0.25">
      <c r="B13" s="188">
        <v>502</v>
      </c>
      <c r="C13">
        <v>8</v>
      </c>
      <c r="D13">
        <v>6</v>
      </c>
      <c r="E13">
        <v>0</v>
      </c>
      <c r="F13">
        <v>0</v>
      </c>
      <c r="G13">
        <v>0</v>
      </c>
      <c r="H13">
        <v>0</v>
      </c>
      <c r="I13">
        <v>2</v>
      </c>
      <c r="J13">
        <v>2</v>
      </c>
      <c r="L13">
        <v>6</v>
      </c>
      <c r="R13">
        <v>4</v>
      </c>
      <c r="V13">
        <v>4</v>
      </c>
      <c r="W13">
        <v>2</v>
      </c>
      <c r="X13">
        <v>2</v>
      </c>
      <c r="Y13">
        <v>2</v>
      </c>
      <c r="AA13">
        <v>4</v>
      </c>
      <c r="AC13">
        <v>2</v>
      </c>
      <c r="AD13">
        <v>4</v>
      </c>
      <c r="AH13">
        <v>2</v>
      </c>
      <c r="AL13">
        <v>4</v>
      </c>
      <c r="AP13">
        <v>2</v>
      </c>
      <c r="AQ13">
        <v>2</v>
      </c>
      <c r="AU13">
        <v>4</v>
      </c>
      <c r="AV13">
        <v>4</v>
      </c>
      <c r="AZ13">
        <v>8</v>
      </c>
      <c r="BF13">
        <v>2</v>
      </c>
      <c r="BL13">
        <v>2</v>
      </c>
      <c r="BR13">
        <v>2</v>
      </c>
      <c r="BS13">
        <v>2</v>
      </c>
      <c r="BW13">
        <v>2</v>
      </c>
      <c r="CA13">
        <v>2</v>
      </c>
      <c r="CC13">
        <v>4</v>
      </c>
      <c r="CI13">
        <v>4</v>
      </c>
      <c r="CJ13">
        <v>2</v>
      </c>
      <c r="CL13">
        <v>2</v>
      </c>
      <c r="CO13">
        <v>226</v>
      </c>
      <c r="CP13">
        <v>4</v>
      </c>
      <c r="CQ13">
        <v>4</v>
      </c>
      <c r="CR13">
        <v>2</v>
      </c>
      <c r="CT13">
        <v>2</v>
      </c>
      <c r="CU13">
        <v>2</v>
      </c>
      <c r="CV13">
        <v>6</v>
      </c>
      <c r="CX13">
        <v>2</v>
      </c>
      <c r="CY13">
        <v>2</v>
      </c>
      <c r="CZ13">
        <v>26</v>
      </c>
      <c r="DA13">
        <v>2</v>
      </c>
      <c r="DB13">
        <v>2</v>
      </c>
      <c r="DG13">
        <v>2</v>
      </c>
      <c r="DJ13">
        <v>2</v>
      </c>
      <c r="DM13">
        <v>2</v>
      </c>
      <c r="DN13">
        <v>2</v>
      </c>
      <c r="DP13">
        <v>4</v>
      </c>
      <c r="DU13">
        <v>2</v>
      </c>
      <c r="EA13">
        <v>2</v>
      </c>
      <c r="EC13">
        <v>2</v>
      </c>
      <c r="ED13">
        <v>2</v>
      </c>
      <c r="EE13">
        <v>4</v>
      </c>
      <c r="EF13">
        <v>2</v>
      </c>
      <c r="EI13">
        <v>2</v>
      </c>
      <c r="EL13">
        <v>1</v>
      </c>
      <c r="EM13">
        <v>2</v>
      </c>
      <c r="EP13">
        <v>2</v>
      </c>
      <c r="ER13">
        <v>1</v>
      </c>
      <c r="ES13">
        <v>7</v>
      </c>
      <c r="ET13">
        <v>3</v>
      </c>
      <c r="EU13">
        <v>4</v>
      </c>
      <c r="EV13">
        <v>2</v>
      </c>
      <c r="EW13">
        <v>2</v>
      </c>
      <c r="EY13">
        <v>4</v>
      </c>
      <c r="FF13">
        <v>2</v>
      </c>
      <c r="FH13">
        <v>3</v>
      </c>
      <c r="FJ13">
        <v>4</v>
      </c>
      <c r="FK13">
        <v>12</v>
      </c>
      <c r="FL13">
        <v>3</v>
      </c>
      <c r="FM13">
        <v>5</v>
      </c>
      <c r="FN13">
        <v>1</v>
      </c>
      <c r="FQ13">
        <v>3</v>
      </c>
      <c r="FS13">
        <v>2</v>
      </c>
      <c r="FT13">
        <v>4</v>
      </c>
      <c r="FU13">
        <v>2</v>
      </c>
      <c r="FW13">
        <v>1</v>
      </c>
      <c r="FX13">
        <v>137</v>
      </c>
      <c r="FY13">
        <v>2</v>
      </c>
      <c r="GB13">
        <v>4</v>
      </c>
      <c r="GD13">
        <v>8</v>
      </c>
      <c r="GF13">
        <v>2</v>
      </c>
      <c r="GH13">
        <v>2</v>
      </c>
      <c r="GI13">
        <v>2</v>
      </c>
      <c r="GJ13">
        <v>2</v>
      </c>
      <c r="GL13">
        <v>2</v>
      </c>
      <c r="GQ13">
        <v>2</v>
      </c>
      <c r="GW13">
        <v>2</v>
      </c>
      <c r="GX13">
        <v>2</v>
      </c>
      <c r="HC13">
        <v>1</v>
      </c>
      <c r="HD13">
        <v>2</v>
      </c>
      <c r="HG13">
        <v>2</v>
      </c>
      <c r="HJ13">
        <v>2</v>
      </c>
      <c r="HM13">
        <v>2</v>
      </c>
      <c r="HN13">
        <v>2</v>
      </c>
      <c r="HO13">
        <v>4</v>
      </c>
      <c r="HP13">
        <v>2</v>
      </c>
      <c r="HQ13">
        <v>2</v>
      </c>
      <c r="HU13">
        <v>2</v>
      </c>
      <c r="HY13">
        <v>2</v>
      </c>
      <c r="HZ13">
        <v>2</v>
      </c>
      <c r="IA13">
        <v>2</v>
      </c>
      <c r="ID13">
        <v>2</v>
      </c>
      <c r="IF13">
        <v>2</v>
      </c>
      <c r="IG13">
        <v>2</v>
      </c>
      <c r="IL13">
        <v>1</v>
      </c>
      <c r="IM13">
        <v>2</v>
      </c>
      <c r="IP13">
        <v>2</v>
      </c>
      <c r="IV13">
        <v>2</v>
      </c>
      <c r="IW13">
        <v>1</v>
      </c>
      <c r="JA13">
        <v>4</v>
      </c>
      <c r="JC13">
        <v>6</v>
      </c>
      <c r="JD13">
        <v>1</v>
      </c>
      <c r="JF13">
        <v>4</v>
      </c>
      <c r="JG13">
        <v>4</v>
      </c>
      <c r="JI13">
        <v>1</v>
      </c>
      <c r="JL13">
        <v>4</v>
      </c>
      <c r="JM13">
        <v>2</v>
      </c>
      <c r="JO13" s="112">
        <v>1</v>
      </c>
      <c r="JP13">
        <v>1</v>
      </c>
      <c r="JQ13">
        <v>5</v>
      </c>
      <c r="JR13">
        <v>3</v>
      </c>
      <c r="JS13">
        <v>2</v>
      </c>
      <c r="JT13">
        <v>2</v>
      </c>
      <c r="JU13">
        <v>2</v>
      </c>
      <c r="JW13">
        <v>5</v>
      </c>
      <c r="JX13">
        <v>7</v>
      </c>
      <c r="JY13">
        <v>4</v>
      </c>
      <c r="JZ13">
        <v>2</v>
      </c>
      <c r="KC13">
        <v>4</v>
      </c>
      <c r="KD13" s="108">
        <v>2</v>
      </c>
      <c r="KF13">
        <v>2</v>
      </c>
      <c r="KH13">
        <v>2</v>
      </c>
      <c r="KJ13">
        <v>4</v>
      </c>
      <c r="KK13">
        <v>1</v>
      </c>
      <c r="KL13">
        <v>2</v>
      </c>
      <c r="KN13">
        <v>1</v>
      </c>
      <c r="KO13">
        <v>6</v>
      </c>
      <c r="KP13">
        <v>3</v>
      </c>
      <c r="KQ13">
        <v>4</v>
      </c>
      <c r="KR13">
        <v>6</v>
      </c>
      <c r="KS13">
        <v>4</v>
      </c>
      <c r="KU13">
        <v>1</v>
      </c>
      <c r="KV13">
        <v>5</v>
      </c>
      <c r="KW13" s="101">
        <v>7</v>
      </c>
      <c r="KX13">
        <v>6</v>
      </c>
      <c r="KZ13" s="48"/>
      <c r="LA13" s="48">
        <v>2</v>
      </c>
      <c r="LB13" s="48">
        <v>2</v>
      </c>
      <c r="LC13" s="48">
        <v>2</v>
      </c>
      <c r="LD13" s="48"/>
      <c r="LE13" s="48">
        <v>10</v>
      </c>
      <c r="LF13" s="158"/>
      <c r="LG13" s="158"/>
      <c r="LH13" s="48"/>
      <c r="LI13" s="48"/>
      <c r="LJ13" s="48"/>
      <c r="LK13" s="48">
        <v>2</v>
      </c>
      <c r="LL13" s="48"/>
      <c r="LM13" s="48"/>
      <c r="LN13" s="48"/>
      <c r="LO13" s="48">
        <v>3</v>
      </c>
      <c r="LP13" s="48"/>
      <c r="LQ13" s="158"/>
      <c r="LR13" s="48"/>
      <c r="LS13" s="48"/>
      <c r="LT13" s="1"/>
      <c r="LU13" s="48">
        <v>2</v>
      </c>
      <c r="LV13" s="1"/>
      <c r="LW13" s="1">
        <v>2</v>
      </c>
      <c r="LX13" s="48">
        <v>4</v>
      </c>
      <c r="LY13" s="158">
        <v>2</v>
      </c>
      <c r="LZ13" s="48">
        <v>2</v>
      </c>
      <c r="MA13" s="48">
        <v>4</v>
      </c>
      <c r="MB13" s="1">
        <v>2</v>
      </c>
      <c r="MC13" s="1">
        <v>2</v>
      </c>
      <c r="MD13" s="1"/>
      <c r="ME13" s="48">
        <v>6</v>
      </c>
      <c r="MF13" s="48">
        <v>2</v>
      </c>
      <c r="MG13" s="48">
        <v>4</v>
      </c>
      <c r="MH13" s="48"/>
      <c r="MI13" s="48"/>
      <c r="MJ13" s="48">
        <v>6</v>
      </c>
      <c r="MK13" s="48"/>
      <c r="ML13" s="48"/>
      <c r="MM13" s="48"/>
      <c r="MN13" s="48">
        <v>4</v>
      </c>
      <c r="MO13" s="158">
        <v>4</v>
      </c>
      <c r="MP13" s="48">
        <v>2</v>
      </c>
      <c r="MQ13" s="1"/>
      <c r="MR13" s="48">
        <v>4</v>
      </c>
      <c r="MS13" s="48">
        <v>2</v>
      </c>
      <c r="MT13" s="1"/>
      <c r="MU13" s="48">
        <v>4</v>
      </c>
      <c r="MV13" s="48">
        <v>2</v>
      </c>
      <c r="MW13" s="1"/>
      <c r="MX13" s="48">
        <v>2</v>
      </c>
      <c r="MY13" s="48">
        <v>2</v>
      </c>
      <c r="MZ13" s="48">
        <v>4</v>
      </c>
      <c r="NA13" s="48">
        <v>2</v>
      </c>
      <c r="NB13" s="48">
        <v>2</v>
      </c>
      <c r="NC13" s="104">
        <v>2</v>
      </c>
      <c r="ND13" s="48">
        <v>2</v>
      </c>
      <c r="NE13" s="48"/>
      <c r="NF13" s="48"/>
      <c r="NG13" s="48"/>
      <c r="NH13" s="48">
        <v>4</v>
      </c>
      <c r="NI13" s="48"/>
      <c r="NJ13" s="48"/>
      <c r="NK13" s="48">
        <v>4</v>
      </c>
      <c r="NL13" s="48">
        <v>2</v>
      </c>
      <c r="NM13" s="48"/>
      <c r="NN13" s="158">
        <v>2</v>
      </c>
      <c r="NO13" s="48"/>
      <c r="NP13" s="48">
        <v>4</v>
      </c>
      <c r="NQ13" s="48"/>
      <c r="NR13" s="1">
        <v>2</v>
      </c>
      <c r="NS13" s="1"/>
      <c r="NT13" s="1">
        <v>5</v>
      </c>
      <c r="NU13" s="1">
        <v>5</v>
      </c>
      <c r="NV13" s="313">
        <v>4</v>
      </c>
      <c r="NW13" s="1"/>
      <c r="NX13" s="1"/>
      <c r="NY13" s="1"/>
      <c r="NZ13" s="1">
        <v>4</v>
      </c>
      <c r="OA13" s="1">
        <v>2</v>
      </c>
      <c r="OB13" s="1">
        <v>2</v>
      </c>
      <c r="OC13" s="48"/>
      <c r="OD13" s="48">
        <v>1</v>
      </c>
      <c r="OK13" s="48"/>
      <c r="OL13" s="48">
        <v>5</v>
      </c>
      <c r="OM13" s="48">
        <v>2</v>
      </c>
      <c r="ON13" s="48">
        <v>2</v>
      </c>
      <c r="OO13" s="48"/>
      <c r="OP13" s="48">
        <v>2</v>
      </c>
      <c r="OQ13" s="48"/>
      <c r="OR13" s="48">
        <v>2</v>
      </c>
      <c r="OS13" s="48">
        <v>2</v>
      </c>
      <c r="OT13" s="48">
        <v>2</v>
      </c>
      <c r="OU13" s="48"/>
      <c r="OV13" s="48"/>
      <c r="OW13" s="48">
        <v>2</v>
      </c>
      <c r="OX13" s="48">
        <v>2</v>
      </c>
      <c r="OY13" s="48">
        <v>14</v>
      </c>
      <c r="OZ13" s="48">
        <v>12</v>
      </c>
      <c r="PA13" s="48">
        <v>10</v>
      </c>
      <c r="PB13" s="48"/>
      <c r="PC13" s="48">
        <v>22</v>
      </c>
      <c r="PD13" s="48">
        <v>21</v>
      </c>
      <c r="PE13" s="329">
        <v>22</v>
      </c>
      <c r="PF13" s="48">
        <v>10</v>
      </c>
      <c r="PG13" s="48">
        <v>12</v>
      </c>
      <c r="PH13" s="48">
        <v>6</v>
      </c>
      <c r="PI13" s="48">
        <v>18</v>
      </c>
      <c r="PJ13" s="48">
        <v>24</v>
      </c>
      <c r="PK13" s="102">
        <v>16</v>
      </c>
      <c r="PL13" s="48">
        <v>10</v>
      </c>
      <c r="PM13" s="48">
        <v>18</v>
      </c>
      <c r="PN13" s="1">
        <v>10</v>
      </c>
      <c r="PO13" s="329">
        <v>10</v>
      </c>
      <c r="PP13" s="329">
        <v>20</v>
      </c>
      <c r="PQ13" s="329">
        <v>20</v>
      </c>
      <c r="PR13" s="329">
        <v>14</v>
      </c>
      <c r="PS13" s="329">
        <v>8</v>
      </c>
      <c r="PT13" s="329">
        <v>16</v>
      </c>
      <c r="PU13" s="48">
        <v>2</v>
      </c>
      <c r="PV13" s="48">
        <v>10</v>
      </c>
      <c r="PW13" s="48">
        <v>24</v>
      </c>
      <c r="PX13" s="48">
        <v>8</v>
      </c>
      <c r="PY13" s="48">
        <v>20</v>
      </c>
      <c r="PZ13" s="2">
        <v>16</v>
      </c>
      <c r="QA13" s="48">
        <v>10</v>
      </c>
      <c r="QB13" s="48">
        <v>8</v>
      </c>
      <c r="QC13" s="48">
        <v>10</v>
      </c>
      <c r="QD13" s="48">
        <v>6</v>
      </c>
      <c r="QE13" s="158">
        <v>12</v>
      </c>
      <c r="QF13" s="48">
        <v>14</v>
      </c>
      <c r="QG13" s="48">
        <v>12</v>
      </c>
      <c r="QH13" s="48">
        <v>6</v>
      </c>
      <c r="QI13" s="48">
        <v>4</v>
      </c>
      <c r="QJ13" s="5">
        <v>10</v>
      </c>
      <c r="QK13" s="104">
        <v>10</v>
      </c>
      <c r="QL13" s="48">
        <v>12</v>
      </c>
      <c r="QM13" s="48">
        <v>14</v>
      </c>
      <c r="QN13" s="48">
        <v>16</v>
      </c>
      <c r="QO13" s="48">
        <v>12</v>
      </c>
      <c r="QP13" s="48">
        <v>6</v>
      </c>
      <c r="QQ13" s="329">
        <v>16</v>
      </c>
      <c r="QR13" s="48">
        <v>15</v>
      </c>
      <c r="QS13" s="48">
        <v>20</v>
      </c>
      <c r="QT13" s="48">
        <v>12</v>
      </c>
      <c r="QU13" s="104">
        <v>25</v>
      </c>
      <c r="QV13" s="48">
        <v>10</v>
      </c>
      <c r="QW13" s="48">
        <v>11</v>
      </c>
      <c r="QX13" s="48">
        <v>15</v>
      </c>
      <c r="QY13" s="48">
        <v>17</v>
      </c>
      <c r="QZ13" s="48">
        <v>15</v>
      </c>
      <c r="RA13" s="48">
        <v>29</v>
      </c>
      <c r="RB13" s="48">
        <v>12</v>
      </c>
      <c r="RC13" s="48">
        <v>5</v>
      </c>
      <c r="RD13" s="48">
        <v>18</v>
      </c>
      <c r="RE13" s="48">
        <v>12</v>
      </c>
      <c r="RF13" s="48">
        <v>6</v>
      </c>
      <c r="RG13" s="48">
        <v>11</v>
      </c>
      <c r="RH13" s="48">
        <v>13</v>
      </c>
      <c r="RI13" s="158">
        <v>10</v>
      </c>
      <c r="RJ13" s="48">
        <v>21</v>
      </c>
      <c r="RK13" s="48">
        <v>19</v>
      </c>
      <c r="RL13" s="104">
        <v>12</v>
      </c>
      <c r="RM13" s="48">
        <v>14</v>
      </c>
      <c r="RN13" s="48">
        <v>12</v>
      </c>
      <c r="RO13" s="48">
        <v>17</v>
      </c>
      <c r="RP13" s="48">
        <v>17</v>
      </c>
      <c r="RQ13" s="48">
        <v>13</v>
      </c>
      <c r="RR13" s="48">
        <v>13</v>
      </c>
      <c r="RS13" s="48">
        <v>6</v>
      </c>
      <c r="RT13" s="48">
        <v>9</v>
      </c>
      <c r="RU13" s="48">
        <v>10</v>
      </c>
      <c r="RV13" s="48">
        <v>15</v>
      </c>
    </row>
    <row r="14" spans="2:490" ht="15.75" x14ac:dyDescent="0.25">
      <c r="B14" s="187">
        <v>505</v>
      </c>
      <c r="C14">
        <v>22</v>
      </c>
      <c r="D14">
        <v>8</v>
      </c>
      <c r="E14">
        <v>20</v>
      </c>
      <c r="F14">
        <v>28</v>
      </c>
      <c r="G14">
        <v>16</v>
      </c>
      <c r="H14">
        <v>16</v>
      </c>
      <c r="I14">
        <v>16</v>
      </c>
      <c r="J14">
        <v>22</v>
      </c>
      <c r="K14">
        <v>18</v>
      </c>
      <c r="L14">
        <v>16</v>
      </c>
      <c r="M14">
        <v>10</v>
      </c>
      <c r="N14">
        <v>8</v>
      </c>
      <c r="O14">
        <v>20</v>
      </c>
      <c r="P14">
        <v>8</v>
      </c>
      <c r="Q14">
        <v>18</v>
      </c>
      <c r="R14">
        <v>12</v>
      </c>
      <c r="S14">
        <v>14</v>
      </c>
      <c r="T14">
        <v>26</v>
      </c>
      <c r="U14">
        <v>18</v>
      </c>
      <c r="V14">
        <v>12</v>
      </c>
      <c r="W14">
        <v>18</v>
      </c>
      <c r="X14">
        <v>10</v>
      </c>
      <c r="Y14">
        <v>16</v>
      </c>
      <c r="Z14">
        <v>26</v>
      </c>
      <c r="AA14">
        <v>24</v>
      </c>
      <c r="AB14">
        <v>10</v>
      </c>
      <c r="AC14">
        <v>14</v>
      </c>
      <c r="AD14">
        <v>18</v>
      </c>
      <c r="AE14">
        <v>18</v>
      </c>
      <c r="AF14">
        <v>20</v>
      </c>
      <c r="AG14">
        <v>22</v>
      </c>
      <c r="AH14">
        <v>18</v>
      </c>
      <c r="AI14">
        <v>20</v>
      </c>
      <c r="AJ14">
        <v>14</v>
      </c>
      <c r="AK14">
        <v>8</v>
      </c>
      <c r="AL14">
        <v>16</v>
      </c>
      <c r="AM14">
        <v>14</v>
      </c>
      <c r="AN14">
        <v>8</v>
      </c>
      <c r="AO14">
        <v>18</v>
      </c>
      <c r="AP14">
        <v>18</v>
      </c>
      <c r="AQ14">
        <v>16</v>
      </c>
      <c r="AR14">
        <v>26</v>
      </c>
      <c r="AS14">
        <v>16</v>
      </c>
      <c r="AT14">
        <v>14</v>
      </c>
      <c r="AU14">
        <v>22</v>
      </c>
      <c r="AV14">
        <v>18</v>
      </c>
      <c r="AW14">
        <v>8</v>
      </c>
      <c r="AX14">
        <v>38</v>
      </c>
      <c r="AY14">
        <v>26</v>
      </c>
      <c r="AZ14">
        <v>16</v>
      </c>
      <c r="BA14">
        <v>8</v>
      </c>
      <c r="BB14">
        <v>16</v>
      </c>
      <c r="BC14">
        <v>24</v>
      </c>
      <c r="BD14">
        <v>30</v>
      </c>
      <c r="BE14">
        <v>14</v>
      </c>
      <c r="BF14">
        <v>18</v>
      </c>
      <c r="BG14">
        <v>16</v>
      </c>
      <c r="BH14">
        <v>18</v>
      </c>
      <c r="BI14">
        <v>22</v>
      </c>
      <c r="BJ14">
        <v>14</v>
      </c>
      <c r="BK14">
        <v>30</v>
      </c>
      <c r="BL14">
        <v>16</v>
      </c>
      <c r="BM14">
        <v>24</v>
      </c>
      <c r="BN14">
        <v>20</v>
      </c>
      <c r="BO14">
        <v>20</v>
      </c>
      <c r="BP14">
        <v>12</v>
      </c>
      <c r="BQ14">
        <v>10</v>
      </c>
      <c r="BR14">
        <v>14</v>
      </c>
      <c r="BS14">
        <v>22</v>
      </c>
      <c r="BT14">
        <v>20</v>
      </c>
      <c r="BU14">
        <v>16</v>
      </c>
      <c r="BV14">
        <v>6</v>
      </c>
      <c r="BW14">
        <v>27</v>
      </c>
      <c r="BX14">
        <v>24</v>
      </c>
      <c r="BY14">
        <v>36</v>
      </c>
      <c r="BZ14">
        <v>14</v>
      </c>
      <c r="CA14">
        <v>35</v>
      </c>
      <c r="CB14">
        <v>12</v>
      </c>
      <c r="CC14">
        <v>3</v>
      </c>
      <c r="CD14">
        <v>22</v>
      </c>
      <c r="CE14">
        <v>12</v>
      </c>
      <c r="CF14">
        <v>26</v>
      </c>
      <c r="CG14">
        <v>15</v>
      </c>
      <c r="CH14">
        <v>36</v>
      </c>
      <c r="CI14">
        <v>21</v>
      </c>
      <c r="CJ14">
        <v>26</v>
      </c>
      <c r="CK14">
        <v>25</v>
      </c>
      <c r="CL14">
        <v>16</v>
      </c>
      <c r="CO14">
        <v>243</v>
      </c>
      <c r="CP14">
        <v>30</v>
      </c>
      <c r="CQ14">
        <v>20</v>
      </c>
      <c r="CR14">
        <v>10</v>
      </c>
      <c r="CS14">
        <v>18</v>
      </c>
      <c r="CT14">
        <v>13</v>
      </c>
      <c r="CU14">
        <v>15</v>
      </c>
      <c r="CV14">
        <v>20</v>
      </c>
      <c r="CW14">
        <v>35</v>
      </c>
      <c r="CX14">
        <v>18</v>
      </c>
      <c r="CY14">
        <v>14</v>
      </c>
      <c r="CZ14">
        <v>20</v>
      </c>
      <c r="DA14">
        <v>22</v>
      </c>
      <c r="DB14">
        <v>20</v>
      </c>
      <c r="DC14">
        <v>28</v>
      </c>
      <c r="DD14">
        <v>22</v>
      </c>
      <c r="DE14">
        <v>16</v>
      </c>
      <c r="DF14">
        <v>18</v>
      </c>
      <c r="DG14">
        <v>18</v>
      </c>
      <c r="DH14">
        <v>12</v>
      </c>
      <c r="DI14">
        <v>10</v>
      </c>
      <c r="DJ14">
        <v>32</v>
      </c>
      <c r="DK14">
        <v>48</v>
      </c>
      <c r="DL14">
        <v>34</v>
      </c>
      <c r="DM14">
        <v>22</v>
      </c>
      <c r="DN14">
        <v>28</v>
      </c>
      <c r="DO14">
        <v>12</v>
      </c>
      <c r="DP14">
        <v>26</v>
      </c>
      <c r="DQ14">
        <v>18</v>
      </c>
      <c r="DR14">
        <v>22</v>
      </c>
      <c r="DS14">
        <v>14</v>
      </c>
      <c r="DT14">
        <v>14</v>
      </c>
      <c r="DU14">
        <v>18</v>
      </c>
      <c r="DV14">
        <v>42</v>
      </c>
      <c r="DW14">
        <v>22</v>
      </c>
      <c r="DX14">
        <v>20</v>
      </c>
      <c r="DY14">
        <v>28</v>
      </c>
      <c r="DZ14">
        <v>12</v>
      </c>
      <c r="EA14">
        <v>20</v>
      </c>
      <c r="EB14">
        <v>18</v>
      </c>
      <c r="EC14">
        <v>20</v>
      </c>
      <c r="ED14">
        <v>14</v>
      </c>
      <c r="EE14">
        <v>38</v>
      </c>
      <c r="EF14">
        <v>26</v>
      </c>
      <c r="EG14">
        <v>20</v>
      </c>
      <c r="EH14">
        <v>30</v>
      </c>
      <c r="EI14">
        <v>30</v>
      </c>
      <c r="EJ14">
        <v>29</v>
      </c>
      <c r="EK14">
        <v>30</v>
      </c>
      <c r="EL14">
        <v>141</v>
      </c>
      <c r="EM14">
        <v>52</v>
      </c>
      <c r="EN14">
        <v>31</v>
      </c>
      <c r="EO14">
        <v>23</v>
      </c>
      <c r="EP14">
        <v>49</v>
      </c>
      <c r="EQ14">
        <v>26</v>
      </c>
      <c r="ER14">
        <v>51</v>
      </c>
      <c r="ES14">
        <v>32</v>
      </c>
      <c r="ET14">
        <v>34</v>
      </c>
      <c r="EU14">
        <v>96</v>
      </c>
      <c r="EV14">
        <v>18</v>
      </c>
      <c r="EW14">
        <v>48</v>
      </c>
      <c r="EX14">
        <v>19</v>
      </c>
      <c r="EY14">
        <v>26</v>
      </c>
      <c r="EZ14">
        <v>34</v>
      </c>
      <c r="FA14">
        <v>20</v>
      </c>
      <c r="FB14">
        <v>264</v>
      </c>
      <c r="FC14">
        <v>17</v>
      </c>
      <c r="FD14">
        <v>12</v>
      </c>
      <c r="FE14">
        <v>14</v>
      </c>
      <c r="FF14">
        <v>25</v>
      </c>
      <c r="FG14">
        <v>25</v>
      </c>
      <c r="FH14">
        <v>18</v>
      </c>
      <c r="FI14">
        <v>40</v>
      </c>
      <c r="FJ14">
        <v>37</v>
      </c>
      <c r="FK14">
        <v>1518</v>
      </c>
      <c r="FL14">
        <v>28</v>
      </c>
      <c r="FM14">
        <v>15</v>
      </c>
      <c r="FN14">
        <v>230</v>
      </c>
      <c r="FO14">
        <v>17</v>
      </c>
      <c r="FP14">
        <v>30</v>
      </c>
      <c r="FQ14">
        <v>30</v>
      </c>
      <c r="FR14">
        <v>12</v>
      </c>
      <c r="FS14">
        <v>206</v>
      </c>
      <c r="FT14">
        <v>21</v>
      </c>
      <c r="FU14">
        <v>16</v>
      </c>
      <c r="FV14">
        <v>13</v>
      </c>
      <c r="FW14">
        <v>38</v>
      </c>
      <c r="FX14">
        <v>4</v>
      </c>
      <c r="GF14">
        <v>4</v>
      </c>
      <c r="HF14">
        <v>2</v>
      </c>
      <c r="IH14">
        <v>2</v>
      </c>
      <c r="IU14">
        <v>2</v>
      </c>
      <c r="JE14">
        <v>2</v>
      </c>
      <c r="JP14">
        <v>3</v>
      </c>
      <c r="KD14" s="108"/>
      <c r="KP14">
        <v>2</v>
      </c>
      <c r="KQ14">
        <v>2</v>
      </c>
      <c r="KS14">
        <v>2</v>
      </c>
      <c r="KZ14" s="48"/>
      <c r="LA14" s="48"/>
      <c r="LB14" s="48"/>
      <c r="LC14" s="48"/>
      <c r="LD14" s="48"/>
      <c r="LE14" s="48"/>
      <c r="LF14" s="158"/>
      <c r="LG14" s="158"/>
      <c r="LH14" s="48"/>
      <c r="LI14" s="48"/>
      <c r="LJ14" s="48"/>
      <c r="LK14" s="48"/>
      <c r="LL14" s="48"/>
      <c r="LM14" s="48"/>
      <c r="LN14" s="48"/>
      <c r="LO14" s="48"/>
      <c r="LP14" s="48">
        <v>1</v>
      </c>
      <c r="LQ14" s="158"/>
      <c r="LR14" s="48"/>
      <c r="LS14" s="48"/>
      <c r="LT14" s="1"/>
      <c r="LU14" s="48"/>
      <c r="LV14" s="1"/>
      <c r="LW14" s="1"/>
      <c r="LX14" s="1"/>
      <c r="LY14" s="158"/>
      <c r="LZ14" s="48"/>
      <c r="MA14" s="48"/>
      <c r="MB14" s="1"/>
      <c r="MC14" s="1"/>
      <c r="MD14" s="1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1"/>
      <c r="MR14" s="1"/>
      <c r="MS14" s="1"/>
      <c r="MT14" s="1"/>
      <c r="MU14" s="1"/>
      <c r="MV14" s="1"/>
      <c r="MW14" s="1"/>
      <c r="MX14" s="48">
        <v>2</v>
      </c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>
        <v>2</v>
      </c>
      <c r="NJ14" s="48"/>
      <c r="NK14" s="48"/>
      <c r="NL14" s="48"/>
      <c r="NM14" s="48"/>
      <c r="NN14" s="158"/>
      <c r="NO14" s="48"/>
      <c r="NP14" s="48"/>
      <c r="NQ14" s="48"/>
      <c r="NR14" s="1"/>
      <c r="NS14" s="1"/>
      <c r="NT14" s="1"/>
      <c r="NU14" s="1"/>
      <c r="NV14" s="313"/>
      <c r="NW14" s="1"/>
      <c r="NX14" s="1"/>
      <c r="NY14" s="1"/>
      <c r="NZ14" s="1"/>
      <c r="OA14" s="1"/>
      <c r="OB14" s="1"/>
      <c r="OC14" s="48"/>
      <c r="OD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102"/>
      <c r="PL14" s="48"/>
      <c r="PM14" s="48"/>
      <c r="PN14" s="1"/>
      <c r="PO14" s="1"/>
      <c r="PP14" s="329">
        <v>2</v>
      </c>
      <c r="PQ14" s="329"/>
      <c r="PR14" s="329"/>
      <c r="PS14" s="329"/>
      <c r="PT14" s="329"/>
      <c r="PU14" s="48"/>
      <c r="PV14" s="48"/>
      <c r="PW14" s="48"/>
      <c r="PX14" s="48"/>
      <c r="PY14" s="2"/>
      <c r="PZ14" s="2"/>
      <c r="QA14" s="48"/>
      <c r="QB14" s="48"/>
      <c r="QC14" s="48"/>
      <c r="QD14" s="48"/>
      <c r="QE14" s="158"/>
      <c r="QF14" s="48"/>
      <c r="QG14" s="48"/>
      <c r="QH14" s="48"/>
      <c r="QI14" s="48"/>
      <c r="QJ14" s="5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158"/>
      <c r="RJ14" s="48"/>
      <c r="RK14" s="48"/>
      <c r="RL14" s="48"/>
      <c r="RM14" s="48">
        <v>5</v>
      </c>
      <c r="RN14" s="48">
        <v>6</v>
      </c>
      <c r="RO14" s="48">
        <v>12</v>
      </c>
      <c r="RP14" s="48">
        <v>4</v>
      </c>
      <c r="RQ14" s="48">
        <v>7</v>
      </c>
      <c r="RR14" s="48">
        <v>3</v>
      </c>
      <c r="RS14" s="48">
        <v>10</v>
      </c>
      <c r="RT14" s="48">
        <v>38</v>
      </c>
      <c r="RU14" s="48">
        <v>7</v>
      </c>
      <c r="RV14" s="48">
        <v>4</v>
      </c>
    </row>
    <row r="15" spans="2:490" ht="15.75" x14ac:dyDescent="0.25">
      <c r="B15" s="187">
        <v>522</v>
      </c>
      <c r="C15">
        <f>(C2/SUM(C2:C14))*100</f>
        <v>99.828920504787845</v>
      </c>
      <c r="D15">
        <f t="shared" ref="D15:V15" si="0">(D2/SUM(D2:D14))*100</f>
        <v>99.812375745526836</v>
      </c>
      <c r="E15">
        <f t="shared" si="0"/>
        <v>99.830317143288539</v>
      </c>
      <c r="F15">
        <f t="shared" si="0"/>
        <v>99.834453499139599</v>
      </c>
      <c r="G15">
        <f t="shared" si="0"/>
        <v>99.808574057095129</v>
      </c>
      <c r="H15">
        <f t="shared" si="0"/>
        <v>99.837461526351063</v>
      </c>
      <c r="I15">
        <f t="shared" si="0"/>
        <v>99.85615831928925</v>
      </c>
      <c r="J15">
        <f t="shared" si="0"/>
        <v>99.847859937787405</v>
      </c>
      <c r="K15">
        <f t="shared" si="0"/>
        <v>99.830259388332664</v>
      </c>
      <c r="L15">
        <f t="shared" si="0"/>
        <v>99.866821464023232</v>
      </c>
      <c r="M15">
        <f t="shared" si="0"/>
        <v>99.859224953563285</v>
      </c>
      <c r="N15">
        <f t="shared" si="0"/>
        <v>99.861995857481901</v>
      </c>
      <c r="O15">
        <f t="shared" si="0"/>
        <v>99.814984750748977</v>
      </c>
      <c r="P15">
        <f t="shared" si="0"/>
        <v>99.808705277348281</v>
      </c>
      <c r="Q15">
        <f t="shared" si="0"/>
        <v>99.863948939872103</v>
      </c>
      <c r="R15">
        <f t="shared" si="0"/>
        <v>99.842329613694062</v>
      </c>
      <c r="S15">
        <f t="shared" si="0"/>
        <v>99.871275830405338</v>
      </c>
      <c r="T15">
        <f t="shared" si="0"/>
        <v>99.769439844701395</v>
      </c>
      <c r="U15">
        <f t="shared" si="0"/>
        <v>99.684667888167354</v>
      </c>
      <c r="V15">
        <f t="shared" si="0"/>
        <v>99.824890269565714</v>
      </c>
      <c r="FC15">
        <v>2</v>
      </c>
      <c r="FD15">
        <v>6</v>
      </c>
      <c r="FF15">
        <v>14</v>
      </c>
      <c r="FG15">
        <v>24</v>
      </c>
      <c r="FH15">
        <v>2</v>
      </c>
      <c r="FI15">
        <v>2</v>
      </c>
      <c r="FJ15">
        <v>4</v>
      </c>
      <c r="FK15">
        <v>4</v>
      </c>
      <c r="FL15">
        <v>17</v>
      </c>
      <c r="FM15">
        <v>4</v>
      </c>
      <c r="FN15">
        <v>2</v>
      </c>
      <c r="FO15">
        <v>1</v>
      </c>
      <c r="FP15">
        <v>4</v>
      </c>
      <c r="FQ15">
        <v>6</v>
      </c>
      <c r="FR15">
        <v>6</v>
      </c>
      <c r="FS15">
        <v>2</v>
      </c>
      <c r="FT15">
        <v>2</v>
      </c>
      <c r="FU15">
        <v>12</v>
      </c>
      <c r="FV15">
        <v>2</v>
      </c>
      <c r="FW15">
        <v>18</v>
      </c>
      <c r="FX15">
        <v>6</v>
      </c>
      <c r="FZ15">
        <v>2</v>
      </c>
      <c r="GD15">
        <v>6</v>
      </c>
      <c r="GE15">
        <v>2</v>
      </c>
      <c r="GJ15">
        <v>4</v>
      </c>
      <c r="GQ15">
        <v>2</v>
      </c>
      <c r="GS15">
        <v>2</v>
      </c>
      <c r="GT15">
        <v>2</v>
      </c>
      <c r="GX15">
        <v>4</v>
      </c>
      <c r="GY15">
        <v>4</v>
      </c>
      <c r="HA15">
        <v>2</v>
      </c>
      <c r="HC15">
        <v>6</v>
      </c>
      <c r="HD15">
        <v>2</v>
      </c>
      <c r="HF15">
        <v>2</v>
      </c>
      <c r="HG15">
        <v>2</v>
      </c>
      <c r="HH15">
        <v>2</v>
      </c>
      <c r="HI15">
        <v>2</v>
      </c>
      <c r="HJ15">
        <v>15</v>
      </c>
      <c r="HL15">
        <v>2</v>
      </c>
      <c r="HP15">
        <v>2</v>
      </c>
      <c r="HQ15">
        <v>4</v>
      </c>
      <c r="HR15">
        <v>2</v>
      </c>
      <c r="HT15">
        <v>2</v>
      </c>
      <c r="IA15">
        <v>2</v>
      </c>
      <c r="IR15">
        <v>2</v>
      </c>
      <c r="IS15">
        <v>2</v>
      </c>
      <c r="IT15">
        <v>2</v>
      </c>
      <c r="IW15">
        <v>3</v>
      </c>
      <c r="IX15">
        <v>6</v>
      </c>
      <c r="JB15">
        <v>3</v>
      </c>
      <c r="JC15">
        <v>4</v>
      </c>
      <c r="JD15">
        <v>3</v>
      </c>
      <c r="JG15">
        <v>1</v>
      </c>
      <c r="JH15">
        <v>1</v>
      </c>
      <c r="JI15">
        <v>1</v>
      </c>
      <c r="JJ15">
        <v>2</v>
      </c>
      <c r="JL15">
        <v>2</v>
      </c>
      <c r="JN15">
        <v>3</v>
      </c>
      <c r="JO15" s="112">
        <v>4</v>
      </c>
      <c r="JP15">
        <v>2</v>
      </c>
      <c r="JQ15">
        <v>1</v>
      </c>
      <c r="JR15">
        <v>4</v>
      </c>
      <c r="JS15">
        <v>2</v>
      </c>
      <c r="JT15">
        <v>5</v>
      </c>
      <c r="JU15">
        <v>4</v>
      </c>
      <c r="JV15">
        <v>2</v>
      </c>
      <c r="JW15">
        <v>3</v>
      </c>
      <c r="JX15">
        <v>2</v>
      </c>
      <c r="JZ15">
        <v>2</v>
      </c>
      <c r="KA15">
        <v>3</v>
      </c>
      <c r="KB15">
        <v>1</v>
      </c>
      <c r="KD15" s="108">
        <v>1</v>
      </c>
      <c r="KF15">
        <v>1</v>
      </c>
      <c r="KG15">
        <v>2</v>
      </c>
      <c r="KI15">
        <v>2</v>
      </c>
      <c r="KK15">
        <v>5</v>
      </c>
      <c r="KM15">
        <v>1</v>
      </c>
      <c r="KO15">
        <v>4</v>
      </c>
      <c r="KP15">
        <v>2</v>
      </c>
      <c r="KQ15">
        <v>3</v>
      </c>
      <c r="KR15">
        <v>5</v>
      </c>
      <c r="KS15">
        <v>4</v>
      </c>
      <c r="KT15">
        <v>2</v>
      </c>
      <c r="KW15">
        <v>2</v>
      </c>
      <c r="KY15">
        <v>2</v>
      </c>
      <c r="KZ15" s="48">
        <v>6</v>
      </c>
      <c r="LA15" s="48"/>
      <c r="LB15" s="48"/>
      <c r="LC15" s="48"/>
      <c r="LD15" s="48"/>
      <c r="LE15" s="48"/>
      <c r="LF15" s="158">
        <v>1</v>
      </c>
      <c r="LG15" s="158">
        <v>2</v>
      </c>
      <c r="LH15" s="48">
        <v>1</v>
      </c>
      <c r="LI15" s="48">
        <v>4</v>
      </c>
      <c r="LJ15" s="48"/>
      <c r="LK15" s="48"/>
      <c r="LL15" s="48"/>
      <c r="LM15" s="48">
        <v>3</v>
      </c>
      <c r="LN15" s="48"/>
      <c r="LO15" s="48"/>
      <c r="LP15" s="48">
        <v>2</v>
      </c>
      <c r="LQ15" s="158">
        <v>2</v>
      </c>
      <c r="LR15" s="48">
        <v>6</v>
      </c>
      <c r="LS15" s="48"/>
      <c r="LT15" s="1"/>
      <c r="LU15" s="48"/>
      <c r="LV15" s="1">
        <v>2</v>
      </c>
      <c r="LW15" s="1">
        <v>2</v>
      </c>
      <c r="LX15" s="1">
        <v>4</v>
      </c>
      <c r="LY15" s="158">
        <v>2</v>
      </c>
      <c r="LZ15" s="48"/>
      <c r="MA15" s="48"/>
      <c r="MB15" s="1">
        <v>4</v>
      </c>
      <c r="MC15" s="1">
        <v>2</v>
      </c>
      <c r="MD15" s="1"/>
      <c r="ME15" s="48">
        <v>2</v>
      </c>
      <c r="MF15" s="48">
        <v>8</v>
      </c>
      <c r="MG15" s="48"/>
      <c r="MH15" s="48"/>
      <c r="MI15" s="48">
        <v>2</v>
      </c>
      <c r="MJ15" s="48">
        <v>2</v>
      </c>
      <c r="MK15" s="48"/>
      <c r="ML15" s="48">
        <v>2</v>
      </c>
      <c r="MM15" s="48">
        <v>2</v>
      </c>
      <c r="MN15" s="48"/>
      <c r="MO15" s="48"/>
      <c r="MP15" s="48"/>
      <c r="MQ15" s="1"/>
      <c r="MR15" s="1"/>
      <c r="MS15" s="1"/>
      <c r="MT15" s="1">
        <v>4</v>
      </c>
      <c r="MU15" s="1">
        <v>2</v>
      </c>
      <c r="MV15" s="1"/>
      <c r="MW15" s="1">
        <v>2</v>
      </c>
      <c r="MX15" s="48">
        <v>4</v>
      </c>
      <c r="MY15" s="48"/>
      <c r="MZ15" s="48">
        <v>2</v>
      </c>
      <c r="NA15" s="48">
        <v>2</v>
      </c>
      <c r="NB15" s="48">
        <v>2</v>
      </c>
      <c r="NC15" s="48"/>
      <c r="ND15" s="48">
        <v>4</v>
      </c>
      <c r="NE15" s="48">
        <v>4</v>
      </c>
      <c r="NF15" s="48">
        <v>2</v>
      </c>
      <c r="NG15" s="48"/>
      <c r="NH15" s="48">
        <v>2</v>
      </c>
      <c r="NI15" s="48">
        <v>4</v>
      </c>
      <c r="NJ15" s="48"/>
      <c r="NK15" s="48"/>
      <c r="NL15" s="48"/>
      <c r="NM15" s="48"/>
      <c r="NN15" s="158"/>
      <c r="NO15" s="48">
        <v>2</v>
      </c>
      <c r="NP15" s="48"/>
      <c r="NQ15" s="48">
        <v>4</v>
      </c>
      <c r="NR15" s="1"/>
      <c r="NS15" s="1">
        <v>2</v>
      </c>
      <c r="NT15" s="1">
        <v>3</v>
      </c>
      <c r="NU15" s="1"/>
      <c r="NV15" s="313">
        <v>3</v>
      </c>
      <c r="NW15" s="1">
        <v>5</v>
      </c>
      <c r="NX15" s="1"/>
      <c r="NY15" s="1"/>
      <c r="NZ15" s="1"/>
      <c r="OA15" s="1"/>
      <c r="OB15" s="1">
        <v>2</v>
      </c>
      <c r="OC15" s="48"/>
      <c r="OD15" s="48">
        <v>1</v>
      </c>
      <c r="OK15" s="48"/>
      <c r="OL15" s="48">
        <v>4</v>
      </c>
      <c r="OM15" s="48">
        <v>2</v>
      </c>
      <c r="ON15" s="48"/>
      <c r="OO15" s="48">
        <v>2</v>
      </c>
      <c r="OP15" s="48">
        <v>4</v>
      </c>
      <c r="OQ15" s="48">
        <v>2</v>
      </c>
      <c r="OR15" s="48"/>
      <c r="OS15" s="48">
        <v>2</v>
      </c>
      <c r="OT15" s="48">
        <v>2</v>
      </c>
      <c r="OU15" s="48"/>
      <c r="OV15" s="48">
        <v>2</v>
      </c>
      <c r="OW15" s="48">
        <v>2</v>
      </c>
      <c r="OX15" s="48">
        <v>6</v>
      </c>
      <c r="OY15" s="48"/>
      <c r="OZ15" s="48"/>
      <c r="PA15" s="48"/>
      <c r="PB15" s="48">
        <v>2</v>
      </c>
      <c r="PC15" s="48">
        <v>2</v>
      </c>
      <c r="PD15" s="48"/>
      <c r="PE15" s="329">
        <v>2</v>
      </c>
      <c r="PF15" s="48"/>
      <c r="PG15" s="48"/>
      <c r="PH15" s="48"/>
      <c r="PI15" s="48"/>
      <c r="PJ15" s="48">
        <v>2</v>
      </c>
      <c r="PK15" s="102">
        <v>2</v>
      </c>
      <c r="PL15" s="48"/>
      <c r="PM15" s="48"/>
      <c r="PN15" s="1"/>
      <c r="PO15" s="1"/>
      <c r="PP15" s="329">
        <v>4</v>
      </c>
      <c r="PQ15" s="329">
        <v>4</v>
      </c>
      <c r="PR15" s="329">
        <v>2</v>
      </c>
      <c r="PS15" s="329"/>
      <c r="PT15" s="329">
        <v>4</v>
      </c>
      <c r="PU15" s="48"/>
      <c r="PV15" s="48"/>
      <c r="PW15" s="48"/>
      <c r="PX15" s="48">
        <v>2</v>
      </c>
      <c r="PY15" s="48">
        <v>2</v>
      </c>
      <c r="PZ15" s="2"/>
      <c r="QA15" s="48"/>
      <c r="QB15" s="48"/>
      <c r="QC15" s="48"/>
      <c r="QD15" s="48"/>
      <c r="QE15" s="158"/>
      <c r="QF15" s="48"/>
      <c r="QG15" s="48">
        <v>2</v>
      </c>
      <c r="QH15" s="48">
        <v>2</v>
      </c>
      <c r="QI15" s="48"/>
      <c r="QJ15" s="5"/>
      <c r="QK15" s="48"/>
      <c r="QL15" s="48">
        <v>2</v>
      </c>
      <c r="QM15" s="48"/>
      <c r="QN15" s="48"/>
      <c r="QO15" s="48"/>
      <c r="QP15" s="48"/>
      <c r="QQ15" s="329">
        <v>2</v>
      </c>
      <c r="QR15" s="48"/>
      <c r="QS15" s="48">
        <v>1</v>
      </c>
      <c r="QT15" s="48">
        <v>5</v>
      </c>
      <c r="QU15" s="48">
        <v>3</v>
      </c>
      <c r="QV15" s="48"/>
      <c r="QW15" s="48">
        <v>1</v>
      </c>
      <c r="QX15" s="48">
        <v>1</v>
      </c>
      <c r="QY15" s="48">
        <v>3</v>
      </c>
      <c r="QZ15" s="48">
        <v>2</v>
      </c>
      <c r="RA15" s="48">
        <v>3</v>
      </c>
      <c r="RB15" s="48">
        <v>2</v>
      </c>
      <c r="RC15" s="48"/>
      <c r="RD15" s="48">
        <v>2</v>
      </c>
      <c r="RE15" s="48">
        <v>1</v>
      </c>
      <c r="RF15" s="48"/>
      <c r="RG15" s="48">
        <v>2</v>
      </c>
      <c r="RH15" s="48">
        <v>1</v>
      </c>
      <c r="RI15" s="158">
        <v>1</v>
      </c>
      <c r="RJ15" s="48">
        <v>4</v>
      </c>
      <c r="RK15" s="48"/>
      <c r="RL15" s="48">
        <v>4</v>
      </c>
      <c r="RM15" s="48">
        <v>1</v>
      </c>
      <c r="RN15" s="48">
        <v>2</v>
      </c>
      <c r="RO15" s="48">
        <v>5</v>
      </c>
      <c r="RP15" s="48"/>
      <c r="RQ15" s="48">
        <v>4</v>
      </c>
      <c r="RR15" s="48">
        <v>1</v>
      </c>
      <c r="RS15" s="48">
        <v>1</v>
      </c>
      <c r="RT15" s="48">
        <v>1</v>
      </c>
      <c r="RU15" s="48">
        <v>1</v>
      </c>
      <c r="RV15" s="48">
        <v>4</v>
      </c>
    </row>
    <row r="16" spans="2:490" x14ac:dyDescent="0.25">
      <c r="B16" s="187"/>
      <c r="KD16" s="108"/>
      <c r="LG16" s="158"/>
      <c r="LH16" s="48"/>
      <c r="LI16" s="48"/>
      <c r="LJ16" s="48"/>
      <c r="LK16" s="48"/>
      <c r="LL16" s="48"/>
      <c r="LM16" s="177"/>
      <c r="LR16" s="48"/>
      <c r="LS16" s="48"/>
      <c r="LZ16" s="48"/>
      <c r="MA16" s="130"/>
      <c r="MK16" s="48"/>
      <c r="ML16" s="48"/>
      <c r="MM16" s="48"/>
      <c r="MN16" s="1"/>
      <c r="MO16" s="1"/>
      <c r="MP16" s="191"/>
      <c r="NO16" s="48"/>
      <c r="NP16" s="48"/>
      <c r="NQ16" s="191"/>
      <c r="OK16" s="48"/>
      <c r="OL16" s="48"/>
      <c r="OM16" s="48"/>
      <c r="ON16" s="48"/>
      <c r="OO16" s="48"/>
      <c r="OP16" s="48"/>
      <c r="OQ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R16" s="1"/>
      <c r="PS16" s="1"/>
      <c r="PT16" s="1"/>
      <c r="PU16" s="1"/>
      <c r="PV16" s="1"/>
      <c r="PW16" s="1"/>
      <c r="PX16" s="1"/>
      <c r="PY16" s="2"/>
      <c r="PZ16" s="2"/>
      <c r="QA16" s="48"/>
      <c r="QB16" s="48"/>
      <c r="QC16" s="48"/>
      <c r="QD16" s="48"/>
      <c r="QE16" s="158"/>
      <c r="QF16" s="48"/>
      <c r="QG16" s="48"/>
      <c r="QH16" s="48"/>
      <c r="QI16" s="48"/>
      <c r="QJ16" s="5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</row>
    <row r="17" spans="2:490" ht="15.75" x14ac:dyDescent="0.25">
      <c r="B17" s="187" t="s">
        <v>116</v>
      </c>
      <c r="C17">
        <f>SUM(C2:C14)</f>
        <v>12193162</v>
      </c>
      <c r="D17">
        <f t="shared" ref="D17:J17" si="1">SUM(D2:D14)</f>
        <v>11911040</v>
      </c>
      <c r="E17">
        <f t="shared" si="1"/>
        <v>11842092</v>
      </c>
      <c r="F17">
        <f t="shared" si="1"/>
        <v>11600366</v>
      </c>
      <c r="G17">
        <f t="shared" si="1"/>
        <v>10256708</v>
      </c>
      <c r="H17">
        <f t="shared" si="1"/>
        <v>11915948</v>
      </c>
      <c r="I17">
        <f t="shared" si="1"/>
        <v>11301314</v>
      </c>
      <c r="J17">
        <f t="shared" si="1"/>
        <v>10968840</v>
      </c>
      <c r="K17">
        <v>12644320</v>
      </c>
      <c r="L17">
        <v>11311928</v>
      </c>
      <c r="M17">
        <v>11128232</v>
      </c>
      <c r="N17">
        <v>10026616</v>
      </c>
      <c r="O17">
        <v>11858888</v>
      </c>
      <c r="P17">
        <v>4644041</v>
      </c>
      <c r="Q17">
        <v>10848705</v>
      </c>
      <c r="R17">
        <v>11115925</v>
      </c>
      <c r="S17">
        <v>11306348</v>
      </c>
      <c r="T17">
        <v>10955930</v>
      </c>
      <c r="U17">
        <v>9949514</v>
      </c>
      <c r="V17">
        <v>10806938</v>
      </c>
      <c r="W17">
        <v>11789914</v>
      </c>
      <c r="X17">
        <v>10945984</v>
      </c>
      <c r="Y17">
        <v>11464368</v>
      </c>
      <c r="Z17">
        <v>11508700</v>
      </c>
      <c r="AA17">
        <v>10938248</v>
      </c>
      <c r="AB17">
        <v>9865180</v>
      </c>
      <c r="AC17">
        <v>11588182</v>
      </c>
      <c r="AD17">
        <v>12068668</v>
      </c>
      <c r="AE17">
        <v>11293576</v>
      </c>
      <c r="AF17">
        <v>11040026</v>
      </c>
      <c r="AG17">
        <v>11615548</v>
      </c>
      <c r="AH17">
        <v>10735486</v>
      </c>
      <c r="AI17">
        <v>9604718</v>
      </c>
      <c r="AJ17">
        <v>10404572</v>
      </c>
      <c r="AK17">
        <v>11941342</v>
      </c>
      <c r="AL17">
        <v>11000490</v>
      </c>
      <c r="AM17">
        <v>10127718</v>
      </c>
      <c r="AN17">
        <v>11498110</v>
      </c>
      <c r="AO17">
        <v>10709216</v>
      </c>
      <c r="AP17">
        <v>10018562</v>
      </c>
      <c r="AQ17">
        <v>11275802</v>
      </c>
      <c r="AR17">
        <v>11789790</v>
      </c>
      <c r="AS17">
        <v>10679578</v>
      </c>
      <c r="AT17">
        <v>10618712</v>
      </c>
      <c r="AU17">
        <v>12168364</v>
      </c>
      <c r="AV17">
        <v>10952608</v>
      </c>
      <c r="AW17">
        <v>9917236</v>
      </c>
      <c r="AX17">
        <v>10839562</v>
      </c>
      <c r="AY17">
        <v>11968124</v>
      </c>
      <c r="AZ17">
        <v>11045174</v>
      </c>
      <c r="BA17">
        <v>10783230</v>
      </c>
      <c r="BB17">
        <v>11669694</v>
      </c>
      <c r="BC17">
        <v>11381626</v>
      </c>
      <c r="BD17">
        <v>10613196</v>
      </c>
      <c r="BE17">
        <v>11648620</v>
      </c>
      <c r="BF17">
        <v>12031698</v>
      </c>
      <c r="BG17">
        <v>10759878</v>
      </c>
      <c r="BH17">
        <v>11157560</v>
      </c>
      <c r="BI17">
        <v>11703812</v>
      </c>
      <c r="BJ17">
        <v>10552610</v>
      </c>
      <c r="BK17">
        <v>9989914</v>
      </c>
      <c r="BL17">
        <v>10995764</v>
      </c>
      <c r="BM17">
        <v>11021653</v>
      </c>
      <c r="BN17">
        <v>10314996</v>
      </c>
      <c r="BO17">
        <v>11415272</v>
      </c>
      <c r="BP17">
        <v>11318948</v>
      </c>
      <c r="BQ17">
        <v>10415224</v>
      </c>
      <c r="BR17">
        <v>9885788</v>
      </c>
      <c r="BS17">
        <v>10486136</v>
      </c>
      <c r="BT17">
        <v>11152724</v>
      </c>
      <c r="BU17">
        <v>9977536</v>
      </c>
      <c r="BV17">
        <v>5746858</v>
      </c>
      <c r="BW17">
        <v>10630287</v>
      </c>
      <c r="BX17">
        <v>10959298</v>
      </c>
      <c r="BY17">
        <v>9623452</v>
      </c>
      <c r="BZ17">
        <v>11703890</v>
      </c>
      <c r="CA17">
        <v>13358162</v>
      </c>
      <c r="CB17">
        <v>10294578</v>
      </c>
      <c r="CC17">
        <v>10282882</v>
      </c>
      <c r="CD17">
        <v>11100294</v>
      </c>
      <c r="CE17">
        <v>10088866</v>
      </c>
      <c r="CF17">
        <v>9629381</v>
      </c>
      <c r="CG17">
        <v>10903063</v>
      </c>
      <c r="CH17">
        <v>11838647</v>
      </c>
      <c r="CI17">
        <v>10857002</v>
      </c>
      <c r="CJ17">
        <v>10681202</v>
      </c>
      <c r="CK17">
        <v>11578840</v>
      </c>
      <c r="CL17">
        <v>10381592</v>
      </c>
      <c r="CM17">
        <f>2810+1298765</f>
        <v>1301575</v>
      </c>
      <c r="CO17">
        <v>27630973</v>
      </c>
      <c r="CP17">
        <v>10388501</v>
      </c>
      <c r="CQ17">
        <v>10214166</v>
      </c>
      <c r="CR17">
        <v>10810500</v>
      </c>
      <c r="CS17">
        <v>10462268</v>
      </c>
      <c r="CT17">
        <v>9377104</v>
      </c>
      <c r="CU17">
        <v>10981864</v>
      </c>
      <c r="CV17">
        <v>11333664</v>
      </c>
      <c r="CW17">
        <v>10789850</v>
      </c>
      <c r="CX17">
        <v>10112914</v>
      </c>
      <c r="CY17">
        <v>10390472</v>
      </c>
      <c r="CZ17">
        <v>9979406</v>
      </c>
      <c r="DA17">
        <v>9402966</v>
      </c>
      <c r="DB17">
        <v>10922936</v>
      </c>
      <c r="DC17">
        <v>10785902</v>
      </c>
      <c r="DD17">
        <v>10232930</v>
      </c>
      <c r="DE17">
        <v>10317802</v>
      </c>
      <c r="DF17">
        <v>10758390</v>
      </c>
      <c r="DG17">
        <v>10224988</v>
      </c>
      <c r="DH17">
        <v>9164312</v>
      </c>
      <c r="DI17">
        <v>10739966</v>
      </c>
      <c r="DJ17">
        <v>11142614</v>
      </c>
      <c r="DK17">
        <v>10572740</v>
      </c>
      <c r="DL17">
        <v>10450618</v>
      </c>
      <c r="DM17">
        <v>11104920</v>
      </c>
      <c r="DN17">
        <v>10316306</v>
      </c>
      <c r="DO17">
        <v>9537540</v>
      </c>
      <c r="DP17">
        <v>10683426</v>
      </c>
      <c r="DQ17">
        <v>11376285</v>
      </c>
      <c r="DR17">
        <v>10026302</v>
      </c>
      <c r="DS17">
        <v>10437082</v>
      </c>
      <c r="DT17">
        <v>10911490</v>
      </c>
      <c r="DU17">
        <v>10217034</v>
      </c>
      <c r="DV17">
        <v>9361154</v>
      </c>
      <c r="DW17">
        <v>10684420</v>
      </c>
      <c r="DX17">
        <v>10634330</v>
      </c>
      <c r="DY17">
        <v>10449946</v>
      </c>
      <c r="DZ17">
        <v>10112398</v>
      </c>
      <c r="EA17">
        <v>11112831</v>
      </c>
      <c r="EB17">
        <v>10735604</v>
      </c>
      <c r="EC17">
        <v>9575774</v>
      </c>
      <c r="ED17">
        <v>10906740</v>
      </c>
      <c r="EE17">
        <v>12308103</v>
      </c>
      <c r="EF17">
        <v>10418638</v>
      </c>
      <c r="EG17">
        <v>10780826</v>
      </c>
      <c r="EH17">
        <v>11328771</v>
      </c>
      <c r="EI17">
        <v>10750948</v>
      </c>
      <c r="EJ17">
        <v>10198093</v>
      </c>
      <c r="EK17">
        <v>12333768</v>
      </c>
      <c r="EL17">
        <v>28490885</v>
      </c>
      <c r="EM17">
        <v>11315910</v>
      </c>
      <c r="EN17">
        <v>11536111</v>
      </c>
      <c r="EO17">
        <v>12019178</v>
      </c>
      <c r="EP17">
        <v>15019314</v>
      </c>
      <c r="EQ17">
        <v>10450618</v>
      </c>
      <c r="ER17">
        <v>13843134</v>
      </c>
      <c r="ES17">
        <v>14879835</v>
      </c>
      <c r="ET17">
        <v>11949823</v>
      </c>
      <c r="EU17">
        <v>12943318</v>
      </c>
      <c r="EV17">
        <v>12524402</v>
      </c>
      <c r="EW17">
        <v>11122853</v>
      </c>
      <c r="EX17">
        <v>10319017</v>
      </c>
      <c r="EY17">
        <v>11631352</v>
      </c>
      <c r="EZ17">
        <v>11507512</v>
      </c>
      <c r="FA17">
        <v>11066541</v>
      </c>
      <c r="FB17">
        <v>13809661</v>
      </c>
      <c r="FC17">
        <v>13174344</v>
      </c>
      <c r="FD17">
        <v>11023370</v>
      </c>
      <c r="FE17">
        <v>10027810</v>
      </c>
      <c r="FF17">
        <v>14124032</v>
      </c>
      <c r="FG17">
        <v>12984089</v>
      </c>
      <c r="FH17">
        <v>11545684</v>
      </c>
      <c r="FI17">
        <v>14216661</v>
      </c>
      <c r="FJ17">
        <v>12927404</v>
      </c>
      <c r="FK17">
        <v>11209104</v>
      </c>
      <c r="FL17">
        <v>11304931</v>
      </c>
      <c r="FM17">
        <v>12606911</v>
      </c>
      <c r="FN17">
        <v>14257268</v>
      </c>
      <c r="FO17">
        <v>10418191</v>
      </c>
      <c r="FP17">
        <v>10783152</v>
      </c>
      <c r="FQ17">
        <v>13206363</v>
      </c>
      <c r="FR17">
        <v>10388255</v>
      </c>
      <c r="FS17">
        <v>10202211</v>
      </c>
      <c r="FT17">
        <v>11354318</v>
      </c>
      <c r="FU17">
        <v>11579126</v>
      </c>
      <c r="FV17">
        <v>11094634</v>
      </c>
      <c r="FW17">
        <v>11817527</v>
      </c>
      <c r="FX17">
        <v>12596513</v>
      </c>
      <c r="FY17">
        <v>11589394</v>
      </c>
      <c r="FZ17">
        <v>10703938</v>
      </c>
      <c r="GA17">
        <v>12288554</v>
      </c>
      <c r="GB17">
        <v>12464522</v>
      </c>
      <c r="GC17">
        <v>11678516</v>
      </c>
      <c r="GD17">
        <v>11931520</v>
      </c>
      <c r="GE17">
        <v>12888208</v>
      </c>
      <c r="GF17">
        <v>11184404</v>
      </c>
      <c r="GG17">
        <v>10587168</v>
      </c>
      <c r="GH17">
        <v>11468704</v>
      </c>
      <c r="GI17">
        <v>11808110</v>
      </c>
      <c r="GJ17">
        <v>10925342</v>
      </c>
      <c r="GK17">
        <v>10770500</v>
      </c>
      <c r="GL17">
        <v>11733386</v>
      </c>
      <c r="GM17">
        <v>11596126</v>
      </c>
      <c r="GN17">
        <v>10499946</v>
      </c>
      <c r="GO17">
        <v>11474932</v>
      </c>
      <c r="GP17">
        <v>12100390</v>
      </c>
      <c r="GQ17">
        <v>11014758</v>
      </c>
      <c r="GR17">
        <v>11048318</v>
      </c>
      <c r="GS17">
        <v>11914016</v>
      </c>
      <c r="GT17">
        <v>11840540</v>
      </c>
      <c r="GU17">
        <v>10786404</v>
      </c>
      <c r="GV17">
        <v>11452300</v>
      </c>
      <c r="GW17">
        <v>13082428</v>
      </c>
      <c r="GX17">
        <v>11583870</v>
      </c>
      <c r="GY17">
        <v>11365630</v>
      </c>
      <c r="GZ17">
        <v>13517642</v>
      </c>
      <c r="HA17">
        <v>11934336</v>
      </c>
      <c r="HB17">
        <v>10701292</v>
      </c>
      <c r="HC17">
        <v>13259362</v>
      </c>
      <c r="HD17">
        <v>11667708</v>
      </c>
      <c r="HE17">
        <v>10241878</v>
      </c>
      <c r="HF17">
        <v>10141992</v>
      </c>
      <c r="HG17">
        <v>10793591</v>
      </c>
      <c r="HH17">
        <v>10736084</v>
      </c>
      <c r="HI17">
        <v>9845348</v>
      </c>
      <c r="HJ17">
        <v>10754135</v>
      </c>
      <c r="HK17">
        <v>11739072</v>
      </c>
      <c r="HL17">
        <v>11301558</v>
      </c>
      <c r="HM17">
        <v>13134556</v>
      </c>
      <c r="HN17">
        <v>13248240</v>
      </c>
      <c r="HO17">
        <v>12471352</v>
      </c>
      <c r="HP17">
        <v>11166022</v>
      </c>
      <c r="HQ17">
        <v>12639534</v>
      </c>
      <c r="HR17">
        <v>12401785</v>
      </c>
      <c r="HS17">
        <v>11315138</v>
      </c>
      <c r="HT17">
        <v>11386648</v>
      </c>
      <c r="HU17">
        <v>12751010</v>
      </c>
      <c r="HV17">
        <v>12264306</v>
      </c>
      <c r="HW17">
        <v>10905362</v>
      </c>
      <c r="HX17">
        <v>12297968</v>
      </c>
      <c r="HY17">
        <v>12940320</v>
      </c>
      <c r="HZ17">
        <v>12406472</v>
      </c>
      <c r="IA17">
        <v>12423772</v>
      </c>
      <c r="IB17">
        <v>14087574</v>
      </c>
      <c r="IC17">
        <v>12427170</v>
      </c>
      <c r="ID17">
        <v>10889740</v>
      </c>
      <c r="IE17">
        <v>12139284</v>
      </c>
      <c r="IF17">
        <v>12322682</v>
      </c>
      <c r="IG17">
        <v>11877378</v>
      </c>
      <c r="IH17">
        <v>11793106</v>
      </c>
      <c r="II17">
        <v>12657922</v>
      </c>
      <c r="IJ17">
        <v>11830992</v>
      </c>
      <c r="IK17">
        <v>6292103</v>
      </c>
      <c r="IL17">
        <v>12485584</v>
      </c>
      <c r="IM17">
        <v>11622787</v>
      </c>
      <c r="IN17">
        <v>11565885</v>
      </c>
      <c r="IO17">
        <v>12232154</v>
      </c>
      <c r="IP17">
        <v>12634538</v>
      </c>
      <c r="IQ17">
        <v>13537596</v>
      </c>
      <c r="IR17">
        <v>10989992</v>
      </c>
      <c r="IS17">
        <v>11898625</v>
      </c>
      <c r="IT17">
        <v>11615446</v>
      </c>
      <c r="IU17">
        <v>12052195</v>
      </c>
      <c r="IV17">
        <v>13125115</v>
      </c>
      <c r="IW17">
        <v>15495453</v>
      </c>
      <c r="IX17">
        <v>12778193</v>
      </c>
      <c r="IY17">
        <v>11944005</v>
      </c>
      <c r="IZ17">
        <v>10898007</v>
      </c>
      <c r="JA17">
        <v>12606279</v>
      </c>
      <c r="JB17">
        <v>12680646</v>
      </c>
      <c r="JC17">
        <v>13878569</v>
      </c>
      <c r="JD17" s="101">
        <v>16184889</v>
      </c>
      <c r="JE17" s="101">
        <v>12382595</v>
      </c>
      <c r="JF17" s="101">
        <v>12875022</v>
      </c>
      <c r="JG17" s="101">
        <v>11432116</v>
      </c>
      <c r="JH17" s="101">
        <v>12019486</v>
      </c>
      <c r="JI17" s="101">
        <v>16313437</v>
      </c>
      <c r="JJ17">
        <v>11444382</v>
      </c>
      <c r="JK17" s="101">
        <v>17277032</v>
      </c>
      <c r="JL17" s="101">
        <v>15710584</v>
      </c>
      <c r="JM17" s="101">
        <v>11875206</v>
      </c>
      <c r="JN17" s="101">
        <v>17573134</v>
      </c>
      <c r="JO17" s="112">
        <v>15710953</v>
      </c>
      <c r="JP17" s="101">
        <v>17312923</v>
      </c>
      <c r="JQ17" s="101">
        <v>18635179</v>
      </c>
      <c r="JR17" s="101">
        <v>20359041</v>
      </c>
      <c r="JS17" s="101">
        <v>14908428</v>
      </c>
      <c r="JT17" s="101">
        <v>16513569</v>
      </c>
      <c r="JU17" s="101">
        <v>14624524</v>
      </c>
      <c r="JV17" s="101">
        <v>15003453</v>
      </c>
      <c r="JW17">
        <v>12851661</v>
      </c>
      <c r="JX17">
        <v>13573942</v>
      </c>
      <c r="JY17">
        <v>15008847</v>
      </c>
      <c r="JZ17">
        <v>25181453</v>
      </c>
      <c r="KA17">
        <v>19076624</v>
      </c>
      <c r="KB17">
        <v>11920178</v>
      </c>
      <c r="KC17">
        <v>12512794</v>
      </c>
      <c r="KD17" s="108">
        <v>12169551</v>
      </c>
      <c r="KE17" s="101">
        <v>13026997</v>
      </c>
      <c r="KF17" s="101">
        <v>15759375</v>
      </c>
      <c r="KG17" s="101">
        <v>13589791</v>
      </c>
      <c r="KH17" s="101">
        <v>10347007</v>
      </c>
      <c r="KI17">
        <v>12016013</v>
      </c>
      <c r="KJ17">
        <v>12514501</v>
      </c>
      <c r="KK17">
        <v>13495259</v>
      </c>
      <c r="KL17">
        <v>12027166</v>
      </c>
      <c r="KM17" s="101">
        <v>12617972</v>
      </c>
      <c r="KN17" s="101">
        <v>11624720</v>
      </c>
      <c r="KO17" s="101">
        <v>11828232</v>
      </c>
      <c r="KP17" s="101">
        <v>13482989</v>
      </c>
      <c r="KQ17" s="101">
        <v>20750981</v>
      </c>
      <c r="KR17" s="101">
        <v>19527126</v>
      </c>
      <c r="KS17">
        <v>12053411</v>
      </c>
      <c r="KT17">
        <v>12530102</v>
      </c>
      <c r="KU17">
        <v>14503667</v>
      </c>
      <c r="KV17">
        <v>11810818</v>
      </c>
      <c r="KW17">
        <v>13092186</v>
      </c>
      <c r="KX17">
        <v>13063744</v>
      </c>
      <c r="KY17">
        <v>12021004</v>
      </c>
      <c r="KZ17" s="173">
        <v>14012735</v>
      </c>
      <c r="LA17" s="173">
        <v>14322276</v>
      </c>
      <c r="LB17" s="173">
        <v>14401416</v>
      </c>
      <c r="LC17" s="173">
        <v>17683354</v>
      </c>
      <c r="LD17" s="173">
        <v>14210533</v>
      </c>
      <c r="LE17" s="173">
        <v>13066144</v>
      </c>
      <c r="LF17" s="184">
        <v>12018840</v>
      </c>
      <c r="LG17" s="158">
        <v>15063230</v>
      </c>
      <c r="LH17" s="48">
        <v>12836628</v>
      </c>
      <c r="LI17" s="48">
        <v>12859049</v>
      </c>
      <c r="LJ17" s="48">
        <v>11235727</v>
      </c>
      <c r="LK17" s="48">
        <v>12555533</v>
      </c>
      <c r="LL17" s="48">
        <v>12019609</v>
      </c>
      <c r="LM17" s="48">
        <v>13225652</v>
      </c>
      <c r="LN17" s="48">
        <v>12958370</v>
      </c>
      <c r="LO17" s="104">
        <v>12970753</v>
      </c>
      <c r="LP17" s="104">
        <v>13327988</v>
      </c>
      <c r="LQ17" s="116">
        <v>11415952</v>
      </c>
      <c r="LR17" s="104">
        <v>13361954</v>
      </c>
      <c r="LS17" s="150">
        <v>12888894</v>
      </c>
      <c r="LT17" s="101">
        <v>13432924</v>
      </c>
      <c r="LU17" s="102">
        <v>11817939</v>
      </c>
      <c r="LV17" s="104">
        <v>13893360</v>
      </c>
      <c r="LW17" s="104">
        <v>12585001</v>
      </c>
      <c r="LX17" s="1">
        <v>12730147</v>
      </c>
      <c r="LY17" s="158">
        <v>13308060</v>
      </c>
      <c r="LZ17" s="48">
        <v>12056396</v>
      </c>
      <c r="MA17" s="48">
        <v>11588020</v>
      </c>
      <c r="MB17" s="48">
        <v>11559594</v>
      </c>
      <c r="MC17" s="48">
        <v>11437960</v>
      </c>
      <c r="MD17" s="48">
        <v>11317298</v>
      </c>
      <c r="ME17" s="48">
        <v>10873868</v>
      </c>
      <c r="MF17" s="48">
        <v>12235588</v>
      </c>
      <c r="MG17" s="48">
        <v>12710168</v>
      </c>
      <c r="MH17" s="48">
        <v>11944252</v>
      </c>
      <c r="MI17" s="48">
        <v>11501906</v>
      </c>
      <c r="MJ17" s="48">
        <v>12484722</v>
      </c>
      <c r="MK17" s="48">
        <v>12365980</v>
      </c>
      <c r="ML17" s="48">
        <v>10721846</v>
      </c>
      <c r="MM17" s="48">
        <v>11800422</v>
      </c>
      <c r="MN17" s="158">
        <v>12194370</v>
      </c>
      <c r="MO17" s="158">
        <v>11903234</v>
      </c>
      <c r="MP17" s="48">
        <v>12041640</v>
      </c>
      <c r="MQ17" s="101">
        <v>12768594</v>
      </c>
      <c r="MR17" s="101">
        <v>12567252</v>
      </c>
      <c r="MS17" s="101">
        <v>10447600</v>
      </c>
      <c r="MT17" s="101">
        <v>10825116</v>
      </c>
      <c r="MU17" s="101">
        <v>11897014</v>
      </c>
      <c r="MV17" s="102">
        <v>10859326</v>
      </c>
      <c r="MW17" s="1">
        <v>11361650</v>
      </c>
      <c r="MX17" s="48">
        <v>12862290</v>
      </c>
      <c r="MY17" s="48">
        <v>11374568</v>
      </c>
      <c r="MZ17" s="48">
        <v>10479006</v>
      </c>
      <c r="NA17" s="48">
        <v>13043348</v>
      </c>
      <c r="NB17" s="48">
        <v>13846270</v>
      </c>
      <c r="NC17" s="48">
        <v>11695728</v>
      </c>
      <c r="ND17" s="48">
        <v>11695536</v>
      </c>
      <c r="NE17" s="101">
        <v>12126562</v>
      </c>
      <c r="NF17" s="101">
        <v>11569440</v>
      </c>
      <c r="NG17" s="101">
        <v>10167092</v>
      </c>
      <c r="NH17" s="101">
        <v>11892824</v>
      </c>
      <c r="NI17" s="101">
        <v>11674608</v>
      </c>
      <c r="NJ17" s="101">
        <v>11583566</v>
      </c>
      <c r="NK17" s="102">
        <v>11437774</v>
      </c>
      <c r="NL17" s="48">
        <v>11987846</v>
      </c>
      <c r="NM17" s="48">
        <v>11700960</v>
      </c>
      <c r="NN17" s="158">
        <v>10060748</v>
      </c>
      <c r="NO17" s="48">
        <v>11300476</v>
      </c>
      <c r="NP17" s="48">
        <v>11506544</v>
      </c>
      <c r="NQ17" s="48">
        <v>11067420</v>
      </c>
      <c r="NR17" s="102">
        <v>10965954</v>
      </c>
      <c r="NS17" s="104">
        <v>12587772</v>
      </c>
      <c r="NT17" s="48">
        <v>32226122</v>
      </c>
      <c r="NU17" s="48">
        <f t="shared" ref="NU17" si="2">SUM(NU2:NU15)</f>
        <v>29687202</v>
      </c>
      <c r="NV17" s="48">
        <v>13926281</v>
      </c>
      <c r="NW17" s="48">
        <v>17136543</v>
      </c>
      <c r="NX17" s="48">
        <v>11750492</v>
      </c>
      <c r="NY17" s="1">
        <v>15265251</v>
      </c>
      <c r="NZ17" s="1">
        <v>12189257</v>
      </c>
      <c r="OA17" s="1">
        <v>10908629</v>
      </c>
      <c r="OB17" s="1">
        <v>10254046</v>
      </c>
      <c r="OC17" s="48">
        <v>11517596</v>
      </c>
      <c r="OD17" s="48">
        <v>11329427</v>
      </c>
      <c r="OK17" s="48">
        <v>14313310</v>
      </c>
      <c r="OL17" s="48">
        <v>10536117</v>
      </c>
      <c r="OM17" s="48">
        <v>10356106</v>
      </c>
      <c r="ON17" s="48">
        <v>12603508</v>
      </c>
      <c r="OO17" s="48">
        <v>11115118</v>
      </c>
      <c r="OP17" s="48">
        <v>9908924</v>
      </c>
      <c r="OQ17" s="48">
        <v>10859510</v>
      </c>
      <c r="OR17" s="48">
        <v>10535336</v>
      </c>
      <c r="OS17" s="48">
        <v>10470156</v>
      </c>
      <c r="OT17" s="48">
        <v>10844324</v>
      </c>
      <c r="OU17" s="48">
        <v>12826098</v>
      </c>
      <c r="OV17" s="48">
        <v>12052084</v>
      </c>
      <c r="OW17" s="48">
        <v>10377784</v>
      </c>
      <c r="OX17" s="48">
        <v>11370380</v>
      </c>
      <c r="OY17" s="48">
        <v>11442976</v>
      </c>
      <c r="OZ17" s="48">
        <v>10874926</v>
      </c>
      <c r="PA17" s="48">
        <v>11214830</v>
      </c>
      <c r="PB17" s="48">
        <v>11557756</v>
      </c>
      <c r="PC17" s="48">
        <v>11501370</v>
      </c>
      <c r="PD17" s="48">
        <v>11044573</v>
      </c>
      <c r="PE17" s="48">
        <v>11632374</v>
      </c>
      <c r="PF17" s="48">
        <v>12413904</v>
      </c>
      <c r="PG17" s="101">
        <v>11545458</v>
      </c>
      <c r="PH17" s="101">
        <v>12235138</v>
      </c>
      <c r="PI17" s="101">
        <v>13298350</v>
      </c>
      <c r="PJ17" s="101">
        <v>11669190</v>
      </c>
      <c r="PK17" s="101">
        <v>10487100</v>
      </c>
      <c r="PL17" s="48">
        <v>11958040</v>
      </c>
      <c r="PM17" s="48">
        <v>11579500</v>
      </c>
      <c r="PN17" s="329">
        <v>11064754</v>
      </c>
      <c r="PO17" s="329">
        <v>10641022</v>
      </c>
      <c r="PP17" s="48">
        <v>11167408</v>
      </c>
      <c r="PQ17" s="48">
        <v>12000914</v>
      </c>
      <c r="PR17" s="48">
        <v>9336068</v>
      </c>
      <c r="PS17" s="48">
        <v>10220046</v>
      </c>
      <c r="PT17" s="48">
        <v>11268102</v>
      </c>
      <c r="PU17" s="48">
        <v>10334346</v>
      </c>
      <c r="PV17" s="48">
        <v>10451618</v>
      </c>
      <c r="PW17" s="48">
        <v>10679662</v>
      </c>
      <c r="PX17" s="48">
        <v>10601180</v>
      </c>
      <c r="PY17" s="2">
        <v>9706838</v>
      </c>
      <c r="PZ17" s="2">
        <v>10888864</v>
      </c>
      <c r="QA17" s="48">
        <v>10948434</v>
      </c>
      <c r="QB17" s="48">
        <v>10879074</v>
      </c>
      <c r="QC17" s="48">
        <v>10371198</v>
      </c>
      <c r="QD17" s="48">
        <v>11158246</v>
      </c>
      <c r="QE17" s="158">
        <v>10991546</v>
      </c>
      <c r="QF17" s="48">
        <v>9766072</v>
      </c>
      <c r="QG17" s="48">
        <v>11142160</v>
      </c>
      <c r="QH17" s="48">
        <v>11025598</v>
      </c>
      <c r="QI17" s="48">
        <v>10213292</v>
      </c>
      <c r="QJ17" s="5">
        <v>10631364</v>
      </c>
      <c r="QK17" s="48">
        <v>11125546</v>
      </c>
      <c r="QL17" s="48">
        <v>10565840</v>
      </c>
      <c r="QM17" s="48">
        <v>9179406</v>
      </c>
      <c r="QN17" s="104">
        <v>11023252</v>
      </c>
      <c r="QO17" s="48">
        <v>10976256</v>
      </c>
      <c r="QP17" s="48">
        <v>10457692</v>
      </c>
      <c r="QQ17" s="329">
        <v>14942509</v>
      </c>
      <c r="QR17" s="48">
        <v>13595024</v>
      </c>
      <c r="QS17" s="48">
        <v>13980587</v>
      </c>
      <c r="QT17" s="48">
        <v>13454493</v>
      </c>
      <c r="QU17" s="48">
        <v>12711825</v>
      </c>
      <c r="QV17" s="48">
        <v>14480745</v>
      </c>
      <c r="QW17" s="48">
        <v>12262032</v>
      </c>
      <c r="QX17" s="48">
        <v>10984536</v>
      </c>
      <c r="QY17" s="48">
        <v>14865735</v>
      </c>
      <c r="QZ17" s="48">
        <v>11378870</v>
      </c>
      <c r="RA17" s="48">
        <v>16674671</v>
      </c>
      <c r="RB17" s="48">
        <v>12834616</v>
      </c>
      <c r="RC17" s="48">
        <v>12489393</v>
      </c>
      <c r="RD17" s="48">
        <v>11874642</v>
      </c>
      <c r="RE17" s="48">
        <v>14002080</v>
      </c>
      <c r="RF17" s="48">
        <v>12339090</v>
      </c>
      <c r="RG17" s="48">
        <v>14298281</v>
      </c>
      <c r="RH17" s="48">
        <v>12634069</v>
      </c>
      <c r="RI17" s="158">
        <v>12383125</v>
      </c>
      <c r="RJ17" s="48">
        <v>12735096</v>
      </c>
      <c r="RK17" s="48">
        <v>12288825</v>
      </c>
      <c r="RL17" s="48">
        <v>13049159</v>
      </c>
      <c r="RM17" s="48">
        <v>13423478</v>
      </c>
      <c r="RN17" s="48">
        <v>13561834</v>
      </c>
      <c r="RO17" s="48">
        <v>13426940</v>
      </c>
      <c r="RP17" s="48">
        <v>12928356</v>
      </c>
      <c r="RQ17" s="48">
        <v>14581037</v>
      </c>
      <c r="RR17" s="48">
        <v>11330919</v>
      </c>
      <c r="RS17" s="48">
        <v>12768707</v>
      </c>
      <c r="RT17" s="48">
        <v>12821224</v>
      </c>
      <c r="RU17" s="48">
        <v>12453349</v>
      </c>
      <c r="RV17" s="48">
        <v>10855909</v>
      </c>
    </row>
    <row r="18" spans="2:490" ht="15.75" x14ac:dyDescent="0.25">
      <c r="B18" s="187" t="s">
        <v>112</v>
      </c>
      <c r="C18">
        <f>C2+C19-C5-C6-C10-C11-C14</f>
        <v>12189790</v>
      </c>
      <c r="D18">
        <f t="shared" ref="D18:J18" si="3">D2</f>
        <v>11888692</v>
      </c>
      <c r="E18">
        <f t="shared" si="3"/>
        <v>11821998</v>
      </c>
      <c r="F18">
        <f t="shared" si="3"/>
        <v>11581162</v>
      </c>
      <c r="G18">
        <f t="shared" si="3"/>
        <v>10237074</v>
      </c>
      <c r="H18">
        <f t="shared" si="3"/>
        <v>11896580</v>
      </c>
      <c r="I18">
        <f t="shared" si="3"/>
        <v>11285058</v>
      </c>
      <c r="J18">
        <f t="shared" si="3"/>
        <v>10952152</v>
      </c>
      <c r="K18">
        <v>12621360</v>
      </c>
      <c r="L18">
        <v>11296068</v>
      </c>
      <c r="M18">
        <v>11111308</v>
      </c>
      <c r="N18">
        <v>10011950</v>
      </c>
      <c r="O18">
        <v>11834384</v>
      </c>
      <c r="P18">
        <v>4634737</v>
      </c>
      <c r="Q18">
        <v>10831906</v>
      </c>
      <c r="R18">
        <v>11098068</v>
      </c>
      <c r="S18">
        <v>11291792</v>
      </c>
      <c r="T18">
        <v>10930666</v>
      </c>
      <c r="U18">
        <v>9918136</v>
      </c>
      <c r="V18">
        <v>10788014</v>
      </c>
      <c r="W18">
        <v>11756686</v>
      </c>
      <c r="X18">
        <v>10916716</v>
      </c>
      <c r="Y18">
        <v>11437750</v>
      </c>
      <c r="Z18">
        <v>11487376</v>
      </c>
      <c r="AA18">
        <v>10907534</v>
      </c>
      <c r="AB18">
        <v>9843066</v>
      </c>
      <c r="AC18">
        <v>11563686</v>
      </c>
      <c r="AD18">
        <v>12050936</v>
      </c>
      <c r="AE18">
        <v>11272476</v>
      </c>
      <c r="AF18">
        <v>11019342</v>
      </c>
      <c r="AG18">
        <v>11594670</v>
      </c>
      <c r="AH18">
        <v>10708146</v>
      </c>
      <c r="AI18">
        <v>9572174</v>
      </c>
      <c r="AJ18">
        <v>10383672</v>
      </c>
      <c r="AK18">
        <v>11915480</v>
      </c>
      <c r="AL18">
        <v>10976250</v>
      </c>
      <c r="AM18">
        <v>10101766</v>
      </c>
      <c r="AN18">
        <v>11452310</v>
      </c>
      <c r="AO18">
        <v>10649814</v>
      </c>
      <c r="AP18">
        <v>9974546</v>
      </c>
      <c r="AQ18">
        <v>11225464</v>
      </c>
      <c r="AR18">
        <v>11743548</v>
      </c>
      <c r="AS18">
        <v>10642926</v>
      </c>
      <c r="AT18">
        <v>10573906</v>
      </c>
      <c r="AU18">
        <v>12116540</v>
      </c>
      <c r="AV18">
        <v>10910450</v>
      </c>
      <c r="AW18">
        <v>9860194</v>
      </c>
      <c r="AX18">
        <v>10764874</v>
      </c>
      <c r="AY18">
        <v>11883886</v>
      </c>
      <c r="AZ18">
        <v>10991322</v>
      </c>
      <c r="BA18">
        <v>10747858</v>
      </c>
      <c r="BB18">
        <v>11646602</v>
      </c>
      <c r="BC18">
        <v>11357810</v>
      </c>
      <c r="BD18">
        <v>10597994</v>
      </c>
      <c r="BE18">
        <v>11620634</v>
      </c>
      <c r="BF18">
        <v>12003602</v>
      </c>
      <c r="BG18">
        <v>10733072</v>
      </c>
      <c r="BH18">
        <v>11102200</v>
      </c>
      <c r="BI18">
        <v>11641494</v>
      </c>
      <c r="BJ18">
        <v>10533520</v>
      </c>
      <c r="BK18">
        <v>9947220</v>
      </c>
      <c r="BL18">
        <v>10965288</v>
      </c>
      <c r="BM18">
        <v>10993315</v>
      </c>
      <c r="BN18">
        <v>10277002</v>
      </c>
      <c r="BO18">
        <v>11356446</v>
      </c>
      <c r="BP18">
        <v>11273666</v>
      </c>
      <c r="BQ18">
        <v>10379510</v>
      </c>
      <c r="BR18">
        <v>9816362</v>
      </c>
      <c r="BS18">
        <v>10412072</v>
      </c>
      <c r="BT18">
        <v>11087938</v>
      </c>
      <c r="BU18">
        <v>9935390</v>
      </c>
      <c r="BV18">
        <v>5724744</v>
      </c>
      <c r="BW18">
        <v>10529903</v>
      </c>
      <c r="BX18">
        <v>10882408</v>
      </c>
      <c r="BY18">
        <v>9541764</v>
      </c>
      <c r="BZ18">
        <v>11602816</v>
      </c>
      <c r="CA18">
        <v>13250151</v>
      </c>
      <c r="CB18">
        <v>10281862</v>
      </c>
      <c r="CC18">
        <v>10268349</v>
      </c>
      <c r="CD18">
        <v>11080338</v>
      </c>
      <c r="CE18">
        <v>10075056</v>
      </c>
      <c r="CF18">
        <v>9616341</v>
      </c>
      <c r="CG18">
        <v>10888426</v>
      </c>
      <c r="CH18">
        <v>11812989</v>
      </c>
      <c r="CI18">
        <v>10839050</v>
      </c>
      <c r="CJ18">
        <v>10537747</v>
      </c>
      <c r="CK18">
        <v>11553616</v>
      </c>
      <c r="CL18">
        <v>10370454</v>
      </c>
      <c r="CM18">
        <f>1285217+2810</f>
        <v>1288027</v>
      </c>
      <c r="CO18">
        <v>27548276</v>
      </c>
      <c r="CP18">
        <v>10360507</v>
      </c>
      <c r="CQ18">
        <v>10185042</v>
      </c>
      <c r="CR18">
        <v>10786642</v>
      </c>
      <c r="CS18">
        <v>10441806</v>
      </c>
      <c r="CT18">
        <v>9356895</v>
      </c>
      <c r="CU18">
        <v>10952867</v>
      </c>
      <c r="CV18">
        <v>11290358</v>
      </c>
      <c r="CW18">
        <v>10765800</v>
      </c>
      <c r="CX18">
        <v>10088742</v>
      </c>
      <c r="CY18">
        <v>10368314</v>
      </c>
      <c r="CZ18">
        <v>9961382</v>
      </c>
      <c r="DA18">
        <v>9382614</v>
      </c>
      <c r="DB18">
        <v>10889852</v>
      </c>
      <c r="DC18">
        <v>10748892</v>
      </c>
      <c r="DD18">
        <v>10215776</v>
      </c>
      <c r="DE18">
        <v>10299320</v>
      </c>
      <c r="DF18">
        <v>10737176</v>
      </c>
      <c r="DG18">
        <v>10205448</v>
      </c>
      <c r="DH18">
        <v>9147962</v>
      </c>
      <c r="DI18">
        <v>10702522</v>
      </c>
      <c r="DJ18">
        <v>11113872</v>
      </c>
      <c r="DK18">
        <v>10548152</v>
      </c>
      <c r="DL18">
        <v>10410796</v>
      </c>
      <c r="DM18">
        <v>11084774</v>
      </c>
      <c r="DN18">
        <v>10302030</v>
      </c>
      <c r="DO18">
        <v>9523248</v>
      </c>
      <c r="DP18">
        <v>10667876</v>
      </c>
      <c r="DQ18">
        <v>11351309</v>
      </c>
      <c r="DR18">
        <v>10008836</v>
      </c>
      <c r="DS18">
        <v>10419448</v>
      </c>
      <c r="DT18">
        <v>10887100</v>
      </c>
      <c r="DU18">
        <v>10206486</v>
      </c>
      <c r="DV18">
        <v>9348773</v>
      </c>
      <c r="DW18">
        <v>10669744</v>
      </c>
      <c r="DX18">
        <v>10619598</v>
      </c>
      <c r="DY18">
        <v>10436104</v>
      </c>
      <c r="DZ18">
        <v>10098516</v>
      </c>
      <c r="EA18">
        <v>11095104</v>
      </c>
      <c r="EB18">
        <v>10723880</v>
      </c>
      <c r="EC18">
        <v>9552626</v>
      </c>
      <c r="ED18">
        <v>10893912</v>
      </c>
      <c r="EE18">
        <v>12291893</v>
      </c>
      <c r="EF18">
        <v>10379000</v>
      </c>
      <c r="EG18">
        <v>10760594</v>
      </c>
      <c r="EH18">
        <v>11309610</v>
      </c>
      <c r="EI18">
        <v>10734683</v>
      </c>
      <c r="EJ18">
        <v>10185087</v>
      </c>
      <c r="EK18">
        <v>12292154</v>
      </c>
      <c r="EL18">
        <v>28427788</v>
      </c>
      <c r="EM18">
        <v>11301014</v>
      </c>
      <c r="EN18">
        <v>11520333</v>
      </c>
      <c r="EO18">
        <v>11999811</v>
      </c>
      <c r="EP18">
        <v>15000646</v>
      </c>
      <c r="EQ18">
        <v>10410796</v>
      </c>
      <c r="ER18">
        <v>13814770</v>
      </c>
      <c r="ES18">
        <v>14859466</v>
      </c>
      <c r="ET18">
        <v>11936473</v>
      </c>
      <c r="EU18">
        <v>12916349</v>
      </c>
      <c r="EV18">
        <v>12512712</v>
      </c>
      <c r="EW18">
        <v>11107057</v>
      </c>
      <c r="EX18">
        <v>10308636</v>
      </c>
      <c r="EY18">
        <v>11620898</v>
      </c>
      <c r="EZ18">
        <v>11496278</v>
      </c>
      <c r="FA18">
        <v>11054345</v>
      </c>
      <c r="FB18">
        <v>13750965</v>
      </c>
      <c r="FC18">
        <v>13157552</v>
      </c>
      <c r="FD18">
        <v>11005974</v>
      </c>
      <c r="FE18">
        <v>10015663</v>
      </c>
      <c r="FF18">
        <v>14108902</v>
      </c>
      <c r="FG18">
        <v>12969113</v>
      </c>
      <c r="FH18">
        <v>11530229</v>
      </c>
      <c r="FI18">
        <v>14149313</v>
      </c>
      <c r="FJ18">
        <v>12847870</v>
      </c>
      <c r="FK18">
        <v>11024284</v>
      </c>
      <c r="FL18">
        <v>11290825</v>
      </c>
      <c r="FM18">
        <v>12572378</v>
      </c>
      <c r="FN18">
        <v>14221454</v>
      </c>
      <c r="FO18">
        <v>10388856</v>
      </c>
      <c r="FP18">
        <v>10747636</v>
      </c>
      <c r="FQ18">
        <v>13155223</v>
      </c>
      <c r="FR18">
        <v>10349189</v>
      </c>
      <c r="FS18">
        <v>10191410</v>
      </c>
      <c r="FT18">
        <v>11344950</v>
      </c>
      <c r="FU18">
        <v>11564708</v>
      </c>
      <c r="FV18">
        <v>11080584</v>
      </c>
      <c r="FW18">
        <v>11797421</v>
      </c>
      <c r="FX18">
        <v>12533985</v>
      </c>
      <c r="FY18">
        <v>11557532</v>
      </c>
      <c r="FZ18">
        <v>10654194</v>
      </c>
      <c r="GA18">
        <v>12240830</v>
      </c>
      <c r="GB18">
        <v>12450008</v>
      </c>
      <c r="GC18">
        <v>11658644</v>
      </c>
      <c r="GD18">
        <v>11279300</v>
      </c>
      <c r="GE18">
        <v>12873020</v>
      </c>
      <c r="GF18">
        <v>11167974</v>
      </c>
      <c r="GG18">
        <v>10575222</v>
      </c>
      <c r="GH18">
        <v>11455544</v>
      </c>
      <c r="GI18">
        <v>11795286</v>
      </c>
      <c r="GJ18">
        <v>10911900</v>
      </c>
      <c r="GK18">
        <v>10758466</v>
      </c>
      <c r="GL18">
        <v>11712546</v>
      </c>
      <c r="GM18">
        <v>11584292</v>
      </c>
      <c r="GN18">
        <v>10478996</v>
      </c>
      <c r="GO18">
        <v>11462432</v>
      </c>
      <c r="GP18">
        <v>12086552</v>
      </c>
      <c r="GQ18">
        <v>11003266</v>
      </c>
      <c r="GR18">
        <v>11032834</v>
      </c>
      <c r="GS18">
        <v>11898212</v>
      </c>
      <c r="GT18">
        <v>11830040</v>
      </c>
      <c r="GU18">
        <v>10773092</v>
      </c>
      <c r="GV18">
        <v>11442338</v>
      </c>
      <c r="GW18">
        <v>13072340</v>
      </c>
      <c r="GX18">
        <v>11570792</v>
      </c>
      <c r="GY18">
        <v>11354554</v>
      </c>
      <c r="GZ18">
        <v>13505092</v>
      </c>
      <c r="HA18">
        <v>11924166</v>
      </c>
      <c r="HB18">
        <v>10692878</v>
      </c>
      <c r="HC18">
        <v>13211464</v>
      </c>
      <c r="HD18">
        <v>11650761</v>
      </c>
      <c r="HE18">
        <v>10230356</v>
      </c>
      <c r="HF18">
        <v>10130407</v>
      </c>
      <c r="HG18">
        <v>10780334</v>
      </c>
      <c r="HH18">
        <v>10711650</v>
      </c>
      <c r="HI18">
        <v>9833610</v>
      </c>
      <c r="HJ18">
        <v>10739811</v>
      </c>
      <c r="HK18">
        <v>11723636</v>
      </c>
      <c r="HL18">
        <v>11286672</v>
      </c>
      <c r="HM18">
        <v>13123210</v>
      </c>
      <c r="HN18">
        <v>13238780</v>
      </c>
      <c r="HO18">
        <v>12461748</v>
      </c>
      <c r="HP18">
        <v>11156692</v>
      </c>
      <c r="HQ18">
        <v>12596736</v>
      </c>
      <c r="HR18">
        <v>12364816</v>
      </c>
      <c r="HS18">
        <v>11305048</v>
      </c>
      <c r="HT18">
        <v>11358858</v>
      </c>
      <c r="HU18">
        <v>12713858</v>
      </c>
      <c r="HV18">
        <v>12233550</v>
      </c>
      <c r="HW18">
        <v>10882474</v>
      </c>
      <c r="HX18">
        <v>12249506</v>
      </c>
      <c r="HY18">
        <v>12896200</v>
      </c>
      <c r="HZ18">
        <v>12355308</v>
      </c>
      <c r="IA18">
        <v>12392592</v>
      </c>
      <c r="IB18">
        <v>14074070</v>
      </c>
      <c r="IC18">
        <v>12408054</v>
      </c>
      <c r="ID18">
        <v>10867038</v>
      </c>
      <c r="IE18">
        <v>12127660</v>
      </c>
      <c r="IF18">
        <v>12298096</v>
      </c>
      <c r="IG18">
        <v>11836278</v>
      </c>
      <c r="IH18">
        <v>11766902</v>
      </c>
      <c r="II18">
        <v>12638982</v>
      </c>
      <c r="IJ18">
        <v>11797372</v>
      </c>
      <c r="IK18">
        <v>6271705</v>
      </c>
      <c r="IL18">
        <v>12445249</v>
      </c>
      <c r="IM18">
        <v>11570378</v>
      </c>
      <c r="IN18">
        <v>11525473</v>
      </c>
      <c r="IO18">
        <v>12178725</v>
      </c>
      <c r="IP18">
        <v>12588827</v>
      </c>
      <c r="IQ18">
        <v>13494461</v>
      </c>
      <c r="IR18">
        <v>10950253</v>
      </c>
      <c r="IS18">
        <v>11856704</v>
      </c>
      <c r="IT18">
        <v>11572898</v>
      </c>
      <c r="IU18">
        <v>12005519</v>
      </c>
      <c r="IV18">
        <v>13085772</v>
      </c>
      <c r="IW18">
        <v>15455485</v>
      </c>
      <c r="IX18">
        <v>12717243</v>
      </c>
      <c r="IY18">
        <v>11903117</v>
      </c>
      <c r="IZ18">
        <v>10839290</v>
      </c>
      <c r="JA18">
        <v>12559127</v>
      </c>
      <c r="JB18">
        <v>12639110</v>
      </c>
      <c r="JC18">
        <v>13839153</v>
      </c>
      <c r="JD18" s="101">
        <v>16110715</v>
      </c>
      <c r="JE18" s="101">
        <v>12283156</v>
      </c>
      <c r="JF18" s="101">
        <v>12771427</v>
      </c>
      <c r="JG18" s="103">
        <v>11408039</v>
      </c>
      <c r="JH18" s="103">
        <v>12000394</v>
      </c>
      <c r="JI18" s="103">
        <v>16296923</v>
      </c>
      <c r="JJ18">
        <v>11432302</v>
      </c>
      <c r="JK18" s="101">
        <v>17259427</v>
      </c>
      <c r="JL18" s="101">
        <v>15689839</v>
      </c>
      <c r="JM18" s="101">
        <v>11852762</v>
      </c>
      <c r="JN18" s="101">
        <v>17525371</v>
      </c>
      <c r="JO18" s="112">
        <v>15669258</v>
      </c>
      <c r="JP18" s="103">
        <v>17272986</v>
      </c>
      <c r="JQ18" s="103">
        <v>18575649</v>
      </c>
      <c r="JR18" s="101">
        <v>20299144</v>
      </c>
      <c r="JS18" s="101">
        <v>14894851</v>
      </c>
      <c r="JT18" s="101">
        <v>16474358</v>
      </c>
      <c r="JU18" s="101">
        <v>14574923</v>
      </c>
      <c r="JV18" s="101">
        <v>14912721</v>
      </c>
      <c r="JW18">
        <v>12745267</v>
      </c>
      <c r="JX18">
        <v>13536795</v>
      </c>
      <c r="JY18">
        <v>14999277</v>
      </c>
      <c r="JZ18">
        <v>25163179</v>
      </c>
      <c r="KA18">
        <v>19062805</v>
      </c>
      <c r="KB18">
        <v>11911587</v>
      </c>
      <c r="KC18">
        <v>12499070</v>
      </c>
      <c r="KD18" s="175">
        <v>12150652</v>
      </c>
      <c r="KE18" s="101">
        <v>12970198</v>
      </c>
      <c r="KF18" s="101">
        <v>15733964</v>
      </c>
      <c r="KG18" s="101">
        <v>13576792</v>
      </c>
      <c r="KH18" s="101">
        <v>10340584</v>
      </c>
      <c r="KI18">
        <v>12002625</v>
      </c>
      <c r="KJ18">
        <v>12502283</v>
      </c>
      <c r="KK18">
        <v>13484321</v>
      </c>
      <c r="KL18">
        <v>12018334</v>
      </c>
      <c r="KM18" s="101">
        <v>12608077</v>
      </c>
      <c r="KN18" s="101">
        <v>11616949</v>
      </c>
      <c r="KO18" s="101">
        <v>11801910</v>
      </c>
      <c r="KP18" s="101">
        <v>13474177</v>
      </c>
      <c r="KQ18" s="101">
        <v>20736101</v>
      </c>
      <c r="KR18" s="101">
        <v>19512553</v>
      </c>
      <c r="KS18">
        <v>12045462</v>
      </c>
      <c r="KT18">
        <v>12512969</v>
      </c>
      <c r="KU18">
        <v>14471587</v>
      </c>
      <c r="KV18">
        <v>11800758</v>
      </c>
      <c r="KW18">
        <v>13039395</v>
      </c>
      <c r="KX18">
        <v>12853517</v>
      </c>
      <c r="KY18">
        <v>12011756</v>
      </c>
      <c r="KZ18" s="104">
        <v>14000911</v>
      </c>
      <c r="LA18" s="104">
        <v>14312164</v>
      </c>
      <c r="LB18" s="104">
        <v>14390994</v>
      </c>
      <c r="LC18" s="104">
        <v>17670723</v>
      </c>
      <c r="LD18" s="104">
        <v>14199943</v>
      </c>
      <c r="LE18" s="104">
        <v>13052992</v>
      </c>
      <c r="LF18" s="116">
        <v>12002387</v>
      </c>
      <c r="LG18" s="158">
        <v>15048517</v>
      </c>
      <c r="LH18" s="48">
        <v>12827769</v>
      </c>
      <c r="LI18" s="48">
        <v>12847979</v>
      </c>
      <c r="LJ18" s="48">
        <v>11225818</v>
      </c>
      <c r="LK18" s="48">
        <v>12546167</v>
      </c>
      <c r="LL18" s="48">
        <v>11848174</v>
      </c>
      <c r="LM18" s="48">
        <v>13215681</v>
      </c>
      <c r="LN18" s="48">
        <v>12946784</v>
      </c>
      <c r="LO18" s="104">
        <v>12961723</v>
      </c>
      <c r="LP18" s="104">
        <v>13314350</v>
      </c>
      <c r="LQ18" s="116">
        <v>11405389</v>
      </c>
      <c r="LR18" s="104">
        <v>13350126</v>
      </c>
      <c r="LS18" s="101">
        <v>12875596</v>
      </c>
      <c r="LT18" s="101">
        <v>13416855</v>
      </c>
      <c r="LU18" s="102">
        <v>11759812</v>
      </c>
      <c r="LV18" s="104">
        <v>13816473</v>
      </c>
      <c r="LW18" s="104">
        <v>12530391</v>
      </c>
      <c r="LX18" s="1">
        <v>12706957</v>
      </c>
      <c r="LY18" s="158">
        <v>13281092</v>
      </c>
      <c r="LZ18" s="48">
        <v>12034256</v>
      </c>
      <c r="MA18" s="48">
        <v>11544386</v>
      </c>
      <c r="MB18" s="48">
        <v>11410518</v>
      </c>
      <c r="MC18" s="48">
        <v>11389536</v>
      </c>
      <c r="MD18" s="48">
        <v>11310390</v>
      </c>
      <c r="ME18" s="48">
        <v>10866880</v>
      </c>
      <c r="MF18" s="48">
        <v>12228600</v>
      </c>
      <c r="MG18" s="48">
        <v>12702462</v>
      </c>
      <c r="MH18" s="48">
        <v>11936368</v>
      </c>
      <c r="MI18" s="48">
        <v>11494552</v>
      </c>
      <c r="MJ18" s="48">
        <v>12474736</v>
      </c>
      <c r="MK18" s="48">
        <v>12353112</v>
      </c>
      <c r="ML18" s="48">
        <v>10715854</v>
      </c>
      <c r="MM18" s="48">
        <v>11783946</v>
      </c>
      <c r="MN18" s="158">
        <v>12169282</v>
      </c>
      <c r="MO18" s="158">
        <v>11812332</v>
      </c>
      <c r="MP18" s="48">
        <v>12028428</v>
      </c>
      <c r="MQ18" s="101">
        <v>12725624</v>
      </c>
      <c r="MR18" s="101">
        <v>12554686</v>
      </c>
      <c r="MS18" s="101">
        <v>10441102</v>
      </c>
      <c r="MT18" s="101">
        <v>10814540</v>
      </c>
      <c r="MU18" s="101">
        <v>11886210</v>
      </c>
      <c r="MV18" s="102">
        <v>10854038</v>
      </c>
      <c r="MW18" s="1">
        <v>11355724</v>
      </c>
      <c r="MX18" s="48">
        <v>12842864</v>
      </c>
      <c r="MY18" s="48">
        <v>11368808</v>
      </c>
      <c r="MZ18" s="48">
        <v>10470976</v>
      </c>
      <c r="NA18" s="48">
        <v>13004110</v>
      </c>
      <c r="NB18" s="48">
        <v>13838600</v>
      </c>
      <c r="NC18" s="48">
        <v>11689940</v>
      </c>
      <c r="ND18" s="48">
        <v>11416148</v>
      </c>
      <c r="NE18" s="101">
        <v>12115424</v>
      </c>
      <c r="NF18" s="101">
        <v>11559634</v>
      </c>
      <c r="NG18" s="101">
        <v>10158518</v>
      </c>
      <c r="NH18" s="101">
        <v>11881782</v>
      </c>
      <c r="NI18" s="101">
        <v>11660436</v>
      </c>
      <c r="NJ18" s="101">
        <v>11575272</v>
      </c>
      <c r="NK18" s="102">
        <v>11427554</v>
      </c>
      <c r="NL18" s="48">
        <v>11979358</v>
      </c>
      <c r="NM18" s="48">
        <v>11692942</v>
      </c>
      <c r="NN18" s="158">
        <v>10051174</v>
      </c>
      <c r="NO18" s="48">
        <v>11292150</v>
      </c>
      <c r="NP18" s="48">
        <v>11492522</v>
      </c>
      <c r="NQ18" s="48">
        <v>11059844</v>
      </c>
      <c r="NR18" s="102">
        <v>10959144</v>
      </c>
      <c r="NS18" s="104">
        <v>12580726</v>
      </c>
      <c r="NT18" s="48">
        <v>32205512</v>
      </c>
      <c r="NU18" s="48">
        <v>29668106</v>
      </c>
      <c r="NV18" s="48">
        <v>13916495</v>
      </c>
      <c r="NW18" s="48">
        <v>17120579</v>
      </c>
      <c r="NX18" s="48">
        <v>11743890</v>
      </c>
      <c r="NY18" s="1">
        <v>15256784</v>
      </c>
      <c r="NZ18" s="1">
        <v>12182234</v>
      </c>
      <c r="OA18" s="1">
        <v>10902556</v>
      </c>
      <c r="OB18" s="1">
        <v>10245710</v>
      </c>
      <c r="OC18" s="48">
        <v>11511098</v>
      </c>
      <c r="OD18" s="48">
        <v>11322215</v>
      </c>
      <c r="OK18" s="48">
        <v>14305812</v>
      </c>
      <c r="OL18" s="48">
        <v>10529908</v>
      </c>
      <c r="OM18" s="48">
        <v>10320282</v>
      </c>
      <c r="ON18" s="48">
        <v>12593410</v>
      </c>
      <c r="OO18" s="48">
        <v>11101874</v>
      </c>
      <c r="OP18" s="48">
        <v>9897816</v>
      </c>
      <c r="OQ18" s="48">
        <v>10849994</v>
      </c>
      <c r="OR18" s="48">
        <v>10521638</v>
      </c>
      <c r="OS18" s="48">
        <v>10413576</v>
      </c>
      <c r="OT18" s="48">
        <v>10822678</v>
      </c>
      <c r="OU18" s="48">
        <v>12788238</v>
      </c>
      <c r="OV18" s="48">
        <v>12045984</v>
      </c>
      <c r="OW18" s="48">
        <v>10369496</v>
      </c>
      <c r="OX18" s="48">
        <v>11356064</v>
      </c>
      <c r="OY18" s="48">
        <v>11400418</v>
      </c>
      <c r="OZ18" s="48">
        <v>10850782</v>
      </c>
      <c r="PA18" s="48">
        <v>11182468</v>
      </c>
      <c r="PB18" s="104">
        <v>11532852</v>
      </c>
      <c r="PC18" s="48">
        <v>11494946</v>
      </c>
      <c r="PD18" s="48">
        <v>11023706</v>
      </c>
      <c r="PE18" s="48">
        <v>11624730</v>
      </c>
      <c r="PF18" s="48">
        <v>12394644</v>
      </c>
      <c r="PG18" s="101">
        <v>11538126</v>
      </c>
      <c r="PH18" s="101">
        <v>12220436</v>
      </c>
      <c r="PI18" s="101">
        <v>13283250</v>
      </c>
      <c r="PJ18" s="101">
        <v>11658862</v>
      </c>
      <c r="PK18" s="101">
        <v>10446246</v>
      </c>
      <c r="PL18" s="48">
        <v>11938168</v>
      </c>
      <c r="PM18" s="48">
        <v>11573444</v>
      </c>
      <c r="PN18" s="329">
        <v>11056292</v>
      </c>
      <c r="PO18" s="329">
        <v>10635656</v>
      </c>
      <c r="PP18" s="48">
        <v>11160168</v>
      </c>
      <c r="PQ18" s="48">
        <v>11736292</v>
      </c>
      <c r="PR18" s="48">
        <v>9331700</v>
      </c>
      <c r="PS18" s="48">
        <v>10214758</v>
      </c>
      <c r="PT18" s="48">
        <v>11261360</v>
      </c>
      <c r="PU18" s="48">
        <v>10328014</v>
      </c>
      <c r="PV18" s="48">
        <v>10443988</v>
      </c>
      <c r="PW18" s="48">
        <v>10672260</v>
      </c>
      <c r="PX18" s="48">
        <v>10595348</v>
      </c>
      <c r="PY18" s="2">
        <v>9701260</v>
      </c>
      <c r="PZ18" s="2">
        <v>10882762</v>
      </c>
      <c r="QA18" s="48">
        <v>10938966</v>
      </c>
      <c r="QB18" s="48">
        <v>10864494</v>
      </c>
      <c r="QC18" s="48">
        <v>10362806</v>
      </c>
      <c r="QD18" s="48">
        <v>11150294</v>
      </c>
      <c r="QE18" s="158">
        <v>10983784</v>
      </c>
      <c r="QF18" s="48">
        <v>9756920</v>
      </c>
      <c r="QG18" s="48">
        <v>11134050</v>
      </c>
      <c r="QH18" s="48">
        <v>11017490</v>
      </c>
      <c r="QI18" s="48">
        <v>10206136</v>
      </c>
      <c r="QJ18" s="5">
        <v>10623934</v>
      </c>
      <c r="QK18" s="48">
        <v>11118494</v>
      </c>
      <c r="QL18" s="48">
        <v>10553938</v>
      </c>
      <c r="QM18" s="48">
        <v>9172472</v>
      </c>
      <c r="QN18" s="48">
        <v>11015734</v>
      </c>
      <c r="QO18" s="48">
        <v>10968632</v>
      </c>
      <c r="QP18" s="48">
        <v>10449738</v>
      </c>
      <c r="QQ18" s="329">
        <v>14930848</v>
      </c>
      <c r="QR18" s="48">
        <v>13584177</v>
      </c>
      <c r="QS18" s="48">
        <v>13970190</v>
      </c>
      <c r="QT18" s="48">
        <v>13443833</v>
      </c>
      <c r="QU18" s="48">
        <v>12702008</v>
      </c>
      <c r="QV18" s="48">
        <v>14467986</v>
      </c>
      <c r="QW18" s="48">
        <v>12249198</v>
      </c>
      <c r="QX18" s="48">
        <v>10964841</v>
      </c>
      <c r="QY18" s="48">
        <v>14847863</v>
      </c>
      <c r="QZ18" s="48">
        <v>11365891</v>
      </c>
      <c r="RA18" s="48">
        <v>16655037</v>
      </c>
      <c r="RB18" s="48">
        <v>12821533</v>
      </c>
      <c r="RC18" s="48">
        <v>12477242</v>
      </c>
      <c r="RD18" s="48">
        <v>11860129</v>
      </c>
      <c r="RE18" s="48">
        <v>13984301</v>
      </c>
      <c r="RF18" s="48">
        <v>12327644</v>
      </c>
      <c r="RG18" s="48">
        <v>14285839</v>
      </c>
      <c r="RH18" s="48">
        <v>12622181</v>
      </c>
      <c r="RI18" s="158">
        <v>12361092</v>
      </c>
      <c r="RJ18" s="48">
        <v>12722434</v>
      </c>
      <c r="RK18" s="48">
        <v>12271482</v>
      </c>
      <c r="RL18" s="48">
        <v>13033708</v>
      </c>
      <c r="RM18" s="48">
        <v>13407965</v>
      </c>
      <c r="RN18" s="48">
        <v>13537942</v>
      </c>
      <c r="RO18" s="48">
        <v>13414913</v>
      </c>
      <c r="RP18" s="48">
        <v>12917053</v>
      </c>
      <c r="RQ18" s="48">
        <v>14568479</v>
      </c>
      <c r="RR18" s="48">
        <v>11320772</v>
      </c>
      <c r="RS18" s="48">
        <v>12756622</v>
      </c>
      <c r="RT18" s="48">
        <v>12795175</v>
      </c>
      <c r="RU18" s="48">
        <v>12390929</v>
      </c>
      <c r="RV18" s="48">
        <v>10807845</v>
      </c>
    </row>
    <row r="19" spans="2:490" ht="15.75" x14ac:dyDescent="0.25">
      <c r="B19" s="187" t="s">
        <v>113</v>
      </c>
      <c r="C19">
        <v>20864</v>
      </c>
      <c r="D19">
        <v>22366</v>
      </c>
      <c r="E19">
        <v>20110</v>
      </c>
      <c r="F19">
        <v>19226</v>
      </c>
      <c r="G19">
        <v>19688</v>
      </c>
      <c r="H19">
        <v>16260</v>
      </c>
      <c r="I19">
        <f>SUM(I3:I14)</f>
        <v>16256</v>
      </c>
      <c r="J19">
        <v>16692</v>
      </c>
      <c r="K19">
        <v>22960</v>
      </c>
      <c r="L19">
        <v>15860</v>
      </c>
      <c r="M19">
        <v>16924</v>
      </c>
      <c r="N19">
        <v>14666</v>
      </c>
      <c r="O19">
        <v>24504</v>
      </c>
      <c r="P19">
        <f>9304+627</f>
        <v>9931</v>
      </c>
      <c r="Q19">
        <v>16799</v>
      </c>
      <c r="R19">
        <v>17857</v>
      </c>
      <c r="S19">
        <v>14556</v>
      </c>
      <c r="T19">
        <v>25264</v>
      </c>
      <c r="U19">
        <v>31378</v>
      </c>
      <c r="V19">
        <v>18924</v>
      </c>
      <c r="W19">
        <v>33228</v>
      </c>
      <c r="X19">
        <v>29268</v>
      </c>
      <c r="Y19">
        <v>26618</v>
      </c>
      <c r="Z19">
        <v>21324</v>
      </c>
      <c r="AA19">
        <v>30714</v>
      </c>
      <c r="AB19">
        <v>22114</v>
      </c>
      <c r="AC19">
        <v>24496</v>
      </c>
      <c r="AD19">
        <v>17732</v>
      </c>
      <c r="AE19">
        <v>21100</v>
      </c>
      <c r="AF19">
        <v>20684</v>
      </c>
      <c r="AG19">
        <v>20878</v>
      </c>
      <c r="AH19">
        <v>27340</v>
      </c>
      <c r="AI19">
        <v>32544</v>
      </c>
      <c r="AJ19">
        <v>20900</v>
      </c>
      <c r="AK19">
        <v>25862</v>
      </c>
      <c r="AL19">
        <v>24240</v>
      </c>
      <c r="AM19">
        <v>25952</v>
      </c>
      <c r="AN19">
        <v>45800</v>
      </c>
      <c r="AO19">
        <v>59402</v>
      </c>
      <c r="AP19">
        <v>44016</v>
      </c>
      <c r="AQ19">
        <v>50338</v>
      </c>
      <c r="AR19">
        <v>46242</v>
      </c>
      <c r="AS19">
        <v>36652</v>
      </c>
      <c r="AT19">
        <v>44806</v>
      </c>
      <c r="AU19">
        <v>51824</v>
      </c>
      <c r="AV19">
        <v>42158</v>
      </c>
      <c r="AW19">
        <v>57042</v>
      </c>
      <c r="AX19">
        <v>74688</v>
      </c>
      <c r="AY19">
        <v>84238</v>
      </c>
      <c r="AZ19">
        <v>53852</v>
      </c>
      <c r="BA19">
        <v>35372</v>
      </c>
      <c r="BB19">
        <v>23092</v>
      </c>
      <c r="BC19">
        <v>23816</v>
      </c>
      <c r="BD19">
        <v>15202</v>
      </c>
      <c r="BE19">
        <v>27986</v>
      </c>
      <c r="BF19">
        <v>28096</v>
      </c>
      <c r="BG19">
        <v>26806</v>
      </c>
      <c r="BH19">
        <v>55360</v>
      </c>
      <c r="BI19">
        <v>62318</v>
      </c>
      <c r="BJ19">
        <v>19090</v>
      </c>
      <c r="BK19">
        <v>42694</v>
      </c>
      <c r="BL19">
        <v>30476</v>
      </c>
      <c r="BM19">
        <v>28338</v>
      </c>
      <c r="BN19">
        <v>37994</v>
      </c>
      <c r="BO19">
        <v>58826</v>
      </c>
      <c r="BP19">
        <v>45282</v>
      </c>
      <c r="BQ19">
        <v>35714</v>
      </c>
      <c r="BR19">
        <v>69426</v>
      </c>
      <c r="BS19">
        <v>74064</v>
      </c>
      <c r="BT19">
        <v>64786</v>
      </c>
      <c r="BU19">
        <v>42146</v>
      </c>
      <c r="BV19">
        <v>22114</v>
      </c>
      <c r="BW19">
        <v>100384</v>
      </c>
      <c r="BX19">
        <v>76890</v>
      </c>
      <c r="BY19">
        <v>81688</v>
      </c>
      <c r="BZ19">
        <v>101074</v>
      </c>
      <c r="CA19">
        <v>108011</v>
      </c>
      <c r="CB19">
        <v>12716</v>
      </c>
      <c r="CC19">
        <v>14533</v>
      </c>
      <c r="CD19">
        <v>19956</v>
      </c>
      <c r="CE19">
        <v>13810</v>
      </c>
      <c r="CF19">
        <v>13040</v>
      </c>
      <c r="CG19">
        <v>14637</v>
      </c>
      <c r="CH19">
        <v>25658</v>
      </c>
      <c r="CI19">
        <v>17952</v>
      </c>
      <c r="CJ19">
        <v>143455</v>
      </c>
      <c r="CK19">
        <v>25224</v>
      </c>
      <c r="CL19">
        <v>11138</v>
      </c>
      <c r="CM19">
        <v>13548</v>
      </c>
      <c r="CO19">
        <v>82697</v>
      </c>
      <c r="CP19">
        <v>27994</v>
      </c>
      <c r="CQ19">
        <v>29124</v>
      </c>
      <c r="CR19">
        <v>23858</v>
      </c>
      <c r="CS19">
        <v>20462</v>
      </c>
      <c r="CT19">
        <v>20209</v>
      </c>
      <c r="CU19">
        <v>27057</v>
      </c>
      <c r="CV19">
        <v>29398</v>
      </c>
      <c r="CW19">
        <v>24050</v>
      </c>
      <c r="CX19">
        <v>24172</v>
      </c>
      <c r="CY19">
        <v>22158</v>
      </c>
      <c r="CZ19">
        <v>18024</v>
      </c>
      <c r="DA19">
        <v>20352</v>
      </c>
      <c r="DB19">
        <v>33084</v>
      </c>
      <c r="DC19">
        <v>37010</v>
      </c>
      <c r="DD19">
        <v>17154</v>
      </c>
      <c r="DE19">
        <v>18482</v>
      </c>
      <c r="DF19">
        <v>21214</v>
      </c>
      <c r="DG19">
        <v>19540</v>
      </c>
      <c r="DH19">
        <v>16350</v>
      </c>
      <c r="DI19">
        <v>37444</v>
      </c>
      <c r="DJ19">
        <v>28742</v>
      </c>
      <c r="DK19">
        <v>24588</v>
      </c>
      <c r="DL19">
        <v>39822</v>
      </c>
      <c r="DM19">
        <v>20146</v>
      </c>
      <c r="DN19">
        <v>14276</v>
      </c>
      <c r="DO19">
        <v>14292</v>
      </c>
      <c r="DP19">
        <v>15550</v>
      </c>
      <c r="DQ19">
        <v>24976</v>
      </c>
      <c r="DR19">
        <v>17466</v>
      </c>
      <c r="DS19">
        <v>17634</v>
      </c>
      <c r="DT19">
        <v>24390</v>
      </c>
      <c r="DU19">
        <v>10548</v>
      </c>
      <c r="DV19">
        <v>12381</v>
      </c>
      <c r="DW19">
        <v>14676</v>
      </c>
      <c r="DX19">
        <v>14732</v>
      </c>
      <c r="DY19">
        <v>13842</v>
      </c>
      <c r="DZ19">
        <v>13882</v>
      </c>
      <c r="EA19">
        <v>17727</v>
      </c>
      <c r="EB19">
        <v>11724</v>
      </c>
      <c r="EC19">
        <v>23148</v>
      </c>
      <c r="ED19">
        <v>12828</v>
      </c>
      <c r="EE19">
        <v>16210</v>
      </c>
      <c r="EF19">
        <v>39638</v>
      </c>
      <c r="EG19">
        <v>20232</v>
      </c>
      <c r="EH19">
        <v>19161</v>
      </c>
      <c r="EI19">
        <v>16265</v>
      </c>
      <c r="EJ19">
        <v>13006</v>
      </c>
      <c r="EK19">
        <v>41614</v>
      </c>
      <c r="EL19">
        <v>63097</v>
      </c>
      <c r="EM19">
        <v>14896</v>
      </c>
      <c r="EN19">
        <v>15778</v>
      </c>
      <c r="EO19">
        <v>19367</v>
      </c>
      <c r="EP19">
        <v>18668</v>
      </c>
      <c r="EQ19">
        <v>39822</v>
      </c>
      <c r="ER19">
        <v>28364</v>
      </c>
      <c r="ES19">
        <v>20369</v>
      </c>
      <c r="ET19">
        <v>13350</v>
      </c>
      <c r="EU19">
        <v>26969</v>
      </c>
      <c r="EV19">
        <v>11690</v>
      </c>
      <c r="EW19">
        <v>15796</v>
      </c>
      <c r="EX19">
        <v>10381</v>
      </c>
      <c r="EY19">
        <v>10454</v>
      </c>
      <c r="EZ19">
        <v>11234</v>
      </c>
      <c r="FA19">
        <v>12196</v>
      </c>
      <c r="FB19">
        <v>58696</v>
      </c>
      <c r="FC19">
        <v>16792</v>
      </c>
      <c r="FD19">
        <v>17396</v>
      </c>
      <c r="FE19">
        <v>12147</v>
      </c>
      <c r="FF19">
        <v>15130</v>
      </c>
      <c r="FG19">
        <v>14976</v>
      </c>
      <c r="FH19">
        <v>15455</v>
      </c>
      <c r="FI19">
        <v>67348</v>
      </c>
      <c r="FJ19">
        <v>79534</v>
      </c>
      <c r="FK19">
        <v>184820</v>
      </c>
      <c r="FL19">
        <v>14106</v>
      </c>
      <c r="FM19">
        <v>34533</v>
      </c>
      <c r="FN19">
        <v>35814</v>
      </c>
      <c r="FO19">
        <v>29335</v>
      </c>
      <c r="FP19">
        <v>35516</v>
      </c>
      <c r="FQ19">
        <v>51140</v>
      </c>
      <c r="FR19">
        <v>39066</v>
      </c>
      <c r="FS19">
        <v>10801</v>
      </c>
      <c r="FT19">
        <v>9368</v>
      </c>
      <c r="FU19">
        <v>14418</v>
      </c>
      <c r="FV19">
        <v>14050</v>
      </c>
      <c r="FW19">
        <v>20106</v>
      </c>
      <c r="FX19">
        <v>62528</v>
      </c>
      <c r="FY19">
        <v>31862</v>
      </c>
      <c r="FZ19">
        <v>49744</v>
      </c>
      <c r="GA19">
        <v>47724</v>
      </c>
      <c r="GB19">
        <v>14514</v>
      </c>
      <c r="GC19">
        <v>19872</v>
      </c>
      <c r="GD19">
        <v>652220</v>
      </c>
      <c r="GE19">
        <v>15188</v>
      </c>
      <c r="GF19">
        <v>16430</v>
      </c>
      <c r="GG19">
        <v>11946</v>
      </c>
      <c r="GH19">
        <v>13160</v>
      </c>
      <c r="GI19">
        <v>12824</v>
      </c>
      <c r="GJ19">
        <v>13442</v>
      </c>
      <c r="GK19">
        <v>12034</v>
      </c>
      <c r="GL19">
        <v>20840</v>
      </c>
      <c r="GM19">
        <v>11834</v>
      </c>
      <c r="GN19">
        <v>20950</v>
      </c>
      <c r="GO19">
        <v>12500</v>
      </c>
      <c r="GP19">
        <v>13838</v>
      </c>
      <c r="GQ19">
        <v>11492</v>
      </c>
      <c r="GR19">
        <v>15484</v>
      </c>
      <c r="GS19">
        <v>15804</v>
      </c>
      <c r="GT19">
        <v>10500</v>
      </c>
      <c r="GU19">
        <v>13312</v>
      </c>
      <c r="GV19">
        <v>9962</v>
      </c>
      <c r="GW19">
        <v>10088</v>
      </c>
      <c r="GX19">
        <v>13078</v>
      </c>
      <c r="GY19">
        <v>11076</v>
      </c>
      <c r="GZ19">
        <v>12550</v>
      </c>
      <c r="HA19">
        <v>10170</v>
      </c>
      <c r="HB19">
        <v>8414</v>
      </c>
      <c r="HC19">
        <v>47898</v>
      </c>
      <c r="HD19">
        <v>16947</v>
      </c>
      <c r="HE19">
        <v>11522</v>
      </c>
      <c r="HF19">
        <v>11585</v>
      </c>
      <c r="HG19">
        <v>13257</v>
      </c>
      <c r="HH19">
        <v>24434</v>
      </c>
      <c r="HI19">
        <v>11738</v>
      </c>
      <c r="HJ19">
        <v>14324</v>
      </c>
      <c r="HK19">
        <v>15436</v>
      </c>
      <c r="HL19">
        <v>14886</v>
      </c>
      <c r="HM19">
        <v>11346</v>
      </c>
      <c r="HN19">
        <v>9460</v>
      </c>
      <c r="HO19">
        <v>9604</v>
      </c>
      <c r="HP19">
        <v>9330</v>
      </c>
      <c r="HQ19">
        <v>42798</v>
      </c>
      <c r="HR19">
        <v>36969</v>
      </c>
      <c r="HS19">
        <v>10090</v>
      </c>
      <c r="HT19">
        <v>27790</v>
      </c>
      <c r="HU19">
        <v>37152</v>
      </c>
      <c r="HV19">
        <v>30756</v>
      </c>
      <c r="HW19">
        <v>22888</v>
      </c>
      <c r="HX19">
        <v>48462</v>
      </c>
      <c r="HY19">
        <v>44120</v>
      </c>
      <c r="HZ19">
        <v>51164</v>
      </c>
      <c r="IA19">
        <v>31180</v>
      </c>
      <c r="IB19">
        <v>13504</v>
      </c>
      <c r="IC19">
        <v>19116</v>
      </c>
      <c r="ID19">
        <v>22702</v>
      </c>
      <c r="IE19">
        <v>11624</v>
      </c>
      <c r="IF19">
        <v>24586</v>
      </c>
      <c r="IG19">
        <v>41100</v>
      </c>
      <c r="IH19">
        <v>26204</v>
      </c>
      <c r="II19">
        <v>18940</v>
      </c>
      <c r="IJ19">
        <v>33620</v>
      </c>
      <c r="IK19">
        <v>20398</v>
      </c>
      <c r="IL19">
        <v>40335</v>
      </c>
      <c r="IM19">
        <v>52409</v>
      </c>
      <c r="IN19">
        <v>40412</v>
      </c>
      <c r="IO19">
        <v>53429</v>
      </c>
      <c r="IP19">
        <v>45711</v>
      </c>
      <c r="IQ19">
        <v>43135</v>
      </c>
      <c r="IR19">
        <v>39739</v>
      </c>
      <c r="IS19">
        <v>41921</v>
      </c>
      <c r="IT19">
        <v>42548</v>
      </c>
      <c r="IU19">
        <v>46676</v>
      </c>
      <c r="IV19">
        <v>39343</v>
      </c>
      <c r="IW19">
        <v>39968</v>
      </c>
      <c r="IX19">
        <v>60950</v>
      </c>
      <c r="IY19">
        <v>40888</v>
      </c>
      <c r="IZ19">
        <v>58717</v>
      </c>
      <c r="JA19">
        <v>47152</v>
      </c>
      <c r="JB19">
        <v>41536</v>
      </c>
      <c r="JC19">
        <v>39416</v>
      </c>
      <c r="JD19" s="101">
        <v>74174</v>
      </c>
      <c r="JE19" s="101">
        <v>99439</v>
      </c>
      <c r="JF19" s="101">
        <v>103595</v>
      </c>
      <c r="JG19" s="101">
        <v>24077</v>
      </c>
      <c r="JH19" s="101">
        <v>19092</v>
      </c>
      <c r="JI19" s="101">
        <v>16514</v>
      </c>
      <c r="JJ19">
        <v>12080</v>
      </c>
      <c r="JK19" s="101">
        <v>17605</v>
      </c>
      <c r="JL19" s="101">
        <v>20745</v>
      </c>
      <c r="JM19" s="101">
        <v>22444</v>
      </c>
      <c r="JN19" s="101">
        <v>47763</v>
      </c>
      <c r="JO19" s="112">
        <v>41695</v>
      </c>
      <c r="JP19" s="101">
        <v>39937</v>
      </c>
      <c r="JQ19" s="101">
        <v>59530</v>
      </c>
      <c r="JR19" s="101">
        <v>59897</v>
      </c>
      <c r="JS19" s="101">
        <v>13577</v>
      </c>
      <c r="JT19" s="101">
        <v>39211</v>
      </c>
      <c r="JU19" s="101">
        <v>49601</v>
      </c>
      <c r="JV19" s="101">
        <v>90732</v>
      </c>
      <c r="JW19">
        <v>106394</v>
      </c>
      <c r="JX19">
        <v>37147</v>
      </c>
      <c r="JY19">
        <v>9570</v>
      </c>
      <c r="JZ19">
        <v>18274</v>
      </c>
      <c r="KA19">
        <v>13819</v>
      </c>
      <c r="KB19">
        <v>8591</v>
      </c>
      <c r="KC19">
        <v>13724</v>
      </c>
      <c r="KD19" s="175">
        <v>18899</v>
      </c>
      <c r="KE19" s="101">
        <v>56799</v>
      </c>
      <c r="KF19" s="101">
        <v>25411</v>
      </c>
      <c r="KG19" s="101">
        <v>12999</v>
      </c>
      <c r="KH19" s="101">
        <v>6423</v>
      </c>
      <c r="KI19">
        <v>13388</v>
      </c>
      <c r="KJ19">
        <v>12218</v>
      </c>
      <c r="KK19">
        <v>10938</v>
      </c>
      <c r="KL19">
        <v>8832</v>
      </c>
      <c r="KM19" s="101">
        <v>9895</v>
      </c>
      <c r="KN19" s="101">
        <v>7771</v>
      </c>
      <c r="KO19" s="101">
        <v>26322</v>
      </c>
      <c r="KP19" s="101">
        <v>8812</v>
      </c>
      <c r="KQ19" s="101">
        <v>14880</v>
      </c>
      <c r="KR19" s="101">
        <v>14573</v>
      </c>
      <c r="KS19">
        <v>7949</v>
      </c>
      <c r="KT19">
        <v>17133</v>
      </c>
      <c r="KU19">
        <v>32080</v>
      </c>
      <c r="KV19">
        <v>10060</v>
      </c>
      <c r="KW19">
        <v>52791</v>
      </c>
      <c r="KX19">
        <v>210227</v>
      </c>
      <c r="KY19">
        <v>9248</v>
      </c>
      <c r="KZ19" s="104">
        <v>11824</v>
      </c>
      <c r="LA19" s="104">
        <v>10112</v>
      </c>
      <c r="LB19" s="104">
        <v>10422</v>
      </c>
      <c r="LC19" s="104">
        <v>12631</v>
      </c>
      <c r="LD19" s="104">
        <v>10590</v>
      </c>
      <c r="LE19" s="104">
        <v>13152</v>
      </c>
      <c r="LF19" s="116">
        <v>16453</v>
      </c>
      <c r="LG19" s="158">
        <v>14713</v>
      </c>
      <c r="LH19" s="48">
        <v>8859</v>
      </c>
      <c r="LI19" s="48">
        <v>11070</v>
      </c>
      <c r="LJ19" s="48">
        <v>9909</v>
      </c>
      <c r="LK19" s="48">
        <v>9366</v>
      </c>
      <c r="LL19" s="48">
        <v>171435</v>
      </c>
      <c r="LM19" s="48">
        <v>9971</v>
      </c>
      <c r="LN19" s="48">
        <v>11586</v>
      </c>
      <c r="LO19" s="104">
        <v>9030</v>
      </c>
      <c r="LP19" s="104">
        <v>13638</v>
      </c>
      <c r="LQ19" s="116">
        <v>10563</v>
      </c>
      <c r="LR19" s="104">
        <v>11828</v>
      </c>
      <c r="LS19" s="101">
        <v>13298</v>
      </c>
      <c r="LT19" s="101">
        <v>16069</v>
      </c>
      <c r="LU19" s="102">
        <v>58127</v>
      </c>
      <c r="LV19" s="104">
        <v>76887</v>
      </c>
      <c r="LW19" s="104">
        <v>54610</v>
      </c>
      <c r="LX19" s="1">
        <v>23190</v>
      </c>
      <c r="LY19" s="158">
        <v>26968</v>
      </c>
      <c r="LZ19" s="48">
        <v>22140</v>
      </c>
      <c r="MA19" s="48">
        <v>43634</v>
      </c>
      <c r="MB19" s="48">
        <v>149076</v>
      </c>
      <c r="MC19" s="48">
        <v>48424</v>
      </c>
      <c r="MD19" s="48">
        <v>6908</v>
      </c>
      <c r="ME19" s="48">
        <v>6988</v>
      </c>
      <c r="MF19" s="48">
        <v>6988</v>
      </c>
      <c r="MG19" s="48">
        <v>7706</v>
      </c>
      <c r="MH19" s="48">
        <v>7884</v>
      </c>
      <c r="MI19" s="48">
        <v>7354</v>
      </c>
      <c r="MJ19" s="48">
        <v>9986</v>
      </c>
      <c r="MK19" s="48">
        <v>12868</v>
      </c>
      <c r="ML19" s="48">
        <v>5992</v>
      </c>
      <c r="MM19" s="48">
        <v>16476</v>
      </c>
      <c r="MN19" s="158">
        <v>25088</v>
      </c>
      <c r="MO19" s="158">
        <v>90902</v>
      </c>
      <c r="MP19" s="48">
        <v>13212</v>
      </c>
      <c r="MQ19" s="101">
        <v>42970</v>
      </c>
      <c r="MR19" s="101">
        <v>12566</v>
      </c>
      <c r="MS19" s="101">
        <v>6498</v>
      </c>
      <c r="MT19" s="101">
        <v>10576</v>
      </c>
      <c r="MU19" s="101">
        <v>10804</v>
      </c>
      <c r="MV19" s="102">
        <v>5288</v>
      </c>
      <c r="MW19" s="1">
        <v>5926</v>
      </c>
      <c r="MX19" s="48">
        <v>19426</v>
      </c>
      <c r="MY19" s="48">
        <v>5760</v>
      </c>
      <c r="MZ19" s="48">
        <v>8030</v>
      </c>
      <c r="NA19" s="48">
        <v>39238</v>
      </c>
      <c r="NB19" s="48">
        <v>7670</v>
      </c>
      <c r="NC19" s="48">
        <v>5788</v>
      </c>
      <c r="ND19" s="48">
        <v>279388</v>
      </c>
      <c r="NE19" s="101">
        <v>11138</v>
      </c>
      <c r="NF19" s="101">
        <v>9806</v>
      </c>
      <c r="NG19" s="101">
        <v>8574</v>
      </c>
      <c r="NH19" s="101">
        <v>11042</v>
      </c>
      <c r="NI19" s="101">
        <v>14172</v>
      </c>
      <c r="NJ19" s="101">
        <v>8294</v>
      </c>
      <c r="NK19" s="102">
        <v>10220</v>
      </c>
      <c r="NL19" s="48">
        <v>8488</v>
      </c>
      <c r="NM19" s="48">
        <v>8018</v>
      </c>
      <c r="NN19" s="158">
        <v>9574</v>
      </c>
      <c r="NO19" s="48">
        <v>8326</v>
      </c>
      <c r="NP19" s="48">
        <v>14022</v>
      </c>
      <c r="NQ19" s="48">
        <v>7576</v>
      </c>
      <c r="NR19" s="102">
        <v>6810</v>
      </c>
      <c r="NS19" s="192">
        <v>7046</v>
      </c>
      <c r="NT19" s="130">
        <v>20610</v>
      </c>
      <c r="NU19" s="130">
        <f t="shared" ref="NU19" si="4">SUM(NU3:NU15)</f>
        <v>19096</v>
      </c>
      <c r="NV19" s="48">
        <v>9786</v>
      </c>
      <c r="NW19" s="48">
        <v>15964</v>
      </c>
      <c r="NX19" s="48">
        <v>6602</v>
      </c>
      <c r="NY19" s="1">
        <v>8467</v>
      </c>
      <c r="NZ19" s="1">
        <v>7023</v>
      </c>
      <c r="OA19" s="1">
        <v>6073</v>
      </c>
      <c r="OB19" s="1">
        <v>8336</v>
      </c>
      <c r="OC19" s="48">
        <v>6498</v>
      </c>
      <c r="OD19" s="48">
        <v>7212</v>
      </c>
      <c r="OK19" s="48">
        <v>7498</v>
      </c>
      <c r="OL19" s="48">
        <v>6209</v>
      </c>
      <c r="OM19" s="48">
        <v>35824</v>
      </c>
      <c r="ON19" s="48">
        <v>10098</v>
      </c>
      <c r="OO19" s="48">
        <v>13244</v>
      </c>
      <c r="OP19" s="48">
        <v>11108</v>
      </c>
      <c r="OQ19" s="48">
        <v>9516</v>
      </c>
      <c r="OR19" s="48">
        <v>13698</v>
      </c>
      <c r="OS19" s="48">
        <v>56580</v>
      </c>
      <c r="OT19" s="48">
        <v>21646</v>
      </c>
      <c r="OU19" s="48">
        <v>37860</v>
      </c>
      <c r="OV19" s="48">
        <v>6100</v>
      </c>
      <c r="OW19" s="48">
        <v>8288</v>
      </c>
      <c r="OX19" s="48">
        <v>14316</v>
      </c>
      <c r="OY19" s="48">
        <v>42558</v>
      </c>
      <c r="OZ19" s="48">
        <v>24144</v>
      </c>
      <c r="PA19" s="48">
        <v>32362</v>
      </c>
      <c r="PB19" s="48">
        <v>24904</v>
      </c>
      <c r="PC19" s="48">
        <v>6424</v>
      </c>
      <c r="PD19" s="48">
        <v>20867</v>
      </c>
      <c r="PE19" s="48">
        <v>7644</v>
      </c>
      <c r="PF19" s="48">
        <v>19260</v>
      </c>
      <c r="PG19" s="177">
        <v>7332</v>
      </c>
      <c r="PH19" s="177">
        <v>14702</v>
      </c>
      <c r="PI19" s="101">
        <v>15100</v>
      </c>
      <c r="PJ19" s="101">
        <v>10328</v>
      </c>
      <c r="PK19" s="101">
        <v>40854</v>
      </c>
      <c r="PL19" s="48">
        <v>19872</v>
      </c>
      <c r="PM19" s="48">
        <v>6056</v>
      </c>
      <c r="PN19" s="329">
        <v>8462</v>
      </c>
      <c r="PO19" s="329">
        <v>5366</v>
      </c>
      <c r="PP19" s="48">
        <v>7240</v>
      </c>
      <c r="PQ19" s="48">
        <v>264622</v>
      </c>
      <c r="PR19" s="48">
        <v>4368</v>
      </c>
      <c r="PS19" s="48">
        <v>5288</v>
      </c>
      <c r="PT19" s="48">
        <v>6742</v>
      </c>
      <c r="PU19" s="48">
        <v>6332</v>
      </c>
      <c r="PV19" s="48">
        <v>7630</v>
      </c>
      <c r="PW19" s="48">
        <v>7402</v>
      </c>
      <c r="PX19" s="48">
        <v>5832</v>
      </c>
      <c r="PY19" s="2">
        <v>5578</v>
      </c>
      <c r="PZ19" s="2">
        <v>6102</v>
      </c>
      <c r="QA19" s="48">
        <v>9468</v>
      </c>
      <c r="QB19" s="48">
        <v>14580</v>
      </c>
      <c r="QC19" s="48">
        <v>8392</v>
      </c>
      <c r="QD19" s="48">
        <v>7952</v>
      </c>
      <c r="QE19" s="158">
        <v>7762</v>
      </c>
      <c r="QF19" s="48">
        <v>9152</v>
      </c>
      <c r="QG19" s="48">
        <v>8110</v>
      </c>
      <c r="QH19" s="48">
        <v>8108</v>
      </c>
      <c r="QI19" s="48">
        <v>7156</v>
      </c>
      <c r="QJ19" s="5">
        <v>7430</v>
      </c>
      <c r="QK19" s="48">
        <v>7052</v>
      </c>
      <c r="QL19" s="48">
        <v>11902</v>
      </c>
      <c r="QM19" s="48">
        <v>6934</v>
      </c>
      <c r="QN19" s="48">
        <v>7518</v>
      </c>
      <c r="QO19" s="48">
        <v>7624</v>
      </c>
      <c r="QP19" s="48">
        <v>7954</v>
      </c>
      <c r="QQ19" s="48">
        <v>11661</v>
      </c>
      <c r="QR19" s="48">
        <v>10847</v>
      </c>
      <c r="QS19" s="48">
        <v>10397</v>
      </c>
      <c r="QT19" s="48">
        <v>10660</v>
      </c>
      <c r="QU19" s="48">
        <v>9817</v>
      </c>
      <c r="QV19" s="48">
        <v>12759</v>
      </c>
      <c r="QW19" s="48">
        <v>12834</v>
      </c>
      <c r="QX19" s="48">
        <v>19695</v>
      </c>
      <c r="QY19" s="48">
        <v>17872</v>
      </c>
      <c r="QZ19" s="48">
        <v>12979</v>
      </c>
      <c r="RA19" s="48">
        <v>19634</v>
      </c>
      <c r="RB19" s="48">
        <v>13083</v>
      </c>
      <c r="RC19" s="48">
        <v>12151</v>
      </c>
      <c r="RD19" s="48">
        <v>14513</v>
      </c>
      <c r="RE19" s="48">
        <v>17779</v>
      </c>
      <c r="RF19" s="48">
        <v>11446</v>
      </c>
      <c r="RG19" s="48">
        <v>12442</v>
      </c>
      <c r="RH19" s="48">
        <v>11888</v>
      </c>
      <c r="RI19" s="158">
        <v>22033</v>
      </c>
      <c r="RJ19" s="48">
        <v>12662</v>
      </c>
      <c r="RK19" s="48">
        <v>17343</v>
      </c>
      <c r="RL19" s="48">
        <v>15451</v>
      </c>
      <c r="RM19" s="48">
        <v>15513</v>
      </c>
      <c r="RN19" s="48">
        <v>23892</v>
      </c>
      <c r="RO19" s="48">
        <v>12027</v>
      </c>
      <c r="RP19" s="48">
        <v>11303</v>
      </c>
      <c r="RQ19" s="48">
        <v>12558</v>
      </c>
      <c r="RR19" s="48">
        <v>10147</v>
      </c>
      <c r="RS19" s="48">
        <v>12085</v>
      </c>
      <c r="RT19" s="48">
        <v>26049</v>
      </c>
      <c r="RU19" s="48">
        <v>62420</v>
      </c>
      <c r="RV19" s="48">
        <v>48064</v>
      </c>
    </row>
    <row r="20" spans="2:490" ht="15.75" x14ac:dyDescent="0.25">
      <c r="B20" s="187" t="s">
        <v>114</v>
      </c>
      <c r="C20" s="58">
        <f>C18/C17%</f>
        <v>99.972345155424009</v>
      </c>
      <c r="D20" s="58">
        <f t="shared" ref="D20:Q20" si="5">D18/D17%</f>
        <v>99.81237574552685</v>
      </c>
      <c r="E20" s="58">
        <f t="shared" si="5"/>
        <v>99.830317143288539</v>
      </c>
      <c r="F20" s="58">
        <f t="shared" si="5"/>
        <v>99.834453499139599</v>
      </c>
      <c r="G20" s="58">
        <f>G18/G17%</f>
        <v>99.808574057095115</v>
      </c>
      <c r="H20" s="58">
        <f t="shared" si="5"/>
        <v>99.837461526351078</v>
      </c>
      <c r="I20" s="58">
        <f t="shared" si="5"/>
        <v>99.85615831928925</v>
      </c>
      <c r="J20" s="58">
        <f t="shared" si="5"/>
        <v>99.847859937787405</v>
      </c>
      <c r="K20" s="58">
        <f t="shared" si="5"/>
        <v>99.81841649056652</v>
      </c>
      <c r="L20" s="58">
        <f t="shared" si="5"/>
        <v>99.859794015662047</v>
      </c>
      <c r="M20" s="58">
        <f t="shared" si="5"/>
        <v>99.847918339588887</v>
      </c>
      <c r="N20" s="58">
        <f t="shared" si="5"/>
        <v>99.853729314057702</v>
      </c>
      <c r="O20" s="58">
        <f t="shared" si="5"/>
        <v>99.793370170963755</v>
      </c>
      <c r="P20" s="58">
        <f t="shared" si="5"/>
        <v>99.799657238168223</v>
      </c>
      <c r="Q20" s="58">
        <f t="shared" si="5"/>
        <v>99.845152025057359</v>
      </c>
      <c r="R20" s="58">
        <f>R18/R17%</f>
        <v>99.839356598753596</v>
      </c>
      <c r="S20" s="58">
        <f>S18/S17%</f>
        <v>99.87125816399778</v>
      </c>
      <c r="T20" s="58">
        <f>T18/T17%</f>
        <v>99.76940341897037</v>
      </c>
      <c r="U20" s="58">
        <f>U18/U17%</f>
        <v>99.684627811971524</v>
      </c>
      <c r="V20" s="58">
        <f>V18/V17%</f>
        <v>99.824890269565714</v>
      </c>
      <c r="W20" s="58">
        <f t="shared" ref="W20:AT20" si="6">W18/W17%</f>
        <v>99.718165883143854</v>
      </c>
      <c r="X20" s="58">
        <f t="shared" si="6"/>
        <v>99.732614262911412</v>
      </c>
      <c r="Y20" s="58">
        <f t="shared" si="6"/>
        <v>99.767819735025952</v>
      </c>
      <c r="Z20" s="58">
        <f t="shared" si="6"/>
        <v>99.814714085865475</v>
      </c>
      <c r="AA20" s="58">
        <f t="shared" si="6"/>
        <v>99.719205488849767</v>
      </c>
      <c r="AB20" s="58">
        <f t="shared" si="6"/>
        <v>99.775837845837586</v>
      </c>
      <c r="AC20" s="58">
        <f t="shared" si="6"/>
        <v>99.788612225800378</v>
      </c>
      <c r="AD20" s="58">
        <f t="shared" si="6"/>
        <v>99.853074092352202</v>
      </c>
      <c r="AE20" s="58">
        <f t="shared" si="6"/>
        <v>99.813168123187907</v>
      </c>
      <c r="AF20" s="58">
        <f t="shared" si="6"/>
        <v>99.812645368769964</v>
      </c>
      <c r="AG20" s="58">
        <f t="shared" si="6"/>
        <v>99.820258157428299</v>
      </c>
      <c r="AH20" s="58">
        <f t="shared" si="6"/>
        <v>99.745330579351503</v>
      </c>
      <c r="AI20" s="58">
        <f t="shared" si="6"/>
        <v>99.661166522536121</v>
      </c>
      <c r="AJ20" s="58">
        <f t="shared" si="6"/>
        <v>99.799126768501381</v>
      </c>
      <c r="AK20" s="58">
        <f t="shared" si="6"/>
        <v>99.783424677058917</v>
      </c>
      <c r="AL20" s="58">
        <f t="shared" si="6"/>
        <v>99.779646179397474</v>
      </c>
      <c r="AM20" s="58">
        <f t="shared" si="6"/>
        <v>99.743752738770965</v>
      </c>
      <c r="AN20" s="58">
        <f t="shared" si="6"/>
        <v>99.601673666367773</v>
      </c>
      <c r="AO20" s="58">
        <f t="shared" si="6"/>
        <v>99.445318873015538</v>
      </c>
      <c r="AP20" s="58">
        <f t="shared" si="6"/>
        <v>99.560655511240043</v>
      </c>
      <c r="AQ20" s="58">
        <f t="shared" si="6"/>
        <v>99.553574991827631</v>
      </c>
      <c r="AR20" s="58">
        <f t="shared" si="6"/>
        <v>99.607779273422182</v>
      </c>
      <c r="AS20" s="58">
        <f t="shared" si="6"/>
        <v>99.656802918617203</v>
      </c>
      <c r="AT20" s="58">
        <f t="shared" si="6"/>
        <v>99.578046753692917</v>
      </c>
      <c r="AU20" s="58">
        <f t="shared" ref="AU20:AZ20" si="7">AU18/AU17%</f>
        <v>99.574108729817752</v>
      </c>
      <c r="AV20" s="58">
        <f t="shared" si="7"/>
        <v>99.615087109846343</v>
      </c>
      <c r="AW20" s="58">
        <f t="shared" si="7"/>
        <v>99.424819576744966</v>
      </c>
      <c r="AX20" s="58">
        <f t="shared" si="7"/>
        <v>99.310968469021176</v>
      </c>
      <c r="AY20" s="58">
        <f t="shared" si="7"/>
        <v>99.296146998476956</v>
      </c>
      <c r="AZ20" s="58">
        <f t="shared" si="7"/>
        <v>99.512438645149444</v>
      </c>
      <c r="BA20" s="58">
        <f>BA18/BA17%</f>
        <v>99.67197212708993</v>
      </c>
      <c r="BB20" s="58">
        <f t="shared" ref="BB20:CC20" si="8">BB18/BB17%</f>
        <v>99.802119918482859</v>
      </c>
      <c r="BC20" s="58">
        <f t="shared" si="8"/>
        <v>99.790750460435092</v>
      </c>
      <c r="BD20" s="58">
        <f t="shared" si="8"/>
        <v>99.856763221936163</v>
      </c>
      <c r="BE20" s="58">
        <f t="shared" si="8"/>
        <v>99.759748365042384</v>
      </c>
      <c r="BF20" s="58">
        <f t="shared" si="8"/>
        <v>99.766483500500101</v>
      </c>
      <c r="BG20" s="58">
        <f t="shared" si="8"/>
        <v>99.750870781248636</v>
      </c>
      <c r="BH20" s="58">
        <f t="shared" si="8"/>
        <v>99.503834171628924</v>
      </c>
      <c r="BI20" s="58">
        <f t="shared" si="8"/>
        <v>99.467541002880097</v>
      </c>
      <c r="BJ20" s="58">
        <f t="shared" si="8"/>
        <v>99.819096886931291</v>
      </c>
      <c r="BK20" s="58">
        <f t="shared" si="8"/>
        <v>99.572628953562557</v>
      </c>
      <c r="BL20" s="58">
        <f t="shared" si="8"/>
        <v>99.722838722257038</v>
      </c>
      <c r="BM20" s="58">
        <f t="shared" si="8"/>
        <v>99.742887931601544</v>
      </c>
      <c r="BN20" s="58">
        <f t="shared" si="8"/>
        <v>99.631662484406192</v>
      </c>
      <c r="BO20" s="58">
        <f t="shared" si="8"/>
        <v>99.484672813753363</v>
      </c>
      <c r="BP20" s="58">
        <f t="shared" si="8"/>
        <v>99.599945153913595</v>
      </c>
      <c r="BQ20" s="58">
        <f t="shared" si="8"/>
        <v>99.657098109459767</v>
      </c>
      <c r="BR20" s="58">
        <f t="shared" si="8"/>
        <v>99.297719109493343</v>
      </c>
      <c r="BS20" s="58">
        <f t="shared" si="8"/>
        <v>99.293695981055365</v>
      </c>
      <c r="BT20" s="58">
        <f t="shared" si="8"/>
        <v>99.419101557610489</v>
      </c>
      <c r="BU20" s="58">
        <f t="shared" si="8"/>
        <v>99.57759110064849</v>
      </c>
      <c r="BV20" s="58">
        <f t="shared" si="8"/>
        <v>99.61519842668811</v>
      </c>
      <c r="BW20" s="58">
        <f t="shared" si="8"/>
        <v>99.055679305742174</v>
      </c>
      <c r="BX20" s="58">
        <f t="shared" si="8"/>
        <v>99.298403967115419</v>
      </c>
      <c r="BY20" s="58">
        <f t="shared" si="8"/>
        <v>99.151156986079414</v>
      </c>
      <c r="BZ20" s="58">
        <f t="shared" si="8"/>
        <v>99.136406784410994</v>
      </c>
      <c r="CA20" s="58">
        <f t="shared" si="8"/>
        <v>99.19142319130431</v>
      </c>
      <c r="CB20" s="58">
        <f t="shared" si="8"/>
        <v>99.876478666731174</v>
      </c>
      <c r="CC20" s="58">
        <f t="shared" si="8"/>
        <v>99.858668027115343</v>
      </c>
      <c r="CD20" s="58">
        <f t="shared" ref="CD20:CJ20" si="9">CD18/CD17%</f>
        <v>99.820220977930859</v>
      </c>
      <c r="CE20" s="58">
        <f t="shared" si="9"/>
        <v>99.863116429537271</v>
      </c>
      <c r="CF20" s="58">
        <f t="shared" si="9"/>
        <v>99.864581118973277</v>
      </c>
      <c r="CG20" s="58">
        <f t="shared" si="9"/>
        <v>99.865753320878724</v>
      </c>
      <c r="CH20" s="58">
        <f t="shared" si="9"/>
        <v>99.783269152294181</v>
      </c>
      <c r="CI20" s="58">
        <f t="shared" si="9"/>
        <v>99.834650486386565</v>
      </c>
      <c r="CJ20" s="58">
        <f t="shared" si="9"/>
        <v>98.656939546691461</v>
      </c>
      <c r="CK20" s="58">
        <f t="shared" ref="CK20:CQ20" si="10">CK18/CK17%</f>
        <v>99.782154343613016</v>
      </c>
      <c r="CL20" s="58">
        <f t="shared" si="10"/>
        <v>99.892713949845074</v>
      </c>
      <c r="CM20" s="58">
        <f t="shared" si="10"/>
        <v>98.959107235464728</v>
      </c>
      <c r="CN20" s="58" t="e">
        <f t="shared" si="10"/>
        <v>#DIV/0!</v>
      </c>
      <c r="CO20" s="58">
        <f t="shared" si="10"/>
        <v>99.700709055739736</v>
      </c>
      <c r="CP20" s="58">
        <f t="shared" si="10"/>
        <v>99.730528976220924</v>
      </c>
      <c r="CQ20" s="58">
        <f t="shared" si="10"/>
        <v>99.714866588226585</v>
      </c>
      <c r="CR20" s="58">
        <f t="shared" ref="CR20:CW20" si="11">CR18/CR17%</f>
        <v>99.779307155080716</v>
      </c>
      <c r="CS20" s="58">
        <f t="shared" si="11"/>
        <v>99.804420991700852</v>
      </c>
      <c r="CT20" s="58">
        <f t="shared" si="11"/>
        <v>99.784485700489199</v>
      </c>
      <c r="CU20" s="58">
        <f t="shared" si="11"/>
        <v>99.735955571840989</v>
      </c>
      <c r="CV20" s="58">
        <f t="shared" si="11"/>
        <v>99.617899383641515</v>
      </c>
      <c r="CW20" s="58">
        <f t="shared" si="11"/>
        <v>99.777105335106612</v>
      </c>
      <c r="CX20" s="58">
        <f t="shared" ref="CX20:DZ20" si="12">CX18/CX17%</f>
        <v>99.760978883040039</v>
      </c>
      <c r="CY20" s="58">
        <f t="shared" si="12"/>
        <v>99.786746935076678</v>
      </c>
      <c r="CZ20" s="58">
        <f t="shared" si="12"/>
        <v>99.819388047745534</v>
      </c>
      <c r="DA20" s="58">
        <f t="shared" si="12"/>
        <v>99.783557656169336</v>
      </c>
      <c r="DB20" s="58">
        <f t="shared" si="12"/>
        <v>99.697114402208342</v>
      </c>
      <c r="DC20" s="58">
        <f t="shared" si="12"/>
        <v>99.656866899031712</v>
      </c>
      <c r="DD20" s="58">
        <f t="shared" si="12"/>
        <v>99.832364728381805</v>
      </c>
      <c r="DE20" s="58">
        <f t="shared" si="12"/>
        <v>99.820872701375734</v>
      </c>
      <c r="DF20" s="58">
        <f t="shared" si="12"/>
        <v>99.802814361628464</v>
      </c>
      <c r="DG20" s="58">
        <f t="shared" si="12"/>
        <v>99.808899531226828</v>
      </c>
      <c r="DH20" s="58">
        <f t="shared" si="12"/>
        <v>99.821590535110545</v>
      </c>
      <c r="DI20" s="58">
        <f t="shared" si="12"/>
        <v>99.651358300389404</v>
      </c>
      <c r="DJ20" s="58">
        <f t="shared" si="12"/>
        <v>99.742053345830698</v>
      </c>
      <c r="DK20" s="58">
        <f t="shared" si="12"/>
        <v>99.767439660863701</v>
      </c>
      <c r="DL20" s="58">
        <f t="shared" si="12"/>
        <v>99.618950764442843</v>
      </c>
      <c r="DM20" s="58">
        <f t="shared" si="12"/>
        <v>99.818584915514933</v>
      </c>
      <c r="DN20" s="58">
        <f t="shared" si="12"/>
        <v>99.861617133109476</v>
      </c>
      <c r="DO20" s="58">
        <f t="shared" si="12"/>
        <v>99.850150038689222</v>
      </c>
      <c r="DP20" s="58">
        <f t="shared" si="12"/>
        <v>99.854447440362307</v>
      </c>
      <c r="DQ20" s="58">
        <f t="shared" si="12"/>
        <v>99.780455570513567</v>
      </c>
      <c r="DR20" s="58">
        <f t="shared" si="12"/>
        <v>99.8257981856122</v>
      </c>
      <c r="DS20" s="58">
        <f t="shared" si="12"/>
        <v>99.831044730701549</v>
      </c>
      <c r="DT20" s="58">
        <f t="shared" si="12"/>
        <v>99.776474157058303</v>
      </c>
      <c r="DU20" s="58">
        <f t="shared" si="12"/>
        <v>99.89676064501694</v>
      </c>
      <c r="DV20" s="58">
        <f t="shared" si="12"/>
        <v>99.867740665306869</v>
      </c>
      <c r="DW20" s="58">
        <f t="shared" si="12"/>
        <v>99.862641116691407</v>
      </c>
      <c r="DX20" s="58">
        <f t="shared" si="12"/>
        <v>99.861467530159402</v>
      </c>
      <c r="DY20" s="58">
        <f t="shared" si="12"/>
        <v>99.86753998537408</v>
      </c>
      <c r="DZ20" s="58">
        <f t="shared" si="12"/>
        <v>99.862722966402231</v>
      </c>
      <c r="EA20" s="58">
        <f t="shared" ref="EA20:EC20" si="13">EA18/EA17%</f>
        <v>99.840481691838917</v>
      </c>
      <c r="EB20" s="58">
        <f t="shared" si="13"/>
        <v>99.890793289320285</v>
      </c>
      <c r="EC20" s="58">
        <f t="shared" si="13"/>
        <v>99.758264971583486</v>
      </c>
      <c r="ED20" s="58">
        <f t="shared" ref="ED20:EE20" si="14">ED18/ED17%</f>
        <v>99.882384653892913</v>
      </c>
      <c r="EE20" s="58">
        <f t="shared" si="14"/>
        <v>99.868298144726282</v>
      </c>
      <c r="EF20" s="58">
        <f t="shared" ref="EF20:EG20" si="15">EF18/EF17%</f>
        <v>99.619547199931503</v>
      </c>
      <c r="EG20" s="58">
        <f t="shared" si="15"/>
        <v>99.812333489103722</v>
      </c>
      <c r="EH20" s="58">
        <f t="shared" ref="EH20:EJ20" si="16">EH18/EH17%</f>
        <v>99.83086426585902</v>
      </c>
      <c r="EI20" s="58">
        <f t="shared" si="16"/>
        <v>99.848711015995988</v>
      </c>
      <c r="EJ20" s="58">
        <f t="shared" si="16"/>
        <v>99.872466352287631</v>
      </c>
      <c r="EK20" s="58">
        <f t="shared" ref="EK20:EL20" si="17">EK18/EK17%</f>
        <v>99.662601080221393</v>
      </c>
      <c r="EL20" s="58">
        <f t="shared" si="17"/>
        <v>99.778536187977323</v>
      </c>
      <c r="EM20" s="58">
        <f t="shared" ref="EM20:EN20" si="18">EM18/EM17%</f>
        <v>99.868362332326782</v>
      </c>
      <c r="EN20" s="58">
        <f t="shared" si="18"/>
        <v>99.863229471353037</v>
      </c>
      <c r="EO20" s="58">
        <f t="shared" ref="EO20:FP20" si="19">EO18/EO17%</f>
        <v>99.838865852556637</v>
      </c>
      <c r="EP20" s="58">
        <f t="shared" si="19"/>
        <v>99.8757067067111</v>
      </c>
      <c r="EQ20" s="58">
        <f t="shared" si="19"/>
        <v>99.618950764442843</v>
      </c>
      <c r="ER20" s="58">
        <f t="shared" si="19"/>
        <v>99.795104201115151</v>
      </c>
      <c r="ES20" s="58">
        <f t="shared" si="19"/>
        <v>99.863110041206767</v>
      </c>
      <c r="ET20" s="58">
        <f t="shared" si="19"/>
        <v>99.888282864106017</v>
      </c>
      <c r="EU20" s="58">
        <f t="shared" si="19"/>
        <v>99.791637661996717</v>
      </c>
      <c r="EV20" s="58">
        <f t="shared" si="19"/>
        <v>99.906662210299544</v>
      </c>
      <c r="EW20" s="58">
        <f t="shared" si="19"/>
        <v>99.857986076054402</v>
      </c>
      <c r="EX20" s="58">
        <f t="shared" si="19"/>
        <v>99.899399332320129</v>
      </c>
      <c r="EY20" s="58">
        <f t="shared" si="19"/>
        <v>99.910122228267184</v>
      </c>
      <c r="EZ20" s="58">
        <f t="shared" si="19"/>
        <v>99.902376812642046</v>
      </c>
      <c r="FA20" s="58">
        <f t="shared" si="19"/>
        <v>99.889793929286483</v>
      </c>
      <c r="FB20" s="58">
        <f t="shared" si="19"/>
        <v>99.574964222510616</v>
      </c>
      <c r="FC20" s="58">
        <f t="shared" si="19"/>
        <v>99.872540143175243</v>
      </c>
      <c r="FD20" s="58">
        <f t="shared" si="19"/>
        <v>99.842189820354392</v>
      </c>
      <c r="FE20" s="58">
        <f t="shared" si="19"/>
        <v>99.878866871231097</v>
      </c>
      <c r="FF20" s="58">
        <f t="shared" si="19"/>
        <v>99.892877614550855</v>
      </c>
      <c r="FG20" s="58">
        <f t="shared" si="19"/>
        <v>99.884658831281882</v>
      </c>
      <c r="FH20" s="58">
        <f t="shared" si="19"/>
        <v>99.866140455602292</v>
      </c>
      <c r="FI20" s="58">
        <f t="shared" si="19"/>
        <v>99.526274137084656</v>
      </c>
      <c r="FJ20" s="58">
        <f t="shared" si="19"/>
        <v>99.384764334741917</v>
      </c>
      <c r="FK20" s="58">
        <f t="shared" si="19"/>
        <v>98.35116169856218</v>
      </c>
      <c r="FL20" s="58">
        <f t="shared" si="19"/>
        <v>99.875222590920728</v>
      </c>
      <c r="FM20" s="58">
        <f t="shared" si="19"/>
        <v>99.72607881502455</v>
      </c>
      <c r="FN20" s="58">
        <f t="shared" si="19"/>
        <v>99.748801804104403</v>
      </c>
      <c r="FO20" s="58">
        <f t="shared" si="19"/>
        <v>99.718425204529268</v>
      </c>
      <c r="FP20" s="58">
        <f t="shared" si="19"/>
        <v>99.670634337714986</v>
      </c>
      <c r="FQ20" s="58">
        <f t="shared" ref="FQ20:GB20" si="20">FQ18/FQ17%</f>
        <v>99.612762423689247</v>
      </c>
      <c r="FR20" s="58">
        <f t="shared" si="20"/>
        <v>99.623940690712729</v>
      </c>
      <c r="FS20" s="58">
        <f t="shared" si="20"/>
        <v>99.894130791845015</v>
      </c>
      <c r="FT20" s="58">
        <f t="shared" si="20"/>
        <v>99.917493943713751</v>
      </c>
      <c r="FU20" s="58">
        <f t="shared" si="20"/>
        <v>99.875482830051254</v>
      </c>
      <c r="FV20" s="58">
        <f t="shared" si="20"/>
        <v>99.873362203746424</v>
      </c>
      <c r="FW20" s="58">
        <f t="shared" si="20"/>
        <v>99.829862880787147</v>
      </c>
      <c r="FX20" s="58">
        <f t="shared" si="20"/>
        <v>99.503608657411775</v>
      </c>
      <c r="FY20" s="58">
        <f t="shared" si="20"/>
        <v>99.725076220551301</v>
      </c>
      <c r="FZ20" s="58">
        <f t="shared" si="20"/>
        <v>99.535273840338007</v>
      </c>
      <c r="GA20" s="58">
        <f t="shared" si="20"/>
        <v>99.61163860288201</v>
      </c>
      <c r="GB20" s="58">
        <f t="shared" si="20"/>
        <v>99.883557508262243</v>
      </c>
      <c r="GC20" s="58">
        <f>GC18/GC17%</f>
        <v>99.829841394231934</v>
      </c>
      <c r="GD20" s="58">
        <f>GD18/GD17%</f>
        <v>94.533638631121605</v>
      </c>
      <c r="GE20" s="58">
        <f t="shared" ref="GE20:GK20" si="21">GE18/GE17%</f>
        <v>99.882155843543188</v>
      </c>
      <c r="GF20" s="58">
        <f t="shared" si="21"/>
        <v>99.853099011802513</v>
      </c>
      <c r="GG20" s="58">
        <f t="shared" si="21"/>
        <v>99.887165292928202</v>
      </c>
      <c r="GH20" s="58">
        <f t="shared" si="21"/>
        <v>99.885252945755695</v>
      </c>
      <c r="GI20" s="58">
        <f t="shared" si="21"/>
        <v>99.891396675674599</v>
      </c>
      <c r="GJ20" s="58">
        <f t="shared" si="21"/>
        <v>99.876964949930169</v>
      </c>
      <c r="GK20" s="58">
        <f t="shared" si="21"/>
        <v>99.88826888259598</v>
      </c>
      <c r="GL20" s="58">
        <f t="shared" ref="GL20:GR20" si="22">GL18/GL17%</f>
        <v>99.822387160875806</v>
      </c>
      <c r="GM20" s="58">
        <f t="shared" si="22"/>
        <v>99.897948676997828</v>
      </c>
      <c r="GN20" s="58">
        <f t="shared" si="22"/>
        <v>99.800475164348455</v>
      </c>
      <c r="GO20" s="58">
        <f t="shared" si="22"/>
        <v>99.891066892596825</v>
      </c>
      <c r="GP20" s="58">
        <f t="shared" si="22"/>
        <v>99.885640049618246</v>
      </c>
      <c r="GQ20" s="58">
        <f t="shared" si="22"/>
        <v>99.895667249339482</v>
      </c>
      <c r="GR20" s="58">
        <f t="shared" si="22"/>
        <v>99.85985197022751</v>
      </c>
      <c r="GS20" s="58">
        <f t="shared" ref="GS20:GT20" si="23">GS18/GS17%</f>
        <v>99.867349515058564</v>
      </c>
      <c r="GT20" s="58">
        <f t="shared" si="23"/>
        <v>99.911321612021084</v>
      </c>
      <c r="GU20" s="58">
        <f t="shared" ref="GU20:GW20" si="24">GU18/GU17%</f>
        <v>99.876585375441167</v>
      </c>
      <c r="GV20" s="58">
        <f t="shared" si="24"/>
        <v>99.913013106537548</v>
      </c>
      <c r="GW20" s="58">
        <f t="shared" si="24"/>
        <v>99.92288893162646</v>
      </c>
      <c r="GX20" s="58">
        <f t="shared" ref="GX20:GY20" si="25">GX18/GX17%</f>
        <v>99.887101633564612</v>
      </c>
      <c r="GY20" s="58">
        <f t="shared" si="25"/>
        <v>99.902548296926781</v>
      </c>
      <c r="GZ20" s="58">
        <f t="shared" ref="GZ20:HB20" si="26">GZ18/GZ17%</f>
        <v>99.907158363862564</v>
      </c>
      <c r="HA20" s="58">
        <f t="shared" si="26"/>
        <v>99.914783696386621</v>
      </c>
      <c r="HB20" s="58">
        <f t="shared" si="26"/>
        <v>99.921373979889538</v>
      </c>
      <c r="HC20" s="58">
        <f t="shared" ref="HC20:HD20" si="27">HC18/HC17%</f>
        <v>99.638760899657171</v>
      </c>
      <c r="HD20" s="58">
        <f t="shared" si="27"/>
        <v>99.854752964335404</v>
      </c>
      <c r="HE20" s="58">
        <f t="shared" ref="HE20:HF20" si="28">HE18/HE17%</f>
        <v>99.887501100872328</v>
      </c>
      <c r="HF20" s="58">
        <f t="shared" si="28"/>
        <v>99.885771946970578</v>
      </c>
      <c r="HG20" s="58">
        <f t="shared" ref="HG20:HI20" si="29">HG18/HG17%</f>
        <v>99.877177113714978</v>
      </c>
      <c r="HH20" s="58">
        <f t="shared" si="29"/>
        <v>99.772412361900308</v>
      </c>
      <c r="HI20" s="58">
        <f t="shared" si="29"/>
        <v>99.880776179775467</v>
      </c>
      <c r="HJ20" s="58">
        <f t="shared" ref="HJ20:HK20" si="30">HJ18/HJ17%</f>
        <v>99.86680472209062</v>
      </c>
      <c r="HK20" s="58">
        <f t="shared" si="30"/>
        <v>99.868507493607666</v>
      </c>
      <c r="HL20" s="58">
        <f t="shared" ref="HL20:HM20" si="31">HL18/HL17%</f>
        <v>99.868283647263496</v>
      </c>
      <c r="HM20" s="58">
        <f t="shared" si="31"/>
        <v>99.913617178989526</v>
      </c>
      <c r="HN20" s="58">
        <f t="shared" ref="HN20:HP20" si="32">HN18/HN17%</f>
        <v>99.928594288750816</v>
      </c>
      <c r="HO20" s="58">
        <f t="shared" si="32"/>
        <v>99.922991508859667</v>
      </c>
      <c r="HP20" s="58">
        <f t="shared" si="32"/>
        <v>99.916442937332562</v>
      </c>
      <c r="HQ20" s="58">
        <f t="shared" ref="HQ20:HR20" si="33">HQ18/HQ17%</f>
        <v>99.66139574449501</v>
      </c>
      <c r="HR20" s="58">
        <f t="shared" si="33"/>
        <v>99.701905814364622</v>
      </c>
      <c r="HS20" s="58">
        <f t="shared" ref="HS20:HT20" si="34">HS18/HS17%</f>
        <v>99.910827424287703</v>
      </c>
      <c r="HT20" s="58">
        <f t="shared" si="34"/>
        <v>99.755942222856106</v>
      </c>
      <c r="HU20" s="58">
        <f t="shared" ref="HU20:HW20" si="35">HU18/HU17%</f>
        <v>99.70863484539656</v>
      </c>
      <c r="HV20" s="58">
        <f t="shared" si="35"/>
        <v>99.749223478279163</v>
      </c>
      <c r="HW20" s="58">
        <f t="shared" si="35"/>
        <v>99.79012159339598</v>
      </c>
      <c r="HX20" s="58">
        <f t="shared" ref="HX20:HY20" si="36">HX18/HX17%</f>
        <v>99.605934899163842</v>
      </c>
      <c r="HY20" s="58">
        <f t="shared" si="36"/>
        <v>99.659050162592578</v>
      </c>
      <c r="HZ20" s="58">
        <f t="shared" ref="HZ20:IA20" si="37">HZ18/HZ17%</f>
        <v>99.587602341745495</v>
      </c>
      <c r="IA20" s="58">
        <f t="shared" si="37"/>
        <v>99.749029521790959</v>
      </c>
      <c r="IB20" s="58">
        <f t="shared" ref="IB20:ID20" si="38">IB18/IB17%</f>
        <v>99.904142473359869</v>
      </c>
      <c r="IC20" s="58">
        <f t="shared" si="38"/>
        <v>99.846175758438974</v>
      </c>
      <c r="ID20" s="58">
        <f t="shared" si="38"/>
        <v>99.791528539708025</v>
      </c>
      <c r="IE20" s="58">
        <f t="shared" ref="IE20:IF20" si="39">IE18/IE17%</f>
        <v>99.904244764353479</v>
      </c>
      <c r="IF20" s="58">
        <f t="shared" si="39"/>
        <v>99.800481745775798</v>
      </c>
      <c r="IG20" s="58">
        <f t="shared" ref="IG20:IH20" si="40">IG18/IG17%</f>
        <v>99.65396403145543</v>
      </c>
      <c r="IH20" s="58">
        <f t="shared" si="40"/>
        <v>99.777802387259129</v>
      </c>
      <c r="II20" s="58">
        <f t="shared" ref="II20:IJ20" si="41">II18/II17%</f>
        <v>99.850370384649239</v>
      </c>
      <c r="IJ20" s="58">
        <f t="shared" si="41"/>
        <v>99.715831098524959</v>
      </c>
      <c r="IK20" s="58">
        <f t="shared" ref="IK20:IL20" si="42">IK18/IK17%</f>
        <v>99.6758158599756</v>
      </c>
      <c r="IL20" s="58">
        <f t="shared" si="42"/>
        <v>99.676947429932</v>
      </c>
      <c r="IM20" s="58">
        <f t="shared" ref="IM20:IN20" si="43">IM18/IM17%</f>
        <v>99.54908405359231</v>
      </c>
      <c r="IN20" s="58">
        <f t="shared" si="43"/>
        <v>99.650593102041043</v>
      </c>
      <c r="IO20" s="58">
        <f t="shared" ref="IO20:IR20" si="44">IO18/IO17%</f>
        <v>99.563208573077162</v>
      </c>
      <c r="IP20" s="58">
        <f t="shared" si="44"/>
        <v>99.638206003258688</v>
      </c>
      <c r="IQ20" s="58">
        <f t="shared" si="44"/>
        <v>99.68136883387568</v>
      </c>
      <c r="IR20" s="58">
        <f t="shared" si="44"/>
        <v>99.638407380096368</v>
      </c>
      <c r="IS20" s="58">
        <f t="shared" ref="IS20:IT20" si="45">IS18/IS17%</f>
        <v>99.647681980060725</v>
      </c>
      <c r="IT20" s="58">
        <f t="shared" si="45"/>
        <v>99.633694651070641</v>
      </c>
      <c r="IU20" s="58">
        <f t="shared" ref="IU20:IV20" si="46">IU18/IU17%</f>
        <v>99.612717849321228</v>
      </c>
      <c r="IV20" s="58">
        <f t="shared" si="46"/>
        <v>99.700246435935995</v>
      </c>
      <c r="IW20" s="58">
        <f t="shared" ref="IW20:JA20" si="47">IW18/IW17%</f>
        <v>99.742066269375925</v>
      </c>
      <c r="IX20" s="58">
        <f t="shared" si="47"/>
        <v>99.523015499922408</v>
      </c>
      <c r="IY20" s="58">
        <f t="shared" si="47"/>
        <v>99.657669265878567</v>
      </c>
      <c r="IZ20" s="58">
        <f t="shared" si="47"/>
        <v>99.461213412690952</v>
      </c>
      <c r="JA20" s="58">
        <f t="shared" si="47"/>
        <v>99.62596417229858</v>
      </c>
      <c r="JB20" s="58">
        <f t="shared" ref="JB20:JO20" si="48">JB18/JB17%</f>
        <v>99.67244570978481</v>
      </c>
      <c r="JC20" s="58">
        <f t="shared" si="48"/>
        <v>99.71599377428609</v>
      </c>
      <c r="JD20" s="58">
        <f t="shared" si="48"/>
        <v>99.541708318172581</v>
      </c>
      <c r="JE20" s="58">
        <f t="shared" si="48"/>
        <v>99.196945389879915</v>
      </c>
      <c r="JF20" s="58">
        <f t="shared" si="48"/>
        <v>99.195380015661328</v>
      </c>
      <c r="JG20" s="58">
        <f t="shared" si="48"/>
        <v>99.789391570204501</v>
      </c>
      <c r="JH20" s="58">
        <f t="shared" si="48"/>
        <v>99.841157933043064</v>
      </c>
      <c r="JI20" s="58">
        <f t="shared" si="48"/>
        <v>99.898770565638628</v>
      </c>
      <c r="JJ20" s="58">
        <f t="shared" si="48"/>
        <v>99.894446026006463</v>
      </c>
      <c r="JK20" s="58">
        <f t="shared" si="48"/>
        <v>99.898101710988314</v>
      </c>
      <c r="JL20" s="58">
        <f t="shared" si="48"/>
        <v>99.867955258696938</v>
      </c>
      <c r="JM20" s="58">
        <f t="shared" si="48"/>
        <v>99.811001173369121</v>
      </c>
      <c r="JN20" s="58">
        <f t="shared" si="48"/>
        <v>99.728204428418977</v>
      </c>
      <c r="JO20" s="58">
        <f t="shared" si="48"/>
        <v>99.734611897826952</v>
      </c>
      <c r="JP20" s="58">
        <f t="shared" ref="JP20:LN20" si="49">JP18/JP17%</f>
        <v>99.769322603698981</v>
      </c>
      <c r="JQ20" s="58">
        <f t="shared" si="49"/>
        <v>99.680550425622414</v>
      </c>
      <c r="JR20" s="58">
        <f t="shared" si="49"/>
        <v>99.705796554955612</v>
      </c>
      <c r="JS20" s="58">
        <f t="shared" si="49"/>
        <v>99.908930706845823</v>
      </c>
      <c r="JT20" s="58">
        <f t="shared" si="49"/>
        <v>99.762552843664508</v>
      </c>
      <c r="JU20" s="58">
        <f t="shared" si="49"/>
        <v>99.660836824501104</v>
      </c>
      <c r="JV20" s="58">
        <f t="shared" si="49"/>
        <v>99.395259211329559</v>
      </c>
      <c r="JW20" s="58">
        <f t="shared" si="49"/>
        <v>99.172138138408727</v>
      </c>
      <c r="JX20" s="58">
        <f t="shared" si="49"/>
        <v>99.726335945740729</v>
      </c>
      <c r="JY20" s="58">
        <f t="shared" si="49"/>
        <v>99.936237607059354</v>
      </c>
      <c r="JZ20" s="58">
        <f t="shared" si="49"/>
        <v>99.927430716567471</v>
      </c>
      <c r="KA20" s="58">
        <f t="shared" si="49"/>
        <v>99.927560557884874</v>
      </c>
      <c r="KB20" s="58">
        <f t="shared" si="49"/>
        <v>99.927928928578083</v>
      </c>
      <c r="KC20" s="58">
        <f t="shared" si="49"/>
        <v>99.890320259408085</v>
      </c>
      <c r="KD20" s="58">
        <f t="shared" si="49"/>
        <v>99.844702569552481</v>
      </c>
      <c r="KE20" s="58">
        <f t="shared" si="49"/>
        <v>99.563990073844337</v>
      </c>
      <c r="KF20" s="58">
        <f t="shared" si="49"/>
        <v>99.838756295855646</v>
      </c>
      <c r="KG20" s="58">
        <f t="shared" si="49"/>
        <v>99.904347314833615</v>
      </c>
      <c r="KH20" s="58">
        <f t="shared" si="49"/>
        <v>99.937924077948338</v>
      </c>
      <c r="KI20" s="58">
        <f t="shared" si="49"/>
        <v>99.888582011354345</v>
      </c>
      <c r="KJ20" s="58">
        <f t="shared" si="49"/>
        <v>99.902369259469481</v>
      </c>
      <c r="KK20" s="58">
        <f t="shared" si="49"/>
        <v>99.918949313977606</v>
      </c>
      <c r="KL20" s="58">
        <f t="shared" si="49"/>
        <v>99.926566241789629</v>
      </c>
      <c r="KM20" s="58">
        <f t="shared" si="49"/>
        <v>99.921580108118803</v>
      </c>
      <c r="KN20" s="58">
        <f t="shared" si="49"/>
        <v>99.933151078047473</v>
      </c>
      <c r="KO20" s="58">
        <f t="shared" si="49"/>
        <v>99.777464628695142</v>
      </c>
      <c r="KP20" s="58">
        <f t="shared" si="49"/>
        <v>99.934643571985404</v>
      </c>
      <c r="KQ20" s="58">
        <f t="shared" si="49"/>
        <v>99.928292546747556</v>
      </c>
      <c r="KR20" s="58">
        <f t="shared" si="49"/>
        <v>99.925370482066839</v>
      </c>
      <c r="KS20" s="58">
        <f t="shared" si="49"/>
        <v>99.93405186299546</v>
      </c>
      <c r="KT20" s="58">
        <f t="shared" si="49"/>
        <v>99.86326527908551</v>
      </c>
      <c r="KU20" s="58">
        <f t="shared" si="49"/>
        <v>99.778814557725283</v>
      </c>
      <c r="KV20" s="58">
        <f t="shared" si="49"/>
        <v>99.914823850473354</v>
      </c>
      <c r="KW20" s="58">
        <f t="shared" si="49"/>
        <v>99.5967747479298</v>
      </c>
      <c r="KX20" s="58">
        <f t="shared" si="49"/>
        <v>98.390759953654936</v>
      </c>
      <c r="KY20" s="58">
        <f t="shared" si="49"/>
        <v>99.923067989994848</v>
      </c>
      <c r="KZ20" s="58">
        <f t="shared" si="49"/>
        <v>99.915619613159024</v>
      </c>
      <c r="LA20" s="58">
        <f t="shared" si="49"/>
        <v>99.929396696446844</v>
      </c>
      <c r="LB20" s="58">
        <f t="shared" si="49"/>
        <v>99.927632116175246</v>
      </c>
      <c r="LC20" s="58">
        <f t="shared" si="49"/>
        <v>99.928571242763098</v>
      </c>
      <c r="LD20" s="58">
        <f t="shared" si="49"/>
        <v>99.92547781283082</v>
      </c>
      <c r="LE20" s="58">
        <f t="shared" si="49"/>
        <v>99.899342912492003</v>
      </c>
      <c r="LF20" s="58">
        <f t="shared" si="49"/>
        <v>99.863106589321433</v>
      </c>
      <c r="LG20" s="58">
        <f t="shared" si="49"/>
        <v>99.902325065739561</v>
      </c>
      <c r="LH20" s="71">
        <f t="shared" si="49"/>
        <v>99.930986548803943</v>
      </c>
      <c r="LI20" s="71">
        <f t="shared" si="49"/>
        <v>99.913912762911153</v>
      </c>
      <c r="LJ20" s="71">
        <f t="shared" si="49"/>
        <v>99.911808109969201</v>
      </c>
      <c r="LK20" s="71">
        <f t="shared" si="49"/>
        <v>99.925403405813199</v>
      </c>
      <c r="LL20" s="71">
        <f t="shared" si="49"/>
        <v>98.573705683770584</v>
      </c>
      <c r="LM20" s="71">
        <f t="shared" si="49"/>
        <v>99.924608631771051</v>
      </c>
      <c r="LN20" s="71">
        <f t="shared" si="49"/>
        <v>99.910590606688956</v>
      </c>
      <c r="LO20" s="104">
        <v>99.93</v>
      </c>
      <c r="LP20" s="104">
        <v>99.9</v>
      </c>
      <c r="LQ20" s="116">
        <v>99.91</v>
      </c>
      <c r="LR20" s="104">
        <v>99.91</v>
      </c>
      <c r="LS20" s="101">
        <v>99.9</v>
      </c>
      <c r="LT20" s="101">
        <v>99.88</v>
      </c>
      <c r="LU20" s="102">
        <v>99.51</v>
      </c>
      <c r="LV20" s="104">
        <v>99.45</v>
      </c>
      <c r="LW20" s="104">
        <v>99.57</v>
      </c>
      <c r="LX20" s="104">
        <v>99.82</v>
      </c>
      <c r="LY20" s="91">
        <v>99.8</v>
      </c>
      <c r="LZ20" s="104">
        <v>99.82</v>
      </c>
      <c r="MA20" s="104">
        <v>99.62</v>
      </c>
      <c r="MB20" s="71">
        <v>98.710369931677533</v>
      </c>
      <c r="MC20" s="71">
        <v>99.57663779205383</v>
      </c>
      <c r="MD20" s="71">
        <v>99.938960695388602</v>
      </c>
      <c r="ME20" s="71">
        <v>99.935735839353583</v>
      </c>
      <c r="MF20" s="71">
        <v>99.942887910249993</v>
      </c>
      <c r="MG20" s="71">
        <v>99.942887910249993</v>
      </c>
      <c r="MH20" s="71">
        <v>99.942887910249993</v>
      </c>
      <c r="MI20" s="71">
        <v>99.94</v>
      </c>
      <c r="MJ20" s="71">
        <v>99.92</v>
      </c>
      <c r="MK20" s="71">
        <v>99.9</v>
      </c>
      <c r="ML20" s="101">
        <v>99.94</v>
      </c>
      <c r="MM20" s="101">
        <v>99.86</v>
      </c>
      <c r="MN20" s="102">
        <v>99.79</v>
      </c>
      <c r="MO20" s="116">
        <v>99.24</v>
      </c>
      <c r="MP20" s="48">
        <v>99.89</v>
      </c>
      <c r="MQ20" s="101">
        <v>99.66</v>
      </c>
      <c r="MR20" s="101">
        <v>99.9</v>
      </c>
      <c r="MS20" s="101">
        <v>99.94</v>
      </c>
      <c r="MT20" s="101">
        <v>99.9</v>
      </c>
      <c r="MU20" s="101">
        <v>99.91</v>
      </c>
      <c r="MV20" s="102">
        <v>99.95</v>
      </c>
      <c r="MW20" s="48">
        <v>99.95</v>
      </c>
      <c r="MX20" s="48">
        <v>99.85</v>
      </c>
      <c r="MY20" s="48">
        <v>99.95</v>
      </c>
      <c r="MZ20" s="48">
        <v>99.92</v>
      </c>
      <c r="NA20" s="48">
        <v>99.7</v>
      </c>
      <c r="NB20" s="48">
        <v>99.94</v>
      </c>
      <c r="NC20" s="48">
        <v>99.95</v>
      </c>
      <c r="ND20" s="48">
        <v>97.61</v>
      </c>
      <c r="NE20" s="101">
        <v>99.91</v>
      </c>
      <c r="NF20" s="101">
        <v>99.92</v>
      </c>
      <c r="NG20" s="101">
        <v>99.92</v>
      </c>
      <c r="NH20" s="101">
        <v>99.91</v>
      </c>
      <c r="NI20" s="101">
        <v>99.88</v>
      </c>
      <c r="NJ20" s="101">
        <v>99.93</v>
      </c>
      <c r="NK20" s="102">
        <v>99.91</v>
      </c>
      <c r="NL20" s="48">
        <v>99.93</v>
      </c>
      <c r="NM20" s="48">
        <v>99.93</v>
      </c>
      <c r="NN20" s="158">
        <v>99.9</v>
      </c>
      <c r="NO20" s="48">
        <v>99.93</v>
      </c>
      <c r="NP20" s="48">
        <v>99.89</v>
      </c>
      <c r="NQ20" s="48">
        <v>99.93</v>
      </c>
      <c r="NR20" s="102">
        <v>99.94</v>
      </c>
      <c r="NS20" s="104">
        <v>99.94</v>
      </c>
      <c r="NT20" s="71">
        <f>NT18/NT17*100</f>
        <v>99.93604567127251</v>
      </c>
      <c r="NU20" s="71">
        <f t="shared" ref="NU20" si="50">NU18/NU17*100</f>
        <v>99.935675985901256</v>
      </c>
      <c r="NV20" s="48">
        <v>99.93</v>
      </c>
      <c r="NW20" s="48">
        <v>99.91</v>
      </c>
      <c r="NX20" s="48">
        <v>99.94</v>
      </c>
      <c r="NY20" s="48">
        <v>99.94</v>
      </c>
      <c r="NZ20" s="48">
        <v>99.94</v>
      </c>
      <c r="OA20" s="48">
        <v>99.94</v>
      </c>
      <c r="OB20" s="48">
        <v>99.92</v>
      </c>
      <c r="OC20" s="48">
        <v>99.94</v>
      </c>
      <c r="OD20" s="48">
        <v>99.94</v>
      </c>
      <c r="OK20" s="48">
        <v>99.95</v>
      </c>
      <c r="OL20" s="48">
        <v>99.94</v>
      </c>
      <c r="OM20" s="48">
        <v>99.65</v>
      </c>
      <c r="ON20" s="48">
        <v>99.92</v>
      </c>
      <c r="OO20" s="48">
        <v>99.88</v>
      </c>
      <c r="OP20" s="48">
        <v>99.89</v>
      </c>
      <c r="OQ20" s="48">
        <v>99.91</v>
      </c>
      <c r="OR20" s="48">
        <v>99.87</v>
      </c>
      <c r="OS20" s="48">
        <v>99.46</v>
      </c>
      <c r="OT20" s="48">
        <v>99.8</v>
      </c>
      <c r="OU20" s="48">
        <v>99.7</v>
      </c>
      <c r="OV20" s="48">
        <v>99.95</v>
      </c>
      <c r="OW20" s="48">
        <v>99.92</v>
      </c>
      <c r="OX20" s="48">
        <v>99.87</v>
      </c>
      <c r="OY20" s="48">
        <v>99.63</v>
      </c>
      <c r="OZ20" s="48">
        <v>99.78</v>
      </c>
      <c r="PA20" s="48">
        <v>99.71</v>
      </c>
      <c r="PB20" s="48">
        <v>99.78</v>
      </c>
      <c r="PC20" s="48">
        <v>99.94</v>
      </c>
      <c r="PD20" s="48">
        <v>99.81</v>
      </c>
      <c r="PE20" s="48">
        <v>99.93</v>
      </c>
      <c r="PF20" s="48">
        <v>99.84</v>
      </c>
      <c r="PG20" s="101">
        <v>99.94</v>
      </c>
      <c r="PH20" s="101">
        <v>99.88</v>
      </c>
      <c r="PI20" s="101">
        <v>99.89</v>
      </c>
      <c r="PJ20" s="101">
        <v>99.91</v>
      </c>
      <c r="PK20" s="102">
        <v>99.61</v>
      </c>
      <c r="PL20" s="48">
        <v>99.83</v>
      </c>
      <c r="PM20" s="48">
        <v>99.95</v>
      </c>
      <c r="PN20" s="329">
        <v>99.92</v>
      </c>
      <c r="PO20" s="329">
        <v>99.95</v>
      </c>
      <c r="PP20" s="48">
        <v>99.94</v>
      </c>
      <c r="PQ20" s="48">
        <v>97.79</v>
      </c>
      <c r="PR20" s="48">
        <v>99.95</v>
      </c>
      <c r="PS20" s="48">
        <v>99.95</v>
      </c>
      <c r="PT20" s="48">
        <v>99.94</v>
      </c>
      <c r="PU20" s="48">
        <v>99.94</v>
      </c>
      <c r="PV20" s="48">
        <v>99.93</v>
      </c>
      <c r="PW20" s="48">
        <v>99.93</v>
      </c>
      <c r="PX20" s="48">
        <v>99.94</v>
      </c>
      <c r="PY20" s="2">
        <v>99.94</v>
      </c>
      <c r="PZ20" s="2">
        <v>99.94</v>
      </c>
      <c r="QA20" s="48">
        <v>99.91</v>
      </c>
      <c r="QB20" s="48">
        <v>99.87</v>
      </c>
      <c r="QC20" s="48">
        <v>99.92</v>
      </c>
      <c r="QD20" s="48">
        <v>99.93</v>
      </c>
      <c r="QE20" s="158">
        <v>99.93</v>
      </c>
      <c r="QF20" s="48">
        <v>99.91</v>
      </c>
      <c r="QG20" s="48">
        <v>99.93</v>
      </c>
      <c r="QH20" s="104">
        <v>99.93</v>
      </c>
      <c r="QI20" s="48">
        <v>99.93</v>
      </c>
      <c r="QJ20" s="5">
        <v>99.93</v>
      </c>
      <c r="QK20" s="48">
        <v>99.94</v>
      </c>
      <c r="QL20" s="48">
        <v>99.89</v>
      </c>
      <c r="QM20" s="48">
        <v>99.92</v>
      </c>
      <c r="QN20" s="48">
        <v>99.93</v>
      </c>
      <c r="QO20" s="48">
        <v>99.93</v>
      </c>
      <c r="QP20" s="48">
        <v>99.92</v>
      </c>
      <c r="QQ20" s="329">
        <v>99.92</v>
      </c>
      <c r="QR20" s="48">
        <v>99.92</v>
      </c>
      <c r="QS20" s="48">
        <v>99.93</v>
      </c>
      <c r="QT20" s="48">
        <v>99.92</v>
      </c>
      <c r="QU20" s="48">
        <v>99.92</v>
      </c>
      <c r="QV20" s="48">
        <v>99.91</v>
      </c>
      <c r="QW20" s="48">
        <v>99.9</v>
      </c>
      <c r="QX20" s="48">
        <v>99.82</v>
      </c>
      <c r="QY20" s="48">
        <v>99.88</v>
      </c>
      <c r="QZ20" s="48">
        <v>99.89</v>
      </c>
      <c r="RA20" s="48">
        <v>99.88</v>
      </c>
      <c r="RB20" s="48">
        <v>99.9</v>
      </c>
      <c r="RC20" s="48">
        <v>99.9</v>
      </c>
      <c r="RD20" s="48">
        <v>99.88</v>
      </c>
      <c r="RE20" s="48">
        <v>99.87</v>
      </c>
      <c r="RF20" s="48">
        <v>99.91</v>
      </c>
      <c r="RG20" s="48">
        <v>99.91</v>
      </c>
      <c r="RH20" s="48">
        <v>99.91</v>
      </c>
      <c r="RI20" s="158">
        <v>99.82</v>
      </c>
      <c r="RJ20" s="48">
        <v>99.9</v>
      </c>
      <c r="RK20" s="48">
        <v>99.86</v>
      </c>
      <c r="RL20" s="48">
        <v>99.88</v>
      </c>
      <c r="RM20" s="48">
        <v>99.88</v>
      </c>
      <c r="RN20" s="48">
        <v>99.82</v>
      </c>
      <c r="RO20" s="48">
        <v>99.91</v>
      </c>
      <c r="RP20" s="48">
        <v>99.91</v>
      </c>
      <c r="RQ20" s="48">
        <v>99.91</v>
      </c>
      <c r="RR20" s="48">
        <v>99.91</v>
      </c>
      <c r="RS20" s="48">
        <v>99.91</v>
      </c>
      <c r="RT20" s="48">
        <v>99.8</v>
      </c>
      <c r="RU20" s="48">
        <v>99.5</v>
      </c>
      <c r="RV20" s="48">
        <v>99.56</v>
      </c>
    </row>
    <row r="21" spans="2:490" x14ac:dyDescent="0.25">
      <c r="B21" s="187" t="s">
        <v>115</v>
      </c>
      <c r="C21" s="58">
        <f>(C18+C19-C5-C6-C10-C11-C14)/C17%</f>
        <v>100.11576980606016</v>
      </c>
      <c r="D21" s="58">
        <f>(D18+D19-D5-D6-D10-D11-D14)/D17%</f>
        <v>99.976324485519328</v>
      </c>
      <c r="E21" s="58">
        <f t="shared" ref="E21:BO21" si="51">(E18+E19-E5-E6-E7-E14-E11-E10)/E17%</f>
        <v>99.975629306038158</v>
      </c>
      <c r="F21" s="58">
        <f t="shared" si="51"/>
        <v>99.959328869451184</v>
      </c>
      <c r="G21" s="58">
        <f t="shared" si="51"/>
        <v>99.961995603267638</v>
      </c>
      <c r="H21" s="58">
        <f t="shared" si="51"/>
        <v>99.948069595469875</v>
      </c>
      <c r="I21" s="58">
        <f>(I18+I19-I5-I6-I7-I14-I11-I10)/I17%</f>
        <v>99.970339732176271</v>
      </c>
      <c r="J21" s="58">
        <f t="shared" si="51"/>
        <v>99.972649797061493</v>
      </c>
      <c r="K21" s="58">
        <f t="shared" si="51"/>
        <v>99.974391663608642</v>
      </c>
      <c r="L21" s="58">
        <f>(L18+L19-L5-L6-L7-L14-L11-L10)/L17%</f>
        <v>99.978182322235426</v>
      </c>
      <c r="M21" s="58">
        <f t="shared" si="51"/>
        <v>99.960712537265579</v>
      </c>
      <c r="N21" s="58">
        <f t="shared" si="51"/>
        <v>99.963417368332443</v>
      </c>
      <c r="O21" s="58">
        <f t="shared" si="51"/>
        <v>99.974888033346801</v>
      </c>
      <c r="P21" s="58">
        <f t="shared" si="51"/>
        <v>99.927218558147956</v>
      </c>
      <c r="Q21" s="58">
        <f t="shared" si="51"/>
        <v>99.972328494506939</v>
      </c>
      <c r="R21" s="58">
        <f t="shared" si="51"/>
        <v>99.972939723864641</v>
      </c>
      <c r="S21" s="58">
        <f t="shared" si="51"/>
        <v>99.976951001331287</v>
      </c>
      <c r="T21" s="58">
        <f t="shared" si="51"/>
        <v>99.975921715454547</v>
      </c>
      <c r="U21" s="58">
        <f t="shared" si="51"/>
        <v>99.967314986440542</v>
      </c>
      <c r="V21" s="58">
        <f t="shared" si="51"/>
        <v>99.974997543244896</v>
      </c>
      <c r="W21" s="58">
        <f t="shared" si="51"/>
        <v>99.97002522664711</v>
      </c>
      <c r="X21" s="58">
        <f t="shared" si="51"/>
        <v>99.963438645625644</v>
      </c>
      <c r="Y21" s="58">
        <f t="shared" si="51"/>
        <v>99.979780830482767</v>
      </c>
      <c r="Z21" s="58">
        <f t="shared" si="51"/>
        <v>99.960447313771326</v>
      </c>
      <c r="AA21" s="58">
        <f t="shared" si="51"/>
        <v>99.95425227147895</v>
      </c>
      <c r="AB21" s="58">
        <f t="shared" si="51"/>
        <v>99.975002990315431</v>
      </c>
      <c r="AC21" s="58">
        <f t="shared" si="51"/>
        <v>99.982067937835282</v>
      </c>
      <c r="AD21" s="58">
        <f t="shared" si="51"/>
        <v>99.979053197917125</v>
      </c>
      <c r="AE21" s="58">
        <f t="shared" si="51"/>
        <v>99.971452797590416</v>
      </c>
      <c r="AF21" s="58">
        <f t="shared" si="51"/>
        <v>99.976431214926492</v>
      </c>
      <c r="AG21" s="58">
        <f t="shared" si="51"/>
        <v>99.979372475581869</v>
      </c>
      <c r="AH21" s="58">
        <f t="shared" si="51"/>
        <v>99.950388831954143</v>
      </c>
      <c r="AI21" s="58">
        <f t="shared" si="51"/>
        <v>99.965516946983769</v>
      </c>
      <c r="AJ21" s="58">
        <f t="shared" si="51"/>
        <v>99.978394113664649</v>
      </c>
      <c r="AK21" s="58">
        <f t="shared" si="51"/>
        <v>99.977439721599126</v>
      </c>
      <c r="AL21" s="58">
        <f t="shared" si="51"/>
        <v>99.969328638996998</v>
      </c>
      <c r="AM21" s="58">
        <f t="shared" si="51"/>
        <v>99.982029515434775</v>
      </c>
      <c r="AN21" s="58">
        <f t="shared" si="51"/>
        <v>99.944634379041418</v>
      </c>
      <c r="AO21" s="58">
        <f t="shared" si="51"/>
        <v>99.917827784965766</v>
      </c>
      <c r="AP21" s="58">
        <f t="shared" si="51"/>
        <v>99.913939745045255</v>
      </c>
      <c r="AQ21" s="58">
        <f t="shared" si="51"/>
        <v>99.974086100483134</v>
      </c>
      <c r="AR21" s="58">
        <f t="shared" si="51"/>
        <v>99.9806273054906</v>
      </c>
      <c r="AS21" s="58">
        <f t="shared" si="51"/>
        <v>99.97923138910545</v>
      </c>
      <c r="AT21" s="58">
        <f>(AT18+AT19-AT5-AT6-AT7-AT14-AT11-AT10)/AT17%</f>
        <v>99.979809227333789</v>
      </c>
      <c r="AU21" s="58">
        <f t="shared" si="51"/>
        <v>99.981377940370621</v>
      </c>
      <c r="AV21" s="58">
        <f t="shared" si="51"/>
        <v>99.982506449605424</v>
      </c>
      <c r="AW21" s="58">
        <f t="shared" si="51"/>
        <v>99.977957568015924</v>
      </c>
      <c r="AX21" s="58">
        <f t="shared" si="51"/>
        <v>99.983246555534265</v>
      </c>
      <c r="AY21" s="58">
        <f t="shared" si="51"/>
        <v>99.978776957859054</v>
      </c>
      <c r="AZ21" s="58">
        <f t="shared" si="51"/>
        <v>99.981729577098548</v>
      </c>
      <c r="BA21" s="58">
        <f>(BA18+BA19-BA5-BA6-BA7-BA14-BA11-BA10)/BA17%</f>
        <v>99.980636599608829</v>
      </c>
      <c r="BB21" s="58">
        <f t="shared" si="51"/>
        <v>99.982261745680731</v>
      </c>
      <c r="BC21" s="58">
        <f t="shared" si="51"/>
        <v>99.981883080677576</v>
      </c>
      <c r="BD21" s="58">
        <f t="shared" si="51"/>
        <v>99.983134203872225</v>
      </c>
      <c r="BE21" s="58">
        <f t="shared" si="51"/>
        <v>99.982693228897503</v>
      </c>
      <c r="BF21" s="58">
        <f t="shared" si="51"/>
        <v>99.98209729000844</v>
      </c>
      <c r="BG21" s="58">
        <f t="shared" si="51"/>
        <v>99.979665196947408</v>
      </c>
      <c r="BH21" s="58">
        <f t="shared" si="51"/>
        <v>99.980766404124196</v>
      </c>
      <c r="BI21" s="58">
        <f t="shared" si="51"/>
        <v>99.976964770110797</v>
      </c>
      <c r="BJ21" s="58">
        <f t="shared" si="51"/>
        <v>99.981502206563107</v>
      </c>
      <c r="BK21" s="58">
        <f t="shared" si="51"/>
        <v>99.979839666287418</v>
      </c>
      <c r="BL21" s="58">
        <f t="shared" si="51"/>
        <v>99.98268424094951</v>
      </c>
      <c r="BM21" s="58">
        <f t="shared" si="51"/>
        <v>99.982815644803921</v>
      </c>
      <c r="BN21" s="58">
        <f t="shared" si="51"/>
        <v>99.980378082550871</v>
      </c>
      <c r="BO21" s="58">
        <f t="shared" si="51"/>
        <v>99.979658828979282</v>
      </c>
      <c r="BP21" s="58">
        <f t="shared" ref="BP21:CC21" si="52">(BP18+BP19-BP5-BP6-BP7-BP14-BP11-BP10)/BP17%</f>
        <v>99.979538734518442</v>
      </c>
      <c r="BQ21" s="58">
        <f t="shared" si="52"/>
        <v>99.982064716034913</v>
      </c>
      <c r="BR21" s="58">
        <f t="shared" si="52"/>
        <v>99.979344084659715</v>
      </c>
      <c r="BS21" s="58">
        <f t="shared" si="52"/>
        <v>99.981671036881465</v>
      </c>
      <c r="BT21" s="58">
        <f t="shared" si="52"/>
        <v>99.981780235931595</v>
      </c>
      <c r="BU21" s="58">
        <f t="shared" si="52"/>
        <v>99.98099731236249</v>
      </c>
      <c r="BV21" s="58">
        <f t="shared" si="52"/>
        <v>99.962553450946587</v>
      </c>
      <c r="BW21" s="58">
        <f t="shared" si="52"/>
        <v>99.942137027909041</v>
      </c>
      <c r="BX21" s="58">
        <f t="shared" si="52"/>
        <v>99.962333353833429</v>
      </c>
      <c r="BY21" s="58">
        <f t="shared" si="52"/>
        <v>99.976141617373884</v>
      </c>
      <c r="BZ21" s="58">
        <f t="shared" si="52"/>
        <v>99.977990223763214</v>
      </c>
      <c r="CA21" s="58">
        <f t="shared" si="52"/>
        <v>99.980311662637419</v>
      </c>
      <c r="CB21" s="58">
        <f t="shared" si="52"/>
        <v>99.982884193990273</v>
      </c>
      <c r="CC21" s="58">
        <f t="shared" si="52"/>
        <v>99.981230942842672</v>
      </c>
      <c r="CD21" s="58">
        <f t="shared" ref="CD21:CJ21" si="53">(CD18+CD19-CD5-CD6-CD7-CD14-CD11-CD10)/CD17%</f>
        <v>99.982351818789667</v>
      </c>
      <c r="CE21" s="58">
        <f t="shared" si="53"/>
        <v>99.980691586150513</v>
      </c>
      <c r="CF21" s="58">
        <f t="shared" si="53"/>
        <v>99.979375621340566</v>
      </c>
      <c r="CG21" s="58">
        <f t="shared" si="53"/>
        <v>99.981326348384854</v>
      </c>
      <c r="CH21" s="58">
        <f t="shared" si="53"/>
        <v>99.980166652489928</v>
      </c>
      <c r="CI21" s="58">
        <f t="shared" si="53"/>
        <v>99.98156949773059</v>
      </c>
      <c r="CJ21" s="58">
        <f t="shared" si="53"/>
        <v>98.890864530040716</v>
      </c>
      <c r="CK21" s="58">
        <f t="shared" ref="CK21:CP21" si="54">(CK18+CK19-CK5-CK6-CK7-CK14-CK11-CK10)/CK17%</f>
        <v>99.981863468188521</v>
      </c>
      <c r="CL21" s="58">
        <f t="shared" si="54"/>
        <v>99.983432213479404</v>
      </c>
      <c r="CM21" s="58">
        <f t="shared" si="54"/>
        <v>99.778575956053245</v>
      </c>
      <c r="CN21" s="58" t="e">
        <f t="shared" si="54"/>
        <v>#DIV/0!</v>
      </c>
      <c r="CO21" s="58">
        <f t="shared" si="54"/>
        <v>99.944833647371027</v>
      </c>
      <c r="CP21" s="58">
        <f t="shared" si="54"/>
        <v>99.927698904779433</v>
      </c>
      <c r="CQ21" s="58">
        <f t="shared" ref="CQ21:CV21" si="55">(CQ18+CQ19-CQ5-CQ6-CQ7-CQ14-CQ11-CQ10)/CQ17%</f>
        <v>99.97979277015861</v>
      </c>
      <c r="CR21" s="58">
        <f t="shared" si="55"/>
        <v>99.981554969705385</v>
      </c>
      <c r="CS21" s="58">
        <f t="shared" si="55"/>
        <v>99.977901541042542</v>
      </c>
      <c r="CT21" s="58">
        <f t="shared" si="55"/>
        <v>99.975408185725584</v>
      </c>
      <c r="CU21" s="58">
        <f t="shared" si="55"/>
        <v>99.958668218801478</v>
      </c>
      <c r="CV21" s="58">
        <f t="shared" si="55"/>
        <v>99.853551331678787</v>
      </c>
      <c r="CW21" s="58">
        <f t="shared" ref="CW21:DZ21" si="56">(CW18+CW19-CW5-CW6-CW7-CW14-CW11-CW10)/CW17%</f>
        <v>99.974058953553566</v>
      </c>
      <c r="CX21" s="58">
        <f t="shared" si="56"/>
        <v>99.97788965673</v>
      </c>
      <c r="CY21" s="58">
        <f t="shared" si="56"/>
        <v>99.974842336325054</v>
      </c>
      <c r="CZ21" s="58">
        <f t="shared" si="56"/>
        <v>99.977613898061676</v>
      </c>
      <c r="DA21" s="58">
        <f t="shared" si="56"/>
        <v>99.96087404761434</v>
      </c>
      <c r="DB21" s="58">
        <f t="shared" si="56"/>
        <v>99.977954645161333</v>
      </c>
      <c r="DC21" s="58">
        <f t="shared" si="56"/>
        <v>99.977248078093041</v>
      </c>
      <c r="DD21" s="58">
        <f t="shared" si="56"/>
        <v>99.9781880653928</v>
      </c>
      <c r="DE21" s="58">
        <f t="shared" si="56"/>
        <v>99.974180547368519</v>
      </c>
      <c r="DF21" s="58">
        <f t="shared" si="56"/>
        <v>99.977784780064681</v>
      </c>
      <c r="DG21" s="58">
        <f t="shared" si="56"/>
        <v>99.968293361322281</v>
      </c>
      <c r="DH21" s="58">
        <f t="shared" si="56"/>
        <v>99.975906538319521</v>
      </c>
      <c r="DI21" s="58">
        <f t="shared" si="56"/>
        <v>99.975381672530432</v>
      </c>
      <c r="DJ21" s="58">
        <f t="shared" si="56"/>
        <v>99.972896844492681</v>
      </c>
      <c r="DK21" s="58">
        <f t="shared" si="56"/>
        <v>99.975105790930272</v>
      </c>
      <c r="DL21" s="58">
        <f t="shared" si="56"/>
        <v>99.964863321958575</v>
      </c>
      <c r="DM21" s="58">
        <f t="shared" si="56"/>
        <v>99.977127255306655</v>
      </c>
      <c r="DN21" s="58">
        <f t="shared" si="56"/>
        <v>99.978500056124744</v>
      </c>
      <c r="DO21" s="58">
        <f t="shared" si="56"/>
        <v>99.977405075103235</v>
      </c>
      <c r="DP21" s="58">
        <f t="shared" si="56"/>
        <v>99.977797384471984</v>
      </c>
      <c r="DQ21" s="58">
        <f t="shared" si="56"/>
        <v>99.977470676938907</v>
      </c>
      <c r="DR21" s="58">
        <f t="shared" si="56"/>
        <v>99.969041427238068</v>
      </c>
      <c r="DS21" s="58">
        <f t="shared" si="56"/>
        <v>99.975510396488204</v>
      </c>
      <c r="DT21" s="58">
        <f t="shared" si="56"/>
        <v>99.971058031487914</v>
      </c>
      <c r="DU21" s="58">
        <f t="shared" si="56"/>
        <v>99.977821352067537</v>
      </c>
      <c r="DV21" s="58">
        <f t="shared" si="56"/>
        <v>99.958103456048264</v>
      </c>
      <c r="DW21" s="58">
        <f t="shared" si="56"/>
        <v>99.945490723876446</v>
      </c>
      <c r="DX21" s="58">
        <f t="shared" si="56"/>
        <v>99.976867371992398</v>
      </c>
      <c r="DY21" s="58">
        <f t="shared" si="56"/>
        <v>99.973798907668993</v>
      </c>
      <c r="DZ21" s="58">
        <f t="shared" si="56"/>
        <v>99.973062769088003</v>
      </c>
      <c r="EA21" s="58">
        <f t="shared" ref="EA21:EC21" si="57">(EA18+EA19-EA5-EA6-EA7-EA14-EA11-EA10)/EA17%</f>
        <v>99.974075012928751</v>
      </c>
      <c r="EB21" s="58">
        <f t="shared" si="57"/>
        <v>99.978520072089097</v>
      </c>
      <c r="EC21" s="58">
        <f t="shared" si="57"/>
        <v>99.968002586527206</v>
      </c>
      <c r="ED21" s="58">
        <f t="shared" ref="ED21:EE21" si="58">(ED18+ED19-ED5-ED6-ED7-ED14-ED11-ED10)/ED17%</f>
        <v>99.967579680087738</v>
      </c>
      <c r="EE21" s="58">
        <f t="shared" si="58"/>
        <v>99.974992084482878</v>
      </c>
      <c r="EF21" s="58">
        <f t="shared" ref="EF21:EG21" si="59">(EF18+EF19-EF5-EF6-EF7-EF14-EF11-EF10)/EF17%</f>
        <v>99.890427136445282</v>
      </c>
      <c r="EG21" s="58">
        <f t="shared" si="59"/>
        <v>99.975660492062488</v>
      </c>
      <c r="EH21" s="58">
        <f t="shared" ref="EH21:EJ21" si="60">(EH18+EH19-EH5-EH6-EH7-EH14-EH11-EH10)/EH17%</f>
        <v>99.9665453560673</v>
      </c>
      <c r="EI21" s="58">
        <f t="shared" si="60"/>
        <v>99.977648482719857</v>
      </c>
      <c r="EJ21" s="58">
        <f t="shared" si="60"/>
        <v>99.976701526452061</v>
      </c>
      <c r="EK21" s="58">
        <f t="shared" ref="EK21:EL21" si="61">(EK18+EK19-EK5-EK6-EK7-EK14-EK11-EK10)/EK17%</f>
        <v>99.81283902859208</v>
      </c>
      <c r="EL21" s="58">
        <f t="shared" si="61"/>
        <v>99.945737031334772</v>
      </c>
      <c r="EM21" s="58">
        <f t="shared" ref="EM21:EN21" si="62">(EM18+EM19-EM5-EM6-EM7-EM14-EM11-EM10)/EM17%</f>
        <v>99.976104440561997</v>
      </c>
      <c r="EN21" s="58">
        <f t="shared" si="62"/>
        <v>99.975841078505567</v>
      </c>
      <c r="EO21" s="58">
        <f t="shared" ref="EO21:FA21" si="63">(EO18+EO19-EO5-EO6-EO7-EO14-EO11-EO10)/EO17%</f>
        <v>99.974781969282759</v>
      </c>
      <c r="EP21" s="58">
        <f t="shared" si="63"/>
        <v>99.972655209152691</v>
      </c>
      <c r="EQ21" s="58">
        <f t="shared" si="63"/>
        <v>99.97305422511856</v>
      </c>
      <c r="ER21" s="58">
        <f t="shared" si="63"/>
        <v>99.975020107440997</v>
      </c>
      <c r="ES21" s="58">
        <f t="shared" si="63"/>
        <v>99.974253746765328</v>
      </c>
      <c r="ET21" s="58">
        <f t="shared" si="63"/>
        <v>99.975798804718707</v>
      </c>
      <c r="EU21" s="58">
        <f t="shared" si="63"/>
        <v>99.969289172992589</v>
      </c>
      <c r="EV21" s="58">
        <f t="shared" si="63"/>
        <v>99.979703621777702</v>
      </c>
      <c r="EW21" s="58">
        <f t="shared" si="63"/>
        <v>99.977074227268844</v>
      </c>
      <c r="EX21" s="58">
        <f t="shared" si="63"/>
        <v>99.976451245307572</v>
      </c>
      <c r="EY21" s="58">
        <f t="shared" si="63"/>
        <v>99.978110885131841</v>
      </c>
      <c r="EZ21" s="58">
        <f t="shared" si="63"/>
        <v>99.978970258731863</v>
      </c>
      <c r="FA21" s="58">
        <f t="shared" si="63"/>
        <v>99.964686345986522</v>
      </c>
      <c r="FB21" s="58">
        <f>(FB18+FB19-FB5-FB6-FB7-FB14-FB11-FB10)/FB17%</f>
        <v>99.942974704447863</v>
      </c>
      <c r="FC21" s="58">
        <f t="shared" ref="FC21:FI21" si="64">(FC18+FC19-FC5-FC6-FC7-FC14-FC11-FC10)/FC17%</f>
        <v>99.945568447279044</v>
      </c>
      <c r="FD21" s="58">
        <f t="shared" si="64"/>
        <v>99.939818766856234</v>
      </c>
      <c r="FE21" s="58">
        <f t="shared" si="64"/>
        <v>99.94566111643519</v>
      </c>
      <c r="FF21" s="58">
        <f t="shared" si="64"/>
        <v>99.963572724842308</v>
      </c>
      <c r="FG21" s="58">
        <f t="shared" si="64"/>
        <v>99.963023974958887</v>
      </c>
      <c r="FH21" s="58">
        <f t="shared" si="64"/>
        <v>99.962332244672552</v>
      </c>
      <c r="FI21" s="58">
        <f t="shared" si="64"/>
        <v>99.914100786394229</v>
      </c>
      <c r="FJ21" s="58">
        <f t="shared" ref="FJ21:FP21" si="65">(FJ18+FJ19-FJ5-FJ6-FJ7-FJ14-FJ11-FJ10)/FJ17%</f>
        <v>99.960200826090073</v>
      </c>
      <c r="FK21" s="58">
        <f t="shared" si="65"/>
        <v>99.951182538764925</v>
      </c>
      <c r="FL21" s="58">
        <f t="shared" si="65"/>
        <v>99.962228871631325</v>
      </c>
      <c r="FM21" s="58">
        <f t="shared" si="65"/>
        <v>99.962330185403857</v>
      </c>
      <c r="FN21" s="58">
        <f t="shared" si="65"/>
        <v>99.962566460839483</v>
      </c>
      <c r="FO21" s="58">
        <f t="shared" si="65"/>
        <v>99.963592527723861</v>
      </c>
      <c r="FP21" s="58">
        <f t="shared" si="65"/>
        <v>99.95867627573088</v>
      </c>
      <c r="FQ21" s="58">
        <f t="shared" ref="FQ21:GK21" si="66">(FQ18+FQ19-FQ5-FQ6-FQ7-FQ14-FQ11-FQ10)/FQ17%</f>
        <v>99.847709774447353</v>
      </c>
      <c r="FR21" s="58">
        <f t="shared" si="66"/>
        <v>99.961158057825884</v>
      </c>
      <c r="FS21" s="58">
        <f t="shared" si="66"/>
        <v>99.950598943699561</v>
      </c>
      <c r="FT21" s="58">
        <f t="shared" si="66"/>
        <v>99.960094476832523</v>
      </c>
      <c r="FU21" s="58">
        <f t="shared" si="66"/>
        <v>99.95550614096436</v>
      </c>
      <c r="FV21" s="58">
        <f t="shared" si="66"/>
        <v>99.961855433897142</v>
      </c>
      <c r="FW21" s="58">
        <f t="shared" si="66"/>
        <v>99.961057842304911</v>
      </c>
      <c r="FX21" s="58">
        <f t="shared" si="66"/>
        <v>99.730250744789444</v>
      </c>
      <c r="FY21" s="58">
        <f t="shared" si="66"/>
        <v>99.911073866329858</v>
      </c>
      <c r="FZ21" s="58">
        <f t="shared" si="66"/>
        <v>99.903063713560371</v>
      </c>
      <c r="GA21" s="58">
        <f t="shared" si="66"/>
        <v>99.91063228431922</v>
      </c>
      <c r="GB21" s="58">
        <f t="shared" si="66"/>
        <v>99.920959664558339</v>
      </c>
      <c r="GC21" s="58">
        <f t="shared" si="66"/>
        <v>99.86513697459506</v>
      </c>
      <c r="GD21" s="58">
        <f t="shared" si="66"/>
        <v>99.934643700048284</v>
      </c>
      <c r="GE21" s="58">
        <f t="shared" si="66"/>
        <v>99.941124475955078</v>
      </c>
      <c r="GF21" s="58">
        <f t="shared" si="66"/>
        <v>99.940524322976898</v>
      </c>
      <c r="GG21" s="58">
        <f t="shared" si="66"/>
        <v>99.93745258410938</v>
      </c>
      <c r="GH21" s="58">
        <f t="shared" si="66"/>
        <v>99.940987229245792</v>
      </c>
      <c r="GI21" s="58">
        <f t="shared" si="66"/>
        <v>99.944021524189722</v>
      </c>
      <c r="GJ21" s="58">
        <f t="shared" si="66"/>
        <v>99.938436709807348</v>
      </c>
      <c r="GK21" s="58">
        <f t="shared" si="66"/>
        <v>99.941506893830365</v>
      </c>
      <c r="GL21" s="58">
        <f t="shared" ref="GL21:GR21" si="67">(GL18+GL19-GL5-GL6-GL7-GL14-GL11-GL10)/GL17%</f>
        <v>99.945386608776019</v>
      </c>
      <c r="GM21" s="58">
        <f t="shared" si="67"/>
        <v>99.942687756238598</v>
      </c>
      <c r="GN21" s="58">
        <f t="shared" si="67"/>
        <v>99.936152052591495</v>
      </c>
      <c r="GO21" s="58">
        <f t="shared" si="67"/>
        <v>99.942988768909473</v>
      </c>
      <c r="GP21" s="58">
        <f t="shared" si="67"/>
        <v>99.944067918472058</v>
      </c>
      <c r="GQ21" s="58">
        <f t="shared" si="67"/>
        <v>99.945563942485165</v>
      </c>
      <c r="GR21" s="58">
        <f t="shared" si="67"/>
        <v>99.94478797587108</v>
      </c>
      <c r="GS21" s="58">
        <f t="shared" ref="GS21:GT21" si="68">(GS18+GS19-GS5-GS6-GS7-GS14-GS11-GS10)/GS17%</f>
        <v>99.945308114409116</v>
      </c>
      <c r="GT21" s="58">
        <f t="shared" si="68"/>
        <v>99.945137637303702</v>
      </c>
      <c r="GU21" s="58">
        <f t="shared" ref="GU21:GW21" si="69">(GU18+GU19-GU5-GU6-GU7-GU14-GU11-GU10)/GU17%</f>
        <v>99.941945434270778</v>
      </c>
      <c r="GV21" s="58">
        <f t="shared" si="69"/>
        <v>99.941653641626573</v>
      </c>
      <c r="GW21" s="58">
        <f t="shared" si="69"/>
        <v>99.950758376044575</v>
      </c>
      <c r="GX21" s="58">
        <f t="shared" ref="GX21:GY21" si="70">(GX18+GX19-GX5-GX6-GX7-GX14-GX11-GX10)/GX17%</f>
        <v>99.943939287992706</v>
      </c>
      <c r="GY21" s="58">
        <f t="shared" si="70"/>
        <v>99.938639565074695</v>
      </c>
      <c r="GZ21" s="58">
        <f t="shared" ref="GZ21:HB21" si="71">(GZ18+GZ19-GZ5-GZ6-GZ7-GZ14-GZ11-GZ10)/GZ17%</f>
        <v>99.949887709705578</v>
      </c>
      <c r="HA21" s="58">
        <f t="shared" si="71"/>
        <v>99.947780923882149</v>
      </c>
      <c r="HB21" s="58">
        <f t="shared" si="71"/>
        <v>99.945875694261971</v>
      </c>
      <c r="HC21" s="58">
        <f t="shared" ref="HC21:HD21" si="72">(HC18+HC19-HC5-HC6-HC7-HC14-HC11-HC10)/HC17%</f>
        <v>99.945035062773002</v>
      </c>
      <c r="HD21" s="58">
        <f t="shared" si="72"/>
        <v>99.921407014985292</v>
      </c>
      <c r="HE21" s="58">
        <f t="shared" ref="HE21:HF21" si="73">(HE18+HE19-HE5-HE6-HE7-HE14-HE11-HE10)/HE17%</f>
        <v>99.93533412524539</v>
      </c>
      <c r="HF21" s="58">
        <f t="shared" si="73"/>
        <v>99.938384885336134</v>
      </c>
      <c r="HG21" s="58">
        <f t="shared" ref="HG21:HI21" si="74">(HG18+HG19-HG5-HG6-HG7-HG14-HG11-HG10)/HG17%</f>
        <v>99.943874100843729</v>
      </c>
      <c r="HH21" s="58">
        <f t="shared" si="74"/>
        <v>99.940034001224291</v>
      </c>
      <c r="HI21" s="58">
        <f t="shared" si="74"/>
        <v>99.930586506439397</v>
      </c>
      <c r="HJ21" s="58">
        <f t="shared" ref="HJ21:HK21" si="75">(HJ18+HJ19-HJ5-HJ6-HJ7-HJ14-HJ11-HJ10)/HJ17%</f>
        <v>99.947499264236498</v>
      </c>
      <c r="HK21" s="58">
        <f t="shared" si="75"/>
        <v>99.94706566243056</v>
      </c>
      <c r="HL21" s="58">
        <f t="shared" ref="HL21:HM21" si="76">(HL18+HL19-HL5-HL6-HL7-HL14-HL11-HL10)/HL17%</f>
        <v>99.943777663221297</v>
      </c>
      <c r="HM21" s="58">
        <f t="shared" si="76"/>
        <v>99.95060358340244</v>
      </c>
      <c r="HN21" s="58">
        <f t="shared" ref="HN21:HP21" si="77">(HN18+HN19-HN5-HN6-HN7-HN14-HN11-HN10)/HN17%</f>
        <v>99.952099297718036</v>
      </c>
      <c r="HO21" s="58">
        <f t="shared" si="77"/>
        <v>99.951488820137541</v>
      </c>
      <c r="HP21" s="58">
        <f t="shared" si="77"/>
        <v>99.944205734145967</v>
      </c>
      <c r="HQ21" s="58">
        <f t="shared" ref="HQ21:HR21" si="78">(HQ18+HQ19-HQ5-HQ6-HQ7-HQ14-HQ11-HQ10)/HQ17%</f>
        <v>99.949222811537197</v>
      </c>
      <c r="HR21" s="58">
        <f t="shared" si="78"/>
        <v>99.94932181133602</v>
      </c>
      <c r="HS21" s="58">
        <f t="shared" ref="HS21:HT21" si="79">(HS18+HS19-HS5-HS6-HS7-HS14-HS11-HS10)/HS17%</f>
        <v>99.951693032820273</v>
      </c>
      <c r="HT21" s="58">
        <f t="shared" si="79"/>
        <v>99.948483522104141</v>
      </c>
      <c r="HU21" s="58">
        <f t="shared" ref="HU21:HW21" si="80">(HU18+HU19-HU5-HU6-HU7-HU14-HU11-HU10)/HU17%</f>
        <v>99.953650730412718</v>
      </c>
      <c r="HV21" s="58">
        <f t="shared" si="80"/>
        <v>99.942499803902479</v>
      </c>
      <c r="HW21" s="58">
        <f t="shared" si="80"/>
        <v>99.942431988961033</v>
      </c>
      <c r="HX21" s="58">
        <f t="shared" ref="HX21:HY21" si="81">(HX18+HX19-HX5-HX6-HX7-HX14-HX11-HX10)/HX17%</f>
        <v>99.946153706043148</v>
      </c>
      <c r="HY21" s="58">
        <f t="shared" si="81"/>
        <v>99.949614847237171</v>
      </c>
      <c r="HZ21" s="58">
        <f t="shared" ref="HZ21:IA21" si="82">(HZ18+HZ19-HZ5-HZ6-HZ7-HZ14-HZ11-HZ10)/HZ17%</f>
        <v>99.946269979088328</v>
      </c>
      <c r="IA21" s="58">
        <f t="shared" si="82"/>
        <v>99.947729240362747</v>
      </c>
      <c r="IB21" s="58">
        <f t="shared" ref="IB21:ID21" si="83">(IB18+IB19-IB5-IB6-IB7-IB14-IB11-IB10)/IB17%</f>
        <v>99.939528267961549</v>
      </c>
      <c r="IC21" s="58">
        <f t="shared" si="83"/>
        <v>99.942400401700468</v>
      </c>
      <c r="ID21" s="58">
        <f t="shared" si="83"/>
        <v>99.936802898875456</v>
      </c>
      <c r="IE21" s="58">
        <f t="shared" ref="IE21:IF21" si="84">(IE18+IE19-IE5-IE6-IE7-IE14-IE11-IE10)/IE17%</f>
        <v>99.942846711552349</v>
      </c>
      <c r="IF21" s="58">
        <f t="shared" si="84"/>
        <v>99.94648892181101</v>
      </c>
      <c r="IG21" s="58">
        <f t="shared" ref="IG21:IH21" si="85">(IG18+IG19-IG5-IG6-IG7-IG14-IG11-IG10)/IG17%</f>
        <v>99.925168669381407</v>
      </c>
      <c r="IH21" s="58">
        <f t="shared" si="85"/>
        <v>99.937014048716264</v>
      </c>
      <c r="II21" s="58">
        <f t="shared" ref="II21:IJ21" si="86">(II18+II19-II5-II6-II7-II14-II11-II10)/II17%</f>
        <v>99.928234666006006</v>
      </c>
      <c r="IJ21" s="58">
        <f t="shared" si="86"/>
        <v>99.948153121902209</v>
      </c>
      <c r="IK21" s="58">
        <f t="shared" ref="IK21:IL21" si="87">(IK18+IK19-IK5-IK6-IK7-IK14-IK11-IK10)/IK17%</f>
        <v>99.933917165691668</v>
      </c>
      <c r="IL21" s="58">
        <f t="shared" si="87"/>
        <v>99.934308239005887</v>
      </c>
      <c r="IM21" s="58">
        <f t="shared" ref="IM21:IN21" si="88">(IM18+IM19-IM5-IM6-IM7-IM14-IM11-IM10)/IM17%</f>
        <v>99.937570911348544</v>
      </c>
      <c r="IN21" s="58">
        <f t="shared" si="88"/>
        <v>99.941266924234498</v>
      </c>
      <c r="IO21" s="58">
        <f t="shared" ref="IO21:IR21" si="89">(IO18+IO19-IO5-IO6-IO7-IO14-IO11-IO10)/IO17%</f>
        <v>99.92857349572283</v>
      </c>
      <c r="IP21" s="58">
        <f t="shared" si="89"/>
        <v>99.933808422595263</v>
      </c>
      <c r="IQ21" s="58">
        <f t="shared" si="89"/>
        <v>99.931043886964872</v>
      </c>
      <c r="IR21" s="58">
        <f t="shared" si="89"/>
        <v>99.933721516812753</v>
      </c>
      <c r="IS21" s="58">
        <f t="shared" ref="IS21:IT21" si="90">(IS18+IS19-IS5-IS6-IS7-IS14-IS11-IS10)/IS17%</f>
        <v>99.935706856884721</v>
      </c>
      <c r="IT21" s="58">
        <f t="shared" si="90"/>
        <v>99.936386428898203</v>
      </c>
      <c r="IU21" s="58">
        <f t="shared" ref="IU21:IV21" si="91">(IU18+IU19-IU5-IU6-IU7-IU14-IU11-IU10)/IU17%</f>
        <v>99.921690613203651</v>
      </c>
      <c r="IV21" s="58">
        <f t="shared" si="91"/>
        <v>99.939200532719141</v>
      </c>
      <c r="IW21" s="58">
        <f t="shared" ref="IW21:JA21" si="92">(IW18+IW19-IW5-IW6-IW7-IW14-IW11-IW10)/IW17%</f>
        <v>99.943777055114168</v>
      </c>
      <c r="IX21" s="58">
        <f t="shared" si="92"/>
        <v>99.949085132772694</v>
      </c>
      <c r="IY21" s="58">
        <f t="shared" si="92"/>
        <v>99.954889503144045</v>
      </c>
      <c r="IZ21" s="58">
        <f t="shared" si="92"/>
        <v>99.953358444346748</v>
      </c>
      <c r="JA21" s="58">
        <f t="shared" si="92"/>
        <v>99.956299555166126</v>
      </c>
      <c r="JB21" s="58">
        <f t="shared" ref="JB21:JO21" si="93">(JB18+JB19-JB5-JB6-JB7-JB14-JB11-JB10)/JB17%</f>
        <v>99.939151365001436</v>
      </c>
      <c r="JC21" s="58">
        <f t="shared" si="93"/>
        <v>99.949929996385066</v>
      </c>
      <c r="JD21" s="58">
        <f t="shared" si="93"/>
        <v>99.953839658708802</v>
      </c>
      <c r="JE21" s="58">
        <f t="shared" si="93"/>
        <v>99.950075085230523</v>
      </c>
      <c r="JF21" s="58">
        <f t="shared" si="93"/>
        <v>99.955767065873744</v>
      </c>
      <c r="JG21" s="58">
        <f t="shared" si="93"/>
        <v>99.956228575707243</v>
      </c>
      <c r="JH21" s="58">
        <f t="shared" si="93"/>
        <v>99.952577007036737</v>
      </c>
      <c r="JI21" s="58">
        <f t="shared" si="93"/>
        <v>99.949213645168712</v>
      </c>
      <c r="JJ21" s="58">
        <f t="shared" si="93"/>
        <v>99.946593883356911</v>
      </c>
      <c r="JK21" s="58">
        <f t="shared" si="93"/>
        <v>99.946825357503528</v>
      </c>
      <c r="JL21" s="58">
        <f t="shared" si="93"/>
        <v>99.951459474708258</v>
      </c>
      <c r="JM21" s="58">
        <f t="shared" si="93"/>
        <v>99.925601290621827</v>
      </c>
      <c r="JN21" s="58">
        <f t="shared" si="93"/>
        <v>99.952763121250882</v>
      </c>
      <c r="JO21" s="58">
        <f t="shared" si="93"/>
        <v>99.942912438220645</v>
      </c>
      <c r="JP21" s="58">
        <f t="shared" ref="JP21:MB21" si="94">(JP18+JP19-JP5-JP6-JP7-JP14-JP11-JP10)/JP17%</f>
        <v>99.944469226831302</v>
      </c>
      <c r="JQ21" s="58">
        <f t="shared" si="94"/>
        <v>99.945259447199291</v>
      </c>
      <c r="JR21" s="58">
        <f t="shared" si="94"/>
        <v>99.968544687345542</v>
      </c>
      <c r="JS21" s="58">
        <f t="shared" si="94"/>
        <v>99.971908507053868</v>
      </c>
      <c r="JT21" s="58">
        <f t="shared" si="94"/>
        <v>99.976431503086943</v>
      </c>
      <c r="JU21" s="58">
        <f t="shared" si="94"/>
        <v>99.976067597140258</v>
      </c>
      <c r="JV21" s="58">
        <f t="shared" si="94"/>
        <v>99.975652271513766</v>
      </c>
      <c r="JW21" s="58">
        <f t="shared" si="94"/>
        <v>99.966922563550341</v>
      </c>
      <c r="JX21" s="58">
        <f t="shared" si="94"/>
        <v>99.972638751513742</v>
      </c>
      <c r="JY21" s="58">
        <f t="shared" si="94"/>
        <v>99.978545986910248</v>
      </c>
      <c r="JZ21" s="58">
        <f t="shared" si="94"/>
        <v>99.976585942042348</v>
      </c>
      <c r="KA21" s="58">
        <f t="shared" si="94"/>
        <v>99.975336306885339</v>
      </c>
      <c r="KB21" s="58">
        <f t="shared" si="94"/>
        <v>99.971283985859941</v>
      </c>
      <c r="KC21" s="58">
        <f t="shared" si="94"/>
        <v>99.974865725432707</v>
      </c>
      <c r="KD21" s="176">
        <f t="shared" si="94"/>
        <v>99.975865995384709</v>
      </c>
      <c r="KE21" s="178">
        <f t="shared" si="94"/>
        <v>99.970599517294744</v>
      </c>
      <c r="KF21" s="178">
        <f t="shared" si="94"/>
        <v>99.970455681142184</v>
      </c>
      <c r="KG21" s="178">
        <f t="shared" si="94"/>
        <v>99.973045943090654</v>
      </c>
      <c r="KH21" s="178">
        <f t="shared" si="94"/>
        <v>99.974292082724972</v>
      </c>
      <c r="KI21" s="178">
        <f t="shared" si="94"/>
        <v>99.977014006226526</v>
      </c>
      <c r="KJ21" s="178">
        <f t="shared" si="94"/>
        <v>99.961516643771901</v>
      </c>
      <c r="KK21" s="178">
        <f t="shared" si="94"/>
        <v>99.969063209531583</v>
      </c>
      <c r="KL21" s="178">
        <f t="shared" si="94"/>
        <v>99.970076076109692</v>
      </c>
      <c r="KM21" s="178">
        <f t="shared" si="94"/>
        <v>99.965541213754477</v>
      </c>
      <c r="KN21" s="178">
        <f t="shared" si="94"/>
        <v>99.974915524847049</v>
      </c>
      <c r="KO21" s="178">
        <f t="shared" si="94"/>
        <v>99.97011387669771</v>
      </c>
      <c r="KP21" s="178">
        <f t="shared" si="94"/>
        <v>99.977579155482502</v>
      </c>
      <c r="KQ21" s="178">
        <f t="shared" si="94"/>
        <v>99.973239819360828</v>
      </c>
      <c r="KR21" s="178">
        <f t="shared" si="94"/>
        <v>99.973764700447973</v>
      </c>
      <c r="KS21" s="178">
        <f t="shared" si="94"/>
        <v>99.976587540240686</v>
      </c>
      <c r="KT21" s="178">
        <f t="shared" si="94"/>
        <v>99.919146707664467</v>
      </c>
      <c r="KU21" s="178">
        <f t="shared" si="94"/>
        <v>99.884904969205365</v>
      </c>
      <c r="KV21" s="178">
        <f t="shared" si="94"/>
        <v>99.973973013554186</v>
      </c>
      <c r="KW21" s="178">
        <f t="shared" si="94"/>
        <v>99.974488599535633</v>
      </c>
      <c r="KX21" s="178">
        <f t="shared" si="94"/>
        <v>99.966525675947111</v>
      </c>
      <c r="KY21" s="178">
        <f t="shared" si="94"/>
        <v>99.968970977798534</v>
      </c>
      <c r="KZ21" s="71">
        <f t="shared" si="94"/>
        <v>99.964546535704841</v>
      </c>
      <c r="LA21" s="71">
        <f t="shared" si="94"/>
        <v>99.974717705481993</v>
      </c>
      <c r="LB21" s="71">
        <f t="shared" si="94"/>
        <v>99.97238465995288</v>
      </c>
      <c r="LC21" s="71">
        <f t="shared" si="94"/>
        <v>99.971187592579994</v>
      </c>
      <c r="LD21" s="71">
        <f t="shared" si="94"/>
        <v>99.974617419346629</v>
      </c>
      <c r="LE21" s="71">
        <f t="shared" si="94"/>
        <v>99.966608358211872</v>
      </c>
      <c r="LF21" s="91">
        <f t="shared" si="94"/>
        <v>99.913452546169182</v>
      </c>
      <c r="LG21" s="91">
        <f t="shared" si="94"/>
        <v>99.949924418600801</v>
      </c>
      <c r="LH21" s="71">
        <f t="shared" si="94"/>
        <v>99.974681824541463</v>
      </c>
      <c r="LI21" s="71">
        <f t="shared" si="94"/>
        <v>99.973193974142248</v>
      </c>
      <c r="LJ21" s="71">
        <f t="shared" si="94"/>
        <v>99.959940286907994</v>
      </c>
      <c r="LK21" s="71">
        <f t="shared" si="94"/>
        <v>99.969734458903503</v>
      </c>
      <c r="LL21" s="71">
        <f t="shared" si="94"/>
        <v>99.966454815626705</v>
      </c>
      <c r="LM21" s="71">
        <f t="shared" si="94"/>
        <v>99.970700877355625</v>
      </c>
      <c r="LN21" s="71">
        <f t="shared" si="94"/>
        <v>99.956367969119569</v>
      </c>
      <c r="LO21" s="71">
        <f t="shared" si="94"/>
        <v>99.971366350126317</v>
      </c>
      <c r="LP21" s="71">
        <f t="shared" si="94"/>
        <v>99.939713331074429</v>
      </c>
      <c r="LQ21" s="91">
        <f t="shared" si="94"/>
        <v>99.96266627610207</v>
      </c>
      <c r="LR21" s="71">
        <f t="shared" si="94"/>
        <v>99.963882527959598</v>
      </c>
      <c r="LS21" s="71">
        <f t="shared" si="94"/>
        <v>99.960043119293246</v>
      </c>
      <c r="LT21" s="71">
        <f t="shared" si="94"/>
        <v>99.965465448922373</v>
      </c>
      <c r="LU21" s="91">
        <f t="shared" si="94"/>
        <v>99.958816846152274</v>
      </c>
      <c r="LV21" s="71">
        <f t="shared" si="94"/>
        <v>99.966048529657328</v>
      </c>
      <c r="LW21" s="71">
        <f t="shared" si="94"/>
        <v>99.942693687509447</v>
      </c>
      <c r="LX21" s="71">
        <f t="shared" si="94"/>
        <v>99.970793738674033</v>
      </c>
      <c r="LY21" s="91">
        <f t="shared" si="94"/>
        <v>99.966561617546049</v>
      </c>
      <c r="LZ21" s="71">
        <f t="shared" si="94"/>
        <v>99.958378938448931</v>
      </c>
      <c r="MA21" s="71">
        <f t="shared" si="94"/>
        <v>99.964083596680027</v>
      </c>
      <c r="MB21" s="71">
        <f t="shared" si="94"/>
        <v>99.968078463655388</v>
      </c>
      <c r="MC21" s="71">
        <f t="shared" ref="MC21:MJ21" si="95">(MC18+MC19-MC5-MC6-MC7-MC14-MC11-MC10)/MC17%</f>
        <v>99.96604289576112</v>
      </c>
      <c r="MD21" s="71">
        <f t="shared" si="95"/>
        <v>99.971459618718185</v>
      </c>
      <c r="ME21" s="71">
        <f t="shared" si="95"/>
        <v>99.972116637796233</v>
      </c>
      <c r="MF21" s="71">
        <f t="shared" si="95"/>
        <v>99.97389581931003</v>
      </c>
      <c r="MG21" s="71">
        <f t="shared" si="95"/>
        <v>99.968702223290833</v>
      </c>
      <c r="MH21" s="71">
        <f t="shared" si="95"/>
        <v>99.95763652675781</v>
      </c>
      <c r="MI21" s="71">
        <f t="shared" si="95"/>
        <v>99.975812704433508</v>
      </c>
      <c r="MJ21" s="71">
        <f t="shared" si="95"/>
        <v>99.975121592615352</v>
      </c>
      <c r="MK21" s="71">
        <f t="shared" ref="MK21:NN21" si="96">(MK18+MK19-MK6-MK7-MK14-MK11-MK10)/MK17%</f>
        <v>99.994436348756835</v>
      </c>
      <c r="ML21" s="71">
        <f t="shared" si="96"/>
        <v>99.993862997099555</v>
      </c>
      <c r="MM21" s="71">
        <f t="shared" si="96"/>
        <v>99.995034075899994</v>
      </c>
      <c r="MN21" s="91">
        <f t="shared" si="96"/>
        <v>99.995604528975264</v>
      </c>
      <c r="MO21" s="91">
        <f t="shared" si="96"/>
        <v>99.994959353063209</v>
      </c>
      <c r="MP21" s="71">
        <f t="shared" si="96"/>
        <v>99.994303101570893</v>
      </c>
      <c r="MQ21" s="71">
        <f t="shared" si="96"/>
        <v>99.992873138577352</v>
      </c>
      <c r="MR21" s="71">
        <f t="shared" si="96"/>
        <v>99.993936621944073</v>
      </c>
      <c r="MS21" s="71">
        <f t="shared" si="96"/>
        <v>99.993816761744327</v>
      </c>
      <c r="MT21" s="71">
        <f t="shared" si="96"/>
        <v>99.993755263223036</v>
      </c>
      <c r="MU21" s="71">
        <f t="shared" si="96"/>
        <v>99.993477354906034</v>
      </c>
      <c r="MV21" s="91">
        <f t="shared" si="96"/>
        <v>99.994364291117151</v>
      </c>
      <c r="MW21" s="71">
        <f t="shared" si="96"/>
        <v>99.993856526120766</v>
      </c>
      <c r="MX21" s="71">
        <f t="shared" si="96"/>
        <v>99.994962016872577</v>
      </c>
      <c r="MY21" s="71">
        <f t="shared" si="96"/>
        <v>99.994549243540504</v>
      </c>
      <c r="MZ21" s="71">
        <f t="shared" si="96"/>
        <v>99.994713239022857</v>
      </c>
      <c r="NA21" s="71">
        <f t="shared" si="96"/>
        <v>99.995169951763927</v>
      </c>
      <c r="NB21" s="71">
        <f t="shared" si="96"/>
        <v>99.995146707380385</v>
      </c>
      <c r="NC21" s="71">
        <f t="shared" si="96"/>
        <v>99.993997808430564</v>
      </c>
      <c r="ND21" s="71">
        <f t="shared" si="96"/>
        <v>99.99334788931435</v>
      </c>
      <c r="NE21" s="71">
        <f t="shared" si="96"/>
        <v>99.994392474965295</v>
      </c>
      <c r="NF21" s="71">
        <f t="shared" si="96"/>
        <v>99.994675628206735</v>
      </c>
      <c r="NG21" s="71">
        <f t="shared" si="96"/>
        <v>99.993547810917818</v>
      </c>
      <c r="NH21" s="71">
        <f t="shared" si="96"/>
        <v>99.994652237349172</v>
      </c>
      <c r="NI21" s="71">
        <f t="shared" si="96"/>
        <v>99.993935556551449</v>
      </c>
      <c r="NJ21" s="71">
        <f t="shared" si="96"/>
        <v>99.994146880157629</v>
      </c>
      <c r="NK21" s="91">
        <f t="shared" si="96"/>
        <v>99.993040603879734</v>
      </c>
      <c r="NL21" s="71">
        <f t="shared" si="96"/>
        <v>99.994577841590555</v>
      </c>
      <c r="NM21" s="71">
        <f t="shared" si="96"/>
        <v>99.994154325798903</v>
      </c>
      <c r="NN21" s="91">
        <f t="shared" si="96"/>
        <v>99.992863353698951</v>
      </c>
      <c r="NO21" s="71">
        <f t="shared" ref="NO21:OC21" si="97">(NO18+NO19-NO6-NO7-NO14-NO11-NO10)/NO17%</f>
        <v>99.994336521753596</v>
      </c>
      <c r="NP21" s="71">
        <f t="shared" si="97"/>
        <v>99.993760072529156</v>
      </c>
      <c r="NQ21" s="71">
        <f t="shared" si="97"/>
        <v>99.994000408405938</v>
      </c>
      <c r="NR21" s="91">
        <f t="shared" si="97"/>
        <v>99.993470700314816</v>
      </c>
      <c r="NS21" s="71">
        <f t="shared" si="97"/>
        <v>99.994145111621023</v>
      </c>
      <c r="NT21" s="71">
        <f t="shared" si="97"/>
        <v>99.993325290582604</v>
      </c>
      <c r="NU21" s="71">
        <f t="shared" si="97"/>
        <v>99.992565820113327</v>
      </c>
      <c r="NV21" s="71">
        <f t="shared" si="97"/>
        <v>99.983850677722216</v>
      </c>
      <c r="NW21" s="71">
        <f t="shared" si="97"/>
        <v>99.994059478624138</v>
      </c>
      <c r="NX21" s="71">
        <f t="shared" si="97"/>
        <v>99.992383297652566</v>
      </c>
      <c r="NY21" s="71">
        <f t="shared" si="97"/>
        <v>99.993187141174417</v>
      </c>
      <c r="NZ21" s="71">
        <f t="shared" si="97"/>
        <v>99.993543494898816</v>
      </c>
      <c r="OA21" s="71">
        <f t="shared" si="97"/>
        <v>99.994527268275419</v>
      </c>
      <c r="OB21" s="71">
        <f t="shared" si="97"/>
        <v>99.993017390403736</v>
      </c>
      <c r="OC21" s="71">
        <f t="shared" si="97"/>
        <v>99.993592412861148</v>
      </c>
      <c r="OD21" s="71">
        <f>(OD18+OD19-OD6-OD7-OD14-OD11-OD10)/OD17%</f>
        <v>99.994951200974242</v>
      </c>
      <c r="OE21" s="71"/>
      <c r="OF21" s="71"/>
      <c r="OG21" s="71"/>
      <c r="OH21" s="71"/>
      <c r="OI21" s="71"/>
      <c r="OJ21" s="91"/>
      <c r="OK21" s="71">
        <f t="shared" ref="OK21:QV21" si="98">(OK18+OK19-OK6-OK7-OK14-OK11-OK10)/OK17%</f>
        <v>99.994641351301681</v>
      </c>
      <c r="OL21" s="71">
        <f t="shared" si="98"/>
        <v>99.989891911792554</v>
      </c>
      <c r="OM21" s="71">
        <f t="shared" si="98"/>
        <v>99.99600235841541</v>
      </c>
      <c r="ON21" s="71">
        <f t="shared" si="98"/>
        <v>99.997127783788443</v>
      </c>
      <c r="OO21" s="71">
        <f t="shared" si="98"/>
        <v>99.996797155009972</v>
      </c>
      <c r="OP21" s="71">
        <f t="shared" si="98"/>
        <v>99.99620544067146</v>
      </c>
      <c r="OQ21" s="71">
        <f t="shared" si="98"/>
        <v>99.996206090330034</v>
      </c>
      <c r="OR21" s="71">
        <f t="shared" si="98"/>
        <v>99.997627033442498</v>
      </c>
      <c r="OS21" s="71">
        <f t="shared" si="98"/>
        <v>99.999369636899388</v>
      </c>
      <c r="OT21" s="71">
        <f t="shared" si="98"/>
        <v>99.999391386683016</v>
      </c>
      <c r="OU21" s="71">
        <f t="shared" si="98"/>
        <v>99.999111187205969</v>
      </c>
      <c r="OV21" s="71">
        <f t="shared" si="98"/>
        <v>99.999220051901403</v>
      </c>
      <c r="OW21" s="71">
        <f t="shared" si="98"/>
        <v>99.999479657699567</v>
      </c>
      <c r="OX21" s="71">
        <f t="shared" si="98"/>
        <v>99.999630619205334</v>
      </c>
      <c r="OY21" s="71">
        <f t="shared" si="98"/>
        <v>99.99956305073087</v>
      </c>
      <c r="OZ21" s="71">
        <f t="shared" si="98"/>
        <v>99.999374708388828</v>
      </c>
      <c r="PA21" s="71">
        <f t="shared" si="98"/>
        <v>99.999340159413919</v>
      </c>
      <c r="PB21" s="71">
        <f t="shared" si="98"/>
        <v>99.999238606525353</v>
      </c>
      <c r="PC21" s="71">
        <f t="shared" si="98"/>
        <v>99.999304430689563</v>
      </c>
      <c r="PD21" s="71">
        <f t="shared" si="98"/>
        <v>99.999601614295102</v>
      </c>
      <c r="PE21" s="71">
        <f t="shared" si="98"/>
        <v>99.999381037782996</v>
      </c>
      <c r="PF21" s="71">
        <f t="shared" si="98"/>
        <v>99.999242784542247</v>
      </c>
      <c r="PG21" s="71">
        <f t="shared" si="98"/>
        <v>99.99939370096881</v>
      </c>
      <c r="PH21" s="71">
        <f t="shared" si="98"/>
        <v>99.999313452778381</v>
      </c>
      <c r="PI21" s="71">
        <f t="shared" si="98"/>
        <v>99.998811882677174</v>
      </c>
      <c r="PJ21" s="71">
        <f t="shared" si="98"/>
        <v>99.9993487122928</v>
      </c>
      <c r="PK21" s="71">
        <f t="shared" si="98"/>
        <v>99.999332513278219</v>
      </c>
      <c r="PL21" s="71">
        <f t="shared" si="98"/>
        <v>99.999147017404198</v>
      </c>
      <c r="PM21" s="71">
        <f t="shared" si="98"/>
        <v>99.999533658620834</v>
      </c>
      <c r="PN21" s="71">
        <f t="shared" si="98"/>
        <v>99.99938543595276</v>
      </c>
      <c r="PO21" s="71">
        <f t="shared" si="98"/>
        <v>99.999323373262456</v>
      </c>
      <c r="PP21" s="71">
        <f t="shared" si="98"/>
        <v>99.999229901871587</v>
      </c>
      <c r="PQ21" s="71">
        <f t="shared" si="98"/>
        <v>99.99960003046435</v>
      </c>
      <c r="PR21" s="71">
        <f t="shared" si="98"/>
        <v>99.999293064275037</v>
      </c>
      <c r="PS21" s="71">
        <f t="shared" si="98"/>
        <v>99.999412918493704</v>
      </c>
      <c r="PT21" s="71">
        <f t="shared" si="98"/>
        <v>99.999485272675017</v>
      </c>
      <c r="PU21" s="71">
        <f t="shared" si="98"/>
        <v>99.999400058794237</v>
      </c>
      <c r="PV21" s="71">
        <f t="shared" si="98"/>
        <v>99.999521605171566</v>
      </c>
      <c r="PW21" s="71">
        <f t="shared" si="98"/>
        <v>99.999513093204641</v>
      </c>
      <c r="PX21" s="71">
        <f t="shared" si="98"/>
        <v>99.99932083032266</v>
      </c>
      <c r="PY21" s="64">
        <f t="shared" si="98"/>
        <v>99.999423087106223</v>
      </c>
      <c r="PZ21" s="64">
        <f t="shared" si="98"/>
        <v>99.999504080499122</v>
      </c>
      <c r="QA21" s="64">
        <f t="shared" si="98"/>
        <v>99.999324104250888</v>
      </c>
      <c r="QB21" s="64">
        <f t="shared" si="98"/>
        <v>99.999099188037505</v>
      </c>
      <c r="QC21" s="64">
        <f t="shared" si="98"/>
        <v>99.999247917164439</v>
      </c>
      <c r="QD21" s="64">
        <f t="shared" si="98"/>
        <v>99.99915757369034</v>
      </c>
      <c r="QE21" s="72">
        <f t="shared" si="98"/>
        <v>99.999417734320531</v>
      </c>
      <c r="QF21" s="64">
        <f t="shared" si="98"/>
        <v>99.999037484057055</v>
      </c>
      <c r="QG21" s="64">
        <f t="shared" si="98"/>
        <v>99.999228156838527</v>
      </c>
      <c r="QH21" s="64">
        <f t="shared" si="98"/>
        <v>99.999401393012874</v>
      </c>
      <c r="QI21" s="64">
        <f t="shared" si="98"/>
        <v>99.999490859558307</v>
      </c>
      <c r="QJ21" s="66">
        <f t="shared" si="98"/>
        <v>99.999548505723254</v>
      </c>
      <c r="QK21" s="66">
        <f t="shared" si="98"/>
        <v>99.999568560500308</v>
      </c>
      <c r="QL21" s="66">
        <f t="shared" si="98"/>
        <v>99.999356416527235</v>
      </c>
      <c r="QM21" s="66">
        <f t="shared" si="98"/>
        <v>99.999172059717154</v>
      </c>
      <c r="QN21" s="66">
        <f t="shared" si="98"/>
        <v>99.999401265615617</v>
      </c>
      <c r="QO21" s="66">
        <f t="shared" si="98"/>
        <v>99.999562692415338</v>
      </c>
      <c r="QP21" s="66">
        <f t="shared" si="98"/>
        <v>99.999407134958659</v>
      </c>
      <c r="QQ21" s="66">
        <f t="shared" si="98"/>
        <v>99.999330768346866</v>
      </c>
      <c r="QR21" s="66">
        <f t="shared" si="98"/>
        <v>99.999154102265663</v>
      </c>
      <c r="QS21" s="66">
        <f t="shared" si="98"/>
        <v>99.998991458656207</v>
      </c>
      <c r="QT21" s="66">
        <f t="shared" si="98"/>
        <v>99.999464862778552</v>
      </c>
      <c r="QU21" s="66">
        <f t="shared" si="98"/>
        <v>99.999197597512548</v>
      </c>
      <c r="QV21" s="66">
        <f t="shared" si="98"/>
        <v>99.999240370574853</v>
      </c>
      <c r="QW21" s="66">
        <f t="shared" ref="QW21:RV21" si="99">(QW18+QW19-QW6-QW7-QW14-QW11-QW10)/QW17%</f>
        <v>99.999518839944301</v>
      </c>
      <c r="QX21" s="66">
        <f t="shared" si="99"/>
        <v>99.999235288591166</v>
      </c>
      <c r="QY21" s="66">
        <f t="shared" si="99"/>
        <v>99.999246589556449</v>
      </c>
      <c r="QZ21" s="66">
        <f t="shared" si="99"/>
        <v>99.999217848520985</v>
      </c>
      <c r="RA21" s="66">
        <f t="shared" si="99"/>
        <v>99.999208380183333</v>
      </c>
      <c r="RB21" s="66">
        <f t="shared" si="99"/>
        <v>99.999298771385128</v>
      </c>
      <c r="RC21" s="66">
        <f t="shared" si="99"/>
        <v>99.998871042011416</v>
      </c>
      <c r="RD21" s="66">
        <f t="shared" si="99"/>
        <v>99.999486300302777</v>
      </c>
      <c r="RE21" s="66">
        <f t="shared" si="99"/>
        <v>99.999414372721773</v>
      </c>
      <c r="RF21" s="66">
        <f t="shared" si="99"/>
        <v>99.999343549645886</v>
      </c>
      <c r="RG21" s="66">
        <f t="shared" si="99"/>
        <v>99.999447486029965</v>
      </c>
      <c r="RH21" s="66">
        <f t="shared" si="99"/>
        <v>99.999271810214111</v>
      </c>
      <c r="RI21" s="73">
        <f t="shared" si="99"/>
        <v>99.999499318629177</v>
      </c>
      <c r="RJ21" s="66">
        <f t="shared" si="99"/>
        <v>99.999371814707942</v>
      </c>
      <c r="RK21" s="66">
        <f t="shared" si="99"/>
        <v>99.999186252550587</v>
      </c>
      <c r="RL21" s="66">
        <f t="shared" si="99"/>
        <v>99.998957787241309</v>
      </c>
      <c r="RM21" s="66">
        <f t="shared" si="99"/>
        <v>99.999389130000438</v>
      </c>
      <c r="RN21" s="66">
        <f t="shared" si="99"/>
        <v>99.999270010236074</v>
      </c>
      <c r="RO21" s="66">
        <f t="shared" si="99"/>
        <v>99.999322258087105</v>
      </c>
      <c r="RP21" s="66">
        <f t="shared" si="99"/>
        <v>99.999164626964173</v>
      </c>
      <c r="RQ21" s="66">
        <f t="shared" si="99"/>
        <v>99.999430767509892</v>
      </c>
      <c r="RR21" s="66">
        <f t="shared" si="99"/>
        <v>99.999311618060275</v>
      </c>
      <c r="RS21" s="66">
        <f t="shared" si="99"/>
        <v>99.99924816193213</v>
      </c>
      <c r="RT21" s="66">
        <f t="shared" si="99"/>
        <v>99.998993855812827</v>
      </c>
      <c r="RU21" s="66">
        <f t="shared" si="99"/>
        <v>99.999293362773329</v>
      </c>
      <c r="RV21" s="66">
        <f t="shared" si="99"/>
        <v>99.999088054256902</v>
      </c>
    </row>
    <row r="22" spans="2:490" s="263" customFormat="1" x14ac:dyDescent="0.25">
      <c r="KD22" s="264"/>
      <c r="KZ22" s="265"/>
      <c r="LA22" s="265"/>
      <c r="LB22" s="265"/>
      <c r="LC22" s="265"/>
      <c r="LD22" s="265"/>
      <c r="LE22" s="265"/>
      <c r="LF22" s="265"/>
      <c r="LG22" s="265"/>
      <c r="LR22" s="265"/>
      <c r="OC22" s="265"/>
      <c r="OR22" s="265"/>
      <c r="OS22" s="265"/>
      <c r="RE22" s="265"/>
    </row>
    <row r="23" spans="2:490" s="263" customFormat="1" x14ac:dyDescent="0.25">
      <c r="B23" s="266" t="s">
        <v>253</v>
      </c>
      <c r="IV23" s="267"/>
      <c r="KZ23" s="265"/>
      <c r="LA23" s="265"/>
      <c r="LB23" s="265"/>
      <c r="LC23" s="265"/>
      <c r="LD23" s="265"/>
      <c r="LE23" s="265"/>
      <c r="LF23" s="265"/>
      <c r="LG23" s="265"/>
      <c r="LR23" s="265"/>
      <c r="OR23" s="265"/>
      <c r="OS23" s="265"/>
      <c r="RE23" s="265"/>
    </row>
    <row r="24" spans="2:490" s="263" customFormat="1" x14ac:dyDescent="0.25">
      <c r="IV24" s="267"/>
      <c r="KZ24" s="265"/>
      <c r="LA24" s="265"/>
      <c r="LB24" s="265"/>
      <c r="LC24" s="265"/>
      <c r="LD24" s="265"/>
      <c r="LE24" s="265"/>
      <c r="LF24" s="265"/>
      <c r="LG24" s="265"/>
      <c r="LR24" s="265"/>
      <c r="OR24" s="265"/>
      <c r="OS24" s="57"/>
      <c r="RE24" s="265"/>
    </row>
    <row r="25" spans="2:490" x14ac:dyDescent="0.25">
      <c r="IV25" s="113"/>
    </row>
    <row r="26" spans="2:490" x14ac:dyDescent="0.25">
      <c r="IV26" s="113"/>
    </row>
    <row r="27" spans="2:490" x14ac:dyDescent="0.25">
      <c r="IV27" s="11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7"/>
  <dimension ref="A1:AOP53"/>
  <sheetViews>
    <sheetView zoomScale="90" zoomScaleNormal="90" workbookViewId="0">
      <selection activeCell="VS17" sqref="VS17"/>
    </sheetView>
  </sheetViews>
  <sheetFormatPr defaultColWidth="9.140625" defaultRowHeight="15" x14ac:dyDescent="0.25"/>
  <cols>
    <col min="1" max="1" width="45.5703125" customWidth="1"/>
    <col min="2" max="2" width="34.85546875" customWidth="1"/>
    <col min="3" max="10" width="12.85546875" hidden="1" customWidth="1"/>
    <col min="11" max="11" width="12.42578125" hidden="1" customWidth="1"/>
    <col min="12" max="12" width="12" hidden="1" customWidth="1"/>
    <col min="13" max="20" width="12.42578125" hidden="1" customWidth="1"/>
    <col min="21" max="21" width="12.85546875" hidden="1" customWidth="1"/>
    <col min="22" max="22" width="12.42578125" hidden="1" customWidth="1"/>
    <col min="23" max="31" width="12.85546875" hidden="1" customWidth="1"/>
    <col min="32" max="32" width="12.42578125" hidden="1" customWidth="1"/>
    <col min="33" max="33" width="12.85546875" hidden="1" customWidth="1"/>
    <col min="34" max="41" width="13.140625" hidden="1" customWidth="1"/>
    <col min="42" max="42" width="12.85546875" hidden="1" customWidth="1"/>
    <col min="43" max="43" width="12.42578125" hidden="1" customWidth="1"/>
    <col min="44" max="51" width="12.85546875" hidden="1" customWidth="1"/>
    <col min="52" max="52" width="13.140625" hidden="1" customWidth="1"/>
    <col min="53" max="53" width="12.85546875" hidden="1" customWidth="1"/>
    <col min="54" max="60" width="13.140625" hidden="1" customWidth="1"/>
    <col min="61" max="61" width="12.85546875" hidden="1" customWidth="1"/>
    <col min="62" max="69" width="13.140625" hidden="1" customWidth="1"/>
    <col min="70" max="70" width="12.85546875" hidden="1" customWidth="1"/>
    <col min="71" max="71" width="12.42578125" hidden="1" customWidth="1"/>
    <col min="72" max="79" width="12.85546875" hidden="1" customWidth="1"/>
    <col min="80" max="80" width="13.140625" hidden="1" customWidth="1"/>
    <col min="81" max="81" width="12.85546875" hidden="1" customWidth="1"/>
    <col min="82" max="90" width="13.140625" hidden="1" customWidth="1"/>
    <col min="91" max="92" width="12.85546875" hidden="1" customWidth="1"/>
    <col min="93" max="100" width="13.140625" hidden="1" customWidth="1"/>
    <col min="101" max="101" width="12.85546875" hidden="1" customWidth="1"/>
    <col min="102" max="102" width="12.42578125" hidden="1" customWidth="1"/>
    <col min="103" max="110" width="12.85546875" hidden="1" customWidth="1"/>
    <col min="111" max="111" width="13.140625" hidden="1" customWidth="1"/>
    <col min="112" max="112" width="12.85546875" hidden="1" customWidth="1"/>
    <col min="113" max="121" width="13.140625" hidden="1" customWidth="1"/>
    <col min="122" max="122" width="12.85546875" hidden="1" customWidth="1"/>
    <col min="123" max="130" width="13.140625" hidden="1" customWidth="1"/>
    <col min="131" max="131" width="12.85546875" hidden="1" customWidth="1"/>
    <col min="132" max="132" width="12.42578125" hidden="1" customWidth="1"/>
    <col min="133" max="140" width="12.85546875" hidden="1" customWidth="1"/>
    <col min="141" max="141" width="13.140625" hidden="1" customWidth="1"/>
    <col min="142" max="142" width="12.85546875" hidden="1" customWidth="1"/>
    <col min="143" max="151" width="13.140625" hidden="1" customWidth="1"/>
    <col min="152" max="153" width="12.85546875" hidden="1" customWidth="1"/>
    <col min="154" max="161" width="13.140625" hidden="1" customWidth="1"/>
    <col min="162" max="162" width="12.85546875" hidden="1" customWidth="1"/>
    <col min="163" max="163" width="12.42578125" hidden="1" customWidth="1"/>
    <col min="164" max="171" width="12.85546875" hidden="1" customWidth="1"/>
    <col min="172" max="172" width="13.140625" hidden="1" customWidth="1"/>
    <col min="173" max="173" width="12.85546875" hidden="1" customWidth="1"/>
    <col min="174" max="182" width="13.140625" hidden="1" customWidth="1"/>
    <col min="183" max="183" width="12.85546875" hidden="1" customWidth="1"/>
    <col min="184" max="191" width="13.140625" hidden="1" customWidth="1"/>
    <col min="192" max="192" width="12.85546875" hidden="1" customWidth="1"/>
    <col min="193" max="193" width="12.42578125" hidden="1" customWidth="1"/>
    <col min="194" max="201" width="12.85546875" hidden="1" customWidth="1"/>
    <col min="202" max="202" width="13.140625" hidden="1" customWidth="1"/>
    <col min="203" max="203" width="12.85546875" hidden="1" customWidth="1"/>
    <col min="204" max="212" width="13.140625" hidden="1" customWidth="1"/>
    <col min="213" max="214" width="12.85546875" hidden="1" customWidth="1"/>
    <col min="215" max="222" width="13.140625" hidden="1" customWidth="1"/>
    <col min="223" max="223" width="12.85546875" hidden="1" customWidth="1"/>
    <col min="224" max="224" width="12.42578125" hidden="1" customWidth="1"/>
    <col min="225" max="232" width="12.85546875" hidden="1" customWidth="1"/>
    <col min="233" max="233" width="13.140625" hidden="1" customWidth="1"/>
    <col min="234" max="234" width="12.85546875" hidden="1" customWidth="1"/>
    <col min="235" max="243" width="13.140625" hidden="1" customWidth="1"/>
    <col min="244" max="245" width="12.85546875" hidden="1" customWidth="1"/>
    <col min="246" max="253" width="13.140625" hidden="1" customWidth="1"/>
    <col min="254" max="254" width="12.85546875" hidden="1" customWidth="1"/>
    <col min="255" max="255" width="12.42578125" hidden="1" customWidth="1"/>
    <col min="256" max="263" width="12.85546875" hidden="1" customWidth="1"/>
    <col min="264" max="264" width="13.140625" hidden="1" customWidth="1"/>
    <col min="265" max="265" width="12.85546875" hidden="1" customWidth="1"/>
    <col min="266" max="274" width="13.140625" hidden="1" customWidth="1"/>
    <col min="275" max="275" width="12.42578125" hidden="1" customWidth="1"/>
    <col min="276" max="283" width="12.85546875" hidden="1" customWidth="1"/>
    <col min="284" max="284" width="12.42578125" hidden="1" customWidth="1"/>
    <col min="285" max="285" width="12" hidden="1" customWidth="1"/>
    <col min="286" max="293" width="12.42578125" hidden="1" customWidth="1"/>
    <col min="294" max="294" width="12.85546875" hidden="1" customWidth="1"/>
    <col min="295" max="295" width="12.42578125" hidden="1" customWidth="1"/>
    <col min="296" max="296" width="12.85546875" hidden="1" customWidth="1"/>
    <col min="297" max="297" width="14.85546875" hidden="1" customWidth="1"/>
    <col min="298" max="304" width="12.85546875" hidden="1" customWidth="1"/>
    <col min="305" max="305" width="12.42578125" hidden="1" customWidth="1"/>
    <col min="306" max="306" width="12" hidden="1" customWidth="1"/>
    <col min="307" max="314" width="12.42578125" hidden="1" customWidth="1"/>
    <col min="315" max="315" width="12" hidden="1" customWidth="1"/>
    <col min="316" max="316" width="11.5703125" hidden="1" customWidth="1"/>
    <col min="317" max="324" width="12" hidden="1" customWidth="1"/>
    <col min="325" max="325" width="12.42578125" hidden="1" customWidth="1"/>
    <col min="326" max="326" width="12" hidden="1" customWidth="1"/>
    <col min="327" max="336" width="12.42578125" hidden="1" customWidth="1"/>
    <col min="337" max="344" width="12.85546875" hidden="1" customWidth="1"/>
    <col min="345" max="345" width="12.42578125" hidden="1" customWidth="1"/>
    <col min="346" max="346" width="12" hidden="1" customWidth="1"/>
    <col min="347" max="354" width="12.42578125" hidden="1" customWidth="1"/>
    <col min="355" max="355" width="12.85546875" hidden="1" customWidth="1"/>
    <col min="356" max="356" width="12.42578125" hidden="1" customWidth="1"/>
    <col min="357" max="365" width="12.85546875" hidden="1" customWidth="1"/>
    <col min="366" max="366" width="12.42578125" hidden="1" customWidth="1"/>
    <col min="367" max="367" width="12.140625" hidden="1" customWidth="1"/>
    <col min="368" max="373" width="11.5703125" hidden="1" customWidth="1"/>
    <col min="374" max="374" width="13.28515625" hidden="1" customWidth="1"/>
    <col min="375" max="380" width="11.5703125" hidden="1" customWidth="1"/>
    <col min="381" max="381" width="13.28515625" hidden="1" customWidth="1"/>
    <col min="382" max="387" width="11.5703125" hidden="1" customWidth="1"/>
    <col min="388" max="388" width="13.28515625" hidden="1" customWidth="1"/>
    <col min="389" max="394" width="11.5703125" hidden="1" customWidth="1"/>
    <col min="395" max="395" width="13.28515625" hidden="1" customWidth="1"/>
    <col min="396" max="401" width="11.5703125" hidden="1" customWidth="1"/>
    <col min="402" max="402" width="13.28515625" hidden="1" customWidth="1"/>
    <col min="403" max="408" width="11.5703125" hidden="1" customWidth="1"/>
    <col min="409" max="409" width="13.28515625" hidden="1" customWidth="1"/>
    <col min="410" max="415" width="11.5703125" hidden="1" customWidth="1"/>
    <col min="416" max="416" width="13.28515625" hidden="1" customWidth="1"/>
    <col min="417" max="418" width="11.5703125" hidden="1" customWidth="1"/>
    <col min="419" max="419" width="11.5703125" style="57" hidden="1" customWidth="1"/>
    <col min="420" max="422" width="11.5703125" hidden="1" customWidth="1"/>
    <col min="423" max="423" width="13.28515625" hidden="1" customWidth="1"/>
    <col min="424" max="429" width="11.5703125" hidden="1" customWidth="1"/>
    <col min="430" max="430" width="11.5703125" style="57" hidden="1" customWidth="1"/>
    <col min="431" max="432" width="11.5703125" hidden="1" customWidth="1"/>
    <col min="433" max="433" width="12.140625" hidden="1" customWidth="1"/>
    <col min="434" max="439" width="11.5703125" hidden="1" customWidth="1"/>
    <col min="440" max="440" width="13.28515625" hidden="1" customWidth="1"/>
    <col min="441" max="446" width="11.5703125" hidden="1" customWidth="1"/>
    <col min="447" max="447" width="13.28515625" hidden="1" customWidth="1"/>
    <col min="448" max="453" width="11.5703125" hidden="1" customWidth="1"/>
    <col min="454" max="454" width="13.28515625" hidden="1" customWidth="1"/>
    <col min="455" max="460" width="11.5703125" hidden="1" customWidth="1"/>
    <col min="461" max="461" width="13.28515625" hidden="1" customWidth="1"/>
    <col min="462" max="467" width="11.5703125" hidden="1" customWidth="1"/>
    <col min="468" max="468" width="13.28515625" hidden="1" customWidth="1"/>
    <col min="469" max="474" width="11.5703125" hidden="1" customWidth="1"/>
    <col min="475" max="475" width="13.28515625" hidden="1" customWidth="1"/>
    <col min="476" max="481" width="11.5703125" hidden="1" customWidth="1"/>
    <col min="482" max="482" width="13.28515625" hidden="1" customWidth="1"/>
    <col min="483" max="487" width="11.5703125" hidden="1" customWidth="1"/>
    <col min="488" max="489" width="13.28515625" hidden="1" customWidth="1"/>
    <col min="490" max="492" width="11.5703125" hidden="1" customWidth="1"/>
    <col min="493" max="493" width="11.5703125" style="58" hidden="1" customWidth="1"/>
    <col min="494" max="495" width="11.5703125" hidden="1" customWidth="1"/>
    <col min="496" max="496" width="13.28515625" hidden="1" customWidth="1"/>
    <col min="497" max="502" width="11.5703125" hidden="1" customWidth="1"/>
    <col min="503" max="503" width="13.28515625" hidden="1" customWidth="1"/>
    <col min="504" max="509" width="11.5703125" hidden="1" customWidth="1"/>
    <col min="510" max="510" width="13.28515625" hidden="1" customWidth="1"/>
    <col min="511" max="516" width="11.5703125" hidden="1" customWidth="1"/>
    <col min="517" max="517" width="13.28515625" hidden="1" customWidth="1"/>
    <col min="518" max="524" width="11.5703125" hidden="1" customWidth="1"/>
    <col min="525" max="525" width="13.28515625" hidden="1" customWidth="1"/>
    <col min="526" max="531" width="11.5703125" hidden="1" customWidth="1"/>
    <col min="532" max="532" width="13.28515625" hidden="1" customWidth="1"/>
    <col min="533" max="539" width="11.5703125" hidden="1" customWidth="1"/>
    <col min="540" max="540" width="13.28515625" hidden="1" customWidth="1"/>
    <col min="541" max="547" width="11.5703125" hidden="1" customWidth="1"/>
    <col min="548" max="548" width="13.28515625" hidden="1" customWidth="1"/>
    <col min="549" max="555" width="11.5703125" hidden="1" customWidth="1"/>
    <col min="556" max="556" width="13.28515625" hidden="1" customWidth="1"/>
    <col min="557" max="562" width="11.5703125" hidden="1" customWidth="1"/>
    <col min="563" max="563" width="13.28515625" hidden="1" customWidth="1"/>
    <col min="564" max="564" width="11.5703125" hidden="1" customWidth="1"/>
    <col min="565" max="565" width="11.5703125" style="48" hidden="1" customWidth="1"/>
    <col min="566" max="569" width="11.5703125" hidden="1" customWidth="1"/>
    <col min="570" max="570" width="13.28515625" hidden="1" customWidth="1"/>
    <col min="571" max="576" width="11.5703125" hidden="1" customWidth="1"/>
    <col min="577" max="577" width="13.28515625" hidden="1" customWidth="1"/>
    <col min="578" max="583" width="11.5703125" hidden="1" customWidth="1"/>
    <col min="584" max="584" width="13.28515625" hidden="1" customWidth="1"/>
    <col min="585" max="586" width="11.5703125" bestFit="1" customWidth="1"/>
    <col min="587" max="590" width="11.5703125" style="57" bestFit="1" customWidth="1"/>
    <col min="591" max="591" width="13.28515625" bestFit="1" customWidth="1"/>
    <col min="602" max="615" width="11.5703125" bestFit="1" customWidth="1"/>
    <col min="616" max="616" width="13.28515625" bestFit="1" customWidth="1"/>
    <col min="617" max="635" width="11.5703125" bestFit="1" customWidth="1"/>
    <col min="636" max="636" width="13.28515625" bestFit="1" customWidth="1"/>
    <col min="637" max="644" width="11.5703125" bestFit="1" customWidth="1"/>
    <col min="645" max="645" width="13.28515625" bestFit="1" customWidth="1"/>
    <col min="646" max="649" width="11.5703125" bestFit="1" customWidth="1"/>
    <col min="650" max="650" width="10" bestFit="1" customWidth="1"/>
    <col min="651" max="652" width="11.5703125" bestFit="1" customWidth="1"/>
    <col min="653" max="653" width="13.28515625" bestFit="1" customWidth="1"/>
    <col min="654" max="658" width="11.5703125" bestFit="1" customWidth="1"/>
    <col min="659" max="659" width="10" bestFit="1" customWidth="1"/>
    <col min="660" max="660" width="7.140625" bestFit="1" customWidth="1"/>
    <col min="661" max="661" width="10" bestFit="1" customWidth="1"/>
    <col min="662" max="662" width="14.85546875" bestFit="1" customWidth="1"/>
    <col min="663" max="663" width="2.5703125" bestFit="1" customWidth="1"/>
    <col min="664" max="664" width="10" bestFit="1" customWidth="1"/>
    <col min="665" max="665" width="11.140625" bestFit="1" customWidth="1"/>
    <col min="666" max="674" width="11.5703125" bestFit="1" customWidth="1"/>
    <col min="675" max="675" width="13.28515625" bestFit="1" customWidth="1"/>
    <col min="676" max="697" width="11.5703125" bestFit="1" customWidth="1"/>
    <col min="698" max="703" width="13.28515625" bestFit="1" customWidth="1"/>
    <col min="704" max="721" width="11.5703125" bestFit="1" customWidth="1"/>
    <col min="722" max="722" width="13.28515625" bestFit="1" customWidth="1"/>
    <col min="723" max="736" width="11.5703125" bestFit="1" customWidth="1"/>
    <col min="737" max="737" width="13.28515625" bestFit="1" customWidth="1"/>
    <col min="738" max="753" width="11.5703125" bestFit="1" customWidth="1"/>
    <col min="754" max="754" width="13.28515625" bestFit="1" customWidth="1"/>
    <col min="755" max="768" width="11.5703125" bestFit="1" customWidth="1"/>
    <col min="769" max="769" width="13.28515625" bestFit="1" customWidth="1"/>
    <col min="770" max="775" width="11.5703125" bestFit="1" customWidth="1"/>
    <col min="776" max="776" width="13.28515625" bestFit="1" customWidth="1"/>
    <col min="777" max="784" width="11.5703125" bestFit="1" customWidth="1"/>
    <col min="785" max="785" width="13.28515625" bestFit="1" customWidth="1"/>
    <col min="786" max="792" width="11.5703125" bestFit="1" customWidth="1"/>
    <col min="793" max="793" width="13.28515625" bestFit="1" customWidth="1"/>
    <col min="794" max="800" width="11.5703125" bestFit="1" customWidth="1"/>
    <col min="801" max="801" width="13.28515625" bestFit="1" customWidth="1"/>
    <col min="802" max="807" width="11.5703125" bestFit="1" customWidth="1"/>
    <col min="808" max="808" width="13.28515625" bestFit="1" customWidth="1"/>
    <col min="813" max="813" width="13.140625" bestFit="1" customWidth="1"/>
    <col min="814" max="815" width="11.140625" bestFit="1" customWidth="1"/>
    <col min="816" max="816" width="14.85546875" bestFit="1" customWidth="1"/>
    <col min="817" max="817" width="11.140625" bestFit="1" customWidth="1"/>
    <col min="818" max="818" width="10" bestFit="1" customWidth="1"/>
    <col min="819" max="819" width="11.140625" bestFit="1" customWidth="1"/>
    <col min="820" max="912" width="11.5703125" bestFit="1" customWidth="1"/>
    <col min="918" max="918" width="11.5703125" bestFit="1" customWidth="1"/>
    <col min="921" max="921" width="11.5703125" bestFit="1" customWidth="1"/>
    <col min="929" max="929" width="11.5703125" bestFit="1" customWidth="1"/>
    <col min="934" max="1040" width="11.5703125" bestFit="1" customWidth="1"/>
    <col min="1041" max="1047" width="10.5703125" bestFit="1" customWidth="1"/>
    <col min="1048" max="1070" width="10.42578125" bestFit="1" customWidth="1"/>
    <col min="1071" max="1071" width="9.42578125" customWidth="1"/>
    <col min="1072" max="1082" width="10.42578125" bestFit="1" customWidth="1"/>
  </cols>
  <sheetData>
    <row r="1" spans="1:1082" ht="15.75" thickBot="1" x14ac:dyDescent="0.3">
      <c r="A1" s="31" t="s">
        <v>27</v>
      </c>
      <c r="B1" s="31" t="s">
        <v>72</v>
      </c>
      <c r="C1" s="59">
        <v>44928</v>
      </c>
      <c r="D1" s="59">
        <v>44929</v>
      </c>
      <c r="E1" s="59">
        <v>44930</v>
      </c>
      <c r="F1" s="59">
        <v>44931</v>
      </c>
      <c r="G1" s="59">
        <v>44932</v>
      </c>
      <c r="H1" s="59">
        <v>44933</v>
      </c>
      <c r="I1" s="59">
        <v>44934</v>
      </c>
      <c r="J1" s="59">
        <v>44935</v>
      </c>
      <c r="K1" s="59">
        <v>44936</v>
      </c>
      <c r="L1" s="59">
        <v>44937</v>
      </c>
      <c r="M1" s="59">
        <v>44938</v>
      </c>
      <c r="N1" s="59">
        <v>44939</v>
      </c>
      <c r="O1" s="59">
        <v>44940</v>
      </c>
      <c r="P1" s="59">
        <v>44941</v>
      </c>
      <c r="Q1" s="59">
        <v>44942</v>
      </c>
      <c r="R1" s="59">
        <v>44943</v>
      </c>
      <c r="S1" s="59">
        <v>44944</v>
      </c>
      <c r="T1" s="59">
        <v>44945</v>
      </c>
      <c r="U1" s="59">
        <v>44946</v>
      </c>
      <c r="V1" s="59">
        <v>44947</v>
      </c>
      <c r="W1" s="59">
        <v>44948</v>
      </c>
      <c r="X1" s="59">
        <v>44949</v>
      </c>
      <c r="Y1" s="59">
        <v>44950</v>
      </c>
      <c r="Z1" s="59">
        <v>44951</v>
      </c>
      <c r="AA1" s="59">
        <v>44952</v>
      </c>
      <c r="AB1" s="59">
        <v>44953</v>
      </c>
      <c r="AC1" s="59">
        <v>44954</v>
      </c>
      <c r="AD1" s="59">
        <v>44955</v>
      </c>
      <c r="AE1" s="59">
        <v>44956</v>
      </c>
      <c r="AF1" s="59">
        <v>44957</v>
      </c>
      <c r="AG1" s="59">
        <v>44958</v>
      </c>
      <c r="AH1" s="59">
        <v>44959</v>
      </c>
      <c r="AI1" s="59">
        <v>44960</v>
      </c>
      <c r="AJ1" s="59">
        <v>44961</v>
      </c>
      <c r="AK1" s="59">
        <v>44962</v>
      </c>
      <c r="AL1" s="59">
        <v>44963</v>
      </c>
      <c r="AM1" s="59">
        <v>44964</v>
      </c>
      <c r="AN1" s="59">
        <v>44965</v>
      </c>
      <c r="AO1" s="59">
        <v>44966</v>
      </c>
      <c r="AP1" s="59">
        <v>44967</v>
      </c>
      <c r="AQ1" s="59">
        <v>44968</v>
      </c>
      <c r="AR1" s="59">
        <v>44969</v>
      </c>
      <c r="AS1" s="59">
        <v>44970</v>
      </c>
      <c r="AT1" s="59">
        <v>44971</v>
      </c>
      <c r="AU1" s="59">
        <v>44972</v>
      </c>
      <c r="AV1" s="59">
        <v>44973</v>
      </c>
      <c r="AW1" s="59">
        <v>44974</v>
      </c>
      <c r="AX1" s="59">
        <v>44975</v>
      </c>
      <c r="AY1" s="59">
        <v>44976</v>
      </c>
      <c r="AZ1" s="59">
        <v>44977</v>
      </c>
      <c r="BA1" s="59">
        <v>44978</v>
      </c>
      <c r="BB1" s="59">
        <v>44979</v>
      </c>
      <c r="BC1" s="59">
        <v>44980</v>
      </c>
      <c r="BD1" s="59">
        <v>44981</v>
      </c>
      <c r="BE1" s="59">
        <v>44982</v>
      </c>
      <c r="BF1" s="59">
        <v>44983</v>
      </c>
      <c r="BG1" s="59">
        <v>44984</v>
      </c>
      <c r="BH1" s="59">
        <v>44985</v>
      </c>
      <c r="BI1" s="59">
        <v>44986</v>
      </c>
      <c r="BJ1" s="59">
        <v>44987</v>
      </c>
      <c r="BK1" s="59">
        <v>44988</v>
      </c>
      <c r="BL1" s="59">
        <v>44989</v>
      </c>
      <c r="BM1" s="59">
        <v>44990</v>
      </c>
      <c r="BN1" s="59">
        <v>44991</v>
      </c>
      <c r="BO1" s="59">
        <v>44992</v>
      </c>
      <c r="BP1" s="59">
        <v>44993</v>
      </c>
      <c r="BQ1" s="59">
        <v>44994</v>
      </c>
      <c r="BR1" s="59">
        <v>44995</v>
      </c>
      <c r="BS1" s="59">
        <v>44996</v>
      </c>
      <c r="BT1" s="59">
        <v>44997</v>
      </c>
      <c r="BU1" s="59">
        <v>44998</v>
      </c>
      <c r="BV1" s="59">
        <v>44999</v>
      </c>
      <c r="BW1" s="59">
        <v>45000</v>
      </c>
      <c r="BX1" s="59">
        <v>45001</v>
      </c>
      <c r="BY1" s="59">
        <v>45002</v>
      </c>
      <c r="BZ1" s="59">
        <v>45003</v>
      </c>
      <c r="CA1" s="59">
        <v>45004</v>
      </c>
      <c r="CB1" s="59">
        <v>45005</v>
      </c>
      <c r="CC1" s="59">
        <v>45006</v>
      </c>
      <c r="CD1" s="59">
        <v>45007</v>
      </c>
      <c r="CE1" s="59">
        <v>45008</v>
      </c>
      <c r="CF1" s="59">
        <v>45009</v>
      </c>
      <c r="CG1" s="59">
        <v>45010</v>
      </c>
      <c r="CH1" s="59">
        <v>45011</v>
      </c>
      <c r="CI1" s="59">
        <v>45012</v>
      </c>
      <c r="CJ1" s="59">
        <v>45013</v>
      </c>
      <c r="CK1" s="59">
        <v>45014</v>
      </c>
      <c r="CL1" s="59">
        <v>45015</v>
      </c>
      <c r="CM1" s="59">
        <v>45016</v>
      </c>
      <c r="CN1" s="59">
        <v>45017</v>
      </c>
      <c r="CO1" s="59">
        <v>45018</v>
      </c>
      <c r="CP1" s="59">
        <v>45019</v>
      </c>
      <c r="CQ1" s="59">
        <v>45020</v>
      </c>
      <c r="CR1" s="59">
        <v>45021</v>
      </c>
      <c r="CS1" s="59">
        <v>45022</v>
      </c>
      <c r="CT1" s="59">
        <v>45023</v>
      </c>
      <c r="CU1" s="59">
        <v>45024</v>
      </c>
      <c r="CV1" s="59">
        <v>45025</v>
      </c>
      <c r="CW1" s="59">
        <v>45026</v>
      </c>
      <c r="CX1" s="59">
        <v>45027</v>
      </c>
      <c r="CY1" s="59">
        <v>45028</v>
      </c>
      <c r="CZ1" s="59">
        <v>45029</v>
      </c>
      <c r="DA1" s="59">
        <v>45030</v>
      </c>
      <c r="DB1" s="59">
        <v>45031</v>
      </c>
      <c r="DC1" s="59">
        <v>45032</v>
      </c>
      <c r="DD1" s="59">
        <v>45033</v>
      </c>
      <c r="DE1" s="59">
        <v>45034</v>
      </c>
      <c r="DF1" s="59">
        <v>45035</v>
      </c>
      <c r="DG1" s="59">
        <v>45036</v>
      </c>
      <c r="DH1" s="59">
        <v>45037</v>
      </c>
      <c r="DI1" s="59">
        <v>45038</v>
      </c>
      <c r="DJ1" s="59">
        <v>45039</v>
      </c>
      <c r="DK1" s="59">
        <v>45040</v>
      </c>
      <c r="DL1" s="59">
        <v>45041</v>
      </c>
      <c r="DM1" s="59">
        <v>45042</v>
      </c>
      <c r="DN1" s="59">
        <v>45043</v>
      </c>
      <c r="DO1" s="59">
        <v>45044</v>
      </c>
      <c r="DP1" s="59">
        <v>45045</v>
      </c>
      <c r="DQ1" s="59">
        <v>45046</v>
      </c>
      <c r="DR1" s="59">
        <v>45047</v>
      </c>
      <c r="DS1" s="59">
        <v>45048</v>
      </c>
      <c r="DT1" s="59">
        <v>45049</v>
      </c>
      <c r="DU1" s="59">
        <v>45050</v>
      </c>
      <c r="DV1" s="59">
        <v>45051</v>
      </c>
      <c r="DW1" s="59">
        <v>45052</v>
      </c>
      <c r="DX1" s="59">
        <v>45053</v>
      </c>
      <c r="DY1" s="59">
        <v>45054</v>
      </c>
      <c r="DZ1" s="59">
        <v>45055</v>
      </c>
      <c r="EA1" s="59">
        <v>45056</v>
      </c>
      <c r="EB1" s="59">
        <v>45057</v>
      </c>
      <c r="EC1" s="59">
        <v>45058</v>
      </c>
      <c r="ED1" s="59">
        <v>45059</v>
      </c>
      <c r="EE1" s="59">
        <v>45060</v>
      </c>
      <c r="EF1" s="59">
        <v>45061</v>
      </c>
      <c r="EG1" s="59">
        <v>45062</v>
      </c>
      <c r="EH1" s="59">
        <v>45063</v>
      </c>
      <c r="EI1" s="59">
        <v>45064</v>
      </c>
      <c r="EJ1" s="59">
        <v>45065</v>
      </c>
      <c r="EK1" s="59">
        <v>45066</v>
      </c>
      <c r="EL1" s="59">
        <v>45067</v>
      </c>
      <c r="EM1" s="59">
        <v>45068</v>
      </c>
      <c r="EN1" s="59">
        <v>45069</v>
      </c>
      <c r="EO1" s="59">
        <v>45070</v>
      </c>
      <c r="EP1" s="59">
        <v>45071</v>
      </c>
      <c r="EQ1" s="59">
        <v>45072</v>
      </c>
      <c r="ER1" s="59">
        <v>45073</v>
      </c>
      <c r="ES1" s="59">
        <v>45074</v>
      </c>
      <c r="ET1" s="59">
        <v>45075</v>
      </c>
      <c r="EU1" s="59">
        <v>45076</v>
      </c>
      <c r="EV1" s="59">
        <v>45077</v>
      </c>
      <c r="EW1" s="59">
        <v>45078</v>
      </c>
      <c r="EX1" s="59">
        <v>45079</v>
      </c>
      <c r="EY1" s="59">
        <v>45080</v>
      </c>
      <c r="EZ1" s="59">
        <v>45081</v>
      </c>
      <c r="FA1" s="59">
        <v>45082</v>
      </c>
      <c r="FB1" s="59">
        <v>45083</v>
      </c>
      <c r="FC1" s="59">
        <v>45084</v>
      </c>
      <c r="FD1" s="59">
        <v>45085</v>
      </c>
      <c r="FE1" s="59">
        <v>45086</v>
      </c>
      <c r="FF1" s="59">
        <v>45087</v>
      </c>
      <c r="FG1" s="59">
        <v>45088</v>
      </c>
      <c r="FH1" s="59">
        <v>45089</v>
      </c>
      <c r="FI1" s="59">
        <v>45090</v>
      </c>
      <c r="FJ1" s="59">
        <v>45091</v>
      </c>
      <c r="FK1" s="59">
        <v>45092</v>
      </c>
      <c r="FL1" s="59">
        <v>45093</v>
      </c>
      <c r="FM1" s="59">
        <v>45094</v>
      </c>
      <c r="FN1" s="59">
        <v>45095</v>
      </c>
      <c r="FO1" s="59">
        <v>45096</v>
      </c>
      <c r="FP1" s="59">
        <v>45097</v>
      </c>
      <c r="FQ1" s="59">
        <v>45098</v>
      </c>
      <c r="FR1" s="59">
        <v>45099</v>
      </c>
      <c r="FS1" s="59">
        <v>45100</v>
      </c>
      <c r="FT1" s="59">
        <v>45101</v>
      </c>
      <c r="FU1" s="59">
        <v>45102</v>
      </c>
      <c r="FV1" s="59">
        <v>45103</v>
      </c>
      <c r="FW1" s="59">
        <v>45104</v>
      </c>
      <c r="FX1" s="59">
        <v>45105</v>
      </c>
      <c r="FY1" s="59">
        <v>45106</v>
      </c>
      <c r="FZ1" s="59">
        <v>45107</v>
      </c>
      <c r="GA1" s="59">
        <v>45108</v>
      </c>
      <c r="GB1" s="59">
        <v>45109</v>
      </c>
      <c r="GC1" s="59">
        <v>45110</v>
      </c>
      <c r="GD1" s="59">
        <v>45111</v>
      </c>
      <c r="GE1" s="59">
        <v>45112</v>
      </c>
      <c r="GF1" s="59">
        <v>45113</v>
      </c>
      <c r="GG1" s="59">
        <v>45114</v>
      </c>
      <c r="GH1" s="59">
        <v>45115</v>
      </c>
      <c r="GI1" s="59">
        <v>45116</v>
      </c>
      <c r="GJ1" s="59">
        <v>45117</v>
      </c>
      <c r="GK1" s="59">
        <v>45118</v>
      </c>
      <c r="GL1" s="59">
        <v>45119</v>
      </c>
      <c r="GM1" s="59">
        <v>45120</v>
      </c>
      <c r="GN1" s="59">
        <v>45121</v>
      </c>
      <c r="GO1" s="59">
        <v>45122</v>
      </c>
      <c r="GP1" s="59">
        <v>45123</v>
      </c>
      <c r="GQ1" s="59">
        <v>45124</v>
      </c>
      <c r="GR1" s="59">
        <v>45125</v>
      </c>
      <c r="GS1" s="59">
        <v>45126</v>
      </c>
      <c r="GT1" s="59">
        <v>45127</v>
      </c>
      <c r="GU1" s="59">
        <v>45128</v>
      </c>
      <c r="GV1" s="59">
        <v>45129</v>
      </c>
      <c r="GW1" s="59">
        <v>45130</v>
      </c>
      <c r="GX1" s="59">
        <v>45131</v>
      </c>
      <c r="GY1" s="59">
        <v>45132</v>
      </c>
      <c r="GZ1" s="59">
        <v>45133</v>
      </c>
      <c r="HA1" s="59">
        <v>45134</v>
      </c>
      <c r="HB1" s="59">
        <v>45135</v>
      </c>
      <c r="HC1" s="59">
        <v>45136</v>
      </c>
      <c r="HD1" s="59">
        <v>45137</v>
      </c>
      <c r="HE1" s="59">
        <v>45138</v>
      </c>
      <c r="HF1" s="59">
        <v>45139</v>
      </c>
      <c r="HG1" s="59">
        <v>45140</v>
      </c>
      <c r="HH1" s="59">
        <v>45141</v>
      </c>
      <c r="HI1" s="59">
        <v>45142</v>
      </c>
      <c r="HJ1" s="59">
        <v>45143</v>
      </c>
      <c r="HK1" s="59">
        <v>45144</v>
      </c>
      <c r="HL1" s="59">
        <v>45145</v>
      </c>
      <c r="HM1" s="59">
        <v>45146</v>
      </c>
      <c r="HN1" s="59">
        <v>45147</v>
      </c>
      <c r="HO1" s="59">
        <v>45148</v>
      </c>
      <c r="HP1" s="59">
        <v>45149</v>
      </c>
      <c r="HQ1" s="59">
        <v>45150</v>
      </c>
      <c r="HR1" s="59">
        <v>45151</v>
      </c>
      <c r="HS1" s="59">
        <v>45152</v>
      </c>
      <c r="HT1" s="59">
        <v>45153</v>
      </c>
      <c r="HU1" s="59">
        <v>45154</v>
      </c>
      <c r="HV1" s="59">
        <v>45155</v>
      </c>
      <c r="HW1" s="59">
        <v>45156</v>
      </c>
      <c r="HX1" s="59">
        <v>45157</v>
      </c>
      <c r="HY1" s="59">
        <v>45158</v>
      </c>
      <c r="HZ1" s="59">
        <v>45159</v>
      </c>
      <c r="IA1" s="59">
        <v>45160</v>
      </c>
      <c r="IB1" s="59">
        <v>45161</v>
      </c>
      <c r="IC1" s="59">
        <v>45162</v>
      </c>
      <c r="ID1" s="59">
        <v>45163</v>
      </c>
      <c r="IE1" s="59">
        <v>45164</v>
      </c>
      <c r="IF1" s="59">
        <v>45165</v>
      </c>
      <c r="IG1" s="59">
        <v>45166</v>
      </c>
      <c r="IH1" s="59">
        <v>45167</v>
      </c>
      <c r="II1" s="59">
        <v>45168</v>
      </c>
      <c r="IJ1" s="59">
        <v>45169</v>
      </c>
      <c r="IK1" s="59">
        <v>45170</v>
      </c>
      <c r="IL1" s="59">
        <v>45171</v>
      </c>
      <c r="IM1" s="59">
        <v>45172</v>
      </c>
      <c r="IN1" s="59">
        <v>45173</v>
      </c>
      <c r="IO1" s="59">
        <v>45174</v>
      </c>
      <c r="IP1" s="59">
        <v>45175</v>
      </c>
      <c r="IQ1" s="59">
        <v>45176</v>
      </c>
      <c r="IR1" s="59">
        <v>45177</v>
      </c>
      <c r="IS1" s="59">
        <v>45178</v>
      </c>
      <c r="IT1" s="59">
        <v>45179</v>
      </c>
      <c r="IU1" s="59">
        <v>45180</v>
      </c>
      <c r="IV1" s="59">
        <v>45181</v>
      </c>
      <c r="IW1" s="59">
        <v>45182</v>
      </c>
      <c r="IX1" s="59">
        <v>45183</v>
      </c>
      <c r="IY1" s="59">
        <v>45184</v>
      </c>
      <c r="IZ1" s="59">
        <v>45185</v>
      </c>
      <c r="JA1" s="59">
        <v>45186</v>
      </c>
      <c r="JB1" s="59">
        <v>45187</v>
      </c>
      <c r="JC1" s="59">
        <v>45188</v>
      </c>
      <c r="JD1" s="59">
        <v>45189</v>
      </c>
      <c r="JE1" s="59">
        <v>45190</v>
      </c>
      <c r="JF1" s="59">
        <v>45191</v>
      </c>
      <c r="JG1" s="59">
        <v>45192</v>
      </c>
      <c r="JH1" s="59">
        <v>45193</v>
      </c>
      <c r="JI1" s="59">
        <v>45194</v>
      </c>
      <c r="JJ1" s="59">
        <v>45195</v>
      </c>
      <c r="JK1" s="59">
        <v>45196</v>
      </c>
      <c r="JL1" s="59">
        <v>45197</v>
      </c>
      <c r="JM1" s="59">
        <v>45198</v>
      </c>
      <c r="JN1" s="153">
        <v>45199</v>
      </c>
      <c r="JO1" s="76">
        <v>45200</v>
      </c>
      <c r="JP1" s="154">
        <v>45201</v>
      </c>
      <c r="JQ1" s="59">
        <v>45202</v>
      </c>
      <c r="JR1" s="59">
        <v>45203</v>
      </c>
      <c r="JS1" s="59">
        <v>45204</v>
      </c>
      <c r="JT1" s="59">
        <v>45205</v>
      </c>
      <c r="JU1" s="59">
        <v>45206</v>
      </c>
      <c r="JV1" s="59">
        <v>45207</v>
      </c>
      <c r="JW1" s="59">
        <v>45208</v>
      </c>
      <c r="JX1" s="59">
        <v>45209</v>
      </c>
      <c r="JY1" s="59">
        <v>45210</v>
      </c>
      <c r="JZ1" s="153">
        <v>45211</v>
      </c>
      <c r="KA1" s="76">
        <v>45212</v>
      </c>
      <c r="KB1" s="76">
        <v>45213</v>
      </c>
      <c r="KC1" s="76">
        <v>45214</v>
      </c>
      <c r="KD1" s="154">
        <v>45215</v>
      </c>
      <c r="KE1" s="59">
        <v>45216</v>
      </c>
      <c r="KF1" s="59">
        <v>45217</v>
      </c>
      <c r="KG1" s="59">
        <v>45218</v>
      </c>
      <c r="KH1" s="59">
        <v>45219</v>
      </c>
      <c r="KI1" s="59">
        <v>45220</v>
      </c>
      <c r="KJ1" s="59">
        <v>45221</v>
      </c>
      <c r="KK1" s="59">
        <v>45222</v>
      </c>
      <c r="KL1" s="59">
        <v>45223</v>
      </c>
      <c r="KM1" s="59">
        <v>45224</v>
      </c>
      <c r="KN1" s="59">
        <v>45225</v>
      </c>
      <c r="KO1" s="59">
        <v>45226</v>
      </c>
      <c r="KP1" s="59">
        <v>45227</v>
      </c>
      <c r="KQ1" s="59">
        <v>45228</v>
      </c>
      <c r="KR1" s="76">
        <v>45229</v>
      </c>
      <c r="KS1" s="76">
        <v>45230</v>
      </c>
      <c r="KT1" s="154">
        <v>45231</v>
      </c>
      <c r="KU1" s="59">
        <v>45232</v>
      </c>
      <c r="KV1" s="59">
        <v>45233</v>
      </c>
      <c r="KW1" s="59">
        <v>45234</v>
      </c>
      <c r="KX1" s="59">
        <v>45235</v>
      </c>
      <c r="KY1" s="59">
        <v>45236</v>
      </c>
      <c r="KZ1" s="59">
        <v>45237</v>
      </c>
      <c r="LA1" s="59">
        <v>45238</v>
      </c>
      <c r="LB1" s="59">
        <v>45239</v>
      </c>
      <c r="LC1" s="59">
        <v>45240</v>
      </c>
      <c r="LD1" s="59">
        <v>45241</v>
      </c>
      <c r="LE1" s="59">
        <v>45242</v>
      </c>
      <c r="LF1" s="59">
        <v>45243</v>
      </c>
      <c r="LG1" s="59">
        <v>45244</v>
      </c>
      <c r="LH1" s="59">
        <v>45245</v>
      </c>
      <c r="LI1" s="59">
        <v>45246</v>
      </c>
      <c r="LJ1" s="59">
        <v>45247</v>
      </c>
      <c r="LK1" s="59">
        <v>45248</v>
      </c>
      <c r="LL1" s="59">
        <v>45249</v>
      </c>
      <c r="LM1" s="59">
        <v>45250</v>
      </c>
      <c r="LN1" s="59">
        <v>45251</v>
      </c>
      <c r="LO1" s="59">
        <v>45252</v>
      </c>
      <c r="LP1" s="59">
        <v>45253</v>
      </c>
      <c r="LQ1" s="59">
        <v>45254</v>
      </c>
      <c r="LR1" s="59">
        <v>45255</v>
      </c>
      <c r="LS1" s="59">
        <v>45256</v>
      </c>
      <c r="LT1" s="59">
        <v>45257</v>
      </c>
      <c r="LU1" s="59">
        <v>45258</v>
      </c>
      <c r="LV1" s="59">
        <v>45259</v>
      </c>
      <c r="LW1" s="59">
        <v>45260</v>
      </c>
      <c r="LX1" s="59">
        <v>45261</v>
      </c>
      <c r="LY1" s="59">
        <v>45262</v>
      </c>
      <c r="LZ1" s="59">
        <v>45263</v>
      </c>
      <c r="MA1" s="59">
        <v>45264</v>
      </c>
      <c r="MB1" s="59">
        <v>45265</v>
      </c>
      <c r="MC1" s="59">
        <v>45266</v>
      </c>
      <c r="MD1" s="59">
        <v>45267</v>
      </c>
      <c r="ME1" s="59">
        <v>45268</v>
      </c>
      <c r="MF1" s="59">
        <v>45269</v>
      </c>
      <c r="MG1" s="59">
        <v>45270</v>
      </c>
      <c r="MH1" s="59">
        <v>45271</v>
      </c>
      <c r="MI1" s="59">
        <v>45272</v>
      </c>
      <c r="MJ1" s="59">
        <v>45273</v>
      </c>
      <c r="MK1" s="59">
        <v>45274</v>
      </c>
      <c r="ML1" s="59">
        <v>45275</v>
      </c>
      <c r="MM1" s="59">
        <v>45276</v>
      </c>
      <c r="MN1" s="59">
        <v>45277</v>
      </c>
      <c r="MO1" s="59">
        <v>45278</v>
      </c>
      <c r="MP1" s="59">
        <v>45279</v>
      </c>
      <c r="MQ1" s="59">
        <v>45280</v>
      </c>
      <c r="MR1" s="59">
        <v>45281</v>
      </c>
      <c r="MS1" s="59">
        <v>45282</v>
      </c>
      <c r="MT1" s="59">
        <v>45283</v>
      </c>
      <c r="MU1" s="59">
        <v>45284</v>
      </c>
      <c r="MV1" s="59">
        <v>45285</v>
      </c>
      <c r="MW1" s="59">
        <v>45286</v>
      </c>
      <c r="MX1" s="59">
        <v>45287</v>
      </c>
      <c r="MY1" s="59">
        <v>45288</v>
      </c>
      <c r="MZ1" s="59">
        <v>45289</v>
      </c>
      <c r="NA1" s="59">
        <v>45290</v>
      </c>
      <c r="NB1" s="59">
        <v>45291</v>
      </c>
      <c r="NC1" s="59">
        <v>45292</v>
      </c>
      <c r="ND1" s="59">
        <v>45293</v>
      </c>
      <c r="NE1" s="59">
        <v>45294</v>
      </c>
      <c r="NF1" s="59">
        <v>45295</v>
      </c>
      <c r="NG1" s="59">
        <v>45296</v>
      </c>
      <c r="NH1" s="59">
        <v>45297</v>
      </c>
      <c r="NI1" s="59">
        <v>45298</v>
      </c>
      <c r="NJ1" s="59">
        <v>45299</v>
      </c>
      <c r="NK1" s="59">
        <v>45300</v>
      </c>
      <c r="NL1" s="59">
        <v>45301</v>
      </c>
      <c r="NM1" s="59">
        <v>45302</v>
      </c>
      <c r="NN1" s="59">
        <v>45303</v>
      </c>
      <c r="NO1" s="59">
        <v>45304</v>
      </c>
      <c r="NP1" s="59">
        <v>45305</v>
      </c>
      <c r="NQ1" s="59">
        <v>45306</v>
      </c>
      <c r="NR1" s="59">
        <v>45307</v>
      </c>
      <c r="NS1" s="59">
        <v>45308</v>
      </c>
      <c r="NT1" s="76">
        <v>45309</v>
      </c>
      <c r="NU1" s="76">
        <v>45310</v>
      </c>
      <c r="NV1" s="76">
        <v>45311</v>
      </c>
      <c r="NW1" s="76">
        <v>45312</v>
      </c>
      <c r="NX1" s="76">
        <v>45313</v>
      </c>
      <c r="NY1" s="76">
        <v>45314</v>
      </c>
      <c r="NZ1" s="76">
        <v>45315</v>
      </c>
      <c r="OA1" s="76">
        <v>45316</v>
      </c>
      <c r="OB1" s="76">
        <v>45317</v>
      </c>
      <c r="OC1" s="76">
        <v>45318</v>
      </c>
      <c r="OD1" s="76">
        <v>45319</v>
      </c>
      <c r="OE1" s="76">
        <v>45320</v>
      </c>
      <c r="OF1" s="76">
        <v>45321</v>
      </c>
      <c r="OG1" s="76">
        <v>45322</v>
      </c>
      <c r="OH1" s="76">
        <v>45323</v>
      </c>
      <c r="OI1" s="76">
        <v>45324</v>
      </c>
      <c r="OJ1" s="76">
        <v>45325</v>
      </c>
      <c r="OK1" s="76">
        <v>45326</v>
      </c>
      <c r="OL1" s="76">
        <v>45327</v>
      </c>
      <c r="OM1" s="76">
        <v>45328</v>
      </c>
      <c r="ON1" s="76">
        <v>45329</v>
      </c>
      <c r="OO1" s="76">
        <v>45330</v>
      </c>
      <c r="OP1" s="76">
        <v>45331</v>
      </c>
      <c r="OQ1" s="76">
        <v>45332</v>
      </c>
      <c r="OR1" s="76">
        <v>45333</v>
      </c>
      <c r="OS1" s="76">
        <v>45334</v>
      </c>
      <c r="OT1" s="76">
        <v>45335</v>
      </c>
      <c r="OU1" s="76">
        <v>45336</v>
      </c>
      <c r="OV1" s="76">
        <v>45337</v>
      </c>
      <c r="OW1" s="76">
        <v>45338</v>
      </c>
      <c r="OX1" s="76">
        <v>45339</v>
      </c>
      <c r="OY1" s="76">
        <v>45340</v>
      </c>
      <c r="OZ1" s="76">
        <v>45341</v>
      </c>
      <c r="PA1" s="76">
        <v>45342</v>
      </c>
      <c r="PB1" s="76">
        <v>45343</v>
      </c>
      <c r="PC1" s="76">
        <v>45344</v>
      </c>
      <c r="PD1" s="76">
        <v>45345</v>
      </c>
      <c r="PE1" s="76">
        <v>45346</v>
      </c>
      <c r="PF1" s="76">
        <v>45347</v>
      </c>
      <c r="PG1" s="76">
        <v>45348</v>
      </c>
      <c r="PH1" s="76">
        <v>45349</v>
      </c>
      <c r="PI1" s="76">
        <v>45350</v>
      </c>
      <c r="PJ1" s="76">
        <v>45351</v>
      </c>
      <c r="PK1" s="76">
        <v>45352</v>
      </c>
      <c r="PL1" s="76">
        <v>45353</v>
      </c>
      <c r="PM1" s="76">
        <v>45354</v>
      </c>
      <c r="PN1" s="76">
        <v>45355</v>
      </c>
      <c r="PO1" s="76">
        <v>45356</v>
      </c>
      <c r="PP1" s="76">
        <v>45357</v>
      </c>
      <c r="PQ1" s="76">
        <v>45358</v>
      </c>
      <c r="PR1" s="76">
        <v>45359</v>
      </c>
      <c r="PS1" s="76">
        <v>45360</v>
      </c>
      <c r="PT1" s="76">
        <v>45361</v>
      </c>
      <c r="PU1" s="76">
        <v>45362</v>
      </c>
      <c r="PV1" s="76">
        <v>45363</v>
      </c>
      <c r="PW1" s="76">
        <v>45364</v>
      </c>
      <c r="PX1" s="76">
        <v>45365</v>
      </c>
      <c r="PY1" s="76">
        <v>45366</v>
      </c>
      <c r="PZ1" s="76">
        <v>45367</v>
      </c>
      <c r="QA1" s="76">
        <v>45368</v>
      </c>
      <c r="QB1" s="76">
        <v>45369</v>
      </c>
      <c r="QC1" s="76">
        <v>45370</v>
      </c>
      <c r="QD1" s="76">
        <v>45371</v>
      </c>
      <c r="QE1" s="76">
        <v>45372</v>
      </c>
      <c r="QF1" s="76">
        <v>45373</v>
      </c>
      <c r="QG1" s="76">
        <v>45374</v>
      </c>
      <c r="QH1" s="76">
        <v>45375</v>
      </c>
      <c r="QI1" s="76">
        <v>45376</v>
      </c>
      <c r="QJ1" s="76">
        <v>45377</v>
      </c>
      <c r="QK1" s="76">
        <v>45378</v>
      </c>
      <c r="QL1" s="76">
        <v>45379</v>
      </c>
      <c r="QM1" s="76">
        <v>45380</v>
      </c>
      <c r="QN1" s="76">
        <v>45381</v>
      </c>
      <c r="QO1" s="76">
        <v>45382</v>
      </c>
      <c r="QP1" s="76">
        <v>45383</v>
      </c>
      <c r="QQ1" s="76">
        <v>45384</v>
      </c>
      <c r="QR1" s="76">
        <v>45385</v>
      </c>
      <c r="QS1" s="76">
        <v>45386</v>
      </c>
      <c r="QT1" s="76">
        <v>45387</v>
      </c>
      <c r="QU1" s="76">
        <v>45388</v>
      </c>
      <c r="QV1" s="76">
        <v>45389</v>
      </c>
      <c r="QW1" s="76">
        <v>45390</v>
      </c>
      <c r="QX1" s="76">
        <v>45391</v>
      </c>
      <c r="QY1" s="76">
        <v>45392</v>
      </c>
      <c r="QZ1" s="76">
        <v>45393</v>
      </c>
      <c r="RA1" s="76">
        <v>45394</v>
      </c>
      <c r="RB1" s="76">
        <v>45395</v>
      </c>
      <c r="RC1" s="77">
        <v>45396</v>
      </c>
      <c r="RD1" s="76">
        <v>45397</v>
      </c>
      <c r="RE1" s="76">
        <v>45398</v>
      </c>
      <c r="RF1" s="76">
        <v>45399</v>
      </c>
      <c r="RG1" s="76">
        <v>45400</v>
      </c>
      <c r="RH1" s="76">
        <v>45401</v>
      </c>
      <c r="RI1" s="76">
        <v>45402</v>
      </c>
      <c r="RJ1" s="76">
        <v>45403</v>
      </c>
      <c r="RK1" s="76">
        <v>45404</v>
      </c>
      <c r="RL1" s="76">
        <v>45405</v>
      </c>
      <c r="RM1" s="76">
        <v>45406</v>
      </c>
      <c r="RN1" s="76">
        <v>45407</v>
      </c>
      <c r="RO1" s="76">
        <v>45408</v>
      </c>
      <c r="RP1" s="76">
        <v>45409</v>
      </c>
      <c r="RQ1" s="76">
        <v>45410</v>
      </c>
      <c r="RR1" s="76">
        <v>45411</v>
      </c>
      <c r="RS1" s="76">
        <v>45412</v>
      </c>
      <c r="RT1" s="76">
        <v>45413</v>
      </c>
      <c r="RU1" s="76">
        <v>45414</v>
      </c>
      <c r="RV1" s="76">
        <v>45415</v>
      </c>
      <c r="RW1" s="76">
        <v>45416</v>
      </c>
      <c r="RX1" s="76">
        <v>45417</v>
      </c>
      <c r="RY1" s="76">
        <v>45418</v>
      </c>
      <c r="RZ1" s="76">
        <v>45419</v>
      </c>
      <c r="SA1" s="76">
        <v>45420</v>
      </c>
      <c r="SB1" s="76">
        <v>45421</v>
      </c>
      <c r="SC1" s="76">
        <v>45422</v>
      </c>
      <c r="SD1" s="76">
        <v>45423</v>
      </c>
      <c r="SE1" s="76">
        <v>45424</v>
      </c>
      <c r="SF1" s="76">
        <v>45425</v>
      </c>
      <c r="SG1" s="76">
        <v>45426</v>
      </c>
      <c r="SH1" s="76">
        <v>45427</v>
      </c>
      <c r="SI1" s="76">
        <v>45428</v>
      </c>
      <c r="SJ1" s="76">
        <v>45429</v>
      </c>
      <c r="SK1" s="76">
        <v>45430</v>
      </c>
      <c r="SL1" s="76">
        <v>45431</v>
      </c>
      <c r="SM1" s="76">
        <v>45432</v>
      </c>
      <c r="SN1" s="76">
        <v>45433</v>
      </c>
      <c r="SO1" s="76">
        <v>45434</v>
      </c>
      <c r="SP1" s="76">
        <v>45435</v>
      </c>
      <c r="SQ1" s="76">
        <v>45436</v>
      </c>
      <c r="SR1" s="76">
        <v>45437</v>
      </c>
      <c r="SS1" s="76">
        <v>45438</v>
      </c>
      <c r="ST1" s="76">
        <v>45439</v>
      </c>
      <c r="SU1" s="76">
        <v>45440</v>
      </c>
      <c r="SV1" s="76">
        <v>45441</v>
      </c>
      <c r="SW1" s="76">
        <v>45442</v>
      </c>
      <c r="SX1" s="76">
        <v>45443</v>
      </c>
      <c r="SY1" s="76">
        <v>45444</v>
      </c>
      <c r="SZ1" s="76">
        <v>45445</v>
      </c>
      <c r="TA1" s="76">
        <v>45446</v>
      </c>
      <c r="TB1" s="76">
        <v>45447</v>
      </c>
      <c r="TC1" s="76">
        <v>45448</v>
      </c>
      <c r="TD1" s="76">
        <v>45449</v>
      </c>
      <c r="TE1" s="76">
        <v>45450</v>
      </c>
      <c r="TF1" s="76">
        <v>45451</v>
      </c>
      <c r="TG1" s="76">
        <v>45452</v>
      </c>
      <c r="TH1" s="76">
        <v>45453</v>
      </c>
      <c r="TI1" s="76">
        <v>45454</v>
      </c>
      <c r="TJ1" s="76">
        <v>45455</v>
      </c>
      <c r="TK1" s="76">
        <v>45456</v>
      </c>
      <c r="TL1" s="76">
        <v>45457</v>
      </c>
      <c r="TM1" s="76">
        <v>45458</v>
      </c>
      <c r="TN1" s="76">
        <v>45459</v>
      </c>
      <c r="TO1" s="76">
        <v>45460</v>
      </c>
      <c r="TP1" s="76">
        <v>45461</v>
      </c>
      <c r="TQ1" s="76">
        <v>45462</v>
      </c>
      <c r="TR1" s="76">
        <v>45463</v>
      </c>
      <c r="TS1" s="76">
        <v>45464</v>
      </c>
      <c r="TT1" s="76">
        <v>45465</v>
      </c>
      <c r="TU1" s="76">
        <v>45466</v>
      </c>
      <c r="TV1" s="76">
        <v>45467</v>
      </c>
      <c r="TW1" s="76">
        <v>45468</v>
      </c>
      <c r="TX1" s="76">
        <v>45469</v>
      </c>
      <c r="TY1" s="76">
        <v>45470</v>
      </c>
      <c r="TZ1" s="76">
        <v>45471</v>
      </c>
      <c r="UA1" s="76">
        <v>45472</v>
      </c>
      <c r="UB1" s="76">
        <v>45473</v>
      </c>
      <c r="UC1" s="76">
        <v>45474</v>
      </c>
      <c r="UD1" s="76">
        <v>45475</v>
      </c>
      <c r="UE1" s="76">
        <v>45476</v>
      </c>
      <c r="UF1" s="76">
        <v>45477</v>
      </c>
      <c r="UG1" s="76">
        <v>45478</v>
      </c>
      <c r="UH1" s="76">
        <v>45479</v>
      </c>
      <c r="UI1" s="76">
        <v>45480</v>
      </c>
      <c r="UJ1" s="76">
        <v>45481</v>
      </c>
      <c r="UK1" s="76">
        <v>45482</v>
      </c>
      <c r="UL1" s="76">
        <v>45483</v>
      </c>
      <c r="UM1" s="76">
        <v>45484</v>
      </c>
      <c r="UN1" s="76">
        <v>45485</v>
      </c>
      <c r="UO1" s="76">
        <v>45486</v>
      </c>
      <c r="UP1" s="76">
        <v>45487</v>
      </c>
      <c r="UQ1" s="76">
        <v>45488</v>
      </c>
      <c r="UR1" s="76">
        <v>45489</v>
      </c>
      <c r="US1" s="76">
        <v>45490</v>
      </c>
      <c r="UT1" s="76">
        <v>45491</v>
      </c>
      <c r="UU1" s="76">
        <v>45492</v>
      </c>
      <c r="UV1" s="76">
        <v>45493</v>
      </c>
      <c r="UW1" s="76">
        <v>45494</v>
      </c>
      <c r="UX1" s="76">
        <v>45495</v>
      </c>
      <c r="UY1" s="76">
        <v>45496</v>
      </c>
      <c r="UZ1" s="76">
        <v>45497</v>
      </c>
      <c r="VA1" s="76">
        <v>45498</v>
      </c>
      <c r="VB1" s="76">
        <v>45499</v>
      </c>
      <c r="VC1" s="76">
        <v>45500</v>
      </c>
      <c r="VD1" s="76">
        <v>45501</v>
      </c>
      <c r="VE1" s="76">
        <v>45502</v>
      </c>
      <c r="VF1" s="76">
        <v>45503</v>
      </c>
      <c r="VG1" s="76">
        <v>45504</v>
      </c>
      <c r="VH1" s="76">
        <v>45505</v>
      </c>
      <c r="VI1" s="76">
        <v>45506</v>
      </c>
      <c r="VJ1" s="76">
        <v>45507</v>
      </c>
      <c r="VK1" s="76">
        <v>45508</v>
      </c>
      <c r="VL1" s="76">
        <v>45509</v>
      </c>
      <c r="VM1" s="76">
        <v>45510</v>
      </c>
      <c r="VN1" s="76">
        <v>45511</v>
      </c>
      <c r="VO1" s="76">
        <v>45512</v>
      </c>
      <c r="VP1" s="76">
        <v>45513</v>
      </c>
      <c r="VQ1" s="76">
        <v>45514</v>
      </c>
      <c r="VR1" s="76">
        <v>45515</v>
      </c>
      <c r="VS1" s="59"/>
      <c r="VT1" s="76"/>
      <c r="VU1" s="76"/>
      <c r="VV1" s="76"/>
      <c r="VW1" s="76"/>
      <c r="VX1" s="76"/>
      <c r="VY1" s="76"/>
      <c r="VZ1" s="76"/>
      <c r="WA1" s="76"/>
      <c r="WB1" s="76"/>
      <c r="WC1" s="76"/>
      <c r="WD1" s="76"/>
      <c r="WE1" s="76"/>
      <c r="WF1" s="76"/>
      <c r="WG1" s="76"/>
      <c r="WH1" s="76"/>
      <c r="WI1" s="76"/>
      <c r="WJ1" s="77"/>
      <c r="WK1" s="76"/>
      <c r="WL1" s="76"/>
      <c r="WM1" s="76"/>
      <c r="WN1" s="76"/>
      <c r="WO1" s="76"/>
      <c r="WP1" s="76"/>
      <c r="WQ1" s="76"/>
      <c r="WR1" s="76"/>
      <c r="WS1" s="76"/>
      <c r="WT1" s="76"/>
      <c r="WU1" s="76"/>
      <c r="WV1" s="76"/>
      <c r="WW1" s="76"/>
      <c r="WX1" s="76"/>
      <c r="WY1" s="76"/>
      <c r="WZ1" s="76"/>
      <c r="XA1" s="76"/>
      <c r="XB1" s="76"/>
      <c r="XC1" s="76"/>
      <c r="XD1" s="76"/>
      <c r="XE1" s="76"/>
      <c r="XF1" s="76"/>
      <c r="XG1" s="76"/>
      <c r="XH1" s="76"/>
      <c r="XI1" s="76"/>
      <c r="XJ1" s="76"/>
      <c r="XK1" s="76"/>
      <c r="XL1" s="76"/>
      <c r="XM1" s="76"/>
      <c r="XN1" s="76"/>
      <c r="XO1" s="76"/>
      <c r="XP1" s="76"/>
      <c r="XQ1" s="76"/>
      <c r="XR1" s="76"/>
      <c r="XS1" s="76"/>
      <c r="XT1" s="76"/>
      <c r="XU1" s="76"/>
      <c r="XV1" s="76"/>
      <c r="XW1" s="76"/>
      <c r="XX1" s="76"/>
      <c r="XY1" s="76"/>
      <c r="XZ1" s="76"/>
      <c r="YA1" s="76"/>
      <c r="YB1" s="76"/>
      <c r="YC1" s="76"/>
      <c r="YD1" s="76"/>
      <c r="YE1" s="76"/>
      <c r="YF1" s="76"/>
      <c r="YG1" s="76"/>
      <c r="YH1" s="76"/>
      <c r="YI1" s="76"/>
      <c r="YJ1" s="76"/>
      <c r="YK1" s="76"/>
      <c r="YL1" s="76"/>
      <c r="YM1" s="76"/>
      <c r="YN1" s="76"/>
      <c r="YO1" s="76"/>
      <c r="YP1" s="76"/>
      <c r="YQ1" s="76"/>
      <c r="YR1" s="76"/>
      <c r="YS1" s="76"/>
      <c r="YT1" s="76"/>
      <c r="YU1" s="76"/>
      <c r="YV1" s="76"/>
      <c r="YW1" s="76"/>
      <c r="YX1" s="76"/>
      <c r="YY1" s="76"/>
      <c r="YZ1" s="76"/>
      <c r="ZA1" s="76"/>
      <c r="ZB1" s="76"/>
      <c r="ZC1" s="76"/>
      <c r="ZD1" s="76"/>
      <c r="ZE1" s="76"/>
      <c r="ZF1" s="76"/>
      <c r="ZG1" s="76"/>
      <c r="ZH1" s="76"/>
      <c r="ZI1" s="76"/>
      <c r="ZJ1" s="76"/>
      <c r="ZK1" s="76"/>
      <c r="ZL1" s="76"/>
      <c r="ZM1" s="76"/>
      <c r="ZN1" s="76"/>
      <c r="ZO1" s="76"/>
      <c r="ZP1" s="76"/>
      <c r="ZQ1" s="76"/>
      <c r="ZR1" s="76"/>
      <c r="ZS1" s="76"/>
      <c r="ZT1" s="76"/>
      <c r="ZU1" s="76"/>
      <c r="ZV1" s="76"/>
      <c r="ZW1" s="76"/>
      <c r="ZX1" s="76"/>
      <c r="ZY1" s="76"/>
      <c r="ZZ1" s="76"/>
      <c r="AAA1" s="76"/>
      <c r="AAB1" s="76"/>
      <c r="AAC1" s="76"/>
      <c r="AAD1" s="76"/>
      <c r="AAE1" s="76"/>
      <c r="AAF1" s="76"/>
      <c r="AAG1" s="76"/>
      <c r="AAH1" s="76"/>
      <c r="AAI1" s="76"/>
      <c r="AAJ1" s="76"/>
      <c r="AAK1" s="76"/>
      <c r="AAL1" s="76"/>
      <c r="AAM1" s="76"/>
      <c r="AAN1" s="76"/>
      <c r="AAO1" s="76"/>
      <c r="AAP1" s="76"/>
      <c r="AAQ1" s="76"/>
      <c r="AAR1" s="76"/>
      <c r="AAS1" s="76"/>
      <c r="AAT1" s="76"/>
      <c r="AAU1" s="76"/>
      <c r="AAV1" s="76"/>
      <c r="AAW1" s="76"/>
      <c r="AAX1" s="76"/>
      <c r="AAY1" s="76"/>
      <c r="AAZ1" s="76"/>
      <c r="ABA1" s="76"/>
      <c r="ABB1" s="76"/>
      <c r="ABC1" s="76"/>
      <c r="ABD1" s="76"/>
      <c r="ABE1" s="76"/>
      <c r="ABF1" s="76"/>
      <c r="ABG1" s="76"/>
      <c r="ABH1" s="76"/>
      <c r="ABI1" s="76"/>
      <c r="ABJ1" s="76"/>
      <c r="ABK1" s="59"/>
      <c r="ABL1" s="59"/>
      <c r="ABM1" s="59"/>
      <c r="ABN1" s="59"/>
      <c r="ABO1" s="59"/>
      <c r="ABP1" s="59"/>
      <c r="ABQ1" s="59"/>
      <c r="ABR1" s="59"/>
      <c r="ABS1" s="59"/>
      <c r="ABT1" s="59"/>
      <c r="ABU1" s="59"/>
      <c r="ABV1" s="59"/>
      <c r="ABW1" s="59"/>
      <c r="ABX1" s="59"/>
      <c r="ABY1" s="59"/>
      <c r="ABZ1" s="59"/>
      <c r="ACA1" s="59"/>
      <c r="ACB1" s="59"/>
      <c r="ACC1" s="59"/>
      <c r="ACD1" s="59"/>
      <c r="ACE1" s="59"/>
      <c r="ACF1" s="59"/>
      <c r="ACG1" s="59"/>
      <c r="ACH1" s="59"/>
      <c r="ACI1" s="59"/>
      <c r="ACJ1" s="59"/>
      <c r="ACK1" s="59"/>
      <c r="ACL1" s="59"/>
      <c r="ACM1" s="59"/>
      <c r="ACN1" s="59"/>
      <c r="ACO1" s="59"/>
      <c r="ACP1" s="59"/>
      <c r="ACQ1" s="59"/>
      <c r="ACR1" s="59"/>
      <c r="ACS1" s="59"/>
      <c r="ACT1" s="59"/>
      <c r="ACU1" s="59"/>
      <c r="ACV1" s="59"/>
      <c r="ACW1" s="59"/>
      <c r="ACX1" s="59"/>
      <c r="ACY1" s="59"/>
      <c r="ACZ1" s="59"/>
      <c r="ADA1" s="59"/>
      <c r="ADB1" s="59"/>
      <c r="ADC1" s="59"/>
      <c r="ADD1" s="59"/>
      <c r="ADE1" s="59"/>
      <c r="ADF1" s="59"/>
      <c r="ADG1" s="59"/>
      <c r="ADH1" s="59"/>
      <c r="ADI1" s="59"/>
      <c r="ADJ1" s="59"/>
      <c r="ADK1" s="59"/>
      <c r="ADL1" s="59"/>
      <c r="ADM1" s="59"/>
      <c r="ADN1" s="59"/>
      <c r="ADO1" s="59"/>
      <c r="ADP1" s="59"/>
      <c r="ADQ1" s="59"/>
      <c r="ADR1" s="59"/>
      <c r="ADS1" s="59"/>
      <c r="ADT1" s="59"/>
      <c r="ADU1" s="59"/>
      <c r="ADV1" s="59"/>
      <c r="ADW1" s="59"/>
      <c r="ADX1" s="59"/>
      <c r="ADY1" s="59"/>
      <c r="ADZ1" s="59"/>
      <c r="AEA1" s="59"/>
      <c r="AEB1" s="59"/>
      <c r="AEC1" s="59"/>
      <c r="AED1" s="59"/>
      <c r="AEE1" s="59"/>
      <c r="AEF1" s="59"/>
      <c r="AEG1" s="59"/>
      <c r="AEH1" s="59"/>
      <c r="AEI1" s="59"/>
      <c r="AEJ1" s="59"/>
      <c r="AEK1" s="59"/>
      <c r="AEL1" s="59"/>
      <c r="AEM1" s="59"/>
      <c r="AEN1" s="59"/>
      <c r="AEO1" s="59"/>
      <c r="AEP1" s="59"/>
      <c r="AEQ1" s="59"/>
      <c r="AER1" s="59"/>
      <c r="AES1" s="59"/>
      <c r="AET1" s="59"/>
      <c r="AEU1" s="59"/>
      <c r="AEV1" s="59"/>
      <c r="AEW1" s="59"/>
      <c r="AEX1" s="59"/>
      <c r="AEY1" s="59"/>
      <c r="AEZ1" s="59"/>
      <c r="AFA1" s="59"/>
      <c r="AFB1" s="59"/>
      <c r="AFC1" s="59"/>
      <c r="AFD1" s="59"/>
      <c r="AFE1" s="59"/>
      <c r="AFF1" s="59"/>
      <c r="AFG1" s="59"/>
      <c r="AFH1" s="59"/>
      <c r="AFI1" s="59"/>
      <c r="AFJ1" s="59"/>
      <c r="AFK1" s="59"/>
      <c r="AFL1" s="59"/>
      <c r="AFM1" s="59"/>
      <c r="AFN1" s="59"/>
      <c r="AFO1" s="59"/>
      <c r="AFP1" s="59"/>
      <c r="AFQ1" s="59"/>
      <c r="AFR1" s="59"/>
      <c r="AFS1" s="59"/>
      <c r="AFT1" s="59"/>
      <c r="AFU1" s="59"/>
      <c r="AFV1" s="59"/>
      <c r="AFW1" s="59"/>
      <c r="AFX1" s="59"/>
      <c r="AFY1" s="59"/>
      <c r="AFZ1" s="59"/>
      <c r="AGA1" s="59"/>
      <c r="AGB1" s="59"/>
      <c r="AGC1" s="59"/>
      <c r="AGD1" s="59"/>
      <c r="AGE1" s="59"/>
      <c r="AGF1" s="59"/>
      <c r="AGG1" s="59"/>
      <c r="AGH1" s="59"/>
      <c r="AGI1" s="59"/>
      <c r="AGJ1" s="59"/>
      <c r="AGK1" s="59"/>
      <c r="AGL1" s="59"/>
      <c r="AGM1" s="59"/>
      <c r="AGN1" s="59"/>
      <c r="AGO1" s="59"/>
      <c r="AGP1" s="59"/>
      <c r="AGQ1" s="59"/>
      <c r="AGR1" s="59"/>
      <c r="AGS1" s="59"/>
      <c r="AGT1" s="59"/>
      <c r="AGU1" s="59"/>
      <c r="AGV1" s="59"/>
      <c r="AGW1" s="59"/>
      <c r="AGX1" s="59"/>
      <c r="AGY1" s="59"/>
      <c r="AGZ1" s="59"/>
      <c r="AHA1" s="59"/>
      <c r="AHB1" s="59"/>
      <c r="AHC1" s="59"/>
      <c r="AHD1" s="59"/>
      <c r="AHE1" s="59"/>
      <c r="AHF1" s="59"/>
      <c r="AHG1" s="59"/>
      <c r="AHH1" s="59"/>
      <c r="AHI1" s="59"/>
      <c r="AHJ1" s="59"/>
      <c r="AHK1" s="59"/>
      <c r="AHL1" s="59"/>
      <c r="AHM1" s="59"/>
      <c r="AHN1" s="59"/>
      <c r="AHO1" s="59"/>
      <c r="AHP1" s="59"/>
      <c r="AHQ1" s="59"/>
      <c r="AHR1" s="59"/>
      <c r="AHS1" s="59"/>
      <c r="AHT1" s="59"/>
      <c r="AHU1" s="59"/>
      <c r="AHV1" s="59"/>
      <c r="AHW1" s="59"/>
      <c r="AHX1" s="59"/>
      <c r="AHY1" s="59"/>
      <c r="AHZ1" s="59"/>
      <c r="AIA1" s="59"/>
      <c r="AIB1" s="59"/>
      <c r="AIC1" s="59"/>
      <c r="AID1" s="59"/>
      <c r="AIE1" s="59"/>
      <c r="AIF1" s="59"/>
      <c r="AIG1" s="59"/>
      <c r="AIH1" s="59"/>
      <c r="AII1" s="59"/>
      <c r="AIJ1" s="59"/>
      <c r="AIK1" s="59"/>
      <c r="AIL1" s="59"/>
      <c r="AIM1" s="59"/>
      <c r="AIN1" s="59"/>
      <c r="AIO1" s="59"/>
      <c r="AIP1" s="59"/>
      <c r="AIQ1" s="59"/>
      <c r="AIR1" s="59"/>
      <c r="AIS1" s="59"/>
      <c r="AIT1" s="59"/>
      <c r="AIU1" s="59"/>
      <c r="AIV1" s="59"/>
      <c r="AIW1" s="59"/>
      <c r="AIX1" s="59"/>
      <c r="AIY1" s="59"/>
      <c r="AIZ1" s="59"/>
      <c r="AJA1" s="59"/>
      <c r="AJB1" s="59"/>
      <c r="AJC1" s="59"/>
      <c r="AJD1" s="59"/>
      <c r="AJE1" s="59"/>
      <c r="AJF1" s="59"/>
      <c r="AJG1" s="59"/>
      <c r="AJH1" s="59"/>
      <c r="AJI1" s="59"/>
      <c r="AJJ1" s="59"/>
      <c r="AJK1" s="59"/>
      <c r="AJL1" s="59"/>
      <c r="AJM1" s="59"/>
      <c r="AJN1" s="59"/>
      <c r="AJO1" s="59"/>
      <c r="AJP1" s="59"/>
      <c r="AJQ1" s="59"/>
      <c r="AJR1" s="59"/>
      <c r="AJS1" s="59"/>
      <c r="AJT1" s="59"/>
      <c r="AJU1" s="59"/>
      <c r="AJV1" s="59"/>
      <c r="AJW1" s="59"/>
      <c r="AJX1" s="59"/>
      <c r="AJY1" s="59"/>
      <c r="AJZ1" s="59"/>
      <c r="AKA1" s="59"/>
      <c r="AKB1" s="59"/>
      <c r="AKC1" s="59"/>
      <c r="AKD1" s="59"/>
      <c r="AKE1" s="59"/>
      <c r="AKF1" s="59"/>
      <c r="AKG1" s="59"/>
      <c r="AKH1" s="59"/>
      <c r="AKI1" s="59"/>
      <c r="AKJ1" s="59"/>
      <c r="AKK1" s="59"/>
      <c r="AKL1" s="59"/>
      <c r="AKM1" s="59"/>
      <c r="AKN1" s="59"/>
      <c r="AKO1" s="59"/>
      <c r="AKP1" s="59"/>
      <c r="AKQ1" s="59"/>
      <c r="AKR1" s="59"/>
      <c r="AKS1" s="59"/>
      <c r="AKT1" s="59"/>
      <c r="AKU1" s="59"/>
      <c r="AKV1" s="59"/>
      <c r="AKW1" s="59"/>
      <c r="AKX1" s="59"/>
      <c r="AKY1" s="59"/>
      <c r="AKZ1" s="59"/>
      <c r="ALA1" s="59"/>
      <c r="ALB1" s="59"/>
      <c r="ALC1" s="59"/>
      <c r="ALD1" s="59"/>
      <c r="ALE1" s="59"/>
      <c r="ALF1" s="59"/>
      <c r="ALG1" s="59"/>
      <c r="ALH1" s="59"/>
      <c r="ALI1" s="59"/>
      <c r="ALJ1" s="59"/>
      <c r="ALK1" s="59"/>
      <c r="ALL1" s="59"/>
      <c r="ALM1" s="59"/>
      <c r="ALN1" s="59"/>
      <c r="ALO1" s="59"/>
      <c r="ALP1" s="59"/>
      <c r="ALQ1" s="59"/>
      <c r="ALR1" s="59"/>
      <c r="ALS1" s="59"/>
      <c r="ALT1" s="59"/>
      <c r="ALU1" s="59"/>
      <c r="ALV1" s="59"/>
      <c r="ALW1" s="59"/>
      <c r="ALX1" s="59"/>
      <c r="ALY1" s="59"/>
      <c r="ALZ1" s="59"/>
      <c r="AMA1" s="59"/>
      <c r="AMB1" s="59"/>
      <c r="AMC1" s="59"/>
      <c r="AMD1" s="59"/>
      <c r="AME1" s="59"/>
      <c r="AMF1" s="59"/>
      <c r="AMG1" s="59"/>
      <c r="AMH1" s="59"/>
      <c r="AMI1" s="59"/>
      <c r="AMJ1" s="59"/>
      <c r="AMK1" s="59"/>
      <c r="AML1" s="97"/>
      <c r="AMM1" s="59"/>
      <c r="AMN1" s="59"/>
      <c r="AMO1" s="59"/>
      <c r="AMP1" s="59"/>
      <c r="AMQ1" s="59"/>
      <c r="AMR1" s="59"/>
      <c r="AMS1" s="59"/>
      <c r="AMT1" s="59"/>
      <c r="AMU1" s="59"/>
      <c r="AMV1" s="59"/>
      <c r="AMW1" s="59"/>
      <c r="AMX1" s="59"/>
      <c r="AMY1" s="59"/>
      <c r="AMZ1" s="59"/>
      <c r="ANA1" s="59"/>
      <c r="ANB1" s="59"/>
      <c r="ANC1" s="59"/>
      <c r="AND1" s="59"/>
      <c r="ANE1" s="59"/>
      <c r="ANF1" s="59"/>
      <c r="ANG1" s="59"/>
      <c r="ANH1" s="59"/>
      <c r="ANI1" s="59"/>
      <c r="ANJ1" s="59"/>
      <c r="ANK1" s="59"/>
      <c r="ANL1" s="59"/>
      <c r="ANM1" s="59"/>
      <c r="ANN1" s="59"/>
      <c r="ANO1" s="59"/>
      <c r="ANP1" s="59"/>
      <c r="ANQ1" s="59"/>
      <c r="ANR1" s="59"/>
      <c r="ANS1" s="59"/>
      <c r="ANT1" s="59"/>
      <c r="ANU1" s="59"/>
      <c r="ANV1" s="59"/>
      <c r="ANW1" s="59"/>
      <c r="ANX1" s="59"/>
      <c r="ANY1" s="59"/>
      <c r="ANZ1" s="59"/>
      <c r="AOA1" s="59"/>
      <c r="AOB1" s="59"/>
      <c r="AOC1" s="59"/>
      <c r="AOD1" s="59"/>
      <c r="AOE1" s="59"/>
      <c r="AOF1" s="59"/>
      <c r="AOG1" s="59"/>
      <c r="AOH1" s="59"/>
      <c r="AOI1" s="59"/>
      <c r="AOJ1" s="59"/>
      <c r="AOK1" s="59"/>
      <c r="AOL1" s="59"/>
      <c r="AOM1" s="59"/>
      <c r="AON1" s="59"/>
      <c r="AOO1" s="59"/>
      <c r="AOP1" s="59"/>
    </row>
    <row r="2" spans="1:1082" ht="15.75" thickBot="1" x14ac:dyDescent="0.3">
      <c r="A2" s="377" t="s">
        <v>34</v>
      </c>
      <c r="B2" s="39" t="s">
        <v>32</v>
      </c>
      <c r="C2" s="2">
        <v>94.92</v>
      </c>
      <c r="D2" s="2">
        <v>97.04</v>
      </c>
      <c r="E2" s="2">
        <v>96.38</v>
      </c>
      <c r="F2" s="2">
        <v>96.26</v>
      </c>
      <c r="G2" s="2">
        <v>96.15</v>
      </c>
      <c r="H2" s="2">
        <v>96.24</v>
      </c>
      <c r="I2" s="2">
        <v>96.6</v>
      </c>
      <c r="J2" s="2">
        <v>97.05</v>
      </c>
      <c r="K2" s="2">
        <v>96.35</v>
      </c>
      <c r="L2" s="2">
        <v>96.29</v>
      </c>
      <c r="M2" s="2">
        <v>96.2</v>
      </c>
      <c r="N2" s="2">
        <v>96.03</v>
      </c>
      <c r="O2" s="2">
        <v>96.44</v>
      </c>
      <c r="P2" s="2">
        <v>96.45</v>
      </c>
      <c r="Q2" s="2">
        <v>96.8</v>
      </c>
      <c r="R2" s="2">
        <v>96.26</v>
      </c>
      <c r="S2" s="2">
        <v>96.25</v>
      </c>
      <c r="T2" s="2">
        <v>95.98</v>
      </c>
      <c r="U2" s="2">
        <v>95.65</v>
      </c>
      <c r="V2" s="2">
        <v>95.73</v>
      </c>
      <c r="W2" s="2">
        <v>95.89</v>
      </c>
      <c r="X2" s="2">
        <v>96.61</v>
      </c>
      <c r="Y2" s="2">
        <v>95.88</v>
      </c>
      <c r="Z2" s="2">
        <v>98.93</v>
      </c>
      <c r="AA2" s="2">
        <v>98.06</v>
      </c>
      <c r="AB2" s="2" t="s">
        <v>89</v>
      </c>
      <c r="AC2" s="2">
        <v>95.08</v>
      </c>
      <c r="AD2" s="2">
        <v>95.98</v>
      </c>
      <c r="AE2" s="2">
        <v>93.15</v>
      </c>
      <c r="AF2" s="2">
        <v>92.35</v>
      </c>
      <c r="AG2" s="2">
        <v>92.11</v>
      </c>
      <c r="AH2" s="2">
        <v>91.98</v>
      </c>
      <c r="AI2" s="2">
        <v>92.95</v>
      </c>
      <c r="AJ2" s="2">
        <v>92.3</v>
      </c>
      <c r="AK2" s="2">
        <v>92.31</v>
      </c>
      <c r="AL2" s="2">
        <v>92.85</v>
      </c>
      <c r="AM2" s="2">
        <v>92.18</v>
      </c>
      <c r="AN2" s="2">
        <v>91.91</v>
      </c>
      <c r="AO2" s="2">
        <v>92.29</v>
      </c>
      <c r="AP2" s="2">
        <v>92.69</v>
      </c>
      <c r="AQ2" s="2">
        <v>92.81</v>
      </c>
      <c r="AR2" s="2">
        <v>92.64</v>
      </c>
      <c r="AS2" s="2">
        <v>93.44</v>
      </c>
      <c r="AT2" s="2">
        <v>92.83</v>
      </c>
      <c r="AU2" s="2">
        <v>91.44</v>
      </c>
      <c r="AV2" s="2">
        <v>92.09</v>
      </c>
      <c r="AW2" s="2">
        <v>92.05</v>
      </c>
      <c r="AX2" s="2">
        <v>92.29</v>
      </c>
      <c r="AY2" s="2">
        <v>93.1</v>
      </c>
      <c r="AZ2" s="2">
        <v>93.87</v>
      </c>
      <c r="BA2" s="2">
        <v>93.71</v>
      </c>
      <c r="BB2" s="2">
        <v>95.49</v>
      </c>
      <c r="BC2" s="2">
        <v>99.08</v>
      </c>
      <c r="BD2" s="2">
        <v>95.59</v>
      </c>
      <c r="BE2" s="2">
        <v>95</v>
      </c>
      <c r="BF2" s="2">
        <v>95.66</v>
      </c>
      <c r="BG2" s="2">
        <v>97.19</v>
      </c>
      <c r="BH2" s="2">
        <v>95.2</v>
      </c>
      <c r="BI2" s="2">
        <v>95.71</v>
      </c>
      <c r="BJ2" s="2">
        <v>95.27</v>
      </c>
      <c r="BK2" s="2">
        <v>94.03</v>
      </c>
      <c r="BL2" s="2">
        <v>96.28</v>
      </c>
      <c r="BM2" s="2">
        <v>96.35</v>
      </c>
      <c r="BN2" s="2">
        <v>96.62</v>
      </c>
      <c r="BO2" s="2">
        <v>95.13</v>
      </c>
      <c r="BP2" s="2">
        <v>95.31</v>
      </c>
      <c r="BQ2" s="2">
        <v>95.14</v>
      </c>
      <c r="BR2" s="2">
        <v>94.53</v>
      </c>
      <c r="BS2" s="2">
        <v>95.9</v>
      </c>
      <c r="BT2" s="2">
        <v>95.77</v>
      </c>
      <c r="BU2" s="2">
        <v>96.84</v>
      </c>
      <c r="BV2" s="2">
        <v>95.51</v>
      </c>
      <c r="BW2" s="2">
        <v>95.47</v>
      </c>
      <c r="BX2" s="2">
        <v>95.83</v>
      </c>
      <c r="BY2" s="2">
        <v>94.73</v>
      </c>
      <c r="BZ2" s="2">
        <v>95.33</v>
      </c>
      <c r="CA2" s="2">
        <v>96.36</v>
      </c>
      <c r="CB2" s="2">
        <v>96.84</v>
      </c>
      <c r="CC2" s="2">
        <v>95.39</v>
      </c>
      <c r="CD2" s="2">
        <v>95.21</v>
      </c>
      <c r="CE2" s="2">
        <v>95.15</v>
      </c>
      <c r="CF2" s="2">
        <v>95.36</v>
      </c>
      <c r="CG2" s="2">
        <v>95.56</v>
      </c>
      <c r="CH2" s="2">
        <v>96.02</v>
      </c>
      <c r="CI2" s="2">
        <v>96.76</v>
      </c>
      <c r="CJ2" s="2">
        <v>94.59</v>
      </c>
      <c r="CK2" s="2">
        <v>94.74</v>
      </c>
      <c r="CL2" s="2">
        <v>94.89</v>
      </c>
      <c r="CM2" s="2">
        <v>94.62</v>
      </c>
      <c r="CN2" s="2">
        <v>94.78</v>
      </c>
      <c r="CO2" s="2">
        <v>95.57</v>
      </c>
      <c r="CP2" s="2">
        <v>96.69</v>
      </c>
      <c r="CQ2" s="2">
        <v>94.17</v>
      </c>
      <c r="CR2" s="2">
        <v>95.2</v>
      </c>
      <c r="CS2" s="2">
        <v>95.55</v>
      </c>
      <c r="CT2" s="2">
        <v>95.55</v>
      </c>
      <c r="CU2" s="2">
        <v>95.69</v>
      </c>
      <c r="CV2" s="2">
        <v>96.13</v>
      </c>
      <c r="CW2" s="2">
        <v>97.21</v>
      </c>
      <c r="CX2" s="2">
        <v>97.22</v>
      </c>
      <c r="CY2" s="2">
        <v>95.85</v>
      </c>
      <c r="CZ2" s="2">
        <v>96.31</v>
      </c>
      <c r="DA2" s="104">
        <v>96.21</v>
      </c>
      <c r="DB2" s="104">
        <v>95.84</v>
      </c>
      <c r="DC2" s="104">
        <v>96.47</v>
      </c>
      <c r="DD2" s="104">
        <v>97.32</v>
      </c>
      <c r="DE2" s="104">
        <v>96.03</v>
      </c>
      <c r="DF2" s="2">
        <v>96.53</v>
      </c>
      <c r="DG2" s="2">
        <v>95.66</v>
      </c>
      <c r="DH2" s="71">
        <v>96.665999999999997</v>
      </c>
      <c r="DI2" s="104">
        <v>97.376999999999995</v>
      </c>
      <c r="DJ2" s="104">
        <v>96.97</v>
      </c>
      <c r="DK2" s="104">
        <v>97.58</v>
      </c>
      <c r="DL2" s="104">
        <v>97.6</v>
      </c>
      <c r="DM2" s="104">
        <v>98.43</v>
      </c>
      <c r="DN2" s="104">
        <v>96.01</v>
      </c>
      <c r="DO2" s="104">
        <v>97.32</v>
      </c>
      <c r="DP2" s="104">
        <v>96.75</v>
      </c>
      <c r="DQ2" s="104">
        <v>97.02</v>
      </c>
      <c r="DR2" s="104">
        <v>97.46</v>
      </c>
      <c r="DS2" s="104">
        <v>96.86</v>
      </c>
      <c r="DT2" s="104">
        <v>96.68</v>
      </c>
      <c r="DU2" s="104">
        <v>96.49</v>
      </c>
      <c r="DV2" s="104">
        <v>96.47</v>
      </c>
      <c r="DW2" s="104">
        <v>96.86</v>
      </c>
      <c r="DX2" s="104">
        <v>97.1</v>
      </c>
      <c r="DY2" s="104">
        <v>97.04</v>
      </c>
      <c r="DZ2" s="104">
        <v>96.02</v>
      </c>
      <c r="EA2" s="104">
        <v>95.97</v>
      </c>
      <c r="EB2" s="104">
        <v>96.05</v>
      </c>
      <c r="EC2" s="104">
        <v>96.1</v>
      </c>
      <c r="ED2" s="104">
        <v>96.2</v>
      </c>
      <c r="EE2" s="104">
        <v>96.35</v>
      </c>
      <c r="EF2" s="104">
        <v>95.29</v>
      </c>
      <c r="EG2" s="104">
        <v>96.52</v>
      </c>
      <c r="EH2" s="104">
        <v>96.17</v>
      </c>
      <c r="EI2" s="104">
        <v>96.53</v>
      </c>
      <c r="EJ2" s="104">
        <v>96.64</v>
      </c>
      <c r="EK2" s="104">
        <v>96.56</v>
      </c>
      <c r="EL2" s="104">
        <v>96.79</v>
      </c>
      <c r="EM2" s="104">
        <v>97.32</v>
      </c>
      <c r="EN2" s="104">
        <v>96.41</v>
      </c>
      <c r="EO2" s="104">
        <v>96.22</v>
      </c>
      <c r="EP2" s="104">
        <v>96.2</v>
      </c>
      <c r="EQ2" s="104">
        <v>96.47</v>
      </c>
      <c r="ER2" s="104">
        <v>96.19</v>
      </c>
      <c r="ES2" s="104">
        <v>96.56</v>
      </c>
      <c r="ET2" s="104">
        <v>97.11</v>
      </c>
      <c r="EU2" s="104">
        <v>96.82</v>
      </c>
      <c r="EV2" s="104">
        <v>96.13</v>
      </c>
      <c r="EW2" s="104">
        <v>92.48</v>
      </c>
      <c r="EX2" s="104">
        <v>94.83</v>
      </c>
      <c r="EY2" s="104">
        <v>91.5</v>
      </c>
      <c r="EZ2" s="104">
        <v>94.69</v>
      </c>
      <c r="FA2" s="104">
        <v>96.64</v>
      </c>
      <c r="FB2" s="104">
        <v>95.86</v>
      </c>
      <c r="FC2" s="104">
        <v>95.74</v>
      </c>
      <c r="FD2" s="104">
        <v>95.65</v>
      </c>
      <c r="FE2" s="104">
        <v>96.1</v>
      </c>
      <c r="FF2" s="104">
        <v>95.84</v>
      </c>
      <c r="FG2" s="104">
        <v>96.23</v>
      </c>
      <c r="FH2" s="104">
        <v>96.84</v>
      </c>
      <c r="FI2" s="104">
        <v>95.87</v>
      </c>
      <c r="FJ2" s="104">
        <v>95.9</v>
      </c>
      <c r="FK2" s="104">
        <v>92.1</v>
      </c>
      <c r="FL2" s="104">
        <v>91</v>
      </c>
      <c r="FM2" s="104">
        <v>96.46</v>
      </c>
      <c r="FN2" s="104">
        <v>96.72</v>
      </c>
      <c r="FO2" s="104">
        <v>96.94</v>
      </c>
      <c r="FP2" s="104">
        <v>96.54</v>
      </c>
      <c r="FQ2" s="104">
        <v>96.24</v>
      </c>
      <c r="FR2" s="104">
        <v>96.29</v>
      </c>
      <c r="FS2" s="104">
        <v>96.52</v>
      </c>
      <c r="FT2" s="104">
        <v>96.34</v>
      </c>
      <c r="FU2" s="104">
        <v>96.67</v>
      </c>
      <c r="FV2" s="104">
        <v>97.21</v>
      </c>
      <c r="FW2" s="104">
        <v>96.09</v>
      </c>
      <c r="FX2" s="104">
        <v>96.48</v>
      </c>
      <c r="FY2" s="104">
        <v>97.1</v>
      </c>
      <c r="FZ2" s="104">
        <v>96.89</v>
      </c>
      <c r="GA2" s="104">
        <v>96.53</v>
      </c>
      <c r="GB2" s="104">
        <v>96.68</v>
      </c>
      <c r="GC2" s="104">
        <v>96.75</v>
      </c>
      <c r="GD2" s="104">
        <v>96.2</v>
      </c>
      <c r="GE2" s="104">
        <v>96.29</v>
      </c>
      <c r="GF2" s="104">
        <v>96.06</v>
      </c>
      <c r="GG2" s="104">
        <v>95.58</v>
      </c>
      <c r="GH2" s="104">
        <v>96.07</v>
      </c>
      <c r="GI2" s="104">
        <v>96.23</v>
      </c>
      <c r="GJ2" s="104">
        <v>97.13</v>
      </c>
      <c r="GK2" s="104">
        <v>95.83</v>
      </c>
      <c r="GL2" s="104">
        <v>95.78</v>
      </c>
      <c r="GM2" s="104">
        <v>97.95</v>
      </c>
      <c r="GN2" s="104">
        <v>96.55</v>
      </c>
      <c r="GO2" s="104">
        <v>96.22</v>
      </c>
      <c r="GP2" s="104">
        <v>96.73</v>
      </c>
      <c r="GQ2" s="104">
        <v>97.43</v>
      </c>
      <c r="GR2" s="104">
        <v>96.58</v>
      </c>
      <c r="GS2" s="104">
        <v>96.47</v>
      </c>
      <c r="GT2" s="116">
        <v>96.55</v>
      </c>
      <c r="GU2" s="48">
        <v>96.46</v>
      </c>
      <c r="GV2" s="2">
        <v>96.61</v>
      </c>
      <c r="GW2" s="2">
        <v>96.66</v>
      </c>
      <c r="GX2" s="117">
        <v>97.37</v>
      </c>
      <c r="GY2" s="53">
        <v>96.82</v>
      </c>
      <c r="GZ2" s="53">
        <v>96.84</v>
      </c>
      <c r="HA2" s="53">
        <v>97.12</v>
      </c>
      <c r="HB2" s="55">
        <v>96.98</v>
      </c>
      <c r="HC2" s="55">
        <v>97</v>
      </c>
      <c r="HD2" s="55">
        <v>96.84</v>
      </c>
      <c r="HE2" s="55">
        <v>97.38</v>
      </c>
      <c r="HF2" s="55">
        <v>96.31</v>
      </c>
      <c r="HG2" s="55">
        <v>96.23</v>
      </c>
      <c r="HH2" s="55">
        <v>91.25</v>
      </c>
      <c r="HI2" s="55">
        <v>92.62</v>
      </c>
      <c r="HJ2" s="55">
        <v>96.51</v>
      </c>
      <c r="HK2" s="55">
        <v>96.64</v>
      </c>
      <c r="HL2" s="55">
        <v>97.42</v>
      </c>
      <c r="HM2" s="55">
        <v>96.9</v>
      </c>
      <c r="HN2" s="55">
        <v>96.62</v>
      </c>
      <c r="HO2" s="55">
        <v>96.54</v>
      </c>
      <c r="HP2" s="55">
        <v>96.48</v>
      </c>
      <c r="HQ2" s="55">
        <v>96.6</v>
      </c>
      <c r="HR2" s="55">
        <v>96.57</v>
      </c>
      <c r="HS2" s="55">
        <v>97.21</v>
      </c>
      <c r="HT2" s="55">
        <v>96.7</v>
      </c>
      <c r="HU2" s="55">
        <v>96.61</v>
      </c>
      <c r="HV2" s="55">
        <v>96.56</v>
      </c>
      <c r="HW2" s="55">
        <v>96.46</v>
      </c>
      <c r="HX2" s="55">
        <v>96.34</v>
      </c>
      <c r="HY2" s="55">
        <v>96.66</v>
      </c>
      <c r="HZ2" s="55">
        <v>97.21</v>
      </c>
      <c r="IA2" s="55">
        <v>96.35</v>
      </c>
      <c r="IB2" s="55">
        <v>96.09</v>
      </c>
      <c r="IC2" s="55">
        <v>96.33</v>
      </c>
      <c r="ID2" s="55">
        <v>96.3</v>
      </c>
      <c r="IE2" s="55">
        <v>96.33</v>
      </c>
      <c r="IF2" s="55">
        <v>96.35</v>
      </c>
      <c r="IG2" s="55">
        <v>97.2</v>
      </c>
      <c r="IH2" s="55">
        <v>96.42</v>
      </c>
      <c r="II2" s="55">
        <v>96.29</v>
      </c>
      <c r="IJ2" s="55">
        <v>96.11</v>
      </c>
      <c r="IK2" s="55">
        <v>96.15</v>
      </c>
      <c r="IL2" s="55">
        <v>96.18</v>
      </c>
      <c r="IM2" s="55">
        <v>96.62</v>
      </c>
      <c r="IN2" s="55">
        <v>97.26</v>
      </c>
      <c r="IO2" s="100">
        <v>95.79</v>
      </c>
      <c r="IP2" s="100">
        <v>95.62</v>
      </c>
      <c r="IQ2" s="100">
        <v>95.65</v>
      </c>
      <c r="IR2" s="100">
        <v>96.12</v>
      </c>
      <c r="IS2" s="100">
        <v>96.32</v>
      </c>
      <c r="IT2" s="100">
        <v>96.88</v>
      </c>
      <c r="IU2" s="100">
        <v>97.5</v>
      </c>
      <c r="IV2" s="100">
        <v>96.3</v>
      </c>
      <c r="IW2" s="100">
        <v>96.48</v>
      </c>
      <c r="IX2" s="118">
        <v>96.73</v>
      </c>
      <c r="IY2" s="142">
        <v>96.49</v>
      </c>
      <c r="IZ2" s="142">
        <v>96.55</v>
      </c>
      <c r="JA2" s="142">
        <v>96.81</v>
      </c>
      <c r="JB2" s="101">
        <v>97.46</v>
      </c>
      <c r="JC2" s="100">
        <v>96.38</v>
      </c>
      <c r="JD2" s="56">
        <v>96.36</v>
      </c>
      <c r="JE2" s="64">
        <v>96.49</v>
      </c>
      <c r="JF2" s="64">
        <v>96.46</v>
      </c>
      <c r="JG2" s="64">
        <v>96.39</v>
      </c>
      <c r="JH2" s="64">
        <v>96.73</v>
      </c>
      <c r="JI2" s="64">
        <v>96.846999999999994</v>
      </c>
      <c r="JJ2" s="64">
        <v>96.16</v>
      </c>
      <c r="JK2" s="64">
        <v>96.45</v>
      </c>
      <c r="JL2" s="64">
        <v>96.39</v>
      </c>
      <c r="JM2" s="64">
        <v>95.97</v>
      </c>
      <c r="JN2" s="72">
        <v>96.16</v>
      </c>
      <c r="JO2" s="64">
        <v>96.68</v>
      </c>
      <c r="JP2" s="64">
        <v>97.1</v>
      </c>
      <c r="JQ2" s="64">
        <v>95.5</v>
      </c>
      <c r="JR2" s="64">
        <v>96.15</v>
      </c>
      <c r="JS2" s="104">
        <v>96.28</v>
      </c>
      <c r="JT2" s="64">
        <v>99.64</v>
      </c>
      <c r="JU2" s="64">
        <v>96.91</v>
      </c>
      <c r="JV2" s="64">
        <v>96.71</v>
      </c>
      <c r="JW2" s="64">
        <v>97</v>
      </c>
      <c r="JX2" s="64">
        <v>96.23</v>
      </c>
      <c r="JY2" s="64">
        <v>96.51</v>
      </c>
      <c r="JZ2" s="72">
        <v>95.87</v>
      </c>
      <c r="KA2" s="48">
        <v>96.12</v>
      </c>
      <c r="KB2" s="48">
        <v>96.37</v>
      </c>
      <c r="KC2" s="158">
        <v>96.6</v>
      </c>
      <c r="KD2" s="64">
        <v>97.46</v>
      </c>
      <c r="KE2" s="64">
        <v>96.22</v>
      </c>
      <c r="KF2" s="64">
        <v>96.41</v>
      </c>
      <c r="KG2" s="64">
        <v>96.54</v>
      </c>
      <c r="KH2" s="64">
        <v>96.82</v>
      </c>
      <c r="KI2" s="64">
        <v>96.93</v>
      </c>
      <c r="KJ2" s="64">
        <v>96.94</v>
      </c>
      <c r="KK2" s="64">
        <v>97.73</v>
      </c>
      <c r="KL2" s="64">
        <v>96.79</v>
      </c>
      <c r="KM2" s="64">
        <v>96.54</v>
      </c>
      <c r="KN2" s="64">
        <v>96.42</v>
      </c>
      <c r="KO2" s="64">
        <v>96.86</v>
      </c>
      <c r="KP2" s="64">
        <v>96.91</v>
      </c>
      <c r="KQ2" s="64">
        <v>96.92</v>
      </c>
      <c r="KR2" s="64">
        <v>97.67</v>
      </c>
      <c r="KS2" s="104">
        <v>96.9</v>
      </c>
      <c r="KT2" s="104">
        <v>96.92</v>
      </c>
      <c r="KU2" s="104">
        <v>97.42</v>
      </c>
      <c r="KV2" s="104">
        <v>96.88</v>
      </c>
      <c r="KW2" s="104">
        <v>96.49</v>
      </c>
      <c r="KX2" s="104">
        <v>96.54</v>
      </c>
      <c r="KY2" s="104">
        <v>96.91</v>
      </c>
      <c r="KZ2" s="104">
        <v>97.11</v>
      </c>
      <c r="LA2" s="104">
        <v>97.07</v>
      </c>
      <c r="LB2" s="104">
        <v>97.14</v>
      </c>
      <c r="LC2" s="104">
        <v>97.17</v>
      </c>
      <c r="LD2" s="104">
        <v>97.31</v>
      </c>
      <c r="LE2" s="104">
        <v>97.29</v>
      </c>
      <c r="LF2" s="104">
        <v>97.84</v>
      </c>
      <c r="LG2" s="104">
        <v>97.49</v>
      </c>
      <c r="LH2" s="104">
        <v>97.27</v>
      </c>
      <c r="LI2" s="104">
        <v>97.39</v>
      </c>
      <c r="LJ2" s="104">
        <v>96.98</v>
      </c>
      <c r="LK2" s="104">
        <v>97.37</v>
      </c>
      <c r="LL2" s="104">
        <v>97.53</v>
      </c>
      <c r="LM2" s="104">
        <v>97.8</v>
      </c>
      <c r="LN2" s="104">
        <v>97.23</v>
      </c>
      <c r="LO2" s="104">
        <v>97.17</v>
      </c>
      <c r="LP2" s="104">
        <v>97.16</v>
      </c>
      <c r="LQ2" s="104">
        <v>97.42</v>
      </c>
      <c r="LR2" s="104">
        <v>97.58</v>
      </c>
      <c r="LS2" s="104">
        <v>97.56</v>
      </c>
      <c r="LT2" s="104">
        <v>97.94</v>
      </c>
      <c r="LU2" s="104">
        <v>97.1</v>
      </c>
      <c r="LV2" s="104">
        <v>97.15</v>
      </c>
      <c r="LW2" s="104">
        <v>97.25</v>
      </c>
      <c r="LX2" s="104">
        <v>97.24</v>
      </c>
      <c r="LY2" s="104">
        <v>97.27</v>
      </c>
      <c r="LZ2" s="104">
        <v>97.57</v>
      </c>
      <c r="MA2" s="104">
        <v>97.82</v>
      </c>
      <c r="MB2" s="104">
        <v>97.2</v>
      </c>
      <c r="MC2" s="104">
        <v>97.25</v>
      </c>
      <c r="MD2" s="104">
        <v>97.29</v>
      </c>
      <c r="ME2" s="104">
        <v>97.13</v>
      </c>
      <c r="MF2" s="104">
        <v>97.09</v>
      </c>
      <c r="MG2" s="104">
        <v>99.66</v>
      </c>
      <c r="MH2" s="104">
        <v>97.81</v>
      </c>
      <c r="MI2" s="104">
        <v>96.79</v>
      </c>
      <c r="MJ2" s="104">
        <v>96.77</v>
      </c>
      <c r="MK2" s="104">
        <v>96.92</v>
      </c>
      <c r="ML2" s="104">
        <v>97.24</v>
      </c>
      <c r="MM2" s="104">
        <v>97.07</v>
      </c>
      <c r="MN2" s="104">
        <v>97.32</v>
      </c>
      <c r="MO2" s="104">
        <v>97.7</v>
      </c>
      <c r="MP2" s="104">
        <v>96.97</v>
      </c>
      <c r="MQ2" s="104">
        <v>96.85</v>
      </c>
      <c r="MR2" s="104">
        <v>97.07</v>
      </c>
      <c r="MS2" s="104">
        <v>97.09</v>
      </c>
      <c r="MT2" s="104">
        <v>97.14</v>
      </c>
      <c r="MU2" s="104">
        <v>97.35</v>
      </c>
      <c r="MV2" s="104">
        <v>98.19</v>
      </c>
      <c r="MW2" s="104">
        <v>97.57</v>
      </c>
      <c r="MX2" s="104">
        <v>97.6</v>
      </c>
      <c r="MY2" s="104">
        <v>95.11</v>
      </c>
      <c r="MZ2" s="2"/>
      <c r="NA2" s="2"/>
      <c r="NB2" s="64"/>
      <c r="NC2">
        <v>98.28</v>
      </c>
      <c r="ND2">
        <v>96.17</v>
      </c>
      <c r="NE2">
        <v>97.69</v>
      </c>
      <c r="NF2">
        <v>97.48</v>
      </c>
      <c r="NG2">
        <v>97.56</v>
      </c>
      <c r="NH2">
        <v>97.5</v>
      </c>
      <c r="NI2">
        <v>97.91</v>
      </c>
      <c r="NJ2">
        <v>98.11</v>
      </c>
      <c r="NK2">
        <v>97.4</v>
      </c>
      <c r="NL2">
        <v>97.46</v>
      </c>
      <c r="NM2">
        <v>97.45</v>
      </c>
      <c r="NN2" s="104">
        <v>97.55</v>
      </c>
      <c r="NO2" s="104">
        <v>97.26</v>
      </c>
      <c r="NP2" s="104">
        <v>98</v>
      </c>
      <c r="NQ2" s="104">
        <v>98.1</v>
      </c>
      <c r="NR2" s="48">
        <v>97.64</v>
      </c>
      <c r="NS2" s="71">
        <v>97.61</v>
      </c>
      <c r="NT2" s="48">
        <v>97.65</v>
      </c>
      <c r="NU2" s="104">
        <v>97.54</v>
      </c>
      <c r="NV2" s="104">
        <v>97.45</v>
      </c>
      <c r="NW2" s="104">
        <v>97.78</v>
      </c>
      <c r="NX2" s="104">
        <v>97.9</v>
      </c>
      <c r="NY2" s="64">
        <v>97.14</v>
      </c>
      <c r="NZ2" s="64">
        <v>97.23</v>
      </c>
      <c r="OA2" s="48">
        <v>97.36</v>
      </c>
      <c r="OB2" s="48">
        <v>97.3</v>
      </c>
      <c r="OC2" s="48">
        <v>97.2</v>
      </c>
      <c r="OD2" s="48">
        <v>97.76</v>
      </c>
      <c r="OE2" s="48">
        <v>97.76</v>
      </c>
      <c r="OF2" s="104">
        <v>97.51</v>
      </c>
      <c r="OG2" s="48">
        <v>97.41</v>
      </c>
      <c r="OH2" s="48">
        <v>97.21</v>
      </c>
      <c r="OI2" s="104">
        <v>97.33</v>
      </c>
      <c r="OJ2" s="104">
        <v>96.86</v>
      </c>
      <c r="OK2" s="104">
        <v>97.9</v>
      </c>
      <c r="OL2" s="64">
        <v>98.14</v>
      </c>
      <c r="OM2" s="2">
        <v>97.46</v>
      </c>
      <c r="ON2" s="2">
        <v>97.19</v>
      </c>
      <c r="OO2" s="48">
        <v>97.86</v>
      </c>
      <c r="OP2" s="48">
        <v>97.67</v>
      </c>
      <c r="OQ2" s="48">
        <v>97.55</v>
      </c>
      <c r="OR2" s="48">
        <v>97.15</v>
      </c>
      <c r="OS2" s="48">
        <v>98.66</v>
      </c>
      <c r="OT2" s="48">
        <v>98.02</v>
      </c>
      <c r="OU2" s="48">
        <v>97.89</v>
      </c>
      <c r="OV2" s="48">
        <v>97.1</v>
      </c>
      <c r="OW2" s="48">
        <v>97.53</v>
      </c>
      <c r="OX2" s="48">
        <v>97.5</v>
      </c>
      <c r="OY2" s="48">
        <v>97.9</v>
      </c>
      <c r="OZ2" s="2">
        <v>97.97</v>
      </c>
      <c r="PA2" s="104">
        <v>97.44</v>
      </c>
      <c r="PB2" s="104">
        <v>97.2</v>
      </c>
      <c r="PC2" s="48">
        <v>97.04</v>
      </c>
      <c r="PD2" s="48">
        <v>97.54</v>
      </c>
      <c r="PE2" s="48">
        <v>97.24</v>
      </c>
      <c r="PF2" s="48">
        <v>97.73</v>
      </c>
      <c r="PG2" s="48">
        <v>97.94</v>
      </c>
      <c r="PH2" s="71">
        <v>97.27</v>
      </c>
      <c r="PI2" s="48">
        <v>97.78</v>
      </c>
      <c r="PJ2" s="48">
        <v>97.57</v>
      </c>
      <c r="PK2" s="104">
        <v>97.67</v>
      </c>
      <c r="PL2" s="104">
        <v>97.6</v>
      </c>
      <c r="PM2" s="104">
        <v>97.94</v>
      </c>
      <c r="PN2" s="2">
        <v>97.05</v>
      </c>
      <c r="PO2" s="64">
        <v>97.2</v>
      </c>
      <c r="PP2" s="64">
        <v>97.75</v>
      </c>
      <c r="PQ2" s="64">
        <v>97.74</v>
      </c>
      <c r="PR2" s="104">
        <v>97.71</v>
      </c>
      <c r="PS2" s="104">
        <v>97.6</v>
      </c>
      <c r="PT2" s="104">
        <v>97.77</v>
      </c>
      <c r="PU2" s="64">
        <v>97.92</v>
      </c>
      <c r="PV2" s="64">
        <v>97.37</v>
      </c>
      <c r="PW2" s="64">
        <v>97.51</v>
      </c>
      <c r="PX2" s="64">
        <v>98.03</v>
      </c>
      <c r="PY2" s="64">
        <v>97.7</v>
      </c>
      <c r="PZ2" s="64">
        <v>97.65</v>
      </c>
      <c r="QA2" s="48">
        <v>97.88</v>
      </c>
      <c r="QB2" s="48">
        <v>98.09</v>
      </c>
      <c r="QC2" s="71">
        <v>97.73</v>
      </c>
      <c r="QD2" s="48">
        <v>97.39</v>
      </c>
      <c r="QE2" s="64">
        <v>97.42</v>
      </c>
      <c r="QF2" s="64">
        <v>97.54</v>
      </c>
      <c r="QG2" s="64">
        <v>97.61</v>
      </c>
      <c r="QH2" s="64">
        <v>97.79</v>
      </c>
      <c r="QI2" s="71">
        <v>97.94</v>
      </c>
      <c r="QJ2" s="48">
        <v>97.6</v>
      </c>
      <c r="QK2" s="64">
        <v>97.64</v>
      </c>
      <c r="QL2" s="48">
        <v>97.61</v>
      </c>
      <c r="QM2" s="104">
        <v>97.51</v>
      </c>
      <c r="QN2" s="104">
        <v>97.47</v>
      </c>
      <c r="QO2" s="104">
        <v>97.57</v>
      </c>
      <c r="QP2" s="104">
        <v>97.79</v>
      </c>
      <c r="QQ2" s="64">
        <v>97.65</v>
      </c>
      <c r="QR2" s="64">
        <v>97.45</v>
      </c>
      <c r="QS2" s="64">
        <v>97.56</v>
      </c>
      <c r="QT2" s="48">
        <v>97.58</v>
      </c>
      <c r="QU2" s="48">
        <v>97.45</v>
      </c>
      <c r="QV2" s="48">
        <v>97.87</v>
      </c>
      <c r="QW2" s="48">
        <v>98.19</v>
      </c>
      <c r="QX2" s="48">
        <v>97.63</v>
      </c>
      <c r="QY2" s="48">
        <v>97.86</v>
      </c>
      <c r="QZ2" s="48">
        <v>97.74</v>
      </c>
      <c r="RA2" s="101">
        <v>98.07</v>
      </c>
      <c r="RB2" s="101">
        <v>97.86</v>
      </c>
      <c r="RC2" s="102">
        <v>97.97</v>
      </c>
      <c r="RD2" s="64">
        <v>98.21</v>
      </c>
      <c r="RE2" s="48">
        <v>97.87</v>
      </c>
      <c r="RF2" s="48">
        <v>97.72</v>
      </c>
      <c r="RG2" s="48">
        <v>97.94</v>
      </c>
      <c r="RH2" s="48">
        <v>98.04</v>
      </c>
      <c r="RI2" s="48">
        <v>97.74</v>
      </c>
      <c r="RJ2" s="48">
        <v>97.92</v>
      </c>
      <c r="RK2" s="48">
        <v>98.14</v>
      </c>
      <c r="RL2" s="64">
        <v>97.86</v>
      </c>
      <c r="RM2" s="48">
        <v>97.76</v>
      </c>
      <c r="RN2" s="64">
        <v>97.75</v>
      </c>
      <c r="RO2" s="64">
        <v>97.81</v>
      </c>
      <c r="RP2" s="64">
        <v>97.86</v>
      </c>
      <c r="RQ2" s="64">
        <v>98.14</v>
      </c>
      <c r="RR2" s="64">
        <v>97.74</v>
      </c>
      <c r="RS2" s="48">
        <v>97.95</v>
      </c>
      <c r="RT2" s="48">
        <v>98.01</v>
      </c>
      <c r="RU2" s="64">
        <v>97.89</v>
      </c>
      <c r="RV2" s="104">
        <v>97.99</v>
      </c>
      <c r="RW2" s="104">
        <v>97.93</v>
      </c>
      <c r="RX2" s="104">
        <v>98.18</v>
      </c>
      <c r="RY2" s="64">
        <v>98.37</v>
      </c>
      <c r="RZ2" s="64">
        <v>97.98</v>
      </c>
      <c r="SA2" s="183"/>
      <c r="SB2" s="64"/>
      <c r="SC2" s="64"/>
      <c r="SD2" s="64"/>
      <c r="SE2" s="64"/>
      <c r="SF2" s="72"/>
      <c r="SG2" s="104">
        <v>97.89</v>
      </c>
      <c r="SH2" s="104">
        <v>97</v>
      </c>
      <c r="SI2" s="104">
        <v>98.25</v>
      </c>
      <c r="SJ2" s="104">
        <v>98.01</v>
      </c>
      <c r="SK2" s="104">
        <v>98.17</v>
      </c>
      <c r="SL2" s="104">
        <v>98.26</v>
      </c>
      <c r="SM2" s="64">
        <v>98.38</v>
      </c>
      <c r="SN2" s="64">
        <v>98.21</v>
      </c>
      <c r="SO2" s="64">
        <v>97.47</v>
      </c>
      <c r="SP2" s="48">
        <v>96.74</v>
      </c>
      <c r="SQ2" s="48">
        <v>97.73</v>
      </c>
      <c r="SR2" s="48">
        <v>97.86</v>
      </c>
      <c r="SS2" s="48">
        <v>98.11</v>
      </c>
      <c r="ST2" s="48">
        <v>97.73</v>
      </c>
      <c r="SU2" s="48">
        <v>98.06</v>
      </c>
      <c r="SV2" s="48">
        <v>98.19</v>
      </c>
      <c r="SW2" s="48">
        <v>98.03</v>
      </c>
      <c r="SX2" s="48">
        <v>98.31</v>
      </c>
      <c r="SY2" s="48">
        <v>98.19</v>
      </c>
      <c r="SZ2" s="48">
        <v>98.47</v>
      </c>
      <c r="TA2" s="172">
        <v>98.48</v>
      </c>
      <c r="TB2" s="64">
        <v>98.22</v>
      </c>
      <c r="TC2" s="64">
        <v>98.21</v>
      </c>
      <c r="TD2" s="64">
        <v>98.24</v>
      </c>
      <c r="TE2" s="64">
        <v>98.14</v>
      </c>
      <c r="TF2" s="64">
        <v>98.27</v>
      </c>
      <c r="TG2" s="64">
        <v>98.3</v>
      </c>
      <c r="TH2" s="64">
        <v>98.56</v>
      </c>
      <c r="TI2" s="64">
        <v>98.13</v>
      </c>
      <c r="TJ2" s="64">
        <v>98.25</v>
      </c>
      <c r="TK2" s="64">
        <v>98.01</v>
      </c>
      <c r="TL2" s="64">
        <v>98.24</v>
      </c>
      <c r="TM2" s="64">
        <v>98.23</v>
      </c>
      <c r="TN2" s="64">
        <v>98.53</v>
      </c>
      <c r="TO2" s="64">
        <v>98.37</v>
      </c>
      <c r="TP2" s="64">
        <v>98.3</v>
      </c>
      <c r="TQ2" s="64">
        <v>98.06</v>
      </c>
      <c r="TR2" s="64">
        <v>98.2</v>
      </c>
      <c r="TS2" s="64">
        <v>98.5</v>
      </c>
      <c r="TT2" s="64">
        <v>98.53</v>
      </c>
      <c r="TU2" s="64">
        <v>98.68</v>
      </c>
      <c r="TV2" s="48">
        <v>98.8</v>
      </c>
      <c r="TW2" s="48">
        <v>98.56</v>
      </c>
      <c r="TX2" s="64">
        <v>98.48</v>
      </c>
      <c r="TY2" s="64">
        <v>98.37</v>
      </c>
      <c r="TZ2" s="64">
        <v>98.52</v>
      </c>
      <c r="UA2" s="64">
        <v>98.24</v>
      </c>
      <c r="UB2" s="48">
        <v>98.55</v>
      </c>
      <c r="UC2" s="48">
        <v>98.72</v>
      </c>
      <c r="UD2" s="48">
        <v>98.42</v>
      </c>
      <c r="UE2" s="48">
        <v>98.38</v>
      </c>
      <c r="UF2" s="48">
        <v>98.54</v>
      </c>
      <c r="UG2" s="48">
        <v>98.47</v>
      </c>
      <c r="UH2" s="48">
        <v>98.45</v>
      </c>
      <c r="UI2" s="48">
        <v>98.52</v>
      </c>
      <c r="UJ2" s="48">
        <v>98.83</v>
      </c>
      <c r="UK2" s="48">
        <v>98.47</v>
      </c>
      <c r="UL2" s="48">
        <v>98.46</v>
      </c>
      <c r="UM2" s="48">
        <v>98.55</v>
      </c>
      <c r="UN2" s="64">
        <v>98.9</v>
      </c>
      <c r="UO2" s="64">
        <v>98.52</v>
      </c>
      <c r="UP2" s="48">
        <v>98.61</v>
      </c>
      <c r="UQ2" s="48">
        <v>98.84</v>
      </c>
      <c r="UR2" s="64">
        <v>98.6</v>
      </c>
      <c r="US2" s="104">
        <v>98.61</v>
      </c>
      <c r="UT2" s="104">
        <v>98.56</v>
      </c>
      <c r="UU2" s="104">
        <v>98.59</v>
      </c>
      <c r="UV2" s="104">
        <v>98.61</v>
      </c>
      <c r="UW2" s="104">
        <v>98.55</v>
      </c>
      <c r="UX2" s="48">
        <v>98.64</v>
      </c>
      <c r="UY2" s="64">
        <v>98.5</v>
      </c>
      <c r="UZ2" s="48">
        <v>98.45</v>
      </c>
      <c r="VA2" s="64">
        <v>98.61</v>
      </c>
      <c r="VB2" s="48">
        <v>98.51</v>
      </c>
      <c r="VC2" s="48">
        <v>98.52</v>
      </c>
      <c r="VD2" s="48">
        <v>98.6</v>
      </c>
      <c r="VE2" s="48">
        <v>98.53</v>
      </c>
      <c r="VF2" s="48">
        <v>98.1</v>
      </c>
      <c r="VG2" s="48">
        <v>98.45</v>
      </c>
      <c r="VH2" s="71">
        <v>98.528999999999996</v>
      </c>
      <c r="VI2" s="104">
        <v>98.45</v>
      </c>
      <c r="VJ2" s="104">
        <v>98.48</v>
      </c>
      <c r="VK2" s="104">
        <v>98.46</v>
      </c>
      <c r="VL2" s="64">
        <v>98.66</v>
      </c>
      <c r="VM2" s="48">
        <v>98.51</v>
      </c>
      <c r="VN2" s="64">
        <v>98.42</v>
      </c>
      <c r="VO2" s="64">
        <v>98.47</v>
      </c>
      <c r="VP2" s="104">
        <v>98.54</v>
      </c>
      <c r="VQ2" s="104">
        <v>98.25</v>
      </c>
      <c r="VR2" s="48">
        <v>98.34</v>
      </c>
      <c r="VS2" s="64"/>
      <c r="VT2" s="2"/>
      <c r="VU2" s="2"/>
      <c r="VV2" s="2"/>
      <c r="VW2" s="2"/>
      <c r="VX2" s="71"/>
      <c r="VY2" s="2"/>
      <c r="VZ2" s="71"/>
      <c r="WA2" s="71"/>
      <c r="WB2" s="71"/>
      <c r="WC2" s="71"/>
      <c r="WD2" s="46"/>
      <c r="WE2" s="71"/>
      <c r="WF2" s="65"/>
      <c r="WG2" s="78"/>
      <c r="WH2" s="79"/>
      <c r="WI2" s="80"/>
      <c r="WJ2" s="81"/>
      <c r="WK2" s="80"/>
      <c r="WL2" s="80"/>
      <c r="WM2" s="80"/>
      <c r="WN2" s="80"/>
      <c r="WO2" s="64"/>
      <c r="WP2" s="64"/>
      <c r="WQ2" s="64"/>
      <c r="WR2" s="64"/>
      <c r="WS2" s="64"/>
      <c r="WT2" s="64"/>
      <c r="WU2" s="64"/>
      <c r="WV2" s="64"/>
      <c r="WW2" s="64"/>
      <c r="WX2" s="64"/>
      <c r="WY2" s="64"/>
      <c r="WZ2" s="64"/>
      <c r="XA2" s="64"/>
      <c r="XB2" s="64"/>
      <c r="XC2" s="64"/>
      <c r="XD2" s="64"/>
      <c r="XE2" s="64"/>
      <c r="XF2" s="64"/>
      <c r="XG2" s="64"/>
      <c r="XH2" s="64"/>
      <c r="XI2" s="64"/>
      <c r="XJ2" s="64"/>
      <c r="XK2" s="64"/>
      <c r="XL2" s="64"/>
      <c r="XM2" s="64"/>
      <c r="XN2" s="64"/>
      <c r="XO2" s="64"/>
      <c r="XP2" s="64"/>
      <c r="XQ2" s="64"/>
      <c r="XR2" s="64"/>
      <c r="XS2" s="64"/>
      <c r="XT2" s="64"/>
      <c r="XU2" s="64"/>
      <c r="XV2" s="64"/>
      <c r="XW2" s="64"/>
      <c r="XX2" s="64"/>
      <c r="XY2" s="64"/>
      <c r="XZ2" s="64"/>
      <c r="YA2" s="64"/>
      <c r="YB2" s="64"/>
      <c r="YC2" s="64"/>
      <c r="YD2" s="64"/>
      <c r="YE2" s="64"/>
      <c r="YF2" s="64"/>
      <c r="YG2" s="64"/>
      <c r="YH2" s="64"/>
      <c r="YI2" s="64"/>
      <c r="YJ2" s="64"/>
      <c r="YK2" s="64"/>
      <c r="YL2" s="64"/>
      <c r="YM2" s="64"/>
      <c r="YN2" s="64"/>
      <c r="YO2" s="64"/>
      <c r="YP2" s="64"/>
      <c r="YQ2" s="64"/>
      <c r="YR2" s="64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64"/>
      <c r="ZH2" s="64"/>
      <c r="ZI2" s="64"/>
      <c r="ZJ2" s="64"/>
      <c r="ZK2" s="64"/>
      <c r="ZL2" s="64"/>
      <c r="ZM2" s="64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47"/>
      <c r="AAB2" s="64"/>
      <c r="AAC2" s="64"/>
      <c r="AAD2" s="64"/>
      <c r="AAE2" s="64"/>
      <c r="AAF2" s="72"/>
      <c r="AAG2" s="71"/>
      <c r="AAH2" s="91"/>
      <c r="AAI2" s="64"/>
      <c r="AAJ2" s="64"/>
      <c r="AAK2" s="64"/>
      <c r="AAL2" s="64"/>
      <c r="AAM2" s="64"/>
      <c r="AAN2" s="64"/>
      <c r="AAO2" s="64"/>
      <c r="AAP2" s="64"/>
      <c r="AAQ2" s="64"/>
      <c r="AAR2" s="64"/>
      <c r="AAS2" s="64"/>
      <c r="AAT2" s="64"/>
      <c r="AAU2" s="64"/>
      <c r="AAV2" s="64"/>
      <c r="AAW2" s="64"/>
      <c r="AAX2" s="64"/>
      <c r="AAY2" s="64"/>
      <c r="AAZ2" s="64"/>
      <c r="ABA2" s="64"/>
      <c r="ABB2" s="64"/>
      <c r="ABC2" s="64"/>
      <c r="ABD2" s="64"/>
      <c r="ABE2" s="64"/>
      <c r="ABF2" s="64"/>
      <c r="ABG2" s="64"/>
      <c r="ABH2" s="64"/>
      <c r="ABI2" s="64"/>
      <c r="ABJ2" s="64"/>
      <c r="ABK2" s="64"/>
      <c r="ABL2" s="64"/>
      <c r="ABM2" s="64"/>
      <c r="ABN2" s="64"/>
      <c r="ABO2" s="64"/>
      <c r="ABP2" s="64"/>
      <c r="ABQ2" s="64"/>
      <c r="ABR2" s="64"/>
      <c r="ABS2" s="64"/>
      <c r="ABT2" s="64"/>
      <c r="ABU2" s="2"/>
      <c r="ABV2" s="2"/>
      <c r="ABW2" s="64"/>
      <c r="ABX2" s="64"/>
      <c r="ABY2" s="64"/>
      <c r="ABZ2" s="64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64"/>
      <c r="ACR2" s="64"/>
      <c r="ACS2" s="64"/>
      <c r="ACT2" s="64"/>
      <c r="ACU2" s="64"/>
      <c r="ACV2" s="64"/>
      <c r="ACW2" s="64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64"/>
      <c r="ADP2" s="64"/>
      <c r="ADQ2" s="64"/>
      <c r="ADR2" s="72"/>
      <c r="ADS2" s="64"/>
      <c r="ADT2" s="64"/>
      <c r="ADU2" s="64"/>
      <c r="ADV2" s="64"/>
      <c r="ADW2" s="64"/>
      <c r="ADX2" s="64"/>
      <c r="ADY2" s="64"/>
      <c r="ADZ2" s="64"/>
      <c r="AEA2" s="64"/>
      <c r="AEB2" s="64"/>
      <c r="AEC2" s="2"/>
      <c r="AED2" s="2"/>
      <c r="AEE2" s="2"/>
      <c r="AEF2" s="2"/>
      <c r="AEG2" s="2"/>
      <c r="AEH2" s="2"/>
      <c r="AEI2" s="2"/>
      <c r="AEJ2" s="64"/>
      <c r="AEK2" s="64"/>
      <c r="AEL2" s="64"/>
      <c r="AEM2" s="64"/>
      <c r="AEN2" s="64"/>
      <c r="AEO2" s="64"/>
      <c r="AEP2" s="64"/>
      <c r="AEQ2" s="2"/>
      <c r="AER2" s="2"/>
      <c r="AES2" s="2"/>
      <c r="AET2" s="2"/>
      <c r="AEU2" s="2"/>
      <c r="AEV2" s="2"/>
      <c r="AEW2" s="2"/>
      <c r="AEX2" s="64"/>
      <c r="AEY2" s="64"/>
      <c r="AEZ2" s="64"/>
      <c r="AFA2" s="64"/>
      <c r="AFB2" s="64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64"/>
      <c r="AIL2" s="64"/>
      <c r="AIM2" s="64"/>
      <c r="AIN2" s="64"/>
      <c r="AIO2" s="64"/>
      <c r="AIP2" s="64"/>
      <c r="AIQ2" s="64"/>
      <c r="AIR2" s="64"/>
      <c r="AIS2" s="64"/>
      <c r="AIT2" s="64"/>
      <c r="AIU2" s="64"/>
      <c r="AIV2" s="64"/>
      <c r="AIW2" s="64"/>
      <c r="AIX2" s="64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47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47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47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47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</row>
    <row r="3" spans="1:1082" ht="15.75" thickBot="1" x14ac:dyDescent="0.3">
      <c r="A3" s="378"/>
      <c r="B3" s="40" t="s">
        <v>33</v>
      </c>
      <c r="C3" s="2">
        <v>99.51</v>
      </c>
      <c r="D3" s="2">
        <v>99.65</v>
      </c>
      <c r="E3" s="2">
        <v>99.63</v>
      </c>
      <c r="F3" s="2">
        <v>99.64</v>
      </c>
      <c r="G3" s="2">
        <v>99.65</v>
      </c>
      <c r="H3" s="2">
        <v>99.67</v>
      </c>
      <c r="I3" s="2">
        <v>99.69</v>
      </c>
      <c r="J3" s="2">
        <v>99.66</v>
      </c>
      <c r="K3" s="2">
        <v>99.67</v>
      </c>
      <c r="L3" s="2">
        <v>99.67</v>
      </c>
      <c r="M3" s="2">
        <v>99.66</v>
      </c>
      <c r="N3" s="2">
        <v>99.66</v>
      </c>
      <c r="O3" s="2">
        <v>99.68</v>
      </c>
      <c r="P3" s="2">
        <v>99.7</v>
      </c>
      <c r="Q3" s="2">
        <v>99.67</v>
      </c>
      <c r="R3" s="2">
        <v>99.7</v>
      </c>
      <c r="S3" s="2">
        <v>99.67</v>
      </c>
      <c r="T3" s="2">
        <v>99.67</v>
      </c>
      <c r="U3" s="67">
        <v>99.64</v>
      </c>
      <c r="V3" s="67">
        <v>99.6</v>
      </c>
      <c r="W3" s="67">
        <v>99.69</v>
      </c>
      <c r="X3" s="67">
        <v>99.68</v>
      </c>
      <c r="Y3" s="67">
        <v>99.67</v>
      </c>
      <c r="Z3" s="67">
        <v>99.64</v>
      </c>
      <c r="AA3" s="67">
        <v>99.39</v>
      </c>
      <c r="AB3" s="2" t="s">
        <v>89</v>
      </c>
      <c r="AC3" s="67">
        <v>95.86</v>
      </c>
      <c r="AD3" s="67">
        <v>95.98</v>
      </c>
      <c r="AE3" s="67">
        <v>93.15</v>
      </c>
      <c r="AF3" s="67">
        <v>92.35</v>
      </c>
      <c r="AG3" s="67">
        <v>92.11</v>
      </c>
      <c r="AH3" s="67">
        <v>94.4</v>
      </c>
      <c r="AI3" s="67">
        <v>96.93</v>
      </c>
      <c r="AJ3" s="67">
        <v>96.69</v>
      </c>
      <c r="AK3" s="67">
        <v>96.42</v>
      </c>
      <c r="AL3" s="67">
        <v>96.35</v>
      </c>
      <c r="AM3" s="67">
        <v>96.66</v>
      </c>
      <c r="AN3" s="67">
        <v>96.47</v>
      </c>
      <c r="AO3" s="67">
        <v>96.57</v>
      </c>
      <c r="AP3" s="67">
        <v>96.8</v>
      </c>
      <c r="AQ3" s="67">
        <v>96.62</v>
      </c>
      <c r="AR3" s="67">
        <v>96.38</v>
      </c>
      <c r="AS3" s="67">
        <v>96.58</v>
      </c>
      <c r="AT3" s="67">
        <v>96.83</v>
      </c>
      <c r="AU3" s="67">
        <v>96.15</v>
      </c>
      <c r="AV3" s="67">
        <v>96.48</v>
      </c>
      <c r="AW3" s="67">
        <v>96.72</v>
      </c>
      <c r="AX3" s="67">
        <v>96.76</v>
      </c>
      <c r="AY3" s="67">
        <v>96.77</v>
      </c>
      <c r="AZ3" s="67">
        <v>96.88</v>
      </c>
      <c r="BA3" s="67">
        <v>97.76</v>
      </c>
      <c r="BB3" s="67">
        <v>99.53</v>
      </c>
      <c r="BC3" s="67">
        <v>99.9</v>
      </c>
      <c r="BD3" s="67">
        <v>99.42</v>
      </c>
      <c r="BE3" s="67">
        <v>98.81</v>
      </c>
      <c r="BF3" s="67">
        <v>99.3</v>
      </c>
      <c r="BG3" s="67">
        <v>99.74</v>
      </c>
      <c r="BH3" s="67">
        <v>99.16</v>
      </c>
      <c r="BI3" s="67">
        <v>99.42</v>
      </c>
      <c r="BJ3" s="67">
        <v>99.43</v>
      </c>
      <c r="BK3" s="67">
        <v>98.35</v>
      </c>
      <c r="BL3" s="67">
        <v>99.82</v>
      </c>
      <c r="BM3" s="67">
        <v>99.85</v>
      </c>
      <c r="BN3" s="67">
        <v>99.81</v>
      </c>
      <c r="BO3" s="67">
        <v>99.81</v>
      </c>
      <c r="BP3" s="67">
        <v>99.8</v>
      </c>
      <c r="BQ3" s="67">
        <v>99.86</v>
      </c>
      <c r="BR3" s="67">
        <v>98.3</v>
      </c>
      <c r="BS3" s="67">
        <v>99.88</v>
      </c>
      <c r="BT3" s="67">
        <v>99.88</v>
      </c>
      <c r="BU3" s="67">
        <v>99.89</v>
      </c>
      <c r="BV3" s="67">
        <v>99.87</v>
      </c>
      <c r="BW3" s="67">
        <v>99.82</v>
      </c>
      <c r="BX3" s="67">
        <v>99.83</v>
      </c>
      <c r="BY3" s="2">
        <v>99.82</v>
      </c>
      <c r="BZ3" s="2">
        <v>99.83</v>
      </c>
      <c r="CA3" s="2">
        <v>99.84</v>
      </c>
      <c r="CB3" s="2">
        <v>99.85</v>
      </c>
      <c r="CC3" s="2">
        <v>99.84</v>
      </c>
      <c r="CD3" s="2">
        <v>99.85</v>
      </c>
      <c r="CE3" s="2">
        <v>99.86</v>
      </c>
      <c r="CF3" s="2">
        <v>99.87</v>
      </c>
      <c r="CG3" s="2">
        <v>99.87</v>
      </c>
      <c r="CH3" s="2">
        <v>99.87</v>
      </c>
      <c r="CI3" s="2">
        <v>99.88</v>
      </c>
      <c r="CJ3" s="2">
        <v>99.86</v>
      </c>
      <c r="CK3" s="2">
        <v>99.86</v>
      </c>
      <c r="CL3" s="2">
        <v>99.85</v>
      </c>
      <c r="CM3" s="2">
        <v>99.87</v>
      </c>
      <c r="CN3" s="2">
        <v>99.87</v>
      </c>
      <c r="CO3" s="2">
        <v>99.87</v>
      </c>
      <c r="CP3" s="2">
        <v>99.87</v>
      </c>
      <c r="CQ3" s="2">
        <v>99.85</v>
      </c>
      <c r="CR3" s="2">
        <v>99.76</v>
      </c>
      <c r="CS3" s="2">
        <v>99.86</v>
      </c>
      <c r="CT3" s="2">
        <v>99.84</v>
      </c>
      <c r="CU3" s="2">
        <v>99.85</v>
      </c>
      <c r="CV3" s="2">
        <v>99.87</v>
      </c>
      <c r="CW3" s="2">
        <v>99.87</v>
      </c>
      <c r="CX3" s="2">
        <v>99.88</v>
      </c>
      <c r="CY3" s="2">
        <v>99.86</v>
      </c>
      <c r="CZ3" s="2">
        <v>99.88</v>
      </c>
      <c r="DA3" s="67">
        <v>99.87</v>
      </c>
      <c r="DB3" s="67">
        <v>99.83</v>
      </c>
      <c r="DC3" s="67">
        <v>99.81</v>
      </c>
      <c r="DD3" s="67">
        <v>99.84</v>
      </c>
      <c r="DE3" s="67">
        <v>99.9</v>
      </c>
      <c r="DF3" s="64">
        <v>99.89</v>
      </c>
      <c r="DG3" s="57">
        <v>99.89</v>
      </c>
      <c r="DH3" s="48">
        <v>99.89</v>
      </c>
      <c r="DI3" s="104">
        <v>99.89</v>
      </c>
      <c r="DJ3" s="104">
        <v>99.9</v>
      </c>
      <c r="DK3" s="104">
        <v>99.9</v>
      </c>
      <c r="DL3" s="104">
        <v>99.89</v>
      </c>
      <c r="DM3" s="104">
        <v>99.87</v>
      </c>
      <c r="DN3" s="104">
        <v>99.66</v>
      </c>
      <c r="DO3" s="104">
        <v>99.82</v>
      </c>
      <c r="DP3" s="104">
        <v>99.8</v>
      </c>
      <c r="DQ3" s="104">
        <v>99.81</v>
      </c>
      <c r="DR3" s="104">
        <v>99.81</v>
      </c>
      <c r="DS3" s="104">
        <v>99.79</v>
      </c>
      <c r="DT3" s="104">
        <v>99.78</v>
      </c>
      <c r="DU3" s="104">
        <v>99.79</v>
      </c>
      <c r="DV3" s="104">
        <v>99.78</v>
      </c>
      <c r="DW3" s="104">
        <v>99.79</v>
      </c>
      <c r="DX3" s="104">
        <v>99.78</v>
      </c>
      <c r="DY3" s="104">
        <v>99.8</v>
      </c>
      <c r="DZ3" s="104">
        <v>99.78</v>
      </c>
      <c r="EA3" s="104">
        <v>99.77</v>
      </c>
      <c r="EB3" s="104">
        <v>99.8</v>
      </c>
      <c r="EC3" s="104">
        <v>99.81</v>
      </c>
      <c r="ED3" s="104">
        <v>99.8</v>
      </c>
      <c r="EE3" s="104">
        <v>99.81</v>
      </c>
      <c r="EF3" s="104">
        <v>97.92</v>
      </c>
      <c r="EG3" s="104">
        <v>99.8</v>
      </c>
      <c r="EH3" s="104">
        <v>99.79</v>
      </c>
      <c r="EI3" s="104">
        <v>99.8</v>
      </c>
      <c r="EJ3" s="104">
        <v>99.79</v>
      </c>
      <c r="EK3" s="104">
        <v>99.81</v>
      </c>
      <c r="EL3" s="104">
        <v>99.82</v>
      </c>
      <c r="EM3" s="104">
        <v>99.82</v>
      </c>
      <c r="EN3" s="104">
        <v>99.82</v>
      </c>
      <c r="EO3" s="104">
        <v>99.79</v>
      </c>
      <c r="EP3" s="104">
        <v>99.76</v>
      </c>
      <c r="EQ3" s="104">
        <v>99.8</v>
      </c>
      <c r="ER3" s="104">
        <v>99.81</v>
      </c>
      <c r="ES3" s="104">
        <v>99.81</v>
      </c>
      <c r="ET3" s="104">
        <v>99.81</v>
      </c>
      <c r="EU3" s="104">
        <v>99.81</v>
      </c>
      <c r="EV3" s="104">
        <v>99.79</v>
      </c>
      <c r="EW3" s="104">
        <v>95.74</v>
      </c>
      <c r="EX3" s="104">
        <v>98.43</v>
      </c>
      <c r="EY3" s="104">
        <v>95.31</v>
      </c>
      <c r="EZ3" s="104">
        <v>98.18</v>
      </c>
      <c r="FA3" s="104">
        <v>99.77</v>
      </c>
      <c r="FB3" s="104">
        <v>99.77</v>
      </c>
      <c r="FC3" s="104">
        <v>99.77</v>
      </c>
      <c r="FD3" s="104">
        <v>99.77</v>
      </c>
      <c r="FE3" s="104">
        <v>99.79</v>
      </c>
      <c r="FF3" s="104">
        <v>99.79</v>
      </c>
      <c r="FG3" s="104">
        <v>99.79</v>
      </c>
      <c r="FH3" s="104">
        <v>99.79</v>
      </c>
      <c r="FI3" s="104">
        <v>99.78</v>
      </c>
      <c r="FJ3" s="104">
        <v>99.77</v>
      </c>
      <c r="FK3" s="104">
        <v>99.78</v>
      </c>
      <c r="FL3" s="104">
        <v>99.78</v>
      </c>
      <c r="FM3" s="104">
        <v>99.81</v>
      </c>
      <c r="FN3" s="104">
        <v>99.79</v>
      </c>
      <c r="FO3" s="104">
        <v>99.81</v>
      </c>
      <c r="FP3" s="104">
        <v>99.81</v>
      </c>
      <c r="FQ3" s="104">
        <v>99.82</v>
      </c>
      <c r="FR3" s="104">
        <v>99.82</v>
      </c>
      <c r="FS3" s="104">
        <v>99.82</v>
      </c>
      <c r="FT3" s="104">
        <v>99.81</v>
      </c>
      <c r="FU3" s="104">
        <v>99.82</v>
      </c>
      <c r="FV3" s="104">
        <v>99.82</v>
      </c>
      <c r="FW3" s="104">
        <v>99.79</v>
      </c>
      <c r="FX3" s="104">
        <v>99.79</v>
      </c>
      <c r="FY3" s="104">
        <v>99.81</v>
      </c>
      <c r="FZ3" s="104">
        <v>99.81</v>
      </c>
      <c r="GA3" s="104">
        <v>99.81</v>
      </c>
      <c r="GB3" s="104">
        <v>99.83</v>
      </c>
      <c r="GC3" s="104">
        <v>99.81</v>
      </c>
      <c r="GD3" s="104">
        <v>99.81</v>
      </c>
      <c r="GE3" s="104">
        <v>99.81</v>
      </c>
      <c r="GF3" s="104">
        <v>99.81</v>
      </c>
      <c r="GG3" s="104">
        <v>99.78</v>
      </c>
      <c r="GH3" s="104">
        <v>98.96</v>
      </c>
      <c r="GI3" s="104">
        <v>99.86</v>
      </c>
      <c r="GJ3" s="104">
        <v>99.73</v>
      </c>
      <c r="GK3" s="104">
        <v>99.55</v>
      </c>
      <c r="GL3" s="104">
        <v>99.58</v>
      </c>
      <c r="GM3" s="104">
        <v>98.95</v>
      </c>
      <c r="GN3" s="104">
        <v>99.81</v>
      </c>
      <c r="GO3" s="104">
        <v>99.81</v>
      </c>
      <c r="GP3" s="104">
        <v>99.82</v>
      </c>
      <c r="GQ3" s="104">
        <v>99.81</v>
      </c>
      <c r="GR3" s="104">
        <v>99.8</v>
      </c>
      <c r="GS3" s="104">
        <v>99.81</v>
      </c>
      <c r="GT3" s="116">
        <v>99.78</v>
      </c>
      <c r="GU3" s="48">
        <v>99.78</v>
      </c>
      <c r="GV3" s="48">
        <v>99.8</v>
      </c>
      <c r="GW3" s="48">
        <v>99.81</v>
      </c>
      <c r="GX3" s="57">
        <v>99.82</v>
      </c>
      <c r="GY3" s="53">
        <v>99.82</v>
      </c>
      <c r="GZ3" s="53">
        <v>99.82</v>
      </c>
      <c r="HA3" s="53">
        <v>99.82</v>
      </c>
      <c r="HB3" s="87">
        <v>99.83</v>
      </c>
      <c r="HC3" s="60">
        <v>99.82</v>
      </c>
      <c r="HD3" s="55">
        <v>99.82</v>
      </c>
      <c r="HE3" s="55">
        <v>99.82</v>
      </c>
      <c r="HF3" s="55">
        <v>99.78</v>
      </c>
      <c r="HG3" s="55">
        <v>99.77</v>
      </c>
      <c r="HH3" s="55">
        <v>99.76</v>
      </c>
      <c r="HI3" s="55">
        <v>99.74</v>
      </c>
      <c r="HJ3" s="55">
        <v>99.82</v>
      </c>
      <c r="HK3" s="55">
        <v>99.82</v>
      </c>
      <c r="HL3" s="55">
        <v>99.83</v>
      </c>
      <c r="HM3" s="55">
        <v>99.82</v>
      </c>
      <c r="HN3" s="55">
        <v>99.82</v>
      </c>
      <c r="HO3" s="55">
        <v>99.8</v>
      </c>
      <c r="HP3" s="55">
        <v>99.82</v>
      </c>
      <c r="HQ3" s="55">
        <v>99.88</v>
      </c>
      <c r="HR3" s="55">
        <v>99.88</v>
      </c>
      <c r="HS3" s="55">
        <v>99.87</v>
      </c>
      <c r="HT3" s="55">
        <v>99.89</v>
      </c>
      <c r="HU3" s="55">
        <v>99.87</v>
      </c>
      <c r="HV3" s="55">
        <v>99.87</v>
      </c>
      <c r="HW3" s="55">
        <v>99.88</v>
      </c>
      <c r="HX3" s="55">
        <v>99.88</v>
      </c>
      <c r="HY3" s="55">
        <v>99.89</v>
      </c>
      <c r="HZ3" s="55">
        <v>99.87</v>
      </c>
      <c r="IA3" s="55">
        <v>99.89</v>
      </c>
      <c r="IB3" s="55">
        <v>99.88</v>
      </c>
      <c r="IC3" s="55">
        <v>99.86</v>
      </c>
      <c r="ID3" s="55">
        <v>99.88</v>
      </c>
      <c r="IE3" s="55">
        <v>99.89</v>
      </c>
      <c r="IF3" s="55">
        <v>99.87</v>
      </c>
      <c r="IG3" s="55">
        <v>99.89</v>
      </c>
      <c r="IH3" s="55">
        <v>99.88</v>
      </c>
      <c r="II3" s="55">
        <v>99.82</v>
      </c>
      <c r="IJ3" s="55">
        <v>99.87</v>
      </c>
      <c r="IK3" s="55">
        <v>99.88</v>
      </c>
      <c r="IL3" s="55">
        <v>99.88</v>
      </c>
      <c r="IM3" s="55">
        <v>99.88</v>
      </c>
      <c r="IN3" s="131">
        <v>99.91</v>
      </c>
      <c r="IO3" s="57">
        <v>99.9</v>
      </c>
      <c r="IP3" s="100">
        <v>99.88</v>
      </c>
      <c r="IQ3" s="100">
        <v>99.9</v>
      </c>
      <c r="IR3" s="100">
        <v>99.9</v>
      </c>
      <c r="IS3" s="100">
        <v>99.9</v>
      </c>
      <c r="IT3" s="100">
        <v>99.91</v>
      </c>
      <c r="IU3" s="100">
        <v>99.9</v>
      </c>
      <c r="IV3" s="100">
        <v>99.9</v>
      </c>
      <c r="IW3" s="100">
        <v>99.91</v>
      </c>
      <c r="IX3" s="118">
        <v>99.89</v>
      </c>
      <c r="IY3" s="143">
        <v>99.9</v>
      </c>
      <c r="IZ3" s="143">
        <v>99.91</v>
      </c>
      <c r="JA3" s="143">
        <v>99.91</v>
      </c>
      <c r="JB3" s="46">
        <v>99.9</v>
      </c>
      <c r="JC3" s="57">
        <v>99.88</v>
      </c>
      <c r="JD3" s="56">
        <v>99.9</v>
      </c>
      <c r="JE3" s="64">
        <v>99.9</v>
      </c>
      <c r="JF3" s="64">
        <v>99.89</v>
      </c>
      <c r="JG3" s="64">
        <v>99.86</v>
      </c>
      <c r="JH3" s="64">
        <v>99.89</v>
      </c>
      <c r="JI3" s="64">
        <v>99.91</v>
      </c>
      <c r="JJ3" s="64">
        <v>99.9</v>
      </c>
      <c r="JK3" s="64">
        <v>99.9</v>
      </c>
      <c r="JL3" s="64">
        <v>99.86</v>
      </c>
      <c r="JM3" s="64">
        <v>99.9</v>
      </c>
      <c r="JN3" s="72">
        <v>99.91</v>
      </c>
      <c r="JO3" s="64">
        <v>99.91</v>
      </c>
      <c r="JP3" s="48">
        <v>99.91</v>
      </c>
      <c r="JQ3" s="64">
        <v>99.56</v>
      </c>
      <c r="JR3" s="64">
        <v>99.88</v>
      </c>
      <c r="JS3" s="64">
        <v>99.89</v>
      </c>
      <c r="JT3" s="64">
        <v>99.93</v>
      </c>
      <c r="JU3" s="64">
        <v>99.9</v>
      </c>
      <c r="JV3" s="64">
        <v>99.89</v>
      </c>
      <c r="JW3" s="64">
        <v>99.81</v>
      </c>
      <c r="JX3" s="64">
        <v>99.86</v>
      </c>
      <c r="JY3" s="64">
        <v>99.82</v>
      </c>
      <c r="JZ3" s="72">
        <v>99.86</v>
      </c>
      <c r="KA3" s="157">
        <v>99.86</v>
      </c>
      <c r="KB3" s="64">
        <v>99.87</v>
      </c>
      <c r="KC3" s="72">
        <v>99.89</v>
      </c>
      <c r="KD3" s="64">
        <v>99.89</v>
      </c>
      <c r="KE3" s="64">
        <v>99.87</v>
      </c>
      <c r="KF3" s="64">
        <v>99.86</v>
      </c>
      <c r="KG3" s="64">
        <v>99.86</v>
      </c>
      <c r="KH3" s="64">
        <v>99.88</v>
      </c>
      <c r="KI3" s="64">
        <v>99.88</v>
      </c>
      <c r="KJ3" s="64">
        <v>99.89</v>
      </c>
      <c r="KK3" s="64">
        <v>99.87</v>
      </c>
      <c r="KL3" s="64">
        <v>99.89</v>
      </c>
      <c r="KM3" s="64">
        <v>99.87</v>
      </c>
      <c r="KN3" s="64">
        <v>99.88</v>
      </c>
      <c r="KO3" s="64">
        <v>99.88</v>
      </c>
      <c r="KP3" s="64">
        <v>99.87</v>
      </c>
      <c r="KQ3" s="64">
        <v>99.81</v>
      </c>
      <c r="KR3" s="48">
        <v>99.85</v>
      </c>
      <c r="KS3" s="64">
        <v>99.85</v>
      </c>
      <c r="KT3" s="104">
        <v>99.87</v>
      </c>
      <c r="KU3" s="104">
        <v>99.87</v>
      </c>
      <c r="KV3" s="104">
        <v>99.84</v>
      </c>
      <c r="KW3" s="104">
        <v>99.77</v>
      </c>
      <c r="KX3" s="104">
        <v>99.37</v>
      </c>
      <c r="KY3" s="104">
        <v>99.33</v>
      </c>
      <c r="KZ3" s="104">
        <v>99.49</v>
      </c>
      <c r="LA3" s="104">
        <v>99.83</v>
      </c>
      <c r="LB3" s="104">
        <v>99.85</v>
      </c>
      <c r="LC3" s="104">
        <v>99.83</v>
      </c>
      <c r="LD3" s="104">
        <v>99.86</v>
      </c>
      <c r="LE3" s="104">
        <v>99.86</v>
      </c>
      <c r="LF3" s="104">
        <v>99.84</v>
      </c>
      <c r="LG3" s="104">
        <v>99.86</v>
      </c>
      <c r="LH3" s="104">
        <v>99.85</v>
      </c>
      <c r="LI3" s="104">
        <v>99.86</v>
      </c>
      <c r="LJ3" s="104">
        <v>99.85</v>
      </c>
      <c r="LK3" s="104">
        <v>99.85</v>
      </c>
      <c r="LL3" s="104">
        <v>99.85</v>
      </c>
      <c r="LM3" s="104">
        <v>99.83</v>
      </c>
      <c r="LN3" s="104">
        <v>99.82</v>
      </c>
      <c r="LO3" s="104">
        <v>99.8</v>
      </c>
      <c r="LP3" s="104">
        <v>99.83</v>
      </c>
      <c r="LQ3" s="104">
        <v>99.83</v>
      </c>
      <c r="LR3" s="104">
        <v>99.84</v>
      </c>
      <c r="LS3" s="104">
        <v>99.84</v>
      </c>
      <c r="LT3" s="104">
        <v>99.83</v>
      </c>
      <c r="LU3" s="104">
        <v>99.8</v>
      </c>
      <c r="LV3" s="104">
        <v>99.83</v>
      </c>
      <c r="LW3" s="104">
        <v>99.82</v>
      </c>
      <c r="LX3" s="104">
        <v>99.82</v>
      </c>
      <c r="LY3" s="104">
        <v>99.82</v>
      </c>
      <c r="LZ3" s="104">
        <v>99.82</v>
      </c>
      <c r="MA3" s="104">
        <v>99.8</v>
      </c>
      <c r="MB3" s="104">
        <v>99.8</v>
      </c>
      <c r="MC3" s="104">
        <v>99.8</v>
      </c>
      <c r="MD3" s="104">
        <v>99.8</v>
      </c>
      <c r="ME3" s="104">
        <v>99.78</v>
      </c>
      <c r="MF3" s="104">
        <v>99.8</v>
      </c>
      <c r="MG3" s="104">
        <v>99.84</v>
      </c>
      <c r="MH3" s="104">
        <v>99.78</v>
      </c>
      <c r="MI3" s="104">
        <v>99.71</v>
      </c>
      <c r="MJ3" s="104">
        <v>99.74</v>
      </c>
      <c r="MK3" s="104">
        <v>99.53</v>
      </c>
      <c r="ML3" s="104">
        <v>99.78</v>
      </c>
      <c r="MM3" s="104">
        <v>99.72</v>
      </c>
      <c r="MN3" s="104">
        <v>99.78</v>
      </c>
      <c r="MO3" s="104">
        <v>99.78</v>
      </c>
      <c r="MP3" s="104">
        <v>99.78</v>
      </c>
      <c r="MQ3" s="104">
        <v>99.72</v>
      </c>
      <c r="MR3" s="104">
        <v>99.77</v>
      </c>
      <c r="MS3" s="104">
        <v>99.74</v>
      </c>
      <c r="MT3" s="104">
        <v>99.75</v>
      </c>
      <c r="MU3" s="104">
        <v>99.77</v>
      </c>
      <c r="MV3" s="104">
        <v>99.77</v>
      </c>
      <c r="MW3" s="104">
        <v>99.78</v>
      </c>
      <c r="MX3" s="104">
        <v>99.77</v>
      </c>
      <c r="MY3" s="104">
        <v>97.54</v>
      </c>
      <c r="MZ3" s="64"/>
      <c r="NA3" s="64"/>
      <c r="NB3" s="64"/>
      <c r="NC3">
        <v>99.7</v>
      </c>
      <c r="ND3">
        <v>99.74</v>
      </c>
      <c r="NE3">
        <v>99.75</v>
      </c>
      <c r="NF3">
        <v>99.66</v>
      </c>
      <c r="NG3">
        <v>99.72</v>
      </c>
      <c r="NH3">
        <v>99.74</v>
      </c>
      <c r="NI3">
        <v>99.75</v>
      </c>
      <c r="NJ3">
        <v>99.74</v>
      </c>
      <c r="NK3">
        <v>99.72</v>
      </c>
      <c r="NL3">
        <v>99.72</v>
      </c>
      <c r="NM3">
        <v>99.72</v>
      </c>
      <c r="NN3" s="48">
        <v>99.73</v>
      </c>
      <c r="NO3" s="48">
        <v>99.73</v>
      </c>
      <c r="NP3" s="48">
        <v>99.75</v>
      </c>
      <c r="NQ3" s="48">
        <v>99.73</v>
      </c>
      <c r="NR3" s="48">
        <v>99.74</v>
      </c>
      <c r="NS3" s="71">
        <v>99.74</v>
      </c>
      <c r="NT3" s="48">
        <v>99.74</v>
      </c>
      <c r="NU3" s="64">
        <v>99.73</v>
      </c>
      <c r="NV3" s="64">
        <v>99.74</v>
      </c>
      <c r="NW3" s="64">
        <v>99.73</v>
      </c>
      <c r="NX3" s="64">
        <v>99.72</v>
      </c>
      <c r="NY3" s="64">
        <v>99.7</v>
      </c>
      <c r="NZ3" s="64">
        <v>99.71</v>
      </c>
      <c r="OA3" s="64">
        <v>99.71</v>
      </c>
      <c r="OB3" s="64">
        <v>99.69</v>
      </c>
      <c r="OC3" s="64">
        <v>99.72</v>
      </c>
      <c r="OD3" s="64">
        <v>99.71</v>
      </c>
      <c r="OE3" s="67">
        <v>99.67</v>
      </c>
      <c r="OF3" s="48">
        <v>99.69</v>
      </c>
      <c r="OG3" s="48">
        <v>99.68</v>
      </c>
      <c r="OH3" s="48">
        <v>99.68</v>
      </c>
      <c r="OI3" s="2">
        <v>99.68</v>
      </c>
      <c r="OJ3" s="2">
        <v>99.66</v>
      </c>
      <c r="OK3" s="2">
        <v>99.68</v>
      </c>
      <c r="OL3" s="64">
        <v>99.78</v>
      </c>
      <c r="OM3" s="64">
        <v>99.9</v>
      </c>
      <c r="ON3" s="64">
        <v>99.91</v>
      </c>
      <c r="OO3" s="48">
        <v>99.92</v>
      </c>
      <c r="OP3" s="48">
        <v>99.91</v>
      </c>
      <c r="OQ3" s="67">
        <v>99.9</v>
      </c>
      <c r="OR3" s="67">
        <v>99.89</v>
      </c>
      <c r="OS3" s="48">
        <v>99.93</v>
      </c>
      <c r="OT3" s="64">
        <v>99.91</v>
      </c>
      <c r="OU3" s="67">
        <v>99.91</v>
      </c>
      <c r="OV3" s="67">
        <v>99.85</v>
      </c>
      <c r="OW3" s="2">
        <v>99.9</v>
      </c>
      <c r="OX3" s="2">
        <v>99.91</v>
      </c>
      <c r="OY3" s="2">
        <v>99.91</v>
      </c>
      <c r="OZ3" s="2">
        <v>99.91</v>
      </c>
      <c r="PA3" s="64">
        <v>99.89</v>
      </c>
      <c r="PB3" s="64">
        <v>99.89</v>
      </c>
      <c r="PC3" s="2">
        <v>99.9</v>
      </c>
      <c r="PD3" s="48">
        <v>99.9</v>
      </c>
      <c r="PE3" s="48">
        <v>99.9</v>
      </c>
      <c r="PF3" s="48">
        <v>99.91</v>
      </c>
      <c r="PG3" s="67">
        <v>99.9</v>
      </c>
      <c r="PH3" s="71">
        <v>99.83</v>
      </c>
      <c r="PI3" s="67">
        <v>99.9</v>
      </c>
      <c r="PJ3" s="48">
        <v>99.92</v>
      </c>
      <c r="PK3" s="64">
        <v>99.91</v>
      </c>
      <c r="PL3" s="64">
        <v>99.9</v>
      </c>
      <c r="PM3" s="64">
        <v>99.91</v>
      </c>
      <c r="PN3" s="2">
        <v>99.81</v>
      </c>
      <c r="PO3" s="64">
        <v>99.9</v>
      </c>
      <c r="PP3" s="64">
        <v>99.91</v>
      </c>
      <c r="PQ3" s="64">
        <v>99.9</v>
      </c>
      <c r="PR3" s="64">
        <v>99.91</v>
      </c>
      <c r="PS3" s="64">
        <v>99.91</v>
      </c>
      <c r="PT3" s="71">
        <v>99.94</v>
      </c>
      <c r="PU3" s="71">
        <v>99.9</v>
      </c>
      <c r="PV3" s="64">
        <v>99.89</v>
      </c>
      <c r="PW3" s="64">
        <v>99.91</v>
      </c>
      <c r="PX3" s="48">
        <v>99.88</v>
      </c>
      <c r="PY3" s="48">
        <v>99.82</v>
      </c>
      <c r="PZ3" s="48">
        <v>99.81</v>
      </c>
      <c r="QA3" s="48">
        <v>99.85</v>
      </c>
      <c r="QB3" s="48">
        <v>99.83</v>
      </c>
      <c r="QC3" s="71">
        <v>99.9</v>
      </c>
      <c r="QD3" s="48">
        <v>99.88</v>
      </c>
      <c r="QE3" s="64">
        <v>99.9</v>
      </c>
      <c r="QF3" s="64">
        <v>99.9</v>
      </c>
      <c r="QG3" s="64">
        <v>99.91</v>
      </c>
      <c r="QH3" s="71">
        <v>99.91</v>
      </c>
      <c r="QI3" s="71">
        <v>99.92</v>
      </c>
      <c r="QJ3" s="67">
        <v>99.91</v>
      </c>
      <c r="QK3" s="67">
        <v>99.91</v>
      </c>
      <c r="QL3" s="48">
        <v>99.92</v>
      </c>
      <c r="QM3" s="64">
        <v>99.91</v>
      </c>
      <c r="QN3" s="64">
        <v>99.91</v>
      </c>
      <c r="QO3" s="2">
        <v>99.91</v>
      </c>
      <c r="QP3" s="2">
        <v>99.91</v>
      </c>
      <c r="QQ3" s="64">
        <v>99.92</v>
      </c>
      <c r="QR3" s="64">
        <v>99.91</v>
      </c>
      <c r="QS3" s="64">
        <v>99.91</v>
      </c>
      <c r="QT3" s="48">
        <v>99.9</v>
      </c>
      <c r="QU3" s="48">
        <v>99.9</v>
      </c>
      <c r="QV3" s="48">
        <v>99.9</v>
      </c>
      <c r="QW3" s="48">
        <v>99.92</v>
      </c>
      <c r="QX3" s="67">
        <v>99.91</v>
      </c>
      <c r="QY3" s="67">
        <v>99.91</v>
      </c>
      <c r="QZ3" s="71">
        <v>99.69</v>
      </c>
      <c r="RA3" s="71">
        <v>99.92</v>
      </c>
      <c r="RB3" s="71">
        <v>99.92</v>
      </c>
      <c r="RC3" s="91">
        <v>99.91</v>
      </c>
      <c r="RD3" s="64">
        <v>99.93</v>
      </c>
      <c r="RE3" s="71">
        <v>99.92</v>
      </c>
      <c r="RF3" s="64">
        <v>99.92</v>
      </c>
      <c r="RG3" s="64">
        <v>99.92</v>
      </c>
      <c r="RH3" s="67">
        <v>99.92</v>
      </c>
      <c r="RI3" s="67">
        <v>99.91</v>
      </c>
      <c r="RJ3" s="64">
        <v>99.93</v>
      </c>
      <c r="RK3" s="48">
        <v>99.93</v>
      </c>
      <c r="RL3" s="48">
        <v>99.91</v>
      </c>
      <c r="RM3" s="48">
        <v>99.92</v>
      </c>
      <c r="RN3" s="48">
        <v>99.92</v>
      </c>
      <c r="RO3" s="48">
        <v>99.92</v>
      </c>
      <c r="RP3" s="48">
        <v>99.93</v>
      </c>
      <c r="RQ3" s="48">
        <v>99.93</v>
      </c>
      <c r="RR3" s="48">
        <v>99.85</v>
      </c>
      <c r="RS3" s="48">
        <v>99.92</v>
      </c>
      <c r="RT3" s="64">
        <v>99.93</v>
      </c>
      <c r="RU3" s="64">
        <v>99.92</v>
      </c>
      <c r="RV3" s="64">
        <v>99.92</v>
      </c>
      <c r="RW3" s="64">
        <v>99.93</v>
      </c>
      <c r="RX3" s="64">
        <v>99.93</v>
      </c>
      <c r="RY3" s="64">
        <v>99.94</v>
      </c>
      <c r="RZ3" s="64">
        <v>99.93</v>
      </c>
      <c r="SA3" s="183"/>
      <c r="SB3" s="64"/>
      <c r="SC3" s="64"/>
      <c r="SD3" s="64"/>
      <c r="SE3" s="64"/>
      <c r="SF3" s="72"/>
      <c r="SG3" s="2">
        <v>99.92</v>
      </c>
      <c r="SH3" s="2">
        <v>99.13</v>
      </c>
      <c r="SI3" s="2">
        <v>99.94</v>
      </c>
      <c r="SJ3" s="2">
        <v>99.93</v>
      </c>
      <c r="SK3" s="2">
        <v>99.87</v>
      </c>
      <c r="SL3" s="2">
        <v>99.93</v>
      </c>
      <c r="SM3" s="64">
        <v>99.94</v>
      </c>
      <c r="SN3" s="71">
        <v>99.93</v>
      </c>
      <c r="SO3" s="71">
        <v>99.92</v>
      </c>
      <c r="SP3" s="71">
        <v>99.92</v>
      </c>
      <c r="SQ3" s="48">
        <v>99.93</v>
      </c>
      <c r="SR3" s="48">
        <v>99.92</v>
      </c>
      <c r="SS3" s="48">
        <v>99.93</v>
      </c>
      <c r="ST3" s="48">
        <v>99.89</v>
      </c>
      <c r="SU3" s="48">
        <v>99.93</v>
      </c>
      <c r="SV3" s="48">
        <v>99.92</v>
      </c>
      <c r="SW3" s="48">
        <v>99.93</v>
      </c>
      <c r="SX3" s="48">
        <v>99.93</v>
      </c>
      <c r="SY3" s="48">
        <v>99.93</v>
      </c>
      <c r="SZ3" s="48">
        <v>99.94</v>
      </c>
      <c r="TA3" s="64">
        <v>99.93</v>
      </c>
      <c r="TB3" s="48">
        <v>99.88</v>
      </c>
      <c r="TC3" s="64">
        <v>99.88</v>
      </c>
      <c r="TD3" s="64">
        <v>99.88</v>
      </c>
      <c r="TE3" s="64">
        <v>99.87</v>
      </c>
      <c r="TF3" s="64">
        <v>99.88</v>
      </c>
      <c r="TG3" s="64">
        <v>99.88</v>
      </c>
      <c r="TH3" s="64">
        <v>99.91</v>
      </c>
      <c r="TI3" s="64">
        <v>99.87</v>
      </c>
      <c r="TJ3" s="64">
        <v>99.88</v>
      </c>
      <c r="TK3" s="64">
        <v>99.94</v>
      </c>
      <c r="TL3" s="64">
        <v>99.93</v>
      </c>
      <c r="TM3" s="64">
        <v>99.93</v>
      </c>
      <c r="TN3" s="64">
        <v>99.94</v>
      </c>
      <c r="TO3" s="64">
        <v>99.94</v>
      </c>
      <c r="TP3" s="64">
        <v>99.93</v>
      </c>
      <c r="TQ3" s="64">
        <v>99.94</v>
      </c>
      <c r="TR3" s="64">
        <v>99.92</v>
      </c>
      <c r="TS3" s="64">
        <v>99.94</v>
      </c>
      <c r="TT3" s="64">
        <v>99.95</v>
      </c>
      <c r="TU3" s="64">
        <v>99.95</v>
      </c>
      <c r="TV3" s="64">
        <v>99.95</v>
      </c>
      <c r="TW3" s="64">
        <v>99.95</v>
      </c>
      <c r="TX3" s="64">
        <v>99.95</v>
      </c>
      <c r="TY3" s="64">
        <v>99.94</v>
      </c>
      <c r="TZ3" s="64">
        <v>99.94</v>
      </c>
      <c r="UA3" s="64">
        <v>99.94</v>
      </c>
      <c r="UB3" s="48">
        <v>99.94</v>
      </c>
      <c r="UC3" s="48">
        <v>99.94</v>
      </c>
      <c r="UD3" s="48">
        <v>99.94</v>
      </c>
      <c r="UE3" s="48">
        <v>99.94</v>
      </c>
      <c r="UF3" s="48">
        <v>99.95</v>
      </c>
      <c r="UG3" s="48">
        <v>99.94</v>
      </c>
      <c r="UH3" s="48">
        <v>99.94</v>
      </c>
      <c r="UI3" s="48">
        <v>99.94</v>
      </c>
      <c r="UJ3" s="64">
        <v>99.93</v>
      </c>
      <c r="UK3" s="64">
        <v>99.93</v>
      </c>
      <c r="UL3" s="64">
        <v>99.94</v>
      </c>
      <c r="UM3" s="64">
        <v>99.94</v>
      </c>
      <c r="UN3" s="67">
        <v>99.95</v>
      </c>
      <c r="UO3" s="64">
        <v>99.94</v>
      </c>
      <c r="UP3" s="64">
        <v>99.94</v>
      </c>
      <c r="UQ3" s="48">
        <v>99.95</v>
      </c>
      <c r="UR3" s="67">
        <v>99.95</v>
      </c>
      <c r="US3" s="48">
        <v>99.95</v>
      </c>
      <c r="UT3" s="48">
        <v>99.89</v>
      </c>
      <c r="UU3" s="2">
        <v>99.95</v>
      </c>
      <c r="UV3" s="2">
        <v>99.94</v>
      </c>
      <c r="UW3" s="2">
        <v>99.94</v>
      </c>
      <c r="UX3" s="64">
        <v>99.8</v>
      </c>
      <c r="UY3" s="64">
        <v>99.94</v>
      </c>
      <c r="UZ3" s="64">
        <v>99.94</v>
      </c>
      <c r="VA3" s="64">
        <v>99.94</v>
      </c>
      <c r="VB3" s="67">
        <v>99.91</v>
      </c>
      <c r="VC3" s="67">
        <v>99.94</v>
      </c>
      <c r="VD3" s="67">
        <v>99.94</v>
      </c>
      <c r="VE3" s="48">
        <v>99.66</v>
      </c>
      <c r="VF3" s="48">
        <v>99.66</v>
      </c>
      <c r="VG3" s="48">
        <v>99.93</v>
      </c>
      <c r="VH3" s="71">
        <v>99.94</v>
      </c>
      <c r="VI3" s="64">
        <v>99.79</v>
      </c>
      <c r="VJ3" s="64">
        <v>99.92</v>
      </c>
      <c r="VK3" s="64">
        <v>99.87</v>
      </c>
      <c r="VL3" s="64">
        <v>99.91</v>
      </c>
      <c r="VM3" s="64">
        <v>99.94</v>
      </c>
      <c r="VN3" s="64">
        <v>99.91</v>
      </c>
      <c r="VO3" s="64">
        <v>99.94</v>
      </c>
      <c r="VP3" s="183">
        <v>99.94</v>
      </c>
      <c r="VQ3" s="64">
        <v>99.86</v>
      </c>
      <c r="VR3" s="64">
        <v>99.86</v>
      </c>
      <c r="VS3" s="64"/>
      <c r="VT3" s="2"/>
      <c r="VU3" s="2"/>
      <c r="VV3" s="2"/>
      <c r="VW3" s="2"/>
      <c r="VX3" s="71"/>
      <c r="VY3" s="2"/>
      <c r="VZ3" s="71"/>
      <c r="WA3" s="71"/>
      <c r="WB3" s="71"/>
      <c r="WC3" s="71"/>
      <c r="WD3" s="46"/>
      <c r="WE3" s="71"/>
      <c r="WF3" s="82"/>
      <c r="WG3" s="82"/>
      <c r="WH3" s="71"/>
      <c r="WI3" s="71"/>
      <c r="WJ3" s="71"/>
      <c r="WK3" s="71"/>
      <c r="WL3" s="64"/>
      <c r="WM3" s="64"/>
      <c r="WN3" s="64"/>
      <c r="WO3" s="64"/>
      <c r="WP3" s="64"/>
      <c r="WQ3" s="64"/>
      <c r="WR3" s="64"/>
      <c r="WS3" s="64"/>
      <c r="WT3" s="64"/>
      <c r="WU3" s="64"/>
      <c r="WV3" s="64"/>
      <c r="WW3" s="64"/>
      <c r="WX3" s="64"/>
      <c r="WY3" s="64"/>
      <c r="WZ3" s="64"/>
      <c r="XA3" s="64"/>
      <c r="XB3" s="64"/>
      <c r="XC3" s="64"/>
      <c r="XD3" s="64"/>
      <c r="XE3" s="64"/>
      <c r="XF3" s="64"/>
      <c r="XG3" s="64"/>
      <c r="XH3" s="64"/>
      <c r="XI3" s="64"/>
      <c r="XJ3" s="64"/>
      <c r="XK3" s="64"/>
      <c r="XL3" s="64"/>
      <c r="XM3" s="64"/>
      <c r="XN3" s="64"/>
      <c r="XO3" s="64"/>
      <c r="XP3" s="64"/>
      <c r="XQ3" s="64"/>
      <c r="XR3" s="64"/>
      <c r="XS3" s="64"/>
      <c r="XT3" s="64"/>
      <c r="XU3" s="64"/>
      <c r="XV3" s="64"/>
      <c r="XW3" s="64"/>
      <c r="XX3" s="64"/>
      <c r="XY3" s="64"/>
      <c r="XZ3" s="64"/>
      <c r="YA3" s="64"/>
      <c r="YB3" s="64"/>
      <c r="YC3" s="64"/>
      <c r="YD3" s="64"/>
      <c r="YE3" s="67"/>
      <c r="YF3" s="67"/>
      <c r="YG3" s="67"/>
      <c r="YH3" s="67"/>
      <c r="YI3" s="67"/>
      <c r="YJ3" s="67"/>
      <c r="YK3" s="67"/>
      <c r="YL3" s="2"/>
      <c r="YM3" s="2"/>
      <c r="YN3" s="2"/>
      <c r="YO3" s="2"/>
      <c r="YP3" s="2"/>
      <c r="YQ3" s="2"/>
      <c r="YR3" s="2"/>
      <c r="YS3" s="64"/>
      <c r="YT3" s="64"/>
      <c r="YU3" s="64"/>
      <c r="YV3" s="64"/>
      <c r="YW3" s="64"/>
      <c r="YX3" s="64"/>
      <c r="YY3" s="64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87"/>
      <c r="ZV3" s="87"/>
      <c r="ZW3" s="87"/>
      <c r="ZX3" s="87"/>
      <c r="ZY3" s="87"/>
      <c r="ZZ3" s="87"/>
      <c r="AAA3" s="89"/>
      <c r="AAB3" s="87"/>
      <c r="AAC3" s="87"/>
      <c r="AAD3" s="87"/>
      <c r="AAE3" s="87"/>
      <c r="AAF3" s="89"/>
      <c r="AAG3" s="87"/>
      <c r="AAH3" s="89"/>
      <c r="AAI3" s="64"/>
      <c r="AAJ3" s="64"/>
      <c r="AAK3" s="64"/>
      <c r="AAL3" s="64"/>
      <c r="AAM3" s="64"/>
      <c r="AAN3" s="64"/>
      <c r="AAO3" s="64"/>
      <c r="AAP3" s="2"/>
      <c r="AAQ3" s="2"/>
      <c r="AAR3" s="2"/>
      <c r="AAS3" s="2"/>
      <c r="AAT3" s="2"/>
      <c r="AAU3" s="2"/>
      <c r="AAV3" s="2"/>
      <c r="AAW3" s="64"/>
      <c r="AAX3" s="64"/>
      <c r="AAY3" s="64"/>
      <c r="AAZ3" s="64"/>
      <c r="ABA3" s="64"/>
      <c r="ABB3" s="64"/>
      <c r="ABC3" s="64"/>
      <c r="ABD3" s="2"/>
      <c r="ABE3" s="2"/>
      <c r="ABF3" s="2"/>
      <c r="ABG3" s="64"/>
      <c r="ABH3" s="64"/>
      <c r="ABI3" s="64"/>
      <c r="ABJ3" s="64"/>
      <c r="ABK3" s="64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64"/>
      <c r="ACN3" s="64"/>
      <c r="ACO3" s="64"/>
      <c r="ACP3" s="64"/>
      <c r="ACQ3" s="64"/>
      <c r="ACR3" s="64"/>
      <c r="ACS3" s="64"/>
      <c r="ACT3" s="64"/>
      <c r="ACU3" s="64"/>
      <c r="ACV3" s="64"/>
      <c r="ACW3" s="64"/>
      <c r="ACX3" s="64"/>
      <c r="ACY3" s="64"/>
      <c r="ACZ3" s="64"/>
      <c r="ADA3" s="64"/>
      <c r="ADB3" s="64"/>
      <c r="ADC3" s="64"/>
      <c r="ADD3" s="64"/>
      <c r="ADE3" s="64"/>
      <c r="ADF3" s="64"/>
      <c r="ADG3" s="64"/>
      <c r="ADH3" s="2"/>
      <c r="ADI3" s="2"/>
      <c r="ADJ3" s="2"/>
      <c r="ADK3" s="2"/>
      <c r="ADL3" s="2"/>
      <c r="ADM3" s="2"/>
      <c r="ADN3" s="2"/>
      <c r="ADO3" s="87"/>
      <c r="ADP3" s="87"/>
      <c r="ADQ3" s="87"/>
      <c r="ADR3" s="89"/>
      <c r="ADS3" s="67"/>
      <c r="ADT3" s="67"/>
      <c r="ADU3" s="67"/>
      <c r="ADV3" s="64"/>
      <c r="ADW3" s="64"/>
      <c r="ADX3" s="64"/>
      <c r="ADY3" s="64"/>
      <c r="ADZ3" s="64"/>
      <c r="AEA3" s="64"/>
      <c r="AEB3" s="64"/>
      <c r="AEC3" s="64"/>
      <c r="AED3" s="64"/>
      <c r="AEE3" s="64"/>
      <c r="AEF3" s="64"/>
      <c r="AEG3" s="64"/>
      <c r="AEH3" s="64"/>
      <c r="AEI3" s="64"/>
      <c r="AEJ3" s="64"/>
      <c r="AEK3" s="64"/>
      <c r="AEL3" s="64"/>
      <c r="AEM3" s="64"/>
      <c r="AEN3" s="64"/>
      <c r="AEO3" s="64"/>
      <c r="AEP3" s="64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64"/>
      <c r="AFF3" s="64"/>
      <c r="AFG3" s="64"/>
      <c r="AFH3" s="64"/>
      <c r="AFI3" s="64"/>
      <c r="AFJ3" s="64"/>
      <c r="AFK3" s="64"/>
      <c r="AFL3" s="64"/>
      <c r="AFM3" s="64"/>
      <c r="AFN3" s="64"/>
      <c r="AFO3" s="64"/>
      <c r="AFP3" s="64"/>
      <c r="AFQ3" s="64"/>
      <c r="AFR3" s="64"/>
      <c r="AFS3" s="64"/>
      <c r="AFT3" s="64"/>
      <c r="AFU3" s="64"/>
      <c r="AFV3" s="64"/>
      <c r="AFW3" s="64"/>
      <c r="AFX3" s="64"/>
      <c r="AFY3" s="64"/>
      <c r="AFZ3" s="64"/>
      <c r="AGA3" s="64"/>
      <c r="AGB3" s="64"/>
      <c r="AGC3" s="64"/>
      <c r="AGD3" s="64"/>
      <c r="AGE3" s="64"/>
      <c r="AGF3" s="64"/>
      <c r="AGG3" s="64"/>
      <c r="AGH3" s="64"/>
      <c r="AGI3" s="64"/>
      <c r="AGJ3" s="64"/>
      <c r="AGK3" s="64"/>
      <c r="AGL3" s="64"/>
      <c r="AGM3" s="64"/>
      <c r="AGN3" s="64"/>
      <c r="AGO3" s="64"/>
      <c r="AGP3" s="64"/>
      <c r="AGQ3" s="64"/>
      <c r="AGR3" s="64"/>
      <c r="AGS3" s="64"/>
      <c r="AGT3" s="64"/>
      <c r="AGU3" s="64"/>
      <c r="AGV3" s="64"/>
      <c r="AGW3" s="64"/>
      <c r="AGX3" s="64"/>
      <c r="AGY3" s="64"/>
      <c r="AGZ3" s="64"/>
      <c r="AHA3" s="64"/>
      <c r="AHB3" s="64"/>
      <c r="AHC3" s="64"/>
      <c r="AHD3" s="64"/>
      <c r="AHE3" s="64"/>
      <c r="AHF3" s="64"/>
      <c r="AHG3" s="64"/>
      <c r="AHH3" s="64"/>
      <c r="AHI3" s="64"/>
      <c r="AHJ3" s="64"/>
      <c r="AHK3" s="64"/>
      <c r="AHL3" s="64"/>
      <c r="AHM3" s="64"/>
      <c r="AHN3" s="64"/>
      <c r="AHO3" s="64"/>
      <c r="AHP3" s="64"/>
      <c r="AHQ3" s="64"/>
      <c r="AHR3" s="64"/>
      <c r="AHS3" s="64"/>
      <c r="AHT3" s="64"/>
      <c r="AHU3" s="64"/>
      <c r="AHV3" s="64"/>
      <c r="AHW3" s="64"/>
      <c r="AHX3" s="64"/>
      <c r="AHY3" s="64"/>
      <c r="AHZ3" s="64"/>
      <c r="AIA3" s="64"/>
      <c r="AIB3" s="64"/>
      <c r="AIC3" s="2"/>
      <c r="AID3" s="2"/>
      <c r="AIE3" s="2"/>
      <c r="AIF3" s="2"/>
      <c r="AIG3" s="2"/>
      <c r="AIH3" s="2"/>
      <c r="AII3" s="2"/>
      <c r="AIJ3" s="2"/>
      <c r="AIK3" s="64"/>
      <c r="AIL3" s="64"/>
      <c r="AIM3" s="64"/>
      <c r="AIN3" s="64"/>
      <c r="AIO3" s="64"/>
      <c r="AIP3" s="64"/>
      <c r="AIQ3" s="64"/>
      <c r="AIR3" s="64"/>
      <c r="AIS3" s="64"/>
      <c r="AIT3" s="64"/>
      <c r="AIU3" s="64"/>
      <c r="AIV3" s="64"/>
      <c r="AIW3" s="64"/>
      <c r="AIX3" s="64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47"/>
      <c r="AJL3" s="2"/>
      <c r="AJM3" s="2"/>
      <c r="AJN3" s="2"/>
      <c r="AJO3" s="2"/>
      <c r="AJP3" s="2"/>
      <c r="AJQ3" s="2"/>
      <c r="AJR3" s="2"/>
      <c r="AJS3" s="2"/>
      <c r="AJT3" s="87"/>
      <c r="AJU3" s="87"/>
      <c r="AJV3" s="87"/>
      <c r="AJW3" s="87"/>
      <c r="AJX3" s="87"/>
      <c r="AJY3" s="89"/>
      <c r="AJZ3" s="67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67"/>
      <c r="ALY3" s="67"/>
      <c r="ALZ3" s="67"/>
      <c r="AMA3" s="67"/>
      <c r="AMB3" s="67"/>
      <c r="AMC3" s="67"/>
      <c r="AMD3" s="67"/>
      <c r="AME3" s="2"/>
      <c r="AMF3" s="2"/>
      <c r="AMG3" s="2"/>
      <c r="AMH3" s="2"/>
      <c r="AMI3" s="2"/>
      <c r="AMJ3" s="2"/>
      <c r="AMK3" s="47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87"/>
      <c r="ANI3" s="87"/>
      <c r="ANJ3" s="87"/>
      <c r="ANK3" s="87"/>
      <c r="ANL3" s="87"/>
      <c r="ANM3" s="89"/>
      <c r="ANN3" s="67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</row>
    <row r="4" spans="1:1082" ht="15.75" thickBot="1" x14ac:dyDescent="0.3">
      <c r="A4" s="377" t="s">
        <v>70</v>
      </c>
      <c r="B4" s="35" t="s">
        <v>32</v>
      </c>
      <c r="C4" s="2">
        <v>76.510000000000005</v>
      </c>
      <c r="D4" s="2">
        <v>74.239999999999995</v>
      </c>
      <c r="E4" s="2">
        <v>72.94</v>
      </c>
      <c r="F4" s="2">
        <v>69.7</v>
      </c>
      <c r="G4" s="2">
        <v>73.180000000000007</v>
      </c>
      <c r="H4" s="2">
        <v>71.739999999999995</v>
      </c>
      <c r="I4" s="2">
        <v>72.010000000000005</v>
      </c>
      <c r="J4" s="2">
        <v>74.209999999999994</v>
      </c>
      <c r="K4" s="2">
        <v>72.37</v>
      </c>
      <c r="L4" s="2">
        <v>71.87</v>
      </c>
      <c r="M4" s="2">
        <v>72.66</v>
      </c>
      <c r="N4" s="2">
        <v>73.91</v>
      </c>
      <c r="O4" s="2">
        <v>74.58</v>
      </c>
      <c r="P4" s="2">
        <v>73.400000000000006</v>
      </c>
      <c r="Q4" s="2">
        <v>70.760000000000005</v>
      </c>
      <c r="R4" s="2">
        <v>70.8</v>
      </c>
      <c r="S4" s="2">
        <v>70.11</v>
      </c>
      <c r="T4" s="2">
        <v>70.84</v>
      </c>
      <c r="U4" s="2">
        <v>72.27</v>
      </c>
      <c r="V4" s="2">
        <v>73.19</v>
      </c>
      <c r="W4" s="2">
        <v>71.349999999999994</v>
      </c>
      <c r="X4" s="2">
        <v>70.47</v>
      </c>
      <c r="Y4" s="2">
        <v>70.78</v>
      </c>
      <c r="Z4" s="2">
        <v>68.89</v>
      </c>
      <c r="AA4" s="2">
        <v>61.82</v>
      </c>
      <c r="AB4" s="2" t="s">
        <v>89</v>
      </c>
      <c r="AC4" s="2">
        <v>63.21</v>
      </c>
      <c r="AD4" s="2">
        <v>86.02</v>
      </c>
      <c r="AE4" s="2">
        <v>70.569999999999993</v>
      </c>
      <c r="AF4" s="2">
        <v>72.14</v>
      </c>
      <c r="AG4" s="2">
        <v>72.3</v>
      </c>
      <c r="AH4" s="2">
        <v>71.59</v>
      </c>
      <c r="AI4" s="2">
        <v>74.16</v>
      </c>
      <c r="AJ4" s="2">
        <v>73.48</v>
      </c>
      <c r="AK4" s="2">
        <v>72.81</v>
      </c>
      <c r="AL4" s="2">
        <v>71.67</v>
      </c>
      <c r="AM4" s="2">
        <v>72.86</v>
      </c>
      <c r="AN4" s="2">
        <v>71.58</v>
      </c>
      <c r="AO4" s="2">
        <v>71.260000000000005</v>
      </c>
      <c r="AP4" s="2">
        <v>75.400000000000006</v>
      </c>
      <c r="AQ4" s="2">
        <v>74.17</v>
      </c>
      <c r="AR4" s="2">
        <v>73.58</v>
      </c>
      <c r="AS4" s="2">
        <v>72.930000000000007</v>
      </c>
      <c r="AT4" s="2">
        <v>72.31</v>
      </c>
      <c r="AU4" s="2">
        <v>70.97</v>
      </c>
      <c r="AV4" s="2">
        <v>73.040000000000006</v>
      </c>
      <c r="AW4" s="2">
        <v>72.42</v>
      </c>
      <c r="AX4" s="2">
        <v>74.510000000000005</v>
      </c>
      <c r="AY4" s="2">
        <v>76.73</v>
      </c>
      <c r="AZ4" s="2">
        <v>82.99</v>
      </c>
      <c r="BA4" s="2">
        <v>72.52</v>
      </c>
      <c r="BB4" s="2">
        <v>72.69</v>
      </c>
      <c r="BC4" s="2">
        <v>69.3</v>
      </c>
      <c r="BD4" s="2">
        <v>71.19</v>
      </c>
      <c r="BE4" s="2">
        <v>67.44</v>
      </c>
      <c r="BF4" s="2">
        <v>68.400000000000006</v>
      </c>
      <c r="BG4" s="2">
        <v>66.989999999999995</v>
      </c>
      <c r="BH4" s="2">
        <v>67.5</v>
      </c>
      <c r="BI4" s="2">
        <v>68.97</v>
      </c>
      <c r="BJ4" s="2">
        <v>70.150000000000006</v>
      </c>
      <c r="BK4" s="2">
        <v>66.47</v>
      </c>
      <c r="BL4" s="2">
        <v>70.63</v>
      </c>
      <c r="BM4" s="2">
        <v>71.27</v>
      </c>
      <c r="BN4" s="2">
        <v>69.17</v>
      </c>
      <c r="BO4" s="2">
        <v>68.959999999999994</v>
      </c>
      <c r="BP4" s="2">
        <v>67.680000000000007</v>
      </c>
      <c r="BQ4" s="2">
        <v>68.22</v>
      </c>
      <c r="BR4" s="2">
        <v>71.72</v>
      </c>
      <c r="BS4" s="2">
        <v>70.2</v>
      </c>
      <c r="BT4" s="2">
        <v>71.209999999999994</v>
      </c>
      <c r="BU4" s="2">
        <v>66.91</v>
      </c>
      <c r="BV4" s="2">
        <v>66.87</v>
      </c>
      <c r="BW4" s="2">
        <v>70.03</v>
      </c>
      <c r="BX4" s="2">
        <v>69.680000000000007</v>
      </c>
      <c r="BY4" s="2">
        <v>70.41</v>
      </c>
      <c r="BZ4" s="2">
        <v>70.58</v>
      </c>
      <c r="CA4" s="2">
        <v>71.67</v>
      </c>
      <c r="CB4" s="2">
        <v>68.75</v>
      </c>
      <c r="CC4" s="2">
        <v>68.239999999999995</v>
      </c>
      <c r="CD4" s="2">
        <v>70.78</v>
      </c>
      <c r="CE4" s="2">
        <v>68.87</v>
      </c>
      <c r="CF4" s="2">
        <v>71.7</v>
      </c>
      <c r="CG4" s="2">
        <v>69.55</v>
      </c>
      <c r="CH4" s="2">
        <v>71.5</v>
      </c>
      <c r="CI4" s="2">
        <v>68.75</v>
      </c>
      <c r="CJ4" s="2">
        <v>68.650000000000006</v>
      </c>
      <c r="CK4" s="2">
        <v>68.19</v>
      </c>
      <c r="CL4" s="2">
        <v>68.56</v>
      </c>
      <c r="CM4" s="2">
        <v>70.459999999999994</v>
      </c>
      <c r="CN4" s="2">
        <v>70.33</v>
      </c>
      <c r="CO4" s="2">
        <v>71.930000000000007</v>
      </c>
      <c r="CP4" s="2">
        <v>71.28</v>
      </c>
      <c r="CQ4" s="2">
        <v>72.83</v>
      </c>
      <c r="CR4" s="2">
        <v>75.069999999999993</v>
      </c>
      <c r="CS4" s="2">
        <v>77.83</v>
      </c>
      <c r="CT4" s="2">
        <v>74.98</v>
      </c>
      <c r="CU4" s="2">
        <v>74.94</v>
      </c>
      <c r="CV4" s="2">
        <v>79.099999999999994</v>
      </c>
      <c r="CW4" s="2">
        <v>83.78</v>
      </c>
      <c r="CX4" s="2">
        <v>74.510000000000005</v>
      </c>
      <c r="CY4" s="2">
        <v>73.89</v>
      </c>
      <c r="CZ4" s="2">
        <v>75.930000000000007</v>
      </c>
      <c r="DA4" s="104">
        <v>74.34</v>
      </c>
      <c r="DB4" s="104">
        <v>74.64</v>
      </c>
      <c r="DC4" s="104">
        <v>83.4</v>
      </c>
      <c r="DD4" s="104">
        <v>76.13</v>
      </c>
      <c r="DE4" s="104">
        <v>73.78</v>
      </c>
      <c r="DF4" s="2">
        <v>72.239999999999995</v>
      </c>
      <c r="DG4" s="101">
        <v>73.28</v>
      </c>
      <c r="DH4" s="48">
        <v>82.99</v>
      </c>
      <c r="DI4" s="104">
        <v>75.33</v>
      </c>
      <c r="DJ4" s="104">
        <v>85.37</v>
      </c>
      <c r="DK4" s="104">
        <v>75.319999999999993</v>
      </c>
      <c r="DL4" s="104">
        <v>95.48</v>
      </c>
      <c r="DM4" s="104">
        <v>91.75</v>
      </c>
      <c r="DN4" s="104">
        <v>70.61</v>
      </c>
      <c r="DO4" s="104">
        <v>70.87</v>
      </c>
      <c r="DP4" s="104">
        <v>73.05</v>
      </c>
      <c r="DQ4" s="104">
        <v>78.69</v>
      </c>
      <c r="DR4" s="104">
        <v>77.510000000000005</v>
      </c>
      <c r="DS4" s="104">
        <v>72.41</v>
      </c>
      <c r="DT4" s="104">
        <v>75.52</v>
      </c>
      <c r="DU4" s="104">
        <v>72.069999999999993</v>
      </c>
      <c r="DV4" s="104">
        <v>70.97</v>
      </c>
      <c r="DW4" s="104">
        <v>78.760000000000005</v>
      </c>
      <c r="DX4" s="104">
        <v>77.42</v>
      </c>
      <c r="DY4" s="104">
        <v>73.52</v>
      </c>
      <c r="DZ4" s="104">
        <v>69.97</v>
      </c>
      <c r="EA4" s="104">
        <v>72.989999999999995</v>
      </c>
      <c r="EB4" s="104">
        <v>73.73</v>
      </c>
      <c r="EC4" s="104">
        <v>68.72</v>
      </c>
      <c r="ED4" s="104">
        <v>71.37</v>
      </c>
      <c r="EE4" s="104">
        <v>79.83</v>
      </c>
      <c r="EF4" s="104">
        <v>71.33</v>
      </c>
      <c r="EG4" s="104">
        <v>70.94</v>
      </c>
      <c r="EH4" s="104">
        <v>70.930000000000007</v>
      </c>
      <c r="EI4" s="104">
        <v>71.41</v>
      </c>
      <c r="EJ4" s="104">
        <v>70.819999999999993</v>
      </c>
      <c r="EK4" s="104">
        <v>74.040000000000006</v>
      </c>
      <c r="EL4" s="104">
        <v>79.489999999999995</v>
      </c>
      <c r="EM4" s="104">
        <v>74.34</v>
      </c>
      <c r="EN4" s="104">
        <v>70.41</v>
      </c>
      <c r="EO4" s="104">
        <v>70.790000000000006</v>
      </c>
      <c r="EP4" s="104">
        <v>69.72</v>
      </c>
      <c r="EQ4" s="104">
        <v>68.849999999999994</v>
      </c>
      <c r="ER4" s="104">
        <v>69.849999999999994</v>
      </c>
      <c r="ES4" s="104">
        <v>74.69</v>
      </c>
      <c r="ET4" s="104">
        <v>71.87</v>
      </c>
      <c r="EU4" s="104">
        <v>70.08</v>
      </c>
      <c r="EV4" s="104">
        <v>73.62</v>
      </c>
      <c r="EW4" s="104">
        <v>75.709999999999994</v>
      </c>
      <c r="EX4" s="104">
        <v>71.760000000000005</v>
      </c>
      <c r="EY4" s="104">
        <v>72.73</v>
      </c>
      <c r="EZ4" s="104">
        <v>75.27</v>
      </c>
      <c r="FA4" s="104">
        <v>72.53</v>
      </c>
      <c r="FB4" s="104">
        <v>71.739999999999995</v>
      </c>
      <c r="FC4" s="104">
        <v>69.63</v>
      </c>
      <c r="FD4" s="104">
        <v>72.7</v>
      </c>
      <c r="FE4" s="104">
        <v>70.73</v>
      </c>
      <c r="FF4" s="104">
        <v>71.69</v>
      </c>
      <c r="FG4" s="104">
        <v>77.8</v>
      </c>
      <c r="FH4" s="104">
        <v>74.17</v>
      </c>
      <c r="FI4" s="104">
        <v>71.08</v>
      </c>
      <c r="FJ4" s="104">
        <v>72.13</v>
      </c>
      <c r="FK4" s="104">
        <v>76.290000000000006</v>
      </c>
      <c r="FL4" s="104">
        <v>71.11</v>
      </c>
      <c r="FM4" s="104">
        <v>69.040000000000006</v>
      </c>
      <c r="FN4" s="104">
        <v>71.33</v>
      </c>
      <c r="FO4" s="104">
        <v>73.099999999999994</v>
      </c>
      <c r="FP4" s="104">
        <v>67.650000000000006</v>
      </c>
      <c r="FQ4" s="104">
        <v>68.69</v>
      </c>
      <c r="FR4" s="104">
        <v>69.22</v>
      </c>
      <c r="FS4" s="104">
        <v>69.95</v>
      </c>
      <c r="FT4" s="104">
        <v>72.819999999999993</v>
      </c>
      <c r="FU4" s="104">
        <v>69.59</v>
      </c>
      <c r="FV4" s="104">
        <v>71.260000000000005</v>
      </c>
      <c r="FW4" s="104">
        <v>69.86</v>
      </c>
      <c r="FX4" s="104">
        <v>76.13</v>
      </c>
      <c r="FY4" s="104">
        <v>70.040000000000006</v>
      </c>
      <c r="FZ4" s="104">
        <v>68.55</v>
      </c>
      <c r="GA4" s="104">
        <v>70.849999999999994</v>
      </c>
      <c r="GB4" s="104">
        <v>69.77</v>
      </c>
      <c r="GC4" s="104">
        <v>69.45</v>
      </c>
      <c r="GD4" s="104">
        <v>71.349999999999994</v>
      </c>
      <c r="GE4" s="104">
        <v>69.650000000000006</v>
      </c>
      <c r="GF4" s="104">
        <v>68.900000000000006</v>
      </c>
      <c r="GG4" s="104">
        <v>68.7</v>
      </c>
      <c r="GH4" s="104">
        <v>67.19</v>
      </c>
      <c r="GI4" s="104">
        <v>74.14</v>
      </c>
      <c r="GJ4" s="104">
        <v>70.05</v>
      </c>
      <c r="GK4" s="104">
        <v>68.47</v>
      </c>
      <c r="GL4" s="104">
        <v>71.91</v>
      </c>
      <c r="GM4" s="104">
        <v>70.28</v>
      </c>
      <c r="GN4" s="104">
        <v>72.8</v>
      </c>
      <c r="GO4" s="104">
        <v>68.239999999999995</v>
      </c>
      <c r="GP4" s="104">
        <v>75.400000000000006</v>
      </c>
      <c r="GQ4" s="104">
        <v>70.84</v>
      </c>
      <c r="GR4" s="104">
        <v>70.19</v>
      </c>
      <c r="GS4" s="104">
        <v>71.069999999999993</v>
      </c>
      <c r="GT4" s="116">
        <v>68.83</v>
      </c>
      <c r="GU4" s="48">
        <v>71.680000000000007</v>
      </c>
      <c r="GV4" s="2">
        <v>69.11</v>
      </c>
      <c r="GW4" s="2">
        <v>70.97</v>
      </c>
      <c r="GX4" s="117">
        <v>72.069999999999993</v>
      </c>
      <c r="GY4" s="53">
        <v>73.83</v>
      </c>
      <c r="GZ4" s="53">
        <v>77.06</v>
      </c>
      <c r="HA4" s="53">
        <v>77.209999999999994</v>
      </c>
      <c r="HB4" s="55">
        <v>74.739999999999995</v>
      </c>
      <c r="HC4" s="55">
        <v>70.14</v>
      </c>
      <c r="HD4" s="55">
        <v>74.040000000000006</v>
      </c>
      <c r="HE4" s="55">
        <v>71.790000000000006</v>
      </c>
      <c r="HF4" s="55">
        <v>70.66</v>
      </c>
      <c r="HG4" s="55">
        <v>72.95</v>
      </c>
      <c r="HH4" s="55">
        <v>68.53</v>
      </c>
      <c r="HI4" s="55">
        <v>70.349999999999994</v>
      </c>
      <c r="HJ4" s="55">
        <v>68.569999999999993</v>
      </c>
      <c r="HK4" s="55">
        <v>75.52</v>
      </c>
      <c r="HL4" s="55">
        <v>74.680000000000007</v>
      </c>
      <c r="HM4" s="55">
        <v>75.89</v>
      </c>
      <c r="HN4" s="55">
        <v>74.180000000000007</v>
      </c>
      <c r="HO4" s="55">
        <v>68.78</v>
      </c>
      <c r="HP4" s="55">
        <v>70.739999999999995</v>
      </c>
      <c r="HQ4" s="55">
        <v>67.760000000000005</v>
      </c>
      <c r="HR4" s="55">
        <v>69.37</v>
      </c>
      <c r="HS4" s="55">
        <v>71.95</v>
      </c>
      <c r="HT4" s="55">
        <v>71.87</v>
      </c>
      <c r="HU4" s="55">
        <v>67.23</v>
      </c>
      <c r="HV4" s="55">
        <v>67.38</v>
      </c>
      <c r="HW4" s="55">
        <v>72.569999999999993</v>
      </c>
      <c r="HX4" s="55">
        <v>68.48</v>
      </c>
      <c r="HY4" s="55">
        <v>68.44</v>
      </c>
      <c r="HZ4" s="55">
        <v>70.98</v>
      </c>
      <c r="IA4" s="55">
        <v>71.61</v>
      </c>
      <c r="IB4" s="55">
        <v>67.36</v>
      </c>
      <c r="IC4" s="55">
        <v>69.16</v>
      </c>
      <c r="ID4" s="55">
        <v>68.150000000000006</v>
      </c>
      <c r="IE4" s="55">
        <v>70.099999999999994</v>
      </c>
      <c r="IF4" s="55">
        <v>70.22</v>
      </c>
      <c r="IG4" s="55">
        <v>76.099999999999994</v>
      </c>
      <c r="IH4" s="55">
        <v>73.27</v>
      </c>
      <c r="II4" s="55">
        <v>66.930000000000007</v>
      </c>
      <c r="IJ4" s="55">
        <v>70.59</v>
      </c>
      <c r="IK4" s="55">
        <v>72.959999999999994</v>
      </c>
      <c r="IL4" s="55">
        <v>70.33</v>
      </c>
      <c r="IM4" s="55">
        <v>74.56</v>
      </c>
      <c r="IN4" s="55">
        <v>72.569999999999993</v>
      </c>
      <c r="IO4" s="100">
        <v>72.41</v>
      </c>
      <c r="IP4" s="100">
        <v>68.959999999999994</v>
      </c>
      <c r="IQ4" s="100">
        <v>73.459999999999994</v>
      </c>
      <c r="IR4" s="100">
        <v>73.34</v>
      </c>
      <c r="IS4" s="100">
        <v>73.69</v>
      </c>
      <c r="IT4" s="100">
        <v>82.43</v>
      </c>
      <c r="IU4" s="100">
        <v>75</v>
      </c>
      <c r="IV4" s="100">
        <v>71.209999999999994</v>
      </c>
      <c r="IW4" s="100">
        <v>73.16</v>
      </c>
      <c r="IX4" s="118">
        <v>72.92</v>
      </c>
      <c r="IY4" s="142">
        <v>76.27</v>
      </c>
      <c r="IZ4" s="142">
        <v>77.95</v>
      </c>
      <c r="JA4" s="142">
        <v>83.99</v>
      </c>
      <c r="JB4" s="143">
        <v>77.03</v>
      </c>
      <c r="JC4" s="100">
        <v>75.44</v>
      </c>
      <c r="JD4" s="56">
        <v>72.66</v>
      </c>
      <c r="JE4" s="64">
        <v>76.08</v>
      </c>
      <c r="JF4" s="64">
        <v>74.760000000000005</v>
      </c>
      <c r="JG4" s="64">
        <v>76.25</v>
      </c>
      <c r="JH4" s="64">
        <v>85.66</v>
      </c>
      <c r="JI4" s="64">
        <v>77.989999999999995</v>
      </c>
      <c r="JJ4" s="64">
        <v>77.91</v>
      </c>
      <c r="JK4" s="64">
        <v>72.53</v>
      </c>
      <c r="JL4" s="64">
        <v>75.77</v>
      </c>
      <c r="JM4" s="64">
        <v>76.38</v>
      </c>
      <c r="JN4" s="72">
        <v>78.14</v>
      </c>
      <c r="JO4" s="64">
        <v>85.33</v>
      </c>
      <c r="JP4" s="64">
        <v>76.599999999999994</v>
      </c>
      <c r="JQ4" s="64">
        <v>73.930000000000007</v>
      </c>
      <c r="JR4" s="64">
        <v>76.150000000000006</v>
      </c>
      <c r="JS4" s="104">
        <v>75.349999999999994</v>
      </c>
      <c r="JT4" s="64">
        <v>73.180000000000007</v>
      </c>
      <c r="JU4" s="64">
        <v>71.180000000000007</v>
      </c>
      <c r="JV4" s="64">
        <v>73.510000000000005</v>
      </c>
      <c r="JW4" s="64">
        <v>70.8</v>
      </c>
      <c r="JX4" s="64">
        <v>68.790000000000006</v>
      </c>
      <c r="JY4" s="64">
        <v>69.64</v>
      </c>
      <c r="JZ4" s="72">
        <v>65.83</v>
      </c>
      <c r="KA4" s="48">
        <v>65.86</v>
      </c>
      <c r="KB4" s="48">
        <v>67.55</v>
      </c>
      <c r="KC4" s="158">
        <v>68.569999999999993</v>
      </c>
      <c r="KD4" s="64">
        <v>66.67</v>
      </c>
      <c r="KE4" s="64">
        <v>66.47</v>
      </c>
      <c r="KF4" s="64">
        <v>68.569999999999993</v>
      </c>
      <c r="KG4" s="64">
        <v>65</v>
      </c>
      <c r="KH4" s="64">
        <v>66.55</v>
      </c>
      <c r="KI4" s="64">
        <v>69.95</v>
      </c>
      <c r="KJ4" s="64">
        <v>73.430000000000007</v>
      </c>
      <c r="KK4" s="64">
        <v>70.510000000000005</v>
      </c>
      <c r="KL4" s="64">
        <v>69.55</v>
      </c>
      <c r="KM4" s="64">
        <v>67.88</v>
      </c>
      <c r="KN4" s="64">
        <v>73.48</v>
      </c>
      <c r="KO4" s="64">
        <v>66.08</v>
      </c>
      <c r="KP4" s="64">
        <v>68.2</v>
      </c>
      <c r="KQ4" s="64">
        <v>71.099999999999994</v>
      </c>
      <c r="KR4" s="64">
        <v>72.27</v>
      </c>
      <c r="KS4" s="104">
        <v>70.28</v>
      </c>
      <c r="KT4" s="104">
        <v>69.180000000000007</v>
      </c>
      <c r="KU4" s="104">
        <v>69.52</v>
      </c>
      <c r="KV4" s="104">
        <v>67.64</v>
      </c>
      <c r="KW4" s="104">
        <v>68.92</v>
      </c>
      <c r="KX4" s="104">
        <v>73.61</v>
      </c>
      <c r="KY4" s="104">
        <v>72.569999999999993</v>
      </c>
      <c r="KZ4" s="104">
        <v>69.17</v>
      </c>
      <c r="LA4" s="104">
        <v>72.900000000000006</v>
      </c>
      <c r="LB4" s="104">
        <v>72.94</v>
      </c>
      <c r="LC4" s="104">
        <v>68.2</v>
      </c>
      <c r="LD4" s="104">
        <v>68.069999999999993</v>
      </c>
      <c r="LE4" s="104">
        <v>72.12</v>
      </c>
      <c r="LF4" s="104">
        <v>68.739999999999995</v>
      </c>
      <c r="LG4" s="104">
        <v>67.27</v>
      </c>
      <c r="LH4" s="104">
        <v>72.09</v>
      </c>
      <c r="LI4" s="104">
        <v>67.98</v>
      </c>
      <c r="LJ4" s="104">
        <v>66.989999999999995</v>
      </c>
      <c r="LK4" s="104">
        <v>66.64</v>
      </c>
      <c r="LL4" s="104">
        <v>70.540000000000006</v>
      </c>
      <c r="LM4" s="104">
        <v>66.97</v>
      </c>
      <c r="LN4" s="104">
        <v>66.61</v>
      </c>
      <c r="LO4" s="104">
        <v>66.02</v>
      </c>
      <c r="LP4" s="104">
        <v>64.92</v>
      </c>
      <c r="LQ4" s="104">
        <v>68.56</v>
      </c>
      <c r="LR4" s="104">
        <v>67.739999999999995</v>
      </c>
      <c r="LS4" s="104">
        <v>72.89</v>
      </c>
      <c r="LT4" s="104">
        <v>66.540000000000006</v>
      </c>
      <c r="LU4" s="104">
        <v>67.08</v>
      </c>
      <c r="LV4" s="104">
        <v>66.319999999999993</v>
      </c>
      <c r="LW4" s="104">
        <v>65.94</v>
      </c>
      <c r="LX4" s="104">
        <v>65.7</v>
      </c>
      <c r="LY4" s="104">
        <v>68.09</v>
      </c>
      <c r="LZ4" s="104">
        <v>69.77</v>
      </c>
      <c r="MA4" s="104">
        <v>66.099999999999994</v>
      </c>
      <c r="MB4" s="104">
        <v>68.52</v>
      </c>
      <c r="MC4" s="104">
        <v>66.84</v>
      </c>
      <c r="MD4" s="104">
        <v>67.760000000000005</v>
      </c>
      <c r="ME4" s="104">
        <v>71.62</v>
      </c>
      <c r="MF4" s="104">
        <v>70.81</v>
      </c>
      <c r="MG4" s="104">
        <v>61.95</v>
      </c>
      <c r="MH4" s="104">
        <v>65.42</v>
      </c>
      <c r="MI4" s="104">
        <v>64.16</v>
      </c>
      <c r="MJ4" s="104">
        <v>66.38</v>
      </c>
      <c r="MK4" s="104">
        <v>68.64</v>
      </c>
      <c r="ML4" s="104">
        <v>68.87</v>
      </c>
      <c r="MM4" s="104">
        <v>70.16</v>
      </c>
      <c r="MN4" s="104">
        <v>70.349999999999994</v>
      </c>
      <c r="MO4" s="104">
        <v>68.8</v>
      </c>
      <c r="MP4" s="104">
        <v>69.98</v>
      </c>
      <c r="MQ4" s="104">
        <v>67.86</v>
      </c>
      <c r="MR4" s="104">
        <v>66.930000000000007</v>
      </c>
      <c r="MS4" s="104">
        <v>70.42</v>
      </c>
      <c r="MT4" s="104">
        <v>70.41</v>
      </c>
      <c r="MU4" s="104">
        <v>81.25</v>
      </c>
      <c r="MV4" s="104">
        <v>85.19</v>
      </c>
      <c r="MW4" s="104">
        <v>71.349999999999994</v>
      </c>
      <c r="MX4" s="104">
        <v>66.150000000000006</v>
      </c>
      <c r="MY4" s="104">
        <v>65.180000000000007</v>
      </c>
      <c r="MZ4" s="2"/>
      <c r="NA4" s="2"/>
      <c r="NB4" s="64"/>
      <c r="NC4">
        <v>86.78</v>
      </c>
      <c r="ND4">
        <v>69.98</v>
      </c>
      <c r="NE4">
        <v>73.650000000000006</v>
      </c>
      <c r="NF4">
        <v>75.17</v>
      </c>
      <c r="NG4">
        <v>75.25</v>
      </c>
      <c r="NH4">
        <v>74.63</v>
      </c>
      <c r="NI4">
        <v>86.51</v>
      </c>
      <c r="NJ4">
        <v>73.989999999999995</v>
      </c>
      <c r="NK4">
        <v>74.010000000000005</v>
      </c>
      <c r="NL4">
        <v>74.44</v>
      </c>
      <c r="NM4">
        <v>74.37</v>
      </c>
      <c r="NN4" s="104">
        <v>74.11</v>
      </c>
      <c r="NO4" s="104">
        <v>75.290000000000006</v>
      </c>
      <c r="NP4" s="104">
        <v>82.8</v>
      </c>
      <c r="NQ4" s="104">
        <v>73.459999999999994</v>
      </c>
      <c r="NR4" s="48">
        <v>73.5</v>
      </c>
      <c r="NS4" s="71">
        <v>72.78</v>
      </c>
      <c r="NT4" s="48">
        <v>72.510000000000005</v>
      </c>
      <c r="NU4" s="114">
        <v>71.098806760778643</v>
      </c>
      <c r="NV4" s="114">
        <v>69.398195303548547</v>
      </c>
      <c r="NW4" s="114">
        <v>74.120325007424796</v>
      </c>
      <c r="NX4" s="114">
        <v>66.981002675863991</v>
      </c>
      <c r="NY4" s="64">
        <v>69.52</v>
      </c>
      <c r="NZ4" s="64">
        <v>67.5</v>
      </c>
      <c r="OA4" s="71">
        <v>65.696672881180049</v>
      </c>
      <c r="OB4" s="71">
        <v>68.953959924766863</v>
      </c>
      <c r="OC4" s="71">
        <v>69.763508633940361</v>
      </c>
      <c r="OD4" s="71">
        <v>75.140131644422866</v>
      </c>
      <c r="OE4" s="48">
        <v>75.930000000000007</v>
      </c>
      <c r="OF4" s="48">
        <v>76.64</v>
      </c>
      <c r="OG4" s="48">
        <v>74.95</v>
      </c>
      <c r="OH4" s="48">
        <v>77.260000000000005</v>
      </c>
      <c r="OI4" s="104">
        <v>76.459999999999994</v>
      </c>
      <c r="OJ4" s="104">
        <v>76.010000000000005</v>
      </c>
      <c r="OK4" s="104">
        <v>85.74</v>
      </c>
      <c r="OL4" s="64">
        <v>76.37</v>
      </c>
      <c r="OM4" s="2">
        <v>76.819999999999993</v>
      </c>
      <c r="ON4" s="2">
        <v>77.599999999999994</v>
      </c>
      <c r="OO4" s="48">
        <v>78.98</v>
      </c>
      <c r="OP4" s="48">
        <v>76.25</v>
      </c>
      <c r="OQ4" s="48">
        <v>77.36</v>
      </c>
      <c r="OR4" s="48">
        <v>84.32</v>
      </c>
      <c r="OS4" s="48">
        <v>79.16</v>
      </c>
      <c r="OT4" s="48">
        <v>76.27</v>
      </c>
      <c r="OU4" s="48">
        <v>77.12</v>
      </c>
      <c r="OV4" s="48">
        <v>73.540000000000006</v>
      </c>
      <c r="OW4" s="48">
        <v>75.75</v>
      </c>
      <c r="OX4" s="48">
        <v>75.34</v>
      </c>
      <c r="OY4" s="48">
        <v>85.32</v>
      </c>
      <c r="OZ4" s="2">
        <v>74.98</v>
      </c>
      <c r="PA4" s="104">
        <v>72.34</v>
      </c>
      <c r="PB4" s="104">
        <v>76.47</v>
      </c>
      <c r="PC4" s="48">
        <v>74.150000000000006</v>
      </c>
      <c r="PD4" s="48">
        <v>75.28</v>
      </c>
      <c r="PE4" s="48">
        <v>77.459999999999994</v>
      </c>
      <c r="PF4" s="48">
        <v>86.46</v>
      </c>
      <c r="PG4" s="48">
        <v>75.61</v>
      </c>
      <c r="PH4" s="71">
        <v>73.819999999999993</v>
      </c>
      <c r="PI4" s="48">
        <v>74.45</v>
      </c>
      <c r="PJ4" s="48">
        <v>74.66</v>
      </c>
      <c r="PK4" s="104">
        <v>75.59</v>
      </c>
      <c r="PL4" s="104">
        <v>77.19</v>
      </c>
      <c r="PM4" s="104">
        <v>85.06</v>
      </c>
      <c r="PN4" s="2">
        <v>76.59</v>
      </c>
      <c r="PO4" s="64">
        <v>75.540000000000006</v>
      </c>
      <c r="PP4" s="64">
        <v>75.67</v>
      </c>
      <c r="PQ4" s="64">
        <v>73.48</v>
      </c>
      <c r="PR4" s="104">
        <v>72.86</v>
      </c>
      <c r="PS4" s="104">
        <v>69.430000000000007</v>
      </c>
      <c r="PT4" s="104">
        <v>72.989999999999995</v>
      </c>
      <c r="PU4" s="64">
        <v>70.27</v>
      </c>
      <c r="PV4" s="64">
        <v>70.739999999999995</v>
      </c>
      <c r="PW4" s="64">
        <v>71.66</v>
      </c>
      <c r="PX4" s="104">
        <v>70.92</v>
      </c>
      <c r="PY4" s="104">
        <v>76.8</v>
      </c>
      <c r="PZ4" s="48">
        <v>70.260000000000005</v>
      </c>
      <c r="QA4" s="48">
        <v>81.09</v>
      </c>
      <c r="QB4" s="48">
        <v>72.099999999999994</v>
      </c>
      <c r="QC4" s="71">
        <v>69.37</v>
      </c>
      <c r="QD4" s="48">
        <v>69.95</v>
      </c>
      <c r="QE4" s="64">
        <v>68.36</v>
      </c>
      <c r="QF4" s="64">
        <v>72.790000000000006</v>
      </c>
      <c r="QG4" s="64">
        <v>69.790000000000006</v>
      </c>
      <c r="QH4" s="71">
        <v>74.63</v>
      </c>
      <c r="QI4" s="71">
        <v>72.989999999999995</v>
      </c>
      <c r="QJ4" s="48">
        <v>72.02</v>
      </c>
      <c r="QK4" s="48">
        <v>70.540000000000006</v>
      </c>
      <c r="QL4" s="48">
        <v>68.42</v>
      </c>
      <c r="QM4" s="104">
        <v>74.23</v>
      </c>
      <c r="QN4" s="104">
        <v>71.959999999999994</v>
      </c>
      <c r="QO4" s="104">
        <v>74.400000000000006</v>
      </c>
      <c r="QP4" s="104">
        <v>70.3</v>
      </c>
      <c r="QQ4" s="64">
        <v>68.38</v>
      </c>
      <c r="QR4" s="64">
        <v>67.739999999999995</v>
      </c>
      <c r="QS4" s="64">
        <v>67.180000000000007</v>
      </c>
      <c r="QT4" s="48">
        <v>69.39</v>
      </c>
      <c r="QU4" s="48">
        <v>69.87</v>
      </c>
      <c r="QV4" s="48">
        <v>72.27</v>
      </c>
      <c r="QW4" s="48">
        <v>70.31</v>
      </c>
      <c r="QX4" s="48">
        <v>70.28</v>
      </c>
      <c r="QY4" s="48">
        <v>69.7</v>
      </c>
      <c r="QZ4" s="48">
        <v>68.84</v>
      </c>
      <c r="RA4" s="101">
        <v>68.78</v>
      </c>
      <c r="RB4" s="101">
        <v>68.44</v>
      </c>
      <c r="RC4" s="102">
        <v>68.83</v>
      </c>
      <c r="RD4" s="64">
        <v>65.11</v>
      </c>
      <c r="RE4" s="48">
        <v>64.94</v>
      </c>
      <c r="RF4" s="48">
        <v>63.74</v>
      </c>
      <c r="RG4" s="48">
        <v>65.64</v>
      </c>
      <c r="RH4" s="48">
        <v>64.540000000000006</v>
      </c>
      <c r="RI4" s="64">
        <v>65.45</v>
      </c>
      <c r="RJ4" s="48">
        <v>68.260000000000005</v>
      </c>
      <c r="RK4" s="48">
        <v>63.96</v>
      </c>
      <c r="RL4" s="48">
        <v>64.56</v>
      </c>
      <c r="RM4" s="64">
        <v>65.3</v>
      </c>
      <c r="RN4" s="64">
        <v>66.2</v>
      </c>
      <c r="RO4" s="64">
        <v>67.75</v>
      </c>
      <c r="RP4" s="64">
        <v>68.349999999999994</v>
      </c>
      <c r="RQ4" s="64">
        <v>73.52</v>
      </c>
      <c r="RR4" s="64">
        <v>64.19</v>
      </c>
      <c r="RS4" s="48">
        <v>69.790000000000006</v>
      </c>
      <c r="RT4" s="48">
        <v>68.28</v>
      </c>
      <c r="RU4" s="64">
        <v>66.63</v>
      </c>
      <c r="RV4" s="104">
        <v>72.010000000000005</v>
      </c>
      <c r="RW4" s="104">
        <v>69.63</v>
      </c>
      <c r="RX4" s="104">
        <v>72.959999999999994</v>
      </c>
      <c r="RY4" s="64">
        <v>67.87</v>
      </c>
      <c r="RZ4" s="64">
        <v>66.8</v>
      </c>
      <c r="SA4" s="183"/>
      <c r="SB4" s="64"/>
      <c r="SC4" s="64"/>
      <c r="SD4" s="64"/>
      <c r="SE4" s="64"/>
      <c r="SF4" s="72"/>
      <c r="SG4" s="104">
        <v>71.73</v>
      </c>
      <c r="SH4" s="104">
        <v>70.38</v>
      </c>
      <c r="SI4" s="104">
        <v>68.42</v>
      </c>
      <c r="SJ4" s="104">
        <v>73.61</v>
      </c>
      <c r="SK4" s="104">
        <v>72.78</v>
      </c>
      <c r="SL4" s="104">
        <v>76.19</v>
      </c>
      <c r="SM4" s="64">
        <v>71.61</v>
      </c>
      <c r="SN4" s="64">
        <v>72.010000000000005</v>
      </c>
      <c r="SO4" s="64">
        <v>72.58</v>
      </c>
      <c r="SP4" s="48">
        <v>68.77</v>
      </c>
      <c r="SQ4" s="48">
        <v>74.14</v>
      </c>
      <c r="SR4" s="48">
        <v>71.38</v>
      </c>
      <c r="SS4" s="48">
        <v>81.31</v>
      </c>
      <c r="ST4" s="48">
        <v>72.55</v>
      </c>
      <c r="SU4" s="48">
        <v>75.84</v>
      </c>
      <c r="SV4" s="48">
        <v>73.180000000000007</v>
      </c>
      <c r="SW4" s="48">
        <v>71.13</v>
      </c>
      <c r="SX4" s="48">
        <v>73.61</v>
      </c>
      <c r="SY4" s="48">
        <v>69.5</v>
      </c>
      <c r="SZ4" s="48">
        <v>74.14</v>
      </c>
      <c r="TA4" s="172">
        <v>72.040000000000006</v>
      </c>
      <c r="TB4" s="64">
        <v>75.760000000000005</v>
      </c>
      <c r="TC4" s="64">
        <v>65.459999999999994</v>
      </c>
      <c r="TD4" s="64">
        <v>65.010000000000005</v>
      </c>
      <c r="TE4" s="64">
        <v>75.64</v>
      </c>
      <c r="TF4" s="64">
        <v>67.010000000000005</v>
      </c>
      <c r="TG4" s="64">
        <v>75.41</v>
      </c>
      <c r="TH4" s="64">
        <v>69.459999999999994</v>
      </c>
      <c r="TI4" s="64">
        <v>74.31</v>
      </c>
      <c r="TJ4" s="64">
        <v>70.98</v>
      </c>
      <c r="TK4" s="64">
        <v>73.61</v>
      </c>
      <c r="TL4" s="64">
        <v>69.55</v>
      </c>
      <c r="TM4" s="64">
        <v>66.42</v>
      </c>
      <c r="TN4" s="64">
        <v>80.349999999999994</v>
      </c>
      <c r="TO4" s="64">
        <v>74.209999999999994</v>
      </c>
      <c r="TP4" s="64">
        <v>70.459999999999994</v>
      </c>
      <c r="TQ4" s="64">
        <v>68.59</v>
      </c>
      <c r="TR4" s="64">
        <v>66.349999999999994</v>
      </c>
      <c r="TS4" s="64">
        <v>75.36</v>
      </c>
      <c r="TT4" s="64">
        <v>68.459999999999994</v>
      </c>
      <c r="TU4" s="64">
        <v>77.39</v>
      </c>
      <c r="TV4" s="48">
        <v>73.62</v>
      </c>
      <c r="TW4" s="48">
        <v>71.83</v>
      </c>
      <c r="TX4" s="64">
        <v>67.3</v>
      </c>
      <c r="TY4" s="64">
        <v>67.989999999999995</v>
      </c>
      <c r="TZ4" s="64">
        <v>71.48</v>
      </c>
      <c r="UA4" s="64">
        <v>63.25</v>
      </c>
      <c r="UB4" s="48">
        <v>74.8</v>
      </c>
      <c r="UC4" s="48">
        <v>73.52</v>
      </c>
      <c r="UD4" s="48">
        <v>73.989999999999995</v>
      </c>
      <c r="UE4" s="48">
        <v>70.930000000000007</v>
      </c>
      <c r="UF4" s="48">
        <v>69.27</v>
      </c>
      <c r="UG4" s="48">
        <v>71.92</v>
      </c>
      <c r="UH4" s="48">
        <v>69.069999999999993</v>
      </c>
      <c r="UI4" s="48">
        <v>75.02</v>
      </c>
      <c r="UJ4" s="48">
        <v>75.52</v>
      </c>
      <c r="UK4" s="48">
        <v>72.19</v>
      </c>
      <c r="UL4" s="48">
        <v>68.87</v>
      </c>
      <c r="UM4" s="48">
        <v>69.89</v>
      </c>
      <c r="UN4" s="48">
        <v>74.03</v>
      </c>
      <c r="UO4" s="48">
        <v>68.540000000000006</v>
      </c>
      <c r="UP4" s="48">
        <v>72.64</v>
      </c>
      <c r="UQ4" s="48">
        <v>70.239999999999995</v>
      </c>
      <c r="UR4" s="48">
        <v>75.3</v>
      </c>
      <c r="US4" s="104">
        <v>69.8</v>
      </c>
      <c r="UT4" s="104">
        <v>71.569999999999993</v>
      </c>
      <c r="UU4" s="104">
        <v>71.510000000000005</v>
      </c>
      <c r="UV4" s="104">
        <v>66.12</v>
      </c>
      <c r="UW4" s="104">
        <v>72.099999999999994</v>
      </c>
      <c r="UX4" s="48">
        <v>70.59</v>
      </c>
      <c r="UY4" s="64">
        <v>73.63</v>
      </c>
      <c r="UZ4" s="48">
        <v>68.28</v>
      </c>
      <c r="VA4" s="64">
        <v>66.680000000000007</v>
      </c>
      <c r="VB4" s="48">
        <v>71.38</v>
      </c>
      <c r="VC4" s="64">
        <f>66.68</f>
        <v>66.680000000000007</v>
      </c>
      <c r="VD4" s="48">
        <v>75.17</v>
      </c>
      <c r="VE4" s="48">
        <v>67.87</v>
      </c>
      <c r="VF4" s="48">
        <v>71.45</v>
      </c>
      <c r="VG4" s="48">
        <v>68.319999999999993</v>
      </c>
      <c r="VH4" s="64">
        <v>72.400000000000006</v>
      </c>
      <c r="VI4" s="104">
        <v>68.319999999999993</v>
      </c>
      <c r="VJ4" s="104">
        <v>66.989999999999995</v>
      </c>
      <c r="VK4" s="104">
        <v>78.290000000000006</v>
      </c>
      <c r="VL4" s="64">
        <v>70.180000000000007</v>
      </c>
      <c r="VM4" s="48">
        <v>71.14</v>
      </c>
      <c r="VN4" s="64">
        <v>69.709999999999994</v>
      </c>
      <c r="VO4" s="64">
        <v>70.23</v>
      </c>
      <c r="VP4" s="104">
        <v>71.680000000000007</v>
      </c>
      <c r="VQ4" s="104">
        <v>67.930000000000007</v>
      </c>
      <c r="VR4" s="48">
        <v>74.37</v>
      </c>
      <c r="VS4" s="64"/>
      <c r="VT4" s="2"/>
      <c r="VU4" s="2"/>
      <c r="VV4" s="2"/>
      <c r="VW4" s="2"/>
      <c r="VX4" s="71"/>
      <c r="VY4" s="2"/>
      <c r="VZ4" s="71"/>
      <c r="WA4" s="71"/>
      <c r="WB4" s="71"/>
      <c r="WC4" s="71"/>
      <c r="WD4" s="46"/>
      <c r="WE4" s="71"/>
      <c r="WF4" s="83"/>
      <c r="WG4" s="84"/>
      <c r="WH4" s="84"/>
      <c r="WI4" s="85"/>
      <c r="WJ4" s="85"/>
      <c r="WK4" s="85"/>
      <c r="WL4" s="85"/>
      <c r="WM4" s="85"/>
      <c r="WN4" s="85"/>
      <c r="WO4" s="64"/>
      <c r="WP4" s="64"/>
      <c r="WQ4" s="64"/>
      <c r="WR4" s="64"/>
      <c r="WS4" s="64"/>
      <c r="WT4" s="64"/>
      <c r="WU4" s="64"/>
      <c r="WV4" s="64"/>
      <c r="WW4" s="64"/>
      <c r="WX4" s="64"/>
      <c r="WY4" s="64"/>
      <c r="WZ4" s="64"/>
      <c r="XA4" s="64"/>
      <c r="XB4" s="64"/>
      <c r="XC4" s="64"/>
      <c r="XD4" s="64"/>
      <c r="XE4" s="64"/>
      <c r="XF4" s="64"/>
      <c r="XG4" s="64"/>
      <c r="XH4" s="64"/>
      <c r="XI4" s="64"/>
      <c r="XJ4" s="64"/>
      <c r="XK4" s="64"/>
      <c r="XL4" s="64"/>
      <c r="XM4" s="64"/>
      <c r="XN4" s="64"/>
      <c r="XO4" s="64"/>
      <c r="XP4" s="64"/>
      <c r="XQ4" s="64"/>
      <c r="XR4" s="64"/>
      <c r="XS4" s="64"/>
      <c r="XT4" s="64"/>
      <c r="XU4" s="64"/>
      <c r="XV4" s="64"/>
      <c r="XW4" s="64"/>
      <c r="XX4" s="64"/>
      <c r="XY4" s="64"/>
      <c r="XZ4" s="64"/>
      <c r="YA4" s="64"/>
      <c r="YB4" s="64"/>
      <c r="YC4" s="64"/>
      <c r="YD4" s="64"/>
      <c r="YE4" s="64"/>
      <c r="YF4" s="64"/>
      <c r="YG4" s="64"/>
      <c r="YH4" s="64"/>
      <c r="YI4" s="64"/>
      <c r="YJ4" s="64"/>
      <c r="YK4" s="64"/>
      <c r="YL4" s="64"/>
      <c r="YM4" s="64"/>
      <c r="YN4" s="64"/>
      <c r="YO4" s="64"/>
      <c r="YP4" s="64"/>
      <c r="YQ4" s="64"/>
      <c r="YR4" s="64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64"/>
      <c r="ZH4" s="64"/>
      <c r="ZI4" s="64"/>
      <c r="ZJ4" s="64"/>
      <c r="ZK4" s="64"/>
      <c r="ZL4" s="64"/>
      <c r="ZM4" s="64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47"/>
      <c r="AAB4" s="64"/>
      <c r="AAC4" s="64"/>
      <c r="AAD4" s="64"/>
      <c r="AAE4" s="64"/>
      <c r="AAF4" s="72"/>
      <c r="AAG4" s="71"/>
      <c r="AAH4" s="91"/>
      <c r="AAI4" s="64"/>
      <c r="AAJ4" s="64"/>
      <c r="AAK4" s="64"/>
      <c r="AAL4" s="64"/>
      <c r="AAM4" s="64"/>
      <c r="AAN4" s="64"/>
      <c r="AAO4" s="64"/>
      <c r="AAP4" s="64"/>
      <c r="AAQ4" s="64"/>
      <c r="AAR4" s="64"/>
      <c r="AAS4" s="64"/>
      <c r="AAT4" s="64"/>
      <c r="AAU4" s="64"/>
      <c r="AAV4" s="64"/>
      <c r="AAW4" s="64"/>
      <c r="AAX4" s="64"/>
      <c r="AAY4" s="64"/>
      <c r="AAZ4" s="64"/>
      <c r="ABA4" s="64"/>
      <c r="ABB4" s="64"/>
      <c r="ABC4" s="64"/>
      <c r="ABD4" s="64"/>
      <c r="ABE4" s="64"/>
      <c r="ABF4" s="64"/>
      <c r="ABG4" s="64"/>
      <c r="ABH4" s="64"/>
      <c r="ABI4" s="64"/>
      <c r="ABJ4" s="64"/>
      <c r="ABK4" s="64"/>
      <c r="ABL4" s="64"/>
      <c r="ABM4" s="64"/>
      <c r="ABN4" s="64"/>
      <c r="ABO4" s="64"/>
      <c r="ABP4" s="64"/>
      <c r="ABQ4" s="64"/>
      <c r="ABR4" s="64"/>
      <c r="ABS4" s="64"/>
      <c r="ABT4" s="64"/>
      <c r="ABU4" s="2"/>
      <c r="ABV4" s="2"/>
      <c r="ABW4" s="64"/>
      <c r="ABX4" s="64"/>
      <c r="ABY4" s="64"/>
      <c r="ABZ4" s="64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64"/>
      <c r="ACR4" s="64"/>
      <c r="ACS4" s="64"/>
      <c r="ACT4" s="64"/>
      <c r="ACU4" s="64"/>
      <c r="ACV4" s="64"/>
      <c r="ACW4" s="64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64"/>
      <c r="ADP4" s="64"/>
      <c r="ADQ4" s="64"/>
      <c r="ADR4" s="72"/>
      <c r="ADS4" s="64"/>
      <c r="ADT4" s="64"/>
      <c r="ADU4" s="64"/>
      <c r="ADV4" s="64"/>
      <c r="ADW4" s="64"/>
      <c r="ADX4" s="64"/>
      <c r="ADY4" s="64"/>
      <c r="ADZ4" s="64"/>
      <c r="AEA4" s="64"/>
      <c r="AEB4" s="64"/>
      <c r="AEC4" s="2"/>
      <c r="AED4" s="2"/>
      <c r="AEE4" s="2"/>
      <c r="AEF4" s="2"/>
      <c r="AEG4" s="2"/>
      <c r="AEH4" s="2"/>
      <c r="AEI4" s="2"/>
      <c r="AEJ4" s="64"/>
      <c r="AEK4" s="64"/>
      <c r="AEL4" s="64"/>
      <c r="AEM4" s="64"/>
      <c r="AEN4" s="64"/>
      <c r="AEO4" s="64"/>
      <c r="AEP4" s="64"/>
      <c r="AEQ4" s="2"/>
      <c r="AER4" s="2"/>
      <c r="AES4" s="2"/>
      <c r="AET4" s="2"/>
      <c r="AEU4" s="2"/>
      <c r="AEV4" s="2"/>
      <c r="AEW4" s="2"/>
      <c r="AEX4" s="64"/>
      <c r="AEY4" s="64"/>
      <c r="AEZ4" s="64"/>
      <c r="AFA4" s="64"/>
      <c r="AFB4" s="64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64"/>
      <c r="AGF4" s="64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64"/>
      <c r="AGY4" s="64"/>
      <c r="AGZ4" s="64"/>
      <c r="AHA4" s="64"/>
      <c r="AHB4" s="64"/>
      <c r="AHC4" s="64"/>
      <c r="AHD4" s="64"/>
      <c r="AHE4" s="64"/>
      <c r="AHF4" s="64"/>
      <c r="AHG4" s="64"/>
      <c r="AHH4" s="64"/>
      <c r="AHI4" s="64"/>
      <c r="AHJ4" s="64"/>
      <c r="AHK4" s="64"/>
      <c r="AHL4" s="64"/>
      <c r="AHM4" s="64"/>
      <c r="AHN4" s="64"/>
      <c r="AHO4" s="64"/>
      <c r="AHP4" s="64"/>
      <c r="AHQ4" s="64"/>
      <c r="AHR4" s="34"/>
      <c r="AHS4" s="34"/>
      <c r="AHT4" s="34"/>
      <c r="AHU4" s="34"/>
      <c r="AHV4" s="34"/>
      <c r="AHW4" s="34"/>
      <c r="AHX4" s="34"/>
      <c r="AHY4" s="34"/>
      <c r="AHZ4" s="34"/>
      <c r="AIA4" s="34"/>
      <c r="AIB4" s="34"/>
      <c r="AIC4" s="2"/>
      <c r="AID4" s="2"/>
      <c r="AIE4" s="2"/>
      <c r="AIF4" s="2"/>
      <c r="AIG4" s="2"/>
      <c r="AIH4" s="2"/>
      <c r="AII4" s="2"/>
      <c r="AIJ4" s="2"/>
      <c r="AIK4" s="64"/>
      <c r="AIL4" s="64"/>
      <c r="AIM4" s="64"/>
      <c r="AIN4" s="64"/>
      <c r="AIO4" s="64"/>
      <c r="AIP4" s="64"/>
      <c r="AIQ4" s="64"/>
      <c r="AIR4" s="64"/>
      <c r="AIS4" s="64"/>
      <c r="AIT4" s="64"/>
      <c r="AIU4" s="64"/>
      <c r="AIV4" s="64"/>
      <c r="AIW4" s="64"/>
      <c r="AIX4" s="64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47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47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47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47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</row>
    <row r="5" spans="1:1082" ht="15.75" thickBot="1" x14ac:dyDescent="0.3">
      <c r="A5" s="378"/>
      <c r="B5" s="36" t="s">
        <v>33</v>
      </c>
      <c r="C5" s="2">
        <v>98.85</v>
      </c>
      <c r="D5" s="2">
        <v>99.27</v>
      </c>
      <c r="E5" s="2">
        <v>99.02</v>
      </c>
      <c r="F5" s="2">
        <v>99.17</v>
      </c>
      <c r="G5" s="2">
        <v>99.07</v>
      </c>
      <c r="H5" s="2">
        <v>99.19</v>
      </c>
      <c r="I5" s="2">
        <v>99.11</v>
      </c>
      <c r="J5" s="2">
        <v>99.21</v>
      </c>
      <c r="K5" s="2">
        <v>99.25</v>
      </c>
      <c r="L5" s="2">
        <v>98.97</v>
      </c>
      <c r="M5" s="2">
        <v>99.05</v>
      </c>
      <c r="N5" s="2">
        <v>99.07</v>
      </c>
      <c r="O5" s="2">
        <v>99.09</v>
      </c>
      <c r="P5" s="2">
        <v>99</v>
      </c>
      <c r="Q5" s="2">
        <v>97.22</v>
      </c>
      <c r="R5" s="2">
        <v>97.01</v>
      </c>
      <c r="S5" s="2">
        <v>97.07</v>
      </c>
      <c r="T5" s="2">
        <v>98.13</v>
      </c>
      <c r="U5" s="67">
        <v>100</v>
      </c>
      <c r="V5" s="67">
        <v>100</v>
      </c>
      <c r="W5" s="67">
        <v>99.99</v>
      </c>
      <c r="X5" s="67">
        <v>99.99</v>
      </c>
      <c r="Y5" s="67">
        <v>99.85</v>
      </c>
      <c r="Z5" s="67">
        <v>100</v>
      </c>
      <c r="AA5" s="67">
        <v>99.99</v>
      </c>
      <c r="AB5" s="2" t="s">
        <v>89</v>
      </c>
      <c r="AC5" s="67">
        <v>63.21</v>
      </c>
      <c r="AD5" s="67">
        <v>86.02</v>
      </c>
      <c r="AE5" s="67">
        <v>70.569999999999993</v>
      </c>
      <c r="AF5" s="67">
        <v>72.14</v>
      </c>
      <c r="AG5" s="67">
        <v>72.3</v>
      </c>
      <c r="AH5" s="67">
        <v>85.61</v>
      </c>
      <c r="AI5" s="67">
        <v>97.24</v>
      </c>
      <c r="AJ5" s="67">
        <v>98.8</v>
      </c>
      <c r="AK5" s="67">
        <v>98.75</v>
      </c>
      <c r="AL5" s="67">
        <v>96.95</v>
      </c>
      <c r="AM5" s="67">
        <v>98.82</v>
      </c>
      <c r="AN5" s="67">
        <v>97.9</v>
      </c>
      <c r="AO5" s="67">
        <v>97.59</v>
      </c>
      <c r="AP5" s="67">
        <v>98.85</v>
      </c>
      <c r="AQ5" s="67">
        <v>98.79</v>
      </c>
      <c r="AR5" s="67">
        <v>98.8</v>
      </c>
      <c r="AS5" s="67">
        <v>98.93</v>
      </c>
      <c r="AT5" s="67">
        <v>98.87</v>
      </c>
      <c r="AU5" s="67">
        <v>98.85</v>
      </c>
      <c r="AV5" s="67">
        <v>98.89</v>
      </c>
      <c r="AW5" s="67">
        <v>98.84</v>
      </c>
      <c r="AX5" s="67">
        <v>98.81</v>
      </c>
      <c r="AY5" s="67">
        <v>98.83</v>
      </c>
      <c r="AZ5" s="67">
        <v>99.29</v>
      </c>
      <c r="BA5" s="67">
        <v>98.87</v>
      </c>
      <c r="BB5" s="67">
        <v>98.96</v>
      </c>
      <c r="BC5" s="67">
        <v>98.72</v>
      </c>
      <c r="BD5" s="67">
        <v>98.74</v>
      </c>
      <c r="BE5" s="67">
        <v>97.85</v>
      </c>
      <c r="BF5" s="67">
        <v>98.86</v>
      </c>
      <c r="BG5" s="67">
        <v>98.85</v>
      </c>
      <c r="BH5" s="67">
        <v>96.78</v>
      </c>
      <c r="BI5" s="67">
        <v>98.56</v>
      </c>
      <c r="BJ5" s="67">
        <v>99</v>
      </c>
      <c r="BK5" s="67">
        <v>90.18</v>
      </c>
      <c r="BL5" s="67">
        <v>99.01</v>
      </c>
      <c r="BM5" s="67">
        <v>99.05</v>
      </c>
      <c r="BN5" s="67">
        <v>99.05</v>
      </c>
      <c r="BO5" s="67">
        <v>99.11</v>
      </c>
      <c r="BP5" s="67">
        <v>99.05</v>
      </c>
      <c r="BQ5" s="67">
        <v>98.94</v>
      </c>
      <c r="BR5" s="67">
        <v>98.95</v>
      </c>
      <c r="BS5" s="67">
        <v>99.07</v>
      </c>
      <c r="BT5" s="67">
        <v>98.96</v>
      </c>
      <c r="BU5" s="67">
        <v>99</v>
      </c>
      <c r="BV5" s="67">
        <v>99.01</v>
      </c>
      <c r="BW5" s="67">
        <v>98.95</v>
      </c>
      <c r="BX5" s="67">
        <v>99</v>
      </c>
      <c r="BY5" s="2">
        <v>98.74</v>
      </c>
      <c r="BZ5" s="2">
        <v>99.01</v>
      </c>
      <c r="CA5" s="2">
        <v>99.06</v>
      </c>
      <c r="CB5" s="2">
        <v>99</v>
      </c>
      <c r="CC5" s="2">
        <v>99.07</v>
      </c>
      <c r="CD5" s="2">
        <v>98.94</v>
      </c>
      <c r="CE5" s="2">
        <v>98.85</v>
      </c>
      <c r="CF5" s="2">
        <v>99.08</v>
      </c>
      <c r="CG5" s="2">
        <v>99.03</v>
      </c>
      <c r="CH5" s="2">
        <v>99.03</v>
      </c>
      <c r="CI5" s="2">
        <v>99.09</v>
      </c>
      <c r="CJ5" s="2">
        <v>98.99</v>
      </c>
      <c r="CK5" s="2">
        <v>99.02</v>
      </c>
      <c r="CL5" s="2">
        <v>98.81</v>
      </c>
      <c r="CM5" s="2">
        <v>99.1</v>
      </c>
      <c r="CN5" s="2">
        <v>99</v>
      </c>
      <c r="CO5" s="2">
        <v>99.05</v>
      </c>
      <c r="CP5" s="2">
        <v>98.96</v>
      </c>
      <c r="CQ5" s="2">
        <v>98.94</v>
      </c>
      <c r="CR5" s="2">
        <v>99.1</v>
      </c>
      <c r="CS5" s="2">
        <v>99.11</v>
      </c>
      <c r="CT5" s="2">
        <v>99</v>
      </c>
      <c r="CU5" s="2">
        <v>98.78</v>
      </c>
      <c r="CV5" s="2">
        <v>99.04</v>
      </c>
      <c r="CW5" s="2">
        <v>99.2</v>
      </c>
      <c r="CX5" s="2">
        <v>99.13</v>
      </c>
      <c r="CY5" s="2">
        <v>99.12</v>
      </c>
      <c r="CZ5" s="2">
        <v>99.01</v>
      </c>
      <c r="DA5" s="67">
        <v>99.07</v>
      </c>
      <c r="DB5" s="67">
        <v>98.88</v>
      </c>
      <c r="DC5" s="67">
        <v>99.57</v>
      </c>
      <c r="DD5" s="67">
        <v>99.17</v>
      </c>
      <c r="DE5" s="67">
        <v>98.96</v>
      </c>
      <c r="DF5" s="64">
        <v>99.12</v>
      </c>
      <c r="DG5" s="57">
        <v>99.18</v>
      </c>
      <c r="DH5" s="67">
        <v>99.4</v>
      </c>
      <c r="DI5" s="104">
        <v>98.88</v>
      </c>
      <c r="DJ5" s="104" t="s">
        <v>119</v>
      </c>
      <c r="DK5" s="104">
        <v>99.16</v>
      </c>
      <c r="DL5" s="104">
        <v>99.1</v>
      </c>
      <c r="DM5" s="104">
        <v>97.51</v>
      </c>
      <c r="DN5" s="104">
        <v>98.42</v>
      </c>
      <c r="DO5" s="104">
        <v>99.19</v>
      </c>
      <c r="DP5" s="104">
        <v>98.97</v>
      </c>
      <c r="DQ5" s="104">
        <v>99.37</v>
      </c>
      <c r="DR5" s="104">
        <v>98.96</v>
      </c>
      <c r="DS5" s="104">
        <v>99.16</v>
      </c>
      <c r="DT5" s="104">
        <v>99.1</v>
      </c>
      <c r="DU5" s="104">
        <v>98.98</v>
      </c>
      <c r="DV5" s="104">
        <v>99.15</v>
      </c>
      <c r="DW5" s="104">
        <v>99.09</v>
      </c>
      <c r="DX5" s="104">
        <v>99.32</v>
      </c>
      <c r="DY5" s="104">
        <v>99.07</v>
      </c>
      <c r="DZ5" s="104">
        <v>98.87</v>
      </c>
      <c r="EA5" s="104">
        <v>98.61</v>
      </c>
      <c r="EB5" s="104">
        <v>99.04</v>
      </c>
      <c r="EC5" s="104">
        <v>98.95</v>
      </c>
      <c r="ED5" s="104">
        <v>98.63</v>
      </c>
      <c r="EE5" s="104">
        <v>99.42</v>
      </c>
      <c r="EF5" s="104">
        <v>98.91</v>
      </c>
      <c r="EG5" s="104">
        <v>99.07</v>
      </c>
      <c r="EH5" s="104">
        <v>99.12</v>
      </c>
      <c r="EI5" s="104">
        <v>98.93</v>
      </c>
      <c r="EJ5" s="104">
        <v>99.07</v>
      </c>
      <c r="EK5" s="104">
        <v>99.11</v>
      </c>
      <c r="EL5" s="104">
        <v>99.07</v>
      </c>
      <c r="EM5" s="104">
        <v>98.72</v>
      </c>
      <c r="EN5" s="104">
        <v>99.01</v>
      </c>
      <c r="EO5" s="104">
        <v>99.16</v>
      </c>
      <c r="EP5" s="104">
        <v>98.98</v>
      </c>
      <c r="EQ5" s="104">
        <v>99.05</v>
      </c>
      <c r="ER5" s="104">
        <v>98.92</v>
      </c>
      <c r="ES5" s="104">
        <v>98.97</v>
      </c>
      <c r="ET5" s="104">
        <v>97.87</v>
      </c>
      <c r="EU5" s="104">
        <v>98.9</v>
      </c>
      <c r="EV5" s="104">
        <v>98.94</v>
      </c>
      <c r="EW5" s="104">
        <v>98.54</v>
      </c>
      <c r="EX5" s="104">
        <v>98.44</v>
      </c>
      <c r="EY5" s="104">
        <v>98.46</v>
      </c>
      <c r="EZ5" s="104">
        <v>98.36</v>
      </c>
      <c r="FA5" s="104">
        <v>98.67</v>
      </c>
      <c r="FB5" s="104">
        <v>99.08</v>
      </c>
      <c r="FC5" s="104">
        <v>99.18</v>
      </c>
      <c r="FD5" s="104">
        <v>99.05</v>
      </c>
      <c r="FE5" s="104">
        <v>99.28</v>
      </c>
      <c r="FF5" s="104">
        <v>99.21</v>
      </c>
      <c r="FG5" s="104">
        <v>99.24</v>
      </c>
      <c r="FH5" s="104">
        <v>99.09</v>
      </c>
      <c r="FI5" s="104">
        <v>98.92</v>
      </c>
      <c r="FJ5" s="104">
        <v>99.15</v>
      </c>
      <c r="FK5" s="104">
        <v>99.06</v>
      </c>
      <c r="FL5" s="104">
        <v>99.17</v>
      </c>
      <c r="FM5" s="104">
        <v>98.73</v>
      </c>
      <c r="FN5" s="104">
        <v>98.99</v>
      </c>
      <c r="FO5" s="104">
        <v>98.8</v>
      </c>
      <c r="FP5" s="104">
        <v>98.85</v>
      </c>
      <c r="FQ5" s="104">
        <v>98.65</v>
      </c>
      <c r="FR5" s="104">
        <v>98.81</v>
      </c>
      <c r="FS5" s="104">
        <v>98.91</v>
      </c>
      <c r="FT5" s="104">
        <v>99.21</v>
      </c>
      <c r="FU5" s="104">
        <v>98.8</v>
      </c>
      <c r="FV5" s="104">
        <v>99.04</v>
      </c>
      <c r="FW5" s="104">
        <v>99.08</v>
      </c>
      <c r="FX5" s="104">
        <v>99.09</v>
      </c>
      <c r="FY5" s="104">
        <v>99.04</v>
      </c>
      <c r="FZ5" s="104">
        <v>99.1</v>
      </c>
      <c r="GA5" s="104">
        <v>98.92</v>
      </c>
      <c r="GB5" s="104">
        <v>98.77</v>
      </c>
      <c r="GC5" s="104">
        <v>98.86</v>
      </c>
      <c r="GD5" s="104">
        <v>98.99</v>
      </c>
      <c r="GE5" s="104">
        <v>98.88</v>
      </c>
      <c r="GF5" s="104">
        <v>98.9</v>
      </c>
      <c r="GG5" s="104">
        <v>98.65</v>
      </c>
      <c r="GH5" s="104">
        <v>99.02</v>
      </c>
      <c r="GI5" s="104">
        <v>99.03</v>
      </c>
      <c r="GJ5" s="104">
        <v>98.79</v>
      </c>
      <c r="GK5" s="104">
        <v>98.71</v>
      </c>
      <c r="GL5" s="104">
        <v>99.05</v>
      </c>
      <c r="GM5" s="104">
        <v>97.93</v>
      </c>
      <c r="GN5" s="104">
        <v>99.24</v>
      </c>
      <c r="GO5" s="104">
        <v>99.12</v>
      </c>
      <c r="GP5" s="104">
        <v>99.4</v>
      </c>
      <c r="GQ5" s="104">
        <v>99.26</v>
      </c>
      <c r="GR5" s="104">
        <v>99.14</v>
      </c>
      <c r="GS5" s="104">
        <v>99.27</v>
      </c>
      <c r="GT5" s="116">
        <v>99.08</v>
      </c>
      <c r="GU5" s="48">
        <v>99.09</v>
      </c>
      <c r="GV5" s="48">
        <v>98.91</v>
      </c>
      <c r="GW5" s="67">
        <v>99.07</v>
      </c>
      <c r="GX5" s="119">
        <v>99.09</v>
      </c>
      <c r="GY5" s="53">
        <v>99.34</v>
      </c>
      <c r="GZ5" s="53">
        <v>99.33</v>
      </c>
      <c r="HA5" s="53">
        <v>99.33</v>
      </c>
      <c r="HB5" s="55">
        <v>99.4</v>
      </c>
      <c r="HC5" s="55">
        <v>99.01</v>
      </c>
      <c r="HD5" s="55">
        <v>99.3</v>
      </c>
      <c r="HE5" s="55">
        <v>98.98</v>
      </c>
      <c r="HF5" s="55">
        <v>99.06</v>
      </c>
      <c r="HG5" s="55">
        <v>99.18</v>
      </c>
      <c r="HH5" s="55">
        <v>99</v>
      </c>
      <c r="HI5" s="55">
        <v>99.16</v>
      </c>
      <c r="HJ5" s="55">
        <v>99.02</v>
      </c>
      <c r="HK5" s="55">
        <v>99.2</v>
      </c>
      <c r="HL5" s="55">
        <v>99.13</v>
      </c>
      <c r="HM5" s="55">
        <v>98.98</v>
      </c>
      <c r="HN5" s="55">
        <v>99.14</v>
      </c>
      <c r="HO5" s="55">
        <v>98.94</v>
      </c>
      <c r="HP5" s="55">
        <v>99.21</v>
      </c>
      <c r="HQ5" s="55">
        <v>99.02</v>
      </c>
      <c r="HR5" s="55">
        <v>99.12</v>
      </c>
      <c r="HS5" s="55">
        <v>99.17</v>
      </c>
      <c r="HT5" s="55">
        <v>98.94</v>
      </c>
      <c r="HU5" s="55">
        <v>99.11</v>
      </c>
      <c r="HV5" s="55">
        <v>98.89</v>
      </c>
      <c r="HW5" s="55">
        <v>99.16</v>
      </c>
      <c r="HX5" s="55">
        <v>98.99</v>
      </c>
      <c r="HY5" s="55">
        <v>99.01</v>
      </c>
      <c r="HZ5" s="55">
        <v>99.39</v>
      </c>
      <c r="IA5" s="55">
        <v>99.31</v>
      </c>
      <c r="IB5" s="55">
        <v>99.24</v>
      </c>
      <c r="IC5" s="55">
        <v>99.37</v>
      </c>
      <c r="ID5" s="55">
        <v>99.03</v>
      </c>
      <c r="IE5" s="55">
        <v>99.14</v>
      </c>
      <c r="IF5" s="55">
        <v>99.04</v>
      </c>
      <c r="IG5" s="55">
        <v>99.23</v>
      </c>
      <c r="IH5" s="55">
        <v>99.38</v>
      </c>
      <c r="II5" s="55">
        <v>98.88</v>
      </c>
      <c r="IJ5" s="55">
        <v>99.32</v>
      </c>
      <c r="IK5" s="55">
        <v>99.57</v>
      </c>
      <c r="IL5" s="55">
        <v>99.38</v>
      </c>
      <c r="IM5" s="55">
        <v>99.64</v>
      </c>
      <c r="IN5" s="131">
        <v>99.53</v>
      </c>
      <c r="IO5" s="87">
        <v>99.44</v>
      </c>
      <c r="IP5" s="100">
        <v>99.55</v>
      </c>
      <c r="IQ5" s="100">
        <v>99.33</v>
      </c>
      <c r="IR5" s="100">
        <v>99.54</v>
      </c>
      <c r="IS5" s="100">
        <v>99.41</v>
      </c>
      <c r="IT5" s="100">
        <v>99.68</v>
      </c>
      <c r="IU5" s="100">
        <v>99.56</v>
      </c>
      <c r="IV5" s="100">
        <v>99.49</v>
      </c>
      <c r="IW5" s="100">
        <v>99.52</v>
      </c>
      <c r="IX5" s="118">
        <v>99.39</v>
      </c>
      <c r="IY5" s="46">
        <v>99.51</v>
      </c>
      <c r="IZ5" s="46">
        <v>99.36</v>
      </c>
      <c r="JA5" s="46">
        <v>99.63</v>
      </c>
      <c r="JB5" s="46">
        <v>99.6</v>
      </c>
      <c r="JC5" s="100">
        <v>99.49</v>
      </c>
      <c r="JD5" s="56">
        <v>99.46</v>
      </c>
      <c r="JE5" s="64">
        <v>99.46</v>
      </c>
      <c r="JF5" s="64">
        <v>99.55</v>
      </c>
      <c r="JG5" s="64">
        <v>99.23</v>
      </c>
      <c r="JH5" s="64">
        <v>99.69</v>
      </c>
      <c r="JI5" s="64">
        <v>99.56</v>
      </c>
      <c r="JJ5" s="64">
        <v>99.44</v>
      </c>
      <c r="JK5" s="64">
        <v>99.58</v>
      </c>
      <c r="JL5" s="64">
        <v>99.39</v>
      </c>
      <c r="JM5" s="64">
        <v>99.55</v>
      </c>
      <c r="JN5" s="72">
        <v>99.48</v>
      </c>
      <c r="JO5" s="64">
        <v>99.71</v>
      </c>
      <c r="JP5" s="48">
        <v>99.66</v>
      </c>
      <c r="JQ5" s="64">
        <v>99.45</v>
      </c>
      <c r="JR5" s="64">
        <v>99.56</v>
      </c>
      <c r="JS5" s="64">
        <v>99.56</v>
      </c>
      <c r="JT5" s="64">
        <v>99.44</v>
      </c>
      <c r="JU5" s="64">
        <v>99.8</v>
      </c>
      <c r="JV5" s="64">
        <v>99.8</v>
      </c>
      <c r="JW5" s="64">
        <v>99.32</v>
      </c>
      <c r="JX5" s="64">
        <v>99.77</v>
      </c>
      <c r="JY5" s="64">
        <v>99.76</v>
      </c>
      <c r="JZ5" s="72">
        <v>99.79</v>
      </c>
      <c r="KA5" s="69">
        <v>99.78</v>
      </c>
      <c r="KB5" s="64">
        <v>99.8</v>
      </c>
      <c r="KC5" s="72">
        <v>99.8</v>
      </c>
      <c r="KD5" s="64">
        <v>99.79</v>
      </c>
      <c r="KE5" s="64">
        <v>99.8</v>
      </c>
      <c r="KF5" s="64">
        <v>99.77</v>
      </c>
      <c r="KG5" s="64">
        <v>99.76</v>
      </c>
      <c r="KH5" s="64">
        <v>99.73</v>
      </c>
      <c r="KI5" s="64">
        <v>99.8</v>
      </c>
      <c r="KJ5" s="64">
        <v>99.81</v>
      </c>
      <c r="KK5" s="64">
        <v>99.79</v>
      </c>
      <c r="KL5" s="64">
        <v>99.71</v>
      </c>
      <c r="KM5" s="64">
        <v>99.78</v>
      </c>
      <c r="KN5" s="64">
        <v>99.76</v>
      </c>
      <c r="KO5" s="64">
        <v>99.78</v>
      </c>
      <c r="KP5" s="64">
        <v>99.81</v>
      </c>
      <c r="KQ5" s="64">
        <v>99.82</v>
      </c>
      <c r="KR5" s="48">
        <v>99.82</v>
      </c>
      <c r="KS5" s="64">
        <v>99.76</v>
      </c>
      <c r="KT5" s="104">
        <v>99.81</v>
      </c>
      <c r="KU5" s="104">
        <v>99.72</v>
      </c>
      <c r="KV5" s="104">
        <v>99.8</v>
      </c>
      <c r="KW5" s="104">
        <v>99.8</v>
      </c>
      <c r="KX5" s="104">
        <v>99.79</v>
      </c>
      <c r="KY5" s="104">
        <v>98.38</v>
      </c>
      <c r="KZ5" s="104">
        <v>98.64</v>
      </c>
      <c r="LA5" s="104">
        <v>99.71</v>
      </c>
      <c r="LB5" s="104">
        <v>99.77</v>
      </c>
      <c r="LC5" s="104">
        <v>99.45</v>
      </c>
      <c r="LD5" s="104">
        <v>99.76</v>
      </c>
      <c r="LE5" s="104">
        <v>99.76</v>
      </c>
      <c r="LF5" s="104">
        <v>99.73</v>
      </c>
      <c r="LG5" s="104">
        <v>99.75</v>
      </c>
      <c r="LH5" s="104">
        <v>99.74</v>
      </c>
      <c r="LI5" s="104">
        <v>99.22</v>
      </c>
      <c r="LJ5" s="104">
        <v>98.8</v>
      </c>
      <c r="LK5" s="104">
        <v>99.58</v>
      </c>
      <c r="LL5" s="104">
        <v>99.56</v>
      </c>
      <c r="LM5" s="104">
        <v>99.68</v>
      </c>
      <c r="LN5" s="104">
        <v>99.68</v>
      </c>
      <c r="LO5" s="104">
        <v>99.6</v>
      </c>
      <c r="LP5" s="104">
        <v>99.67</v>
      </c>
      <c r="LQ5" s="104">
        <v>99.64</v>
      </c>
      <c r="LR5" s="104">
        <v>99.71</v>
      </c>
      <c r="LS5" s="104">
        <v>99.67</v>
      </c>
      <c r="LT5" s="104">
        <v>99.69</v>
      </c>
      <c r="LU5" s="104">
        <v>99.68</v>
      </c>
      <c r="LV5" s="104">
        <v>99.68</v>
      </c>
      <c r="LW5" s="104">
        <v>99.63</v>
      </c>
      <c r="LX5" s="104">
        <v>99.67</v>
      </c>
      <c r="LY5" s="104">
        <v>99.67</v>
      </c>
      <c r="LZ5" s="104">
        <v>99.69</v>
      </c>
      <c r="MA5" s="104">
        <v>99.72</v>
      </c>
      <c r="MB5" s="104">
        <v>99.69</v>
      </c>
      <c r="MC5" s="104">
        <v>99.68</v>
      </c>
      <c r="MD5" s="104">
        <v>99.66</v>
      </c>
      <c r="ME5" s="104">
        <v>99.73</v>
      </c>
      <c r="MF5" s="104">
        <v>99.75</v>
      </c>
      <c r="MG5" s="104">
        <v>99.03</v>
      </c>
      <c r="MH5" s="104">
        <v>98.78</v>
      </c>
      <c r="MI5" s="104">
        <v>99.07</v>
      </c>
      <c r="MJ5" s="104">
        <v>99.23</v>
      </c>
      <c r="MK5" s="104">
        <v>98.98</v>
      </c>
      <c r="ML5" s="104">
        <v>99.65</v>
      </c>
      <c r="MM5" s="104">
        <v>99.86</v>
      </c>
      <c r="MN5" s="104">
        <v>99.87</v>
      </c>
      <c r="MO5" s="104">
        <v>99.88</v>
      </c>
      <c r="MP5" s="104">
        <v>99.87</v>
      </c>
      <c r="MQ5" s="104">
        <v>99.77</v>
      </c>
      <c r="MR5" s="104">
        <v>99.86</v>
      </c>
      <c r="MS5" s="104">
        <v>99.86</v>
      </c>
      <c r="MT5" s="104">
        <v>99.2</v>
      </c>
      <c r="MU5" s="104">
        <v>99.82</v>
      </c>
      <c r="MV5" s="104">
        <v>99.86</v>
      </c>
      <c r="MW5" s="104">
        <v>99.87</v>
      </c>
      <c r="MX5" s="104">
        <v>99.88</v>
      </c>
      <c r="MY5" s="104">
        <v>98.85</v>
      </c>
      <c r="MZ5" s="64"/>
      <c r="NA5" s="64"/>
      <c r="NB5" s="64"/>
      <c r="NC5">
        <v>99.9</v>
      </c>
      <c r="ND5">
        <v>99.9</v>
      </c>
      <c r="NE5">
        <v>99.88</v>
      </c>
      <c r="NF5">
        <v>99.84</v>
      </c>
      <c r="NG5">
        <v>99.88</v>
      </c>
      <c r="NH5">
        <v>99.89</v>
      </c>
      <c r="NI5">
        <v>99.87</v>
      </c>
      <c r="NJ5">
        <v>99.87</v>
      </c>
      <c r="NK5">
        <v>99.88</v>
      </c>
      <c r="NL5">
        <v>99.88</v>
      </c>
      <c r="NM5">
        <v>99.88</v>
      </c>
      <c r="NN5" s="48">
        <v>99.86</v>
      </c>
      <c r="NO5" s="67">
        <v>99.89</v>
      </c>
      <c r="NP5" s="67">
        <v>99.89</v>
      </c>
      <c r="NQ5" s="48">
        <v>99.88</v>
      </c>
      <c r="NR5" s="48">
        <v>99.87</v>
      </c>
      <c r="NS5" s="71">
        <v>99.86</v>
      </c>
      <c r="NT5" s="48">
        <v>99.88</v>
      </c>
      <c r="NU5" s="64">
        <v>99.87</v>
      </c>
      <c r="NV5" s="64">
        <v>99.9</v>
      </c>
      <c r="NW5" s="64">
        <v>99.88</v>
      </c>
      <c r="NX5" s="64">
        <v>98.6</v>
      </c>
      <c r="NY5" s="64">
        <v>99.88</v>
      </c>
      <c r="NZ5" s="64">
        <v>99.87</v>
      </c>
      <c r="OA5" s="64">
        <v>99.86</v>
      </c>
      <c r="OB5" s="64">
        <v>98.98</v>
      </c>
      <c r="OC5" s="64">
        <v>99.87</v>
      </c>
      <c r="OD5" s="64">
        <v>99.88</v>
      </c>
      <c r="OE5" s="48">
        <v>99.85</v>
      </c>
      <c r="OF5" s="48">
        <v>99.81</v>
      </c>
      <c r="OG5" s="48">
        <v>99.86</v>
      </c>
      <c r="OH5" s="48">
        <v>99.88</v>
      </c>
      <c r="OI5" s="2">
        <v>99.87</v>
      </c>
      <c r="OJ5" s="2">
        <v>99.85</v>
      </c>
      <c r="OK5" s="2">
        <v>99.85</v>
      </c>
      <c r="OL5" s="64">
        <v>99.86</v>
      </c>
      <c r="OM5" s="64">
        <v>99.87</v>
      </c>
      <c r="ON5" s="64">
        <v>99.86</v>
      </c>
      <c r="OO5" s="48">
        <v>99.87</v>
      </c>
      <c r="OP5" s="48">
        <v>99.86</v>
      </c>
      <c r="OQ5" s="48">
        <v>99.86</v>
      </c>
      <c r="OR5" s="67">
        <v>99.9</v>
      </c>
      <c r="OS5" s="48">
        <v>99.89</v>
      </c>
      <c r="OT5" s="48">
        <v>99.86</v>
      </c>
      <c r="OU5" s="48">
        <v>99.86</v>
      </c>
      <c r="OV5" s="64">
        <v>99.71</v>
      </c>
      <c r="OW5" s="2">
        <v>99.85</v>
      </c>
      <c r="OX5" s="2">
        <v>99.87</v>
      </c>
      <c r="OY5" s="2">
        <v>99.88</v>
      </c>
      <c r="OZ5" s="2">
        <v>99.88</v>
      </c>
      <c r="PA5" s="64">
        <v>99.85</v>
      </c>
      <c r="PB5" s="64">
        <v>99.89</v>
      </c>
      <c r="PC5" s="2">
        <v>99.88</v>
      </c>
      <c r="PD5" s="48">
        <v>99.86</v>
      </c>
      <c r="PE5" s="48">
        <v>99.89</v>
      </c>
      <c r="PF5" s="48">
        <v>99.9</v>
      </c>
      <c r="PG5" s="48">
        <v>99.86</v>
      </c>
      <c r="PH5" s="71">
        <v>98.82</v>
      </c>
      <c r="PI5" s="48">
        <v>99.87</v>
      </c>
      <c r="PJ5" s="48">
        <v>99.87</v>
      </c>
      <c r="PK5" s="64">
        <v>99.87</v>
      </c>
      <c r="PL5" s="64">
        <v>99.86</v>
      </c>
      <c r="PM5" s="64">
        <v>99.89</v>
      </c>
      <c r="PN5" s="2">
        <v>99.69</v>
      </c>
      <c r="PO5" s="64">
        <v>99.43</v>
      </c>
      <c r="PP5" s="64">
        <v>99.87</v>
      </c>
      <c r="PQ5" s="64">
        <v>99.78</v>
      </c>
      <c r="PR5" s="64">
        <v>99.87</v>
      </c>
      <c r="PS5" s="64">
        <v>99.9</v>
      </c>
      <c r="PT5" s="71">
        <v>99.92</v>
      </c>
      <c r="PU5" s="71">
        <v>99.9</v>
      </c>
      <c r="PV5" s="64">
        <v>99.88</v>
      </c>
      <c r="PW5" s="64" t="s">
        <v>126</v>
      </c>
      <c r="PX5" s="48">
        <v>99.79</v>
      </c>
      <c r="PY5" s="48">
        <v>99.65</v>
      </c>
      <c r="PZ5" s="67">
        <v>99.76</v>
      </c>
      <c r="QA5" s="67">
        <v>99.82</v>
      </c>
      <c r="QB5" s="48">
        <v>99.74</v>
      </c>
      <c r="QC5" s="69">
        <v>99.53</v>
      </c>
      <c r="QD5" s="48">
        <v>99.82</v>
      </c>
      <c r="QE5" s="64">
        <v>99.88</v>
      </c>
      <c r="QF5" s="64">
        <v>99.85</v>
      </c>
      <c r="QG5" s="64">
        <v>99.78</v>
      </c>
      <c r="QH5" s="71">
        <v>99.89</v>
      </c>
      <c r="QI5" s="71">
        <v>99.89</v>
      </c>
      <c r="QJ5" s="48">
        <v>99.86</v>
      </c>
      <c r="QK5" s="48">
        <v>99.88</v>
      </c>
      <c r="QL5" s="48">
        <v>99.87</v>
      </c>
      <c r="QM5" s="64">
        <v>99.85</v>
      </c>
      <c r="QN5" s="64">
        <v>99.9</v>
      </c>
      <c r="QO5" s="2">
        <v>99.91</v>
      </c>
      <c r="QP5" s="2">
        <v>99.89</v>
      </c>
      <c r="QQ5" s="64">
        <v>99.85</v>
      </c>
      <c r="QR5" s="64">
        <v>99.89</v>
      </c>
      <c r="QS5" s="64">
        <v>99.88</v>
      </c>
      <c r="QT5" s="48">
        <v>99.88</v>
      </c>
      <c r="QU5" s="67">
        <v>99.92</v>
      </c>
      <c r="QV5" s="48">
        <v>99.91</v>
      </c>
      <c r="QW5" s="67">
        <v>99.91</v>
      </c>
      <c r="QX5" s="48">
        <v>99.89</v>
      </c>
      <c r="QY5" s="48">
        <v>99.88</v>
      </c>
      <c r="QZ5" s="71">
        <v>98.77</v>
      </c>
      <c r="RA5" s="71">
        <v>99.84</v>
      </c>
      <c r="RB5" s="64">
        <v>99.92</v>
      </c>
      <c r="RC5" s="72">
        <v>99.91</v>
      </c>
      <c r="RD5" s="64">
        <v>99.92</v>
      </c>
      <c r="RE5" s="64">
        <v>99.9</v>
      </c>
      <c r="RF5" s="64">
        <v>99.81</v>
      </c>
      <c r="RG5" s="64">
        <v>99.9</v>
      </c>
      <c r="RH5" s="48">
        <v>99.91</v>
      </c>
      <c r="RI5" s="48">
        <v>99.86</v>
      </c>
      <c r="RJ5" s="48">
        <v>99.9</v>
      </c>
      <c r="RK5" s="67">
        <v>99.9</v>
      </c>
      <c r="RL5" s="48">
        <v>99.87</v>
      </c>
      <c r="RM5" s="48">
        <v>99.86</v>
      </c>
      <c r="RN5" s="64">
        <v>99.88</v>
      </c>
      <c r="RO5" s="48">
        <v>99.88</v>
      </c>
      <c r="RP5" s="48">
        <v>99.92</v>
      </c>
      <c r="RQ5" s="48">
        <v>99.9</v>
      </c>
      <c r="RR5" s="48">
        <v>99.92</v>
      </c>
      <c r="RS5" s="67">
        <v>99.82</v>
      </c>
      <c r="RT5" s="67">
        <v>99.89</v>
      </c>
      <c r="RU5" s="64">
        <v>99.9</v>
      </c>
      <c r="RV5" s="64">
        <v>99.88</v>
      </c>
      <c r="RW5" s="64">
        <v>99.88</v>
      </c>
      <c r="RX5" s="64">
        <v>99.88</v>
      </c>
      <c r="RY5" s="64">
        <v>99.89</v>
      </c>
      <c r="RZ5" s="64">
        <v>99.88</v>
      </c>
      <c r="SA5" s="183"/>
      <c r="SB5" s="64"/>
      <c r="SC5" s="64"/>
      <c r="SD5" s="64"/>
      <c r="SE5" s="64"/>
      <c r="SF5" s="72"/>
      <c r="SG5" s="2">
        <v>99.88</v>
      </c>
      <c r="SH5" s="2">
        <v>98.08</v>
      </c>
      <c r="SI5" s="2">
        <v>99.73</v>
      </c>
      <c r="SJ5" s="2">
        <v>99.83</v>
      </c>
      <c r="SK5" s="2">
        <v>99.83</v>
      </c>
      <c r="SL5" s="2">
        <v>99.88</v>
      </c>
      <c r="SM5" s="64">
        <v>98.88</v>
      </c>
      <c r="SN5" s="71">
        <v>99.9</v>
      </c>
      <c r="SO5" s="71">
        <v>99.9</v>
      </c>
      <c r="SP5" s="71">
        <v>99.91</v>
      </c>
      <c r="SQ5" s="48">
        <v>99.9</v>
      </c>
      <c r="SR5" s="48">
        <v>99.91</v>
      </c>
      <c r="SS5" s="67">
        <v>99.9</v>
      </c>
      <c r="ST5" s="48">
        <v>99.73</v>
      </c>
      <c r="SU5" s="48">
        <v>99.93</v>
      </c>
      <c r="SV5" s="48">
        <v>99.93</v>
      </c>
      <c r="SW5" s="48">
        <v>99.93</v>
      </c>
      <c r="SX5" s="48">
        <v>99.91</v>
      </c>
      <c r="SY5" s="48">
        <v>99.91</v>
      </c>
      <c r="SZ5" s="48">
        <v>99.92</v>
      </c>
      <c r="TA5" s="64">
        <v>99.7</v>
      </c>
      <c r="TB5" s="64" t="s">
        <v>292</v>
      </c>
      <c r="TC5" s="64">
        <v>99.21</v>
      </c>
      <c r="TD5" s="64">
        <v>99.23</v>
      </c>
      <c r="TE5" s="64">
        <v>99.31</v>
      </c>
      <c r="TF5" s="64">
        <v>99.16</v>
      </c>
      <c r="TG5" s="64">
        <v>99.35</v>
      </c>
      <c r="TH5" s="64">
        <v>99.26</v>
      </c>
      <c r="TI5" s="64">
        <v>99.32</v>
      </c>
      <c r="TJ5" s="64">
        <v>99.24</v>
      </c>
      <c r="TK5" s="64">
        <v>99.89</v>
      </c>
      <c r="TL5" s="64">
        <v>99.87</v>
      </c>
      <c r="TM5" s="64">
        <v>99.93</v>
      </c>
      <c r="TN5" s="64">
        <v>99.91</v>
      </c>
      <c r="TO5" s="64">
        <v>99.93</v>
      </c>
      <c r="TP5" s="64">
        <v>99.91</v>
      </c>
      <c r="TQ5" s="64">
        <v>99.68</v>
      </c>
      <c r="TR5" s="64">
        <v>99.88</v>
      </c>
      <c r="TS5" s="64">
        <v>99.93</v>
      </c>
      <c r="TT5" s="64">
        <v>99.94</v>
      </c>
      <c r="TU5" s="64">
        <v>99.92</v>
      </c>
      <c r="TV5" s="64">
        <v>99.94</v>
      </c>
      <c r="TW5" s="64">
        <v>99.92</v>
      </c>
      <c r="TX5" s="64">
        <v>99.89</v>
      </c>
      <c r="TY5" s="64">
        <v>99.91</v>
      </c>
      <c r="TZ5" s="64">
        <v>99.92</v>
      </c>
      <c r="UA5" s="64">
        <v>99.38</v>
      </c>
      <c r="UB5" s="48">
        <v>99.92</v>
      </c>
      <c r="UC5" s="48">
        <v>99.92</v>
      </c>
      <c r="UD5" s="48">
        <v>99.9</v>
      </c>
      <c r="UE5" s="48">
        <v>99.9</v>
      </c>
      <c r="UF5" s="48">
        <v>99.92</v>
      </c>
      <c r="UG5" s="48">
        <v>99.92</v>
      </c>
      <c r="UH5" s="48">
        <v>99.94</v>
      </c>
      <c r="UI5" s="48">
        <v>99.91</v>
      </c>
      <c r="UJ5" s="64">
        <v>99.84</v>
      </c>
      <c r="UK5" s="64">
        <v>99.91</v>
      </c>
      <c r="UL5" s="64">
        <v>99.93</v>
      </c>
      <c r="UM5" s="64">
        <v>99.93</v>
      </c>
      <c r="UN5" s="48">
        <v>99.91</v>
      </c>
      <c r="UO5" s="64">
        <v>99.94</v>
      </c>
      <c r="UP5" s="67">
        <v>99.92</v>
      </c>
      <c r="UQ5" s="67">
        <v>99.9</v>
      </c>
      <c r="UR5" s="48">
        <v>99.9</v>
      </c>
      <c r="US5" s="67">
        <v>99.94</v>
      </c>
      <c r="UT5" s="48">
        <v>99.93</v>
      </c>
      <c r="UU5" s="2">
        <v>99.93</v>
      </c>
      <c r="UV5" s="2">
        <v>99.93</v>
      </c>
      <c r="UW5" s="2">
        <v>99.93</v>
      </c>
      <c r="UX5" s="64">
        <v>99.9</v>
      </c>
      <c r="UY5" s="64">
        <v>99.94</v>
      </c>
      <c r="UZ5" s="64">
        <v>99.94</v>
      </c>
      <c r="VA5" s="64">
        <v>99.94</v>
      </c>
      <c r="VB5" s="48">
        <v>99.18</v>
      </c>
      <c r="VC5" s="48">
        <v>99.92</v>
      </c>
      <c r="VD5" s="48">
        <v>99.92</v>
      </c>
      <c r="VE5" s="48">
        <v>99.62</v>
      </c>
      <c r="VF5" s="67">
        <v>99.93</v>
      </c>
      <c r="VG5" s="48">
        <v>99.93</v>
      </c>
      <c r="VH5" s="71">
        <v>99.92</v>
      </c>
      <c r="VI5" s="64">
        <v>99.92</v>
      </c>
      <c r="VJ5" s="64">
        <v>99.92</v>
      </c>
      <c r="VK5" s="64">
        <v>99.91</v>
      </c>
      <c r="VL5" s="64">
        <v>99.92</v>
      </c>
      <c r="VM5" s="64">
        <v>99.91</v>
      </c>
      <c r="VN5" s="64">
        <v>99.88</v>
      </c>
      <c r="VO5" s="64">
        <v>99.88</v>
      </c>
      <c r="VP5" s="183">
        <v>99.87</v>
      </c>
      <c r="VQ5" s="64">
        <v>99.93</v>
      </c>
      <c r="VR5" s="64">
        <v>99.92</v>
      </c>
      <c r="VS5" s="64"/>
      <c r="VT5" s="2"/>
      <c r="VU5" s="2"/>
      <c r="VV5" s="2"/>
      <c r="VW5" s="2"/>
      <c r="VX5" s="71"/>
      <c r="VY5" s="2"/>
      <c r="VZ5" s="71"/>
      <c r="WA5" s="71"/>
      <c r="WB5" s="71"/>
      <c r="WC5" s="71"/>
      <c r="WD5" s="46"/>
      <c r="WE5" s="71"/>
      <c r="WF5" s="82"/>
      <c r="WG5" s="82"/>
      <c r="WH5" s="71"/>
      <c r="WI5" s="71"/>
      <c r="WJ5" s="71"/>
      <c r="WK5" s="71"/>
      <c r="WL5" s="2"/>
      <c r="WM5" s="71"/>
      <c r="WN5" s="71"/>
      <c r="WO5" s="64"/>
      <c r="WP5" s="64"/>
      <c r="WQ5" s="64"/>
      <c r="WR5" s="64"/>
      <c r="WS5" s="64"/>
      <c r="WT5" s="64"/>
      <c r="WU5" s="64"/>
      <c r="WV5" s="64"/>
      <c r="WW5" s="64"/>
      <c r="WX5" s="64"/>
      <c r="WY5" s="64"/>
      <c r="WZ5" s="64"/>
      <c r="XA5" s="64"/>
      <c r="XB5" s="64"/>
      <c r="XC5" s="64"/>
      <c r="XD5" s="64"/>
      <c r="XE5" s="64"/>
      <c r="XF5" s="64"/>
      <c r="XG5" s="64"/>
      <c r="XH5" s="64"/>
      <c r="XI5" s="64"/>
      <c r="XJ5" s="64"/>
      <c r="XK5" s="64"/>
      <c r="XL5" s="64"/>
      <c r="XM5" s="64"/>
      <c r="XN5" s="64"/>
      <c r="XO5" s="64"/>
      <c r="XP5" s="64"/>
      <c r="XQ5" s="64"/>
      <c r="XR5" s="64"/>
      <c r="XS5" s="64"/>
      <c r="XT5" s="64"/>
      <c r="XU5" s="64"/>
      <c r="XV5" s="64"/>
      <c r="XW5" s="64"/>
      <c r="XX5" s="64"/>
      <c r="XY5" s="64"/>
      <c r="XZ5" s="64"/>
      <c r="YA5" s="64"/>
      <c r="YB5" s="64"/>
      <c r="YC5" s="64"/>
      <c r="YD5" s="64"/>
      <c r="YE5" s="67"/>
      <c r="YF5" s="67"/>
      <c r="YG5" s="67"/>
      <c r="YH5" s="67"/>
      <c r="YI5" s="67"/>
      <c r="YJ5" s="67"/>
      <c r="YK5" s="67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87"/>
      <c r="ZV5" s="87"/>
      <c r="ZW5" s="87"/>
      <c r="ZX5" s="87"/>
      <c r="ZY5" s="87"/>
      <c r="ZZ5" s="87"/>
      <c r="AAA5" s="89"/>
      <c r="AAB5" s="87"/>
      <c r="AAC5" s="87"/>
      <c r="AAD5" s="87"/>
      <c r="AAE5" s="87"/>
      <c r="AAF5" s="89"/>
      <c r="AAG5" s="87"/>
      <c r="AAH5" s="89"/>
      <c r="AAI5" s="64"/>
      <c r="AAJ5" s="64"/>
      <c r="AAK5" s="64"/>
      <c r="AAL5" s="64"/>
      <c r="AAM5" s="64"/>
      <c r="AAN5" s="64"/>
      <c r="AAO5" s="64"/>
      <c r="AAP5" s="2"/>
      <c r="AAQ5" s="2"/>
      <c r="AAR5" s="2"/>
      <c r="AAS5" s="2"/>
      <c r="AAT5" s="2"/>
      <c r="AAU5" s="2"/>
      <c r="AAV5" s="2"/>
      <c r="AAW5" s="64"/>
      <c r="AAX5" s="64"/>
      <c r="AAY5" s="64"/>
      <c r="AAZ5" s="64"/>
      <c r="ABA5" s="64"/>
      <c r="ABB5" s="64"/>
      <c r="ABC5" s="64"/>
      <c r="ABD5" s="2"/>
      <c r="ABE5" s="2"/>
      <c r="ABF5" s="2"/>
      <c r="ABG5" s="64"/>
      <c r="ABH5" s="64"/>
      <c r="ABI5" s="64"/>
      <c r="ABJ5" s="64"/>
      <c r="ABK5" s="64"/>
      <c r="ABL5" s="93"/>
      <c r="ABM5" s="93"/>
      <c r="ABN5" s="93"/>
      <c r="ABO5" s="93"/>
      <c r="ABP5" s="93"/>
      <c r="ABQ5" s="93"/>
      <c r="ABR5" s="93"/>
      <c r="ABS5" s="93"/>
      <c r="ABT5" s="93"/>
      <c r="ABU5" s="93"/>
      <c r="ABV5" s="93"/>
      <c r="ABW5" s="32"/>
      <c r="ABX5" s="3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64"/>
      <c r="ACN5" s="64"/>
      <c r="ACO5" s="64"/>
      <c r="ACP5" s="64"/>
      <c r="ACQ5" s="64"/>
      <c r="ACR5" s="64"/>
      <c r="ACS5" s="64"/>
      <c r="ACT5" s="64"/>
      <c r="ACU5" s="64"/>
      <c r="ACV5" s="64"/>
      <c r="ACW5" s="64"/>
      <c r="ACX5" s="64"/>
      <c r="ACY5" s="64"/>
      <c r="ACZ5" s="64"/>
      <c r="ADA5" s="64"/>
      <c r="ADB5" s="64"/>
      <c r="ADC5" s="64"/>
      <c r="ADD5" s="64"/>
      <c r="ADE5" s="64"/>
      <c r="ADF5" s="64"/>
      <c r="ADG5" s="64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47"/>
      <c r="ADS5" s="2"/>
      <c r="ADT5" s="67"/>
      <c r="ADU5" s="67"/>
      <c r="ADV5" s="67"/>
      <c r="ADW5" s="67"/>
      <c r="ADX5" s="67"/>
      <c r="ADY5" s="67"/>
      <c r="ADZ5" s="67"/>
      <c r="AEA5" s="67"/>
      <c r="AEB5" s="67"/>
      <c r="AEC5" s="64"/>
      <c r="AED5" s="64"/>
      <c r="AEE5" s="64"/>
      <c r="AEF5" s="64"/>
      <c r="AEG5" s="64"/>
      <c r="AEH5" s="64"/>
      <c r="AEI5" s="64"/>
      <c r="AEJ5" s="64"/>
      <c r="AEK5" s="64"/>
      <c r="AEL5" s="64"/>
      <c r="AEM5" s="64"/>
      <c r="AEN5" s="64"/>
      <c r="AEO5" s="64"/>
      <c r="AEP5" s="64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93"/>
      <c r="AFF5" s="93"/>
      <c r="AFG5" s="93"/>
      <c r="AFH5" s="93"/>
      <c r="AFI5" s="93"/>
      <c r="AFJ5" s="93"/>
      <c r="AFK5" s="93"/>
      <c r="AFL5" s="32"/>
      <c r="AFM5" s="32"/>
      <c r="AFN5" s="64"/>
      <c r="AFO5" s="93"/>
      <c r="AFP5" s="93"/>
      <c r="AFQ5" s="93"/>
      <c r="AFR5" s="93"/>
      <c r="AFS5" s="64"/>
      <c r="AFT5" s="64"/>
      <c r="AFU5" s="64"/>
      <c r="AFV5" s="64"/>
      <c r="AFW5" s="64"/>
      <c r="AFX5" s="64"/>
      <c r="AFY5" s="64"/>
      <c r="AFZ5" s="64"/>
      <c r="AGA5" s="64"/>
      <c r="AGB5" s="64"/>
      <c r="AGC5" s="64"/>
      <c r="AGD5" s="64"/>
      <c r="AGE5" s="64"/>
      <c r="AGF5" s="64"/>
      <c r="AGG5" s="64"/>
      <c r="AGH5" s="64"/>
      <c r="AGI5" s="2"/>
      <c r="AGJ5" s="2"/>
      <c r="AGK5" s="2"/>
      <c r="AGL5" s="2"/>
      <c r="AGM5" s="2"/>
      <c r="AGN5" s="2"/>
      <c r="AGO5" s="64"/>
      <c r="AGP5" s="64"/>
      <c r="AGQ5" s="64"/>
      <c r="AGR5" s="64"/>
      <c r="AGS5" s="64"/>
      <c r="AGT5" s="64"/>
      <c r="AGU5" s="64"/>
      <c r="AGV5" s="64"/>
      <c r="AGW5" s="64"/>
      <c r="AGX5" s="64"/>
      <c r="AGY5" s="64"/>
      <c r="AGZ5" s="64"/>
      <c r="AHA5" s="64"/>
      <c r="AHB5" s="64"/>
      <c r="AHC5" s="64"/>
      <c r="AHD5" s="64"/>
      <c r="AHE5" s="64"/>
      <c r="AHF5" s="64"/>
      <c r="AHG5" s="64"/>
      <c r="AHH5" s="64"/>
      <c r="AHI5" s="64"/>
      <c r="AHJ5" s="64"/>
      <c r="AHK5" s="64"/>
      <c r="AHL5" s="64"/>
      <c r="AHM5" s="64"/>
      <c r="AHN5" s="64"/>
      <c r="AHO5" s="64"/>
      <c r="AHP5" s="64"/>
      <c r="AHQ5" s="64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64"/>
      <c r="AIL5" s="64"/>
      <c r="AIM5" s="64"/>
      <c r="AIN5" s="64"/>
      <c r="AIO5" s="64"/>
      <c r="AIP5" s="64"/>
      <c r="AIQ5" s="64"/>
      <c r="AIR5" s="64"/>
      <c r="AIS5" s="64"/>
      <c r="AIT5" s="64"/>
      <c r="AIU5" s="64"/>
      <c r="AIV5" s="64"/>
      <c r="AIW5" s="64"/>
      <c r="AIX5" s="64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47"/>
      <c r="AJL5" s="2"/>
      <c r="AJM5" s="2"/>
      <c r="AJN5" s="2"/>
      <c r="AJO5" s="2"/>
      <c r="AJP5" s="2"/>
      <c r="AJQ5" s="2"/>
      <c r="AJR5" s="2"/>
      <c r="AJS5" s="2"/>
      <c r="AJT5" s="87"/>
      <c r="AJU5" s="87"/>
      <c r="AJV5" s="87"/>
      <c r="AJW5" s="87"/>
      <c r="AJX5" s="87"/>
      <c r="AJY5" s="89"/>
      <c r="AJZ5" s="67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67"/>
      <c r="ALY5" s="67"/>
      <c r="ALZ5" s="67"/>
      <c r="AMA5" s="67"/>
      <c r="AMB5" s="67"/>
      <c r="AMC5" s="67"/>
      <c r="AMD5" s="67"/>
      <c r="AME5" s="2"/>
      <c r="AMF5" s="2"/>
      <c r="AMG5" s="2"/>
      <c r="AMH5" s="2"/>
      <c r="AMI5" s="2"/>
      <c r="AMJ5" s="2"/>
      <c r="AMK5" s="47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87"/>
      <c r="ANI5" s="87"/>
      <c r="ANJ5" s="87"/>
      <c r="ANK5" s="87"/>
      <c r="ANL5" s="87"/>
      <c r="ANM5" s="89"/>
      <c r="ANN5" s="67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</row>
    <row r="6" spans="1:1082" ht="15.75" thickBot="1" x14ac:dyDescent="0.3">
      <c r="A6" s="377" t="s">
        <v>71</v>
      </c>
      <c r="B6" s="37" t="s">
        <v>32</v>
      </c>
      <c r="C6" s="2">
        <v>100</v>
      </c>
      <c r="D6" s="2">
        <v>99.9</v>
      </c>
      <c r="E6" s="2">
        <v>100</v>
      </c>
      <c r="F6" s="2">
        <v>100</v>
      </c>
      <c r="G6" s="2">
        <v>100</v>
      </c>
      <c r="H6" s="2">
        <v>100</v>
      </c>
      <c r="I6" s="2">
        <v>100</v>
      </c>
      <c r="J6" s="2">
        <v>100</v>
      </c>
      <c r="K6" s="2">
        <v>100</v>
      </c>
      <c r="L6" s="2">
        <v>100</v>
      </c>
      <c r="M6" s="2">
        <v>100</v>
      </c>
      <c r="N6" s="2">
        <v>99.99</v>
      </c>
      <c r="O6" s="2">
        <v>99.99</v>
      </c>
      <c r="P6" s="2">
        <v>99.92</v>
      </c>
      <c r="Q6" s="2">
        <v>99.97</v>
      </c>
      <c r="R6" s="2">
        <v>99.98</v>
      </c>
      <c r="S6" s="2">
        <v>99.99</v>
      </c>
      <c r="T6" s="2">
        <v>99.97</v>
      </c>
      <c r="U6" s="2">
        <v>100</v>
      </c>
      <c r="V6" s="2">
        <v>100</v>
      </c>
      <c r="W6" s="2">
        <v>99.99</v>
      </c>
      <c r="X6" s="2">
        <v>99.99</v>
      </c>
      <c r="Y6" s="2">
        <v>99.85</v>
      </c>
      <c r="Z6" s="2">
        <v>100</v>
      </c>
      <c r="AA6" s="2">
        <v>99.99</v>
      </c>
      <c r="AB6" s="2" t="s">
        <v>89</v>
      </c>
      <c r="AC6" s="2">
        <v>89.74</v>
      </c>
      <c r="AD6" s="2">
        <v>80.78</v>
      </c>
      <c r="AE6" s="2">
        <v>64.53</v>
      </c>
      <c r="AF6" s="2">
        <v>99.88</v>
      </c>
      <c r="AG6" s="2">
        <v>99.99</v>
      </c>
      <c r="AH6" s="2">
        <v>99.98</v>
      </c>
      <c r="AI6" s="2">
        <v>99.97</v>
      </c>
      <c r="AJ6" s="2">
        <v>99.97</v>
      </c>
      <c r="AK6" s="2">
        <v>99.98</v>
      </c>
      <c r="AL6" s="2">
        <v>99.97</v>
      </c>
      <c r="AM6" s="2">
        <v>99.97</v>
      </c>
      <c r="AN6" s="2">
        <v>99.98</v>
      </c>
      <c r="AO6" s="2">
        <v>99.99</v>
      </c>
      <c r="AP6" s="2">
        <v>99.99</v>
      </c>
      <c r="AQ6" s="2">
        <v>99.99</v>
      </c>
      <c r="AR6" s="2">
        <v>99.99</v>
      </c>
      <c r="AS6" s="2">
        <v>99.99</v>
      </c>
      <c r="AT6" s="2">
        <v>99.99</v>
      </c>
      <c r="AU6" s="2">
        <v>99.99</v>
      </c>
      <c r="AV6" s="2">
        <v>99.98</v>
      </c>
      <c r="AW6" s="2">
        <v>99.99</v>
      </c>
      <c r="AX6" s="2">
        <v>99.95</v>
      </c>
      <c r="AY6" s="2">
        <v>99.97</v>
      </c>
      <c r="AZ6" s="2">
        <v>99.98</v>
      </c>
      <c r="BA6" s="2">
        <v>99.99</v>
      </c>
      <c r="BB6" s="2">
        <v>99.99</v>
      </c>
      <c r="BC6" s="2">
        <v>99.96</v>
      </c>
      <c r="BD6" s="2">
        <v>99.99</v>
      </c>
      <c r="BE6" s="2">
        <v>99.99</v>
      </c>
      <c r="BF6" s="2">
        <v>99.98</v>
      </c>
      <c r="BG6" s="2">
        <v>99.95</v>
      </c>
      <c r="BH6" s="2">
        <v>99.99</v>
      </c>
      <c r="BI6" s="2">
        <v>99.99</v>
      </c>
      <c r="BJ6" s="2">
        <v>99.96</v>
      </c>
      <c r="BK6" s="2">
        <v>99.91</v>
      </c>
      <c r="BL6" s="2">
        <v>99.96</v>
      </c>
      <c r="BM6" s="2">
        <v>99.95</v>
      </c>
      <c r="BN6" s="2">
        <v>99.95</v>
      </c>
      <c r="BO6" s="2">
        <v>99.99</v>
      </c>
      <c r="BP6" s="2">
        <v>98.75</v>
      </c>
      <c r="BQ6" s="2">
        <v>97.97</v>
      </c>
      <c r="BR6" s="2">
        <v>100</v>
      </c>
      <c r="BS6" s="2">
        <v>100</v>
      </c>
      <c r="BT6" s="2">
        <v>96.08</v>
      </c>
      <c r="BU6" s="2">
        <v>94.08</v>
      </c>
      <c r="BV6" s="2">
        <v>94.54</v>
      </c>
      <c r="BW6" s="2">
        <v>99.96</v>
      </c>
      <c r="BX6" s="2">
        <v>99.95</v>
      </c>
      <c r="BY6" s="2">
        <v>99.99</v>
      </c>
      <c r="BZ6" s="2">
        <v>99.98</v>
      </c>
      <c r="CA6" s="2">
        <v>99.99</v>
      </c>
      <c r="CB6" s="2">
        <v>99.98</v>
      </c>
      <c r="CC6" s="2">
        <v>99.98</v>
      </c>
      <c r="CD6" s="2">
        <v>99.98</v>
      </c>
      <c r="CE6" s="2">
        <v>99.97</v>
      </c>
      <c r="CF6" s="2">
        <v>99.99</v>
      </c>
      <c r="CG6" s="2">
        <v>99.98</v>
      </c>
      <c r="CH6" s="2">
        <v>99.98</v>
      </c>
      <c r="CI6" s="2">
        <v>99.99</v>
      </c>
      <c r="CJ6" s="2">
        <v>99.9</v>
      </c>
      <c r="CK6" s="2">
        <v>99.94</v>
      </c>
      <c r="CL6" s="2">
        <v>99.94</v>
      </c>
      <c r="CM6" s="2">
        <v>99.99</v>
      </c>
      <c r="CN6" s="2">
        <v>99.97</v>
      </c>
      <c r="CO6" s="2">
        <v>99.96</v>
      </c>
      <c r="CP6" s="2">
        <v>99.96</v>
      </c>
      <c r="CQ6" s="2">
        <v>99.97</v>
      </c>
      <c r="CR6" s="2">
        <v>99.96</v>
      </c>
      <c r="CS6" s="2">
        <v>99.97</v>
      </c>
      <c r="CT6" s="2">
        <v>99.96</v>
      </c>
      <c r="CU6" s="2">
        <v>99.96</v>
      </c>
      <c r="CV6" s="2">
        <v>99.95</v>
      </c>
      <c r="CW6" s="2">
        <v>99.94</v>
      </c>
      <c r="CX6" s="2">
        <v>99.96</v>
      </c>
      <c r="CY6" s="2">
        <v>99.98</v>
      </c>
      <c r="CZ6" s="2">
        <v>99.99</v>
      </c>
      <c r="DA6" s="104">
        <v>99.91</v>
      </c>
      <c r="DB6" s="104">
        <v>99.98</v>
      </c>
      <c r="DC6" s="104">
        <v>99.97</v>
      </c>
      <c r="DD6" s="104">
        <v>99.98</v>
      </c>
      <c r="DE6" s="104">
        <v>99.98</v>
      </c>
      <c r="DF6" s="2">
        <v>99.99</v>
      </c>
      <c r="DG6" s="101">
        <v>99.94</v>
      </c>
      <c r="DH6" s="48" t="s">
        <v>117</v>
      </c>
      <c r="DI6" s="104" t="s">
        <v>117</v>
      </c>
      <c r="DJ6" s="104" t="s">
        <v>118</v>
      </c>
      <c r="DK6" s="104">
        <v>99.98</v>
      </c>
      <c r="DL6" s="104">
        <v>100</v>
      </c>
      <c r="DM6" s="104">
        <v>99.68</v>
      </c>
      <c r="DN6" s="104">
        <v>100</v>
      </c>
      <c r="DO6" s="104">
        <v>99.99</v>
      </c>
      <c r="DP6" s="104">
        <v>99.98</v>
      </c>
      <c r="DQ6" s="104">
        <v>99.98</v>
      </c>
      <c r="DR6" s="104">
        <v>99.97</v>
      </c>
      <c r="DS6" s="104">
        <v>99.98</v>
      </c>
      <c r="DT6" s="104">
        <v>99.98</v>
      </c>
      <c r="DU6" s="104">
        <v>99.92</v>
      </c>
      <c r="DV6" s="104">
        <v>99.99</v>
      </c>
      <c r="DW6" s="104">
        <v>99.99</v>
      </c>
      <c r="DX6" s="104">
        <v>99.99</v>
      </c>
      <c r="DY6" s="104">
        <v>100</v>
      </c>
      <c r="DZ6" s="104">
        <v>99.99</v>
      </c>
      <c r="EA6" s="104">
        <v>99.97</v>
      </c>
      <c r="EB6" s="104">
        <v>100</v>
      </c>
      <c r="EC6" s="104">
        <v>99.99</v>
      </c>
      <c r="ED6" s="104">
        <v>99.99</v>
      </c>
      <c r="EE6" s="104">
        <v>99.99</v>
      </c>
      <c r="EF6" s="104">
        <v>99.96</v>
      </c>
      <c r="EG6" s="104">
        <v>100</v>
      </c>
      <c r="EH6" s="104">
        <v>99.93</v>
      </c>
      <c r="EI6" s="104">
        <v>100</v>
      </c>
      <c r="EJ6" s="104">
        <v>99.99</v>
      </c>
      <c r="EK6" s="104">
        <v>99.99</v>
      </c>
      <c r="EL6" s="104">
        <v>100</v>
      </c>
      <c r="EM6" s="104">
        <v>100</v>
      </c>
      <c r="EN6" s="104">
        <v>100</v>
      </c>
      <c r="EO6" s="104">
        <v>100</v>
      </c>
      <c r="EP6" s="104">
        <v>100</v>
      </c>
      <c r="EQ6" s="104">
        <v>99.97</v>
      </c>
      <c r="ER6" s="104">
        <v>99.99</v>
      </c>
      <c r="ES6" s="104">
        <v>99.99</v>
      </c>
      <c r="ET6" s="104">
        <v>99.96</v>
      </c>
      <c r="EU6" s="104">
        <v>99.77</v>
      </c>
      <c r="EV6" s="104">
        <v>99.99</v>
      </c>
      <c r="EW6" s="104">
        <v>100</v>
      </c>
      <c r="EX6" s="104">
        <v>99.99</v>
      </c>
      <c r="EY6" s="104">
        <v>99.99</v>
      </c>
      <c r="EZ6" s="104">
        <v>99.99</v>
      </c>
      <c r="FA6" s="104">
        <v>100</v>
      </c>
      <c r="FB6" s="104">
        <v>100</v>
      </c>
      <c r="FC6" s="104">
        <v>100</v>
      </c>
      <c r="FD6" s="104">
        <v>100</v>
      </c>
      <c r="FE6" s="104">
        <v>99.99</v>
      </c>
      <c r="FF6" s="104">
        <v>99.99</v>
      </c>
      <c r="FG6" s="104">
        <v>99.99</v>
      </c>
      <c r="FH6" s="104">
        <v>100</v>
      </c>
      <c r="FI6" s="104">
        <v>99.98</v>
      </c>
      <c r="FJ6" s="104">
        <v>99.99</v>
      </c>
      <c r="FK6" s="104">
        <v>99.99</v>
      </c>
      <c r="FL6" s="104">
        <v>99.99</v>
      </c>
      <c r="FM6" s="104">
        <v>99.99</v>
      </c>
      <c r="FN6" s="104">
        <v>99.95</v>
      </c>
      <c r="FO6" s="104">
        <v>98.38</v>
      </c>
      <c r="FP6" s="104">
        <v>98.5</v>
      </c>
      <c r="FQ6" s="104">
        <v>99.87</v>
      </c>
      <c r="FR6" s="104">
        <v>99.97</v>
      </c>
      <c r="FS6" s="104">
        <v>99.99</v>
      </c>
      <c r="FT6" s="104">
        <v>99.84</v>
      </c>
      <c r="FU6" s="104">
        <v>99.96</v>
      </c>
      <c r="FV6" s="104">
        <v>99.98</v>
      </c>
      <c r="FW6" s="104">
        <v>95.55</v>
      </c>
      <c r="FX6" s="104">
        <v>99.98</v>
      </c>
      <c r="FY6" s="104">
        <v>99.98</v>
      </c>
      <c r="FZ6" s="104">
        <v>99.95</v>
      </c>
      <c r="GA6" s="104">
        <v>99.98</v>
      </c>
      <c r="GB6" s="104">
        <v>99.98</v>
      </c>
      <c r="GC6" s="104">
        <v>99.99</v>
      </c>
      <c r="GD6" s="104">
        <v>99.99</v>
      </c>
      <c r="GE6" s="104">
        <v>99.99</v>
      </c>
      <c r="GF6" s="104">
        <v>99.99</v>
      </c>
      <c r="GG6" s="104">
        <v>100</v>
      </c>
      <c r="GH6" s="104">
        <v>100</v>
      </c>
      <c r="GI6" s="104">
        <v>99.92</v>
      </c>
      <c r="GJ6" s="104">
        <v>99.45</v>
      </c>
      <c r="GK6" s="104">
        <v>99.98</v>
      </c>
      <c r="GL6" s="104">
        <v>99.98</v>
      </c>
      <c r="GM6" s="104">
        <v>100</v>
      </c>
      <c r="GN6" s="104">
        <v>99.99</v>
      </c>
      <c r="GO6" s="104">
        <v>100</v>
      </c>
      <c r="GP6" s="104">
        <v>99.99</v>
      </c>
      <c r="GQ6" s="104">
        <v>100</v>
      </c>
      <c r="GR6" s="104">
        <v>99.99</v>
      </c>
      <c r="GS6" s="104">
        <v>99.98</v>
      </c>
      <c r="GT6" s="116">
        <v>99.99</v>
      </c>
      <c r="GU6" s="48">
        <v>99.99</v>
      </c>
      <c r="GV6" s="2">
        <v>100</v>
      </c>
      <c r="GW6" s="2">
        <v>100</v>
      </c>
      <c r="GX6" s="117">
        <v>99.99</v>
      </c>
      <c r="GY6" s="53">
        <v>100</v>
      </c>
      <c r="GZ6" s="53">
        <v>100</v>
      </c>
      <c r="HA6" s="53">
        <v>100</v>
      </c>
      <c r="HB6" s="53">
        <v>100</v>
      </c>
      <c r="HC6" s="53">
        <v>100</v>
      </c>
      <c r="HD6" s="55">
        <v>99.99</v>
      </c>
      <c r="HE6" s="55">
        <v>100</v>
      </c>
      <c r="HF6" s="55">
        <v>100</v>
      </c>
      <c r="HG6" s="55">
        <v>100</v>
      </c>
      <c r="HH6" s="55">
        <v>100</v>
      </c>
      <c r="HI6" s="55">
        <v>100</v>
      </c>
      <c r="HJ6" s="55">
        <v>99.99</v>
      </c>
      <c r="HK6" s="55">
        <v>99.99</v>
      </c>
      <c r="HL6" s="55">
        <v>99.99</v>
      </c>
      <c r="HM6" s="55">
        <v>99.98</v>
      </c>
      <c r="HN6" s="55">
        <v>99.97</v>
      </c>
      <c r="HO6" s="55">
        <v>99.99</v>
      </c>
      <c r="HP6" s="55">
        <v>99.99</v>
      </c>
      <c r="HQ6" s="55">
        <v>99.99</v>
      </c>
      <c r="HR6" s="55">
        <v>99.99</v>
      </c>
      <c r="HS6" s="55">
        <v>99.99</v>
      </c>
      <c r="HT6" s="55">
        <v>99.98</v>
      </c>
      <c r="HU6" s="55">
        <v>99.99</v>
      </c>
      <c r="HV6" s="55">
        <v>99.99</v>
      </c>
      <c r="HW6" s="55">
        <v>100</v>
      </c>
      <c r="HX6" s="55">
        <v>100</v>
      </c>
      <c r="HY6" s="55">
        <v>99.99</v>
      </c>
      <c r="HZ6" s="55">
        <v>99.99</v>
      </c>
      <c r="IA6" s="55">
        <v>99.99</v>
      </c>
      <c r="IB6" s="55">
        <v>100</v>
      </c>
      <c r="IC6" s="55">
        <v>99.73</v>
      </c>
      <c r="ID6" s="55">
        <v>99.77</v>
      </c>
      <c r="IE6" s="55">
        <v>99.99</v>
      </c>
      <c r="IF6" s="55">
        <v>99.99</v>
      </c>
      <c r="IG6" s="55">
        <v>99.99</v>
      </c>
      <c r="IH6" s="55">
        <v>99.99</v>
      </c>
      <c r="II6" s="55">
        <v>99.78</v>
      </c>
      <c r="IJ6" s="55">
        <v>97.7</v>
      </c>
      <c r="IK6" s="55">
        <v>97.97</v>
      </c>
      <c r="IL6" s="55">
        <v>99.99</v>
      </c>
      <c r="IM6" s="55">
        <v>99.99</v>
      </c>
      <c r="IN6" s="55">
        <v>99.98</v>
      </c>
      <c r="IO6" s="100">
        <v>100</v>
      </c>
      <c r="IP6" s="100">
        <v>99.99</v>
      </c>
      <c r="IQ6" s="100">
        <v>99.98</v>
      </c>
      <c r="IR6" s="100">
        <v>99.99</v>
      </c>
      <c r="IS6" s="100">
        <v>99.99</v>
      </c>
      <c r="IT6" s="100">
        <v>99.99</v>
      </c>
      <c r="IU6" s="100">
        <v>99.99</v>
      </c>
      <c r="IV6" s="100">
        <v>99.99</v>
      </c>
      <c r="IW6" s="100">
        <v>99.99</v>
      </c>
      <c r="IX6" s="118">
        <v>99.99</v>
      </c>
      <c r="IY6" s="142">
        <v>98.76</v>
      </c>
      <c r="IZ6" s="142">
        <v>99.95</v>
      </c>
      <c r="JA6" s="142">
        <v>100</v>
      </c>
      <c r="JB6" s="143">
        <v>99.99</v>
      </c>
      <c r="JC6" s="117">
        <v>99.48</v>
      </c>
      <c r="JD6" s="53">
        <v>99.91</v>
      </c>
      <c r="JE6" s="2">
        <v>99.94</v>
      </c>
      <c r="JF6" s="64">
        <v>99.91</v>
      </c>
      <c r="JG6" s="64">
        <v>99.98</v>
      </c>
      <c r="JH6" s="64">
        <v>99.99</v>
      </c>
      <c r="JI6" s="64">
        <v>99.84</v>
      </c>
      <c r="JJ6" s="64">
        <v>99.93</v>
      </c>
      <c r="JK6" s="64">
        <v>99.95</v>
      </c>
      <c r="JL6" s="64">
        <v>99.95</v>
      </c>
      <c r="JM6" s="64">
        <v>100</v>
      </c>
      <c r="JN6" s="72">
        <v>100</v>
      </c>
      <c r="JO6" s="64">
        <v>99.76</v>
      </c>
      <c r="JP6" s="64">
        <v>99.94</v>
      </c>
      <c r="JQ6" s="64">
        <v>100</v>
      </c>
      <c r="JR6" s="64">
        <v>100</v>
      </c>
      <c r="JS6" s="104">
        <v>99.95</v>
      </c>
      <c r="JT6" s="64">
        <v>83.63</v>
      </c>
      <c r="JU6" s="64">
        <v>55.12</v>
      </c>
      <c r="JV6" s="64">
        <v>82.22</v>
      </c>
      <c r="JW6" s="64">
        <v>99.36</v>
      </c>
      <c r="JX6" s="64">
        <v>99.94</v>
      </c>
      <c r="JY6" s="64">
        <v>99.87</v>
      </c>
      <c r="JZ6" s="72">
        <v>99.96</v>
      </c>
      <c r="KA6" s="48">
        <v>99.99</v>
      </c>
      <c r="KB6" s="48">
        <v>99.99</v>
      </c>
      <c r="KC6" s="158">
        <v>99.99</v>
      </c>
      <c r="KD6" s="64">
        <v>99.93</v>
      </c>
      <c r="KE6" s="64">
        <v>99.98</v>
      </c>
      <c r="KF6" s="64">
        <v>99.98</v>
      </c>
      <c r="KG6" s="64">
        <v>99.91</v>
      </c>
      <c r="KH6" s="64">
        <v>99.47</v>
      </c>
      <c r="KI6" s="64">
        <v>99.99</v>
      </c>
      <c r="KJ6" s="64">
        <v>99.98</v>
      </c>
      <c r="KK6" s="64">
        <v>99.99</v>
      </c>
      <c r="KL6" s="64">
        <v>99.98</v>
      </c>
      <c r="KM6" s="64">
        <v>99.99</v>
      </c>
      <c r="KN6" s="64">
        <v>99.38</v>
      </c>
      <c r="KO6" s="64">
        <v>99.66</v>
      </c>
      <c r="KP6" s="64">
        <v>99.99</v>
      </c>
      <c r="KQ6" s="64">
        <v>99.99</v>
      </c>
      <c r="KR6" s="64">
        <v>99.94</v>
      </c>
      <c r="KS6" s="104">
        <v>99.98</v>
      </c>
      <c r="KT6" s="104">
        <v>99.99</v>
      </c>
      <c r="KU6" s="104">
        <v>99.99</v>
      </c>
      <c r="KV6" s="104">
        <v>99.99</v>
      </c>
      <c r="KW6" s="104">
        <v>99.99</v>
      </c>
      <c r="KX6" s="104">
        <v>99.98</v>
      </c>
      <c r="KY6" s="104">
        <v>99.63</v>
      </c>
      <c r="KZ6" s="104">
        <v>99.95</v>
      </c>
      <c r="LA6" s="104">
        <v>99.98</v>
      </c>
      <c r="LB6" s="104">
        <v>99.99</v>
      </c>
      <c r="LC6" s="104">
        <v>99.99</v>
      </c>
      <c r="LD6" s="104">
        <v>99.99</v>
      </c>
      <c r="LE6" s="104">
        <v>99.98</v>
      </c>
      <c r="LF6" s="104">
        <v>99.94</v>
      </c>
      <c r="LG6" s="104">
        <v>99.95</v>
      </c>
      <c r="LH6" s="104">
        <v>99.79</v>
      </c>
      <c r="LI6" s="104">
        <v>99.99</v>
      </c>
      <c r="LJ6" s="104">
        <v>99.99</v>
      </c>
      <c r="LK6" s="104">
        <v>99.99</v>
      </c>
      <c r="LL6" s="104">
        <v>99.98</v>
      </c>
      <c r="LM6" s="104">
        <v>99.72</v>
      </c>
      <c r="LN6" s="104">
        <v>99.99</v>
      </c>
      <c r="LO6" s="104">
        <v>99.99</v>
      </c>
      <c r="LP6" s="104">
        <v>99.95</v>
      </c>
      <c r="LQ6" s="104">
        <v>100</v>
      </c>
      <c r="LR6" s="104">
        <v>100</v>
      </c>
      <c r="LS6" s="104">
        <v>99.99</v>
      </c>
      <c r="LT6" s="104">
        <v>100</v>
      </c>
      <c r="LU6" s="104">
        <v>99.92</v>
      </c>
      <c r="LV6" s="104">
        <v>99.98</v>
      </c>
      <c r="LW6" s="104">
        <v>99.94</v>
      </c>
      <c r="LX6" s="104">
        <v>100</v>
      </c>
      <c r="LY6" s="104">
        <v>99.99</v>
      </c>
      <c r="LZ6" s="104">
        <v>100</v>
      </c>
      <c r="MA6" s="104">
        <v>100</v>
      </c>
      <c r="MB6" s="104">
        <v>99.96</v>
      </c>
      <c r="MC6" s="104">
        <v>100</v>
      </c>
      <c r="MD6" s="104">
        <v>100</v>
      </c>
      <c r="ME6" s="104">
        <v>100</v>
      </c>
      <c r="MF6" s="104">
        <v>100</v>
      </c>
      <c r="MG6" s="104">
        <v>100</v>
      </c>
      <c r="MH6" s="104">
        <v>99.88</v>
      </c>
      <c r="MI6" s="104">
        <v>99.57</v>
      </c>
      <c r="MJ6" s="104">
        <v>99.98</v>
      </c>
      <c r="MK6" s="104">
        <v>99.97</v>
      </c>
      <c r="ML6" s="104">
        <v>99.92</v>
      </c>
      <c r="MM6" s="104">
        <v>100</v>
      </c>
      <c r="MN6" s="104">
        <v>100</v>
      </c>
      <c r="MO6" s="104">
        <v>99.93</v>
      </c>
      <c r="MP6" s="104">
        <v>100</v>
      </c>
      <c r="MQ6" s="104">
        <v>100</v>
      </c>
      <c r="MR6" s="104">
        <v>100</v>
      </c>
      <c r="MS6" s="104">
        <v>100</v>
      </c>
      <c r="MT6" s="104">
        <v>99.99</v>
      </c>
      <c r="MU6" s="104">
        <v>100</v>
      </c>
      <c r="MV6" s="104">
        <v>99.99</v>
      </c>
      <c r="MW6" s="104">
        <v>99.99</v>
      </c>
      <c r="MX6" s="104">
        <v>100</v>
      </c>
      <c r="MY6" s="104">
        <v>100</v>
      </c>
      <c r="MZ6" s="2"/>
      <c r="NA6" s="2"/>
      <c r="NB6" s="64"/>
      <c r="NC6">
        <v>99.99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99.99</v>
      </c>
      <c r="NJ6">
        <v>99.94</v>
      </c>
      <c r="NK6">
        <v>100</v>
      </c>
      <c r="NL6">
        <v>98.55</v>
      </c>
      <c r="NM6">
        <v>96.21</v>
      </c>
      <c r="NN6" s="48">
        <v>98.24</v>
      </c>
      <c r="NO6" s="48">
        <v>100</v>
      </c>
      <c r="NP6" s="67">
        <v>99.99</v>
      </c>
      <c r="NQ6" s="48">
        <v>99.98</v>
      </c>
      <c r="NR6" s="48">
        <v>99.97</v>
      </c>
      <c r="NS6" s="71">
        <v>99.97</v>
      </c>
      <c r="NT6" s="48">
        <v>99.98</v>
      </c>
      <c r="NU6" s="104">
        <v>99.97</v>
      </c>
      <c r="NV6" s="104">
        <v>99.91</v>
      </c>
      <c r="NW6" s="104">
        <v>99.77</v>
      </c>
      <c r="NX6" s="104">
        <v>99.93</v>
      </c>
      <c r="NY6" s="64">
        <v>100</v>
      </c>
      <c r="NZ6" s="64">
        <v>100</v>
      </c>
      <c r="OA6" s="104">
        <v>99.99</v>
      </c>
      <c r="OB6" s="48">
        <v>99.97</v>
      </c>
      <c r="OC6" s="48">
        <v>99.99</v>
      </c>
      <c r="OD6" s="48">
        <v>99.99</v>
      </c>
      <c r="OE6" s="48">
        <v>99.99</v>
      </c>
      <c r="OF6" s="48">
        <v>99.96</v>
      </c>
      <c r="OG6" s="48">
        <v>99.77</v>
      </c>
      <c r="OH6" s="48">
        <v>94.63</v>
      </c>
      <c r="OI6" s="104">
        <v>90.76</v>
      </c>
      <c r="OJ6" s="104">
        <v>93.52</v>
      </c>
      <c r="OK6" s="104">
        <v>100</v>
      </c>
      <c r="OL6" s="64">
        <v>99.99</v>
      </c>
      <c r="OM6" s="2">
        <v>100</v>
      </c>
      <c r="ON6" s="2">
        <v>99.84</v>
      </c>
      <c r="OO6" s="48">
        <v>93.93</v>
      </c>
      <c r="OP6" s="48">
        <v>63.13</v>
      </c>
      <c r="OQ6" s="67">
        <v>99.97</v>
      </c>
      <c r="OR6" s="48">
        <v>99.86</v>
      </c>
      <c r="OS6" s="48">
        <v>99.48</v>
      </c>
      <c r="OT6" s="2">
        <v>99.86</v>
      </c>
      <c r="OU6" s="64">
        <v>99.9</v>
      </c>
      <c r="OV6" s="48">
        <v>99.79</v>
      </c>
      <c r="OW6" s="48">
        <v>99.73</v>
      </c>
      <c r="OX6" s="48">
        <v>99.9</v>
      </c>
      <c r="OY6" s="48">
        <v>84</v>
      </c>
      <c r="OZ6" s="2">
        <v>78.87</v>
      </c>
      <c r="PA6" s="104">
        <v>99.26</v>
      </c>
      <c r="PB6" s="104">
        <v>99.98</v>
      </c>
      <c r="PC6" s="48">
        <v>99.86</v>
      </c>
      <c r="PD6" s="48">
        <v>99.97</v>
      </c>
      <c r="PE6" s="67">
        <v>99.99</v>
      </c>
      <c r="PF6" s="48">
        <v>99.99</v>
      </c>
      <c r="PG6" s="67">
        <v>99.99</v>
      </c>
      <c r="PH6" s="71">
        <v>99.96</v>
      </c>
      <c r="PI6" s="64">
        <v>99.99</v>
      </c>
      <c r="PJ6" s="48">
        <v>99.96</v>
      </c>
      <c r="PK6" s="104">
        <v>100</v>
      </c>
      <c r="PL6" s="104">
        <v>100</v>
      </c>
      <c r="PM6" s="104">
        <v>92.82</v>
      </c>
      <c r="PN6" s="2">
        <v>97.95</v>
      </c>
      <c r="PO6" s="64">
        <v>99.92</v>
      </c>
      <c r="PP6" s="64">
        <v>99.94</v>
      </c>
      <c r="PQ6" s="64">
        <v>99.99</v>
      </c>
      <c r="PR6" s="104">
        <v>100</v>
      </c>
      <c r="PS6" s="104">
        <v>100</v>
      </c>
      <c r="PT6" s="104">
        <v>99.95</v>
      </c>
      <c r="PU6" s="64">
        <v>100</v>
      </c>
      <c r="PV6" s="64">
        <v>99.9</v>
      </c>
      <c r="PW6" s="64">
        <v>95.62</v>
      </c>
      <c r="PX6" s="64">
        <v>68.25</v>
      </c>
      <c r="PY6" s="64">
        <v>23.88</v>
      </c>
      <c r="PZ6" s="48">
        <v>77.02</v>
      </c>
      <c r="QA6" s="48">
        <v>39.479999999999997</v>
      </c>
      <c r="QB6" s="48">
        <v>90.39</v>
      </c>
      <c r="QC6" s="71">
        <v>71.88</v>
      </c>
      <c r="QD6" s="48">
        <v>99.74</v>
      </c>
      <c r="QE6" s="64">
        <v>99.8</v>
      </c>
      <c r="QF6" s="64">
        <v>99.9</v>
      </c>
      <c r="QG6" s="64">
        <v>99.95</v>
      </c>
      <c r="QH6" s="71">
        <v>99.95</v>
      </c>
      <c r="QI6" s="71">
        <v>99.99</v>
      </c>
      <c r="QJ6" s="48">
        <v>99.98</v>
      </c>
      <c r="QK6" s="48">
        <v>99.81</v>
      </c>
      <c r="QL6" s="48">
        <v>99.81</v>
      </c>
      <c r="QM6" s="104">
        <v>99.91</v>
      </c>
      <c r="QN6" s="104">
        <v>99.92</v>
      </c>
      <c r="QO6" s="104">
        <v>100</v>
      </c>
      <c r="QP6" s="104">
        <v>99.98</v>
      </c>
      <c r="QQ6" s="64">
        <v>100</v>
      </c>
      <c r="QR6" s="64">
        <v>100</v>
      </c>
      <c r="QS6" s="64">
        <v>99.9</v>
      </c>
      <c r="QT6" s="67">
        <v>99.99</v>
      </c>
      <c r="QU6" s="64">
        <v>100</v>
      </c>
      <c r="QV6" s="48">
        <v>99.99</v>
      </c>
      <c r="QW6" s="48">
        <v>99.99</v>
      </c>
      <c r="QX6" s="48">
        <v>99.99</v>
      </c>
      <c r="QY6" s="2">
        <v>100</v>
      </c>
      <c r="QZ6" s="64">
        <v>99.66</v>
      </c>
      <c r="RA6" s="101">
        <v>99.71</v>
      </c>
      <c r="RB6" s="101">
        <v>94.96</v>
      </c>
      <c r="RC6" s="102">
        <v>29.16</v>
      </c>
      <c r="RD6" s="64">
        <v>73.12</v>
      </c>
      <c r="RE6" s="48">
        <v>99.97</v>
      </c>
      <c r="RF6" s="64">
        <v>100</v>
      </c>
      <c r="RG6" s="48">
        <v>99.82</v>
      </c>
      <c r="RH6" s="48">
        <v>99.99</v>
      </c>
      <c r="RI6" s="48">
        <v>99.99</v>
      </c>
      <c r="RJ6" s="48">
        <v>99.99</v>
      </c>
      <c r="RK6" s="48">
        <v>99.98</v>
      </c>
      <c r="RL6" s="48">
        <v>99.99</v>
      </c>
      <c r="RM6" s="48">
        <v>99.99</v>
      </c>
      <c r="RN6" s="48">
        <v>100</v>
      </c>
      <c r="RO6" s="48">
        <v>100</v>
      </c>
      <c r="RP6" s="48">
        <v>100</v>
      </c>
      <c r="RQ6" s="48">
        <v>100</v>
      </c>
      <c r="RR6" s="48">
        <v>100</v>
      </c>
      <c r="RS6" s="48">
        <v>99.89</v>
      </c>
      <c r="RT6" s="48">
        <v>100</v>
      </c>
      <c r="RU6" s="64">
        <v>99.91</v>
      </c>
      <c r="RV6" s="104">
        <v>99.95</v>
      </c>
      <c r="RW6" s="104">
        <v>99.75</v>
      </c>
      <c r="RX6" s="104">
        <v>96.52</v>
      </c>
      <c r="RY6" s="64">
        <v>91.53</v>
      </c>
      <c r="RZ6" s="64">
        <v>93.08</v>
      </c>
      <c r="SA6" s="183"/>
      <c r="SB6" s="64"/>
      <c r="SC6" s="64"/>
      <c r="SD6" s="64"/>
      <c r="SE6" s="64"/>
      <c r="SF6" s="72"/>
      <c r="SG6" s="104">
        <v>98.6</v>
      </c>
      <c r="SH6" s="104">
        <v>97.69</v>
      </c>
      <c r="SI6" s="104">
        <v>99.37</v>
      </c>
      <c r="SJ6" s="104">
        <v>98.56</v>
      </c>
      <c r="SK6" s="104">
        <v>95.68</v>
      </c>
      <c r="SL6" s="104">
        <v>86.64</v>
      </c>
      <c r="SM6" s="64">
        <v>98.88</v>
      </c>
      <c r="SN6" s="64">
        <v>98.51</v>
      </c>
      <c r="SO6" s="64">
        <v>97.88</v>
      </c>
      <c r="SP6" s="48">
        <v>95.66</v>
      </c>
      <c r="SQ6" s="48">
        <v>98.39</v>
      </c>
      <c r="SR6" s="48">
        <v>99.31</v>
      </c>
      <c r="SS6" s="48">
        <v>98.22</v>
      </c>
      <c r="ST6" s="48">
        <v>98.76</v>
      </c>
      <c r="SU6" s="48">
        <v>98.35</v>
      </c>
      <c r="SV6" s="48">
        <v>98.65</v>
      </c>
      <c r="SW6" s="48">
        <v>98.29</v>
      </c>
      <c r="SX6" s="48">
        <v>98.35</v>
      </c>
      <c r="SY6" s="48">
        <v>98.03</v>
      </c>
      <c r="SZ6" s="48">
        <v>97.4</v>
      </c>
      <c r="TA6" s="172">
        <v>99.58</v>
      </c>
      <c r="TB6" s="48">
        <v>99.18</v>
      </c>
      <c r="TC6" s="64">
        <v>98.88</v>
      </c>
      <c r="TD6" s="64">
        <v>99.02</v>
      </c>
      <c r="TE6" s="64">
        <v>98.93</v>
      </c>
      <c r="TF6" s="64">
        <v>99.57</v>
      </c>
      <c r="TG6" s="64">
        <v>98.07</v>
      </c>
      <c r="TH6" s="64">
        <v>98.48</v>
      </c>
      <c r="TI6" s="64">
        <v>97.81</v>
      </c>
      <c r="TJ6" s="64">
        <v>99.09</v>
      </c>
      <c r="TK6" s="64">
        <v>98.56</v>
      </c>
      <c r="TL6" s="64">
        <v>98.72</v>
      </c>
      <c r="TM6" s="64">
        <v>98.83</v>
      </c>
      <c r="TN6" s="64">
        <v>98.71</v>
      </c>
      <c r="TO6" s="64">
        <v>98.57</v>
      </c>
      <c r="TP6" s="64">
        <v>99.38</v>
      </c>
      <c r="TQ6" s="64">
        <v>99.28</v>
      </c>
      <c r="TR6" s="64">
        <v>98.87</v>
      </c>
      <c r="TS6" s="64">
        <v>99.96</v>
      </c>
      <c r="TT6" s="64">
        <v>99.92</v>
      </c>
      <c r="TU6" s="64">
        <v>100</v>
      </c>
      <c r="TV6" s="48">
        <v>99.85</v>
      </c>
      <c r="TW6" s="48">
        <v>99.46</v>
      </c>
      <c r="TX6" s="64">
        <v>98.3</v>
      </c>
      <c r="TY6" s="64">
        <v>99.4</v>
      </c>
      <c r="TZ6" s="64">
        <v>99.5</v>
      </c>
      <c r="UA6" s="64">
        <v>98.61</v>
      </c>
      <c r="UB6" s="48">
        <v>98.22</v>
      </c>
      <c r="UC6" s="48">
        <v>98.98</v>
      </c>
      <c r="UD6" s="48">
        <v>99.56</v>
      </c>
      <c r="UE6" s="48">
        <v>99.96</v>
      </c>
      <c r="UF6" s="48">
        <v>99.98</v>
      </c>
      <c r="UG6" s="48">
        <v>99.89</v>
      </c>
      <c r="UH6" s="48">
        <v>99.04</v>
      </c>
      <c r="UI6" s="48">
        <v>97.84</v>
      </c>
      <c r="UJ6" s="48">
        <v>99.54</v>
      </c>
      <c r="UK6" s="48">
        <v>99.77</v>
      </c>
      <c r="UL6" s="48">
        <v>99.95</v>
      </c>
      <c r="UM6" s="64">
        <v>99.71</v>
      </c>
      <c r="UN6" s="48">
        <v>99.91</v>
      </c>
      <c r="UO6" s="48">
        <v>99.95</v>
      </c>
      <c r="UP6" s="48">
        <v>99.92</v>
      </c>
      <c r="UQ6" s="48">
        <v>99.97</v>
      </c>
      <c r="UR6" s="48">
        <v>99.94</v>
      </c>
      <c r="US6" s="104">
        <v>99.98</v>
      </c>
      <c r="UT6" s="104">
        <v>99.98</v>
      </c>
      <c r="UU6" s="104">
        <v>99.97</v>
      </c>
      <c r="UV6" s="104">
        <v>99.97</v>
      </c>
      <c r="UW6" s="104">
        <v>99.99</v>
      </c>
      <c r="UX6" s="48">
        <v>99.91</v>
      </c>
      <c r="UY6" s="64">
        <v>99.98</v>
      </c>
      <c r="UZ6" s="48">
        <v>99.87</v>
      </c>
      <c r="VA6" s="64">
        <v>99.94</v>
      </c>
      <c r="VB6" s="67">
        <v>99.86</v>
      </c>
      <c r="VC6" s="67">
        <v>99.98</v>
      </c>
      <c r="VD6" s="67">
        <v>99.97</v>
      </c>
      <c r="VE6" s="48">
        <v>99.98</v>
      </c>
      <c r="VF6" s="67">
        <v>99.93</v>
      </c>
      <c r="VG6" s="48">
        <v>99.89</v>
      </c>
      <c r="VH6" s="71">
        <v>99.91</v>
      </c>
      <c r="VI6" s="104">
        <v>99.89</v>
      </c>
      <c r="VJ6" s="104">
        <v>99.84</v>
      </c>
      <c r="VK6" s="104">
        <v>99.96</v>
      </c>
      <c r="VL6" s="64">
        <v>99.98</v>
      </c>
      <c r="VM6" s="48">
        <v>99.98</v>
      </c>
      <c r="VN6" s="64">
        <v>99.96</v>
      </c>
      <c r="VO6" s="64">
        <v>99.85</v>
      </c>
      <c r="VP6" s="104">
        <v>99.91</v>
      </c>
      <c r="VQ6" s="104">
        <v>99.98</v>
      </c>
      <c r="VR6" s="48">
        <v>99.97</v>
      </c>
      <c r="VS6" s="64"/>
      <c r="VT6" s="2"/>
      <c r="VU6" s="2"/>
      <c r="VV6" s="2"/>
      <c r="VW6" s="2"/>
      <c r="VX6" s="71"/>
      <c r="VY6" s="2"/>
      <c r="VZ6" s="71"/>
      <c r="WA6" s="71"/>
      <c r="WB6" s="71"/>
      <c r="WC6" s="71"/>
      <c r="WD6" s="46"/>
      <c r="WE6" s="71"/>
      <c r="WF6" s="82"/>
      <c r="WG6" s="82"/>
      <c r="WH6" s="71"/>
      <c r="WI6" s="71"/>
      <c r="WJ6" s="71"/>
      <c r="WK6" s="71"/>
      <c r="WL6" s="71"/>
      <c r="WM6" s="71"/>
      <c r="WN6" s="71"/>
      <c r="WO6" s="64"/>
      <c r="WP6" s="64"/>
      <c r="WQ6" s="64"/>
      <c r="WR6" s="64"/>
      <c r="WS6" s="64"/>
      <c r="WT6" s="64"/>
      <c r="WU6" s="64"/>
      <c r="WV6" s="64"/>
      <c r="WW6" s="64"/>
      <c r="WX6" s="64"/>
      <c r="WY6" s="64"/>
      <c r="WZ6" s="64"/>
      <c r="XA6" s="64"/>
      <c r="XB6" s="64"/>
      <c r="XC6" s="64"/>
      <c r="XD6" s="64"/>
      <c r="XE6" s="64"/>
      <c r="XF6" s="64"/>
      <c r="XG6" s="64"/>
      <c r="XH6" s="64"/>
      <c r="XI6" s="64"/>
      <c r="XJ6" s="64"/>
      <c r="XK6" s="64"/>
      <c r="XL6" s="64"/>
      <c r="XM6" s="64"/>
      <c r="XN6" s="64"/>
      <c r="XO6" s="64"/>
      <c r="XP6" s="64"/>
      <c r="XQ6" s="64"/>
      <c r="XR6" s="64"/>
      <c r="XS6" s="64"/>
      <c r="XT6" s="64"/>
      <c r="XU6" s="64"/>
      <c r="XV6" s="64"/>
      <c r="XW6" s="64"/>
      <c r="XX6" s="64"/>
      <c r="XY6" s="64"/>
      <c r="XZ6" s="64"/>
      <c r="YA6" s="64"/>
      <c r="YB6" s="64"/>
      <c r="YC6" s="64"/>
      <c r="YD6" s="64"/>
      <c r="YE6" s="64"/>
      <c r="YF6" s="64"/>
      <c r="YG6" s="64"/>
      <c r="YH6" s="64"/>
      <c r="YI6" s="64"/>
      <c r="YJ6" s="64"/>
      <c r="YK6" s="64"/>
      <c r="YL6" s="64"/>
      <c r="YM6" s="64"/>
      <c r="YN6" s="64"/>
      <c r="YO6" s="64"/>
      <c r="YP6" s="64"/>
      <c r="YQ6" s="64"/>
      <c r="YR6" s="64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64"/>
      <c r="ZH6" s="64"/>
      <c r="ZI6" s="64"/>
      <c r="ZJ6" s="64"/>
      <c r="ZK6" s="64"/>
      <c r="ZL6" s="64"/>
      <c r="ZM6" s="64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47"/>
      <c r="AAB6" s="64"/>
      <c r="AAC6" s="64"/>
      <c r="AAD6" s="64"/>
      <c r="AAE6" s="64"/>
      <c r="AAF6" s="72"/>
      <c r="AAG6" s="71"/>
      <c r="AAH6" s="91"/>
      <c r="AAI6" s="64"/>
      <c r="AAJ6" s="64"/>
      <c r="AAK6" s="64"/>
      <c r="AAL6" s="64"/>
      <c r="AAM6" s="64"/>
      <c r="AAN6" s="64"/>
      <c r="AAO6" s="64"/>
      <c r="AAP6" s="64"/>
      <c r="AAQ6" s="64"/>
      <c r="AAR6" s="64"/>
      <c r="AAS6" s="64"/>
      <c r="AAT6" s="64"/>
      <c r="AAU6" s="64"/>
      <c r="AAV6" s="64"/>
      <c r="AAW6" s="64"/>
      <c r="AAX6" s="64"/>
      <c r="AAY6" s="64"/>
      <c r="AAZ6" s="64"/>
      <c r="ABA6" s="64"/>
      <c r="ABB6" s="64"/>
      <c r="ABC6" s="64"/>
      <c r="ABD6" s="64"/>
      <c r="ABE6" s="64"/>
      <c r="ABF6" s="64"/>
      <c r="ABG6" s="64"/>
      <c r="ABH6" s="64"/>
      <c r="ABI6" s="64"/>
      <c r="ABJ6" s="64"/>
      <c r="ABK6" s="64"/>
      <c r="ABL6" s="64"/>
      <c r="ABM6" s="64"/>
      <c r="ABN6" s="64"/>
      <c r="ABO6" s="64"/>
      <c r="ABP6" s="64"/>
      <c r="ABQ6" s="64"/>
      <c r="ABR6" s="64"/>
      <c r="ABS6" s="64"/>
      <c r="ABT6" s="64"/>
      <c r="ABU6" s="2"/>
      <c r="ABV6" s="2"/>
      <c r="ABW6" s="64"/>
      <c r="ABX6" s="64"/>
      <c r="ABY6" s="64"/>
      <c r="ABZ6" s="64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47"/>
      <c r="ACL6" s="2"/>
      <c r="ACM6" s="2"/>
      <c r="ACN6" s="2"/>
      <c r="ACO6" s="2"/>
      <c r="ACP6" s="2"/>
      <c r="ACQ6" s="64"/>
      <c r="ACR6" s="64"/>
      <c r="ACS6" s="64"/>
      <c r="ACT6" s="64"/>
      <c r="ACU6" s="64"/>
      <c r="ACV6" s="64"/>
      <c r="ACW6" s="64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64"/>
      <c r="ADP6" s="64"/>
      <c r="ADQ6" s="64"/>
      <c r="ADR6" s="72"/>
      <c r="ADS6" s="64"/>
      <c r="ADT6" s="64"/>
      <c r="ADU6" s="64"/>
      <c r="ADV6" s="64"/>
      <c r="ADW6" s="64"/>
      <c r="ADX6" s="64"/>
      <c r="ADY6" s="64"/>
      <c r="ADZ6" s="64"/>
      <c r="AEA6" s="64"/>
      <c r="AEB6" s="64"/>
      <c r="AEC6" s="2"/>
      <c r="AED6" s="2"/>
      <c r="AEE6" s="2"/>
      <c r="AEF6" s="2"/>
      <c r="AEG6" s="2"/>
      <c r="AEH6" s="2"/>
      <c r="AEI6" s="2"/>
      <c r="AEJ6" s="64"/>
      <c r="AEK6" s="64"/>
      <c r="AEL6" s="64"/>
      <c r="AEM6" s="64"/>
      <c r="AEN6" s="64"/>
      <c r="AEO6" s="64"/>
      <c r="AEP6" s="64"/>
      <c r="AEQ6" s="2"/>
      <c r="AER6" s="2"/>
      <c r="AES6" s="2"/>
      <c r="AET6" s="2"/>
      <c r="AEU6" s="2"/>
      <c r="AEV6" s="2"/>
      <c r="AEW6" s="2"/>
      <c r="AEX6" s="64"/>
      <c r="AEY6" s="64"/>
      <c r="AEZ6" s="64"/>
      <c r="AFA6" s="64"/>
      <c r="AFB6" s="64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2"/>
      <c r="AID6" s="2"/>
      <c r="AIE6" s="2"/>
      <c r="AIF6" s="2"/>
      <c r="AIG6" s="2"/>
      <c r="AIH6" s="2"/>
      <c r="AII6" s="2"/>
      <c r="AIJ6" s="2"/>
      <c r="AIK6" s="64"/>
      <c r="AIL6" s="64"/>
      <c r="AIM6" s="64"/>
      <c r="AIN6" s="64"/>
      <c r="AIO6" s="64"/>
      <c r="AIP6" s="64"/>
      <c r="AIQ6" s="64"/>
      <c r="AIR6" s="64"/>
      <c r="AIS6" s="64"/>
      <c r="AIT6" s="64"/>
      <c r="AIU6" s="64"/>
      <c r="AIV6" s="64"/>
      <c r="AIW6" s="64"/>
      <c r="AIX6" s="64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47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47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47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47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</row>
    <row r="7" spans="1:1082" ht="15.75" thickBot="1" x14ac:dyDescent="0.3">
      <c r="A7" s="378"/>
      <c r="B7" s="38" t="s">
        <v>33</v>
      </c>
      <c r="C7" s="2">
        <v>100</v>
      </c>
      <c r="D7" s="2">
        <v>99.99</v>
      </c>
      <c r="E7" s="2">
        <v>100</v>
      </c>
      <c r="F7" s="2">
        <v>100</v>
      </c>
      <c r="G7" s="2">
        <v>100</v>
      </c>
      <c r="H7" s="2">
        <v>100</v>
      </c>
      <c r="I7" s="2">
        <v>100</v>
      </c>
      <c r="J7" s="2">
        <v>100</v>
      </c>
      <c r="K7" s="2">
        <v>100</v>
      </c>
      <c r="L7" s="2">
        <v>100</v>
      </c>
      <c r="M7" s="2">
        <v>100</v>
      </c>
      <c r="N7" s="2">
        <v>99.99</v>
      </c>
      <c r="O7" s="2">
        <v>99.99</v>
      </c>
      <c r="P7" s="2">
        <v>99.99</v>
      </c>
      <c r="Q7" s="2">
        <v>99.99</v>
      </c>
      <c r="R7" s="2">
        <v>99.99</v>
      </c>
      <c r="S7" s="2">
        <v>99.99</v>
      </c>
      <c r="T7" s="2">
        <v>99.99</v>
      </c>
      <c r="U7" s="2">
        <v>100</v>
      </c>
      <c r="V7" s="2">
        <v>100</v>
      </c>
      <c r="W7" s="2">
        <v>99.99</v>
      </c>
      <c r="X7" s="2">
        <v>99.99</v>
      </c>
      <c r="Y7" s="2">
        <v>99.99</v>
      </c>
      <c r="Z7" s="2">
        <v>100</v>
      </c>
      <c r="AA7" s="2">
        <v>99.99</v>
      </c>
      <c r="AB7" s="2" t="s">
        <v>89</v>
      </c>
      <c r="AC7" s="2">
        <v>89.74</v>
      </c>
      <c r="AD7" s="2">
        <v>80.78</v>
      </c>
      <c r="AE7" s="2">
        <v>64.53</v>
      </c>
      <c r="AF7" s="2">
        <v>99.99</v>
      </c>
      <c r="AG7" s="2">
        <v>99.99</v>
      </c>
      <c r="AH7" s="2">
        <v>99.99</v>
      </c>
      <c r="AI7" s="2">
        <v>99.99</v>
      </c>
      <c r="AJ7" s="2">
        <v>99.99</v>
      </c>
      <c r="AK7" s="2">
        <v>99.99</v>
      </c>
      <c r="AL7" s="2">
        <v>99.99</v>
      </c>
      <c r="AM7" s="2">
        <v>99.99</v>
      </c>
      <c r="AN7" s="2">
        <v>99.99</v>
      </c>
      <c r="AO7" s="2">
        <v>99.99</v>
      </c>
      <c r="AP7" s="2">
        <v>99.99</v>
      </c>
      <c r="AQ7" s="2">
        <v>99.99</v>
      </c>
      <c r="AR7" s="2">
        <v>99.99</v>
      </c>
      <c r="AS7" s="2">
        <v>99.99</v>
      </c>
      <c r="AT7" s="2">
        <v>99.99</v>
      </c>
      <c r="AU7" s="2">
        <v>99.99</v>
      </c>
      <c r="AV7" s="2">
        <v>99.99</v>
      </c>
      <c r="AW7" s="2">
        <v>99.99</v>
      </c>
      <c r="AX7" s="2">
        <v>99.99</v>
      </c>
      <c r="AY7" s="2">
        <v>99.99</v>
      </c>
      <c r="AZ7" s="2">
        <v>99.99</v>
      </c>
      <c r="BA7" s="2">
        <v>99.99</v>
      </c>
      <c r="BB7" s="2">
        <v>99.99</v>
      </c>
      <c r="BC7" s="2">
        <v>99.99</v>
      </c>
      <c r="BD7" s="2">
        <v>99.99</v>
      </c>
      <c r="BE7" s="2">
        <v>99.99</v>
      </c>
      <c r="BF7" s="2">
        <v>99.99</v>
      </c>
      <c r="BG7" s="2">
        <v>99.99</v>
      </c>
      <c r="BH7" s="2">
        <v>99.99</v>
      </c>
      <c r="BI7" s="2">
        <v>99.99</v>
      </c>
      <c r="BJ7" s="2">
        <v>99.99</v>
      </c>
      <c r="BK7" s="2">
        <v>99.99</v>
      </c>
      <c r="BL7" s="2">
        <v>99.99</v>
      </c>
      <c r="BM7" s="2">
        <v>99.99</v>
      </c>
      <c r="BN7" s="2">
        <v>99.99</v>
      </c>
      <c r="BO7" s="2">
        <v>99.99</v>
      </c>
      <c r="BP7" s="2">
        <v>99.99</v>
      </c>
      <c r="BQ7" s="2">
        <v>99.99</v>
      </c>
      <c r="BR7" s="2">
        <v>100</v>
      </c>
      <c r="BS7" s="2">
        <v>100</v>
      </c>
      <c r="BT7" s="2">
        <v>99.99</v>
      </c>
      <c r="BU7" s="2">
        <v>99.99</v>
      </c>
      <c r="BV7" s="2">
        <v>99.99</v>
      </c>
      <c r="BW7" s="2">
        <v>99.99</v>
      </c>
      <c r="BX7" s="2">
        <v>99.99</v>
      </c>
      <c r="BY7" s="2">
        <v>99.99</v>
      </c>
      <c r="BZ7" s="2">
        <v>99.99</v>
      </c>
      <c r="CA7" s="2">
        <v>99.99</v>
      </c>
      <c r="CB7" s="2">
        <v>99.99</v>
      </c>
      <c r="CC7" s="2">
        <v>99.99</v>
      </c>
      <c r="CD7" s="2">
        <v>99.99</v>
      </c>
      <c r="CE7" s="2">
        <v>99.99</v>
      </c>
      <c r="CF7" s="2">
        <v>99.99</v>
      </c>
      <c r="CG7" s="2">
        <v>99.99</v>
      </c>
      <c r="CH7" s="2">
        <v>99.99</v>
      </c>
      <c r="CI7" s="2">
        <v>99.99</v>
      </c>
      <c r="CJ7" s="2">
        <v>99.99</v>
      </c>
      <c r="CK7" s="2">
        <v>99.99</v>
      </c>
      <c r="CL7" s="2">
        <v>99.99</v>
      </c>
      <c r="CM7" s="2">
        <v>99.99</v>
      </c>
      <c r="CN7" s="2">
        <v>99.99</v>
      </c>
      <c r="CO7" s="2">
        <v>99.99</v>
      </c>
      <c r="CP7" s="2">
        <v>99.99</v>
      </c>
      <c r="CQ7" s="2">
        <v>99.99</v>
      </c>
      <c r="CR7" s="2">
        <v>99.99</v>
      </c>
      <c r="CS7" s="2">
        <v>99.99</v>
      </c>
      <c r="CT7" s="2">
        <v>99.99</v>
      </c>
      <c r="CU7" s="2">
        <v>99.99</v>
      </c>
      <c r="CV7" s="2">
        <v>99.99</v>
      </c>
      <c r="CW7" s="2">
        <v>99.99</v>
      </c>
      <c r="CX7" s="2">
        <v>99.99</v>
      </c>
      <c r="CY7" s="2">
        <v>99.99</v>
      </c>
      <c r="CZ7" s="2">
        <v>99.99</v>
      </c>
      <c r="DA7" s="67">
        <v>99.91</v>
      </c>
      <c r="DB7" s="67">
        <v>99.98</v>
      </c>
      <c r="DC7" s="67">
        <v>99.97</v>
      </c>
      <c r="DD7" s="67">
        <v>99.98</v>
      </c>
      <c r="DE7" s="67">
        <v>99.98</v>
      </c>
      <c r="DF7" s="2">
        <v>99.99</v>
      </c>
      <c r="DG7" s="87">
        <v>99.94</v>
      </c>
      <c r="DH7" s="48" t="s">
        <v>117</v>
      </c>
      <c r="DI7" s="104" t="s">
        <v>117</v>
      </c>
      <c r="DJ7" s="104" t="s">
        <v>118</v>
      </c>
      <c r="DK7" s="104">
        <v>99.98</v>
      </c>
      <c r="DL7" s="104">
        <v>100</v>
      </c>
      <c r="DM7" s="104">
        <v>99.75</v>
      </c>
      <c r="DN7" s="104">
        <v>100</v>
      </c>
      <c r="DO7" s="104">
        <v>100</v>
      </c>
      <c r="DP7" s="104">
        <v>99.98</v>
      </c>
      <c r="DQ7" s="104">
        <v>99.98</v>
      </c>
      <c r="DR7" s="104">
        <v>99.97</v>
      </c>
      <c r="DS7" s="104">
        <v>99.98</v>
      </c>
      <c r="DT7" s="104">
        <v>99.98</v>
      </c>
      <c r="DU7" s="104">
        <v>99.92</v>
      </c>
      <c r="DV7" s="104">
        <v>100</v>
      </c>
      <c r="DW7" s="104">
        <v>100</v>
      </c>
      <c r="DX7" s="104">
        <v>100</v>
      </c>
      <c r="DY7" s="104">
        <v>100</v>
      </c>
      <c r="DZ7" s="104">
        <v>99.99</v>
      </c>
      <c r="EA7" s="104">
        <v>99.97</v>
      </c>
      <c r="EB7" s="104">
        <v>100</v>
      </c>
      <c r="EC7" s="104">
        <v>100</v>
      </c>
      <c r="ED7" s="104">
        <v>100</v>
      </c>
      <c r="EE7" s="104">
        <v>100</v>
      </c>
      <c r="EF7" s="104">
        <v>99.96</v>
      </c>
      <c r="EG7" s="104">
        <v>100</v>
      </c>
      <c r="EH7" s="104">
        <v>99.93</v>
      </c>
      <c r="EI7" s="104">
        <v>100</v>
      </c>
      <c r="EJ7" s="104">
        <v>99.99</v>
      </c>
      <c r="EK7" s="104">
        <v>100</v>
      </c>
      <c r="EL7" s="104">
        <v>100</v>
      </c>
      <c r="EM7" s="104">
        <v>100</v>
      </c>
      <c r="EN7" s="104">
        <v>100</v>
      </c>
      <c r="EO7" s="104">
        <v>100</v>
      </c>
      <c r="EP7" s="104">
        <v>100</v>
      </c>
      <c r="EQ7" s="104">
        <v>99.98</v>
      </c>
      <c r="ER7" s="104">
        <v>100</v>
      </c>
      <c r="ES7" s="104">
        <v>100</v>
      </c>
      <c r="ET7" s="104">
        <v>99.96</v>
      </c>
      <c r="EU7" s="104">
        <v>99.77</v>
      </c>
      <c r="EV7" s="104">
        <v>99.99</v>
      </c>
      <c r="EW7" s="104">
        <v>100</v>
      </c>
      <c r="EX7" s="104">
        <v>100</v>
      </c>
      <c r="EY7" s="104">
        <v>100</v>
      </c>
      <c r="EZ7" s="104">
        <v>99.99</v>
      </c>
      <c r="FA7" s="104">
        <v>100</v>
      </c>
      <c r="FB7" s="104">
        <v>100</v>
      </c>
      <c r="FC7" s="104">
        <v>100</v>
      </c>
      <c r="FD7" s="104">
        <v>100</v>
      </c>
      <c r="FE7" s="104">
        <v>100</v>
      </c>
      <c r="FF7" s="104">
        <v>99.99</v>
      </c>
      <c r="FG7" s="104">
        <v>100</v>
      </c>
      <c r="FH7" s="104">
        <v>100</v>
      </c>
      <c r="FI7" s="104">
        <v>99.98</v>
      </c>
      <c r="FJ7" s="104">
        <v>99.99</v>
      </c>
      <c r="FK7" s="104">
        <v>99.99</v>
      </c>
      <c r="FL7" s="104">
        <v>100</v>
      </c>
      <c r="FM7" s="104">
        <v>99.99</v>
      </c>
      <c r="FN7" s="104">
        <v>99.95</v>
      </c>
      <c r="FO7" s="104">
        <v>98.38</v>
      </c>
      <c r="FP7" s="104">
        <v>98.5</v>
      </c>
      <c r="FQ7" s="104">
        <v>99.87</v>
      </c>
      <c r="FR7" s="104">
        <v>99.97</v>
      </c>
      <c r="FS7" s="104">
        <v>99.99</v>
      </c>
      <c r="FT7" s="104">
        <v>99.84</v>
      </c>
      <c r="FU7" s="104">
        <v>99.96</v>
      </c>
      <c r="FV7" s="104">
        <v>99.99</v>
      </c>
      <c r="FW7" s="104">
        <v>95.55</v>
      </c>
      <c r="FX7" s="104">
        <v>99.98</v>
      </c>
      <c r="FY7" s="104">
        <v>99.98</v>
      </c>
      <c r="FZ7" s="104">
        <v>99.96</v>
      </c>
      <c r="GA7" s="104">
        <v>99.99</v>
      </c>
      <c r="GB7" s="104">
        <v>99.99</v>
      </c>
      <c r="GC7" s="104">
        <v>99.99</v>
      </c>
      <c r="GD7" s="104">
        <v>99.99</v>
      </c>
      <c r="GE7" s="104">
        <v>99.99</v>
      </c>
      <c r="GF7" s="104">
        <v>99.99</v>
      </c>
      <c r="GG7" s="104">
        <v>100</v>
      </c>
      <c r="GH7" s="104">
        <v>100</v>
      </c>
      <c r="GI7" s="104">
        <v>100</v>
      </c>
      <c r="GJ7" s="104">
        <v>99.45</v>
      </c>
      <c r="GK7" s="104">
        <v>99.98</v>
      </c>
      <c r="GL7" s="104">
        <v>99.98</v>
      </c>
      <c r="GM7" s="104">
        <v>100</v>
      </c>
      <c r="GN7" s="104">
        <v>99.99</v>
      </c>
      <c r="GO7" s="104">
        <v>100</v>
      </c>
      <c r="GP7" s="104">
        <v>99.99</v>
      </c>
      <c r="GQ7" s="104">
        <v>100</v>
      </c>
      <c r="GR7" s="104">
        <v>99.99</v>
      </c>
      <c r="GS7" s="104">
        <v>99.98</v>
      </c>
      <c r="GT7" s="116">
        <v>99.99</v>
      </c>
      <c r="GU7" s="48">
        <v>99.99</v>
      </c>
      <c r="GV7" s="2">
        <v>100</v>
      </c>
      <c r="GW7" s="2">
        <v>100</v>
      </c>
      <c r="GX7" s="87">
        <v>99.99</v>
      </c>
      <c r="GY7" s="53">
        <v>100</v>
      </c>
      <c r="GZ7" s="53">
        <v>100</v>
      </c>
      <c r="HA7" s="53">
        <v>100</v>
      </c>
      <c r="HB7" s="53">
        <v>100</v>
      </c>
      <c r="HC7" s="53">
        <v>100</v>
      </c>
      <c r="HD7" s="55">
        <v>99.99</v>
      </c>
      <c r="HE7" s="55">
        <v>100</v>
      </c>
      <c r="HF7" s="55">
        <v>100</v>
      </c>
      <c r="HG7" s="55">
        <v>100</v>
      </c>
      <c r="HH7" s="55">
        <v>100</v>
      </c>
      <c r="HI7" s="55">
        <v>100</v>
      </c>
      <c r="HJ7" s="55">
        <v>99.99</v>
      </c>
      <c r="HK7" s="55">
        <v>99.99</v>
      </c>
      <c r="HL7" s="55">
        <v>99.99</v>
      </c>
      <c r="HM7" s="55">
        <v>99.98</v>
      </c>
      <c r="HN7" s="55">
        <v>99.97</v>
      </c>
      <c r="HO7" s="55">
        <v>99.99</v>
      </c>
      <c r="HP7" s="55">
        <v>99.99</v>
      </c>
      <c r="HQ7" s="55">
        <v>99.99</v>
      </c>
      <c r="HR7" s="55">
        <v>99.99</v>
      </c>
      <c r="HS7" s="55">
        <v>99.99</v>
      </c>
      <c r="HT7" s="55">
        <v>99.98</v>
      </c>
      <c r="HU7" s="55">
        <v>99.99</v>
      </c>
      <c r="HV7" s="55">
        <v>99.99</v>
      </c>
      <c r="HW7" s="55">
        <v>100</v>
      </c>
      <c r="HX7" s="55">
        <v>100</v>
      </c>
      <c r="HY7" s="55">
        <v>99.99</v>
      </c>
      <c r="HZ7" s="55">
        <v>99.99</v>
      </c>
      <c r="IA7" s="55">
        <v>99.99</v>
      </c>
      <c r="IB7" s="55">
        <v>100</v>
      </c>
      <c r="IC7" s="55">
        <v>99.73</v>
      </c>
      <c r="ID7" s="55">
        <v>99.77</v>
      </c>
      <c r="IE7" s="55">
        <v>99.99</v>
      </c>
      <c r="IF7" s="55">
        <v>99.99</v>
      </c>
      <c r="IG7" s="55">
        <v>99.99</v>
      </c>
      <c r="IH7" s="55">
        <v>99.99</v>
      </c>
      <c r="II7" s="55">
        <v>99.78</v>
      </c>
      <c r="IJ7" s="55">
        <v>97.7</v>
      </c>
      <c r="IK7" s="55">
        <v>97.97</v>
      </c>
      <c r="IL7" s="55">
        <v>99.99</v>
      </c>
      <c r="IM7" s="55">
        <v>99.99</v>
      </c>
      <c r="IN7" s="55">
        <v>99.98</v>
      </c>
      <c r="IO7" s="100">
        <v>100</v>
      </c>
      <c r="IP7" s="100">
        <v>100</v>
      </c>
      <c r="IQ7" s="100">
        <v>99.98</v>
      </c>
      <c r="IR7" s="100">
        <v>99.99</v>
      </c>
      <c r="IS7" s="100">
        <v>99.99</v>
      </c>
      <c r="IT7" s="100">
        <v>99.99</v>
      </c>
      <c r="IU7" s="100">
        <v>99.99</v>
      </c>
      <c r="IV7" s="100">
        <v>99.99</v>
      </c>
      <c r="IW7" s="100">
        <v>100</v>
      </c>
      <c r="IX7" s="118">
        <v>100</v>
      </c>
      <c r="IY7" s="143">
        <v>98.76</v>
      </c>
      <c r="IZ7" s="46">
        <v>99.95</v>
      </c>
      <c r="JA7" s="46">
        <v>100</v>
      </c>
      <c r="JB7" s="46">
        <v>99.99</v>
      </c>
      <c r="JC7" s="100">
        <v>99.48</v>
      </c>
      <c r="JD7" s="56">
        <v>99.91</v>
      </c>
      <c r="JE7" s="64">
        <v>99.94</v>
      </c>
      <c r="JF7" s="64">
        <v>99.91</v>
      </c>
      <c r="JG7" s="64">
        <v>99.98</v>
      </c>
      <c r="JH7" s="64">
        <v>99.99</v>
      </c>
      <c r="JI7" s="64">
        <v>99.85</v>
      </c>
      <c r="JJ7" s="64">
        <v>99.93</v>
      </c>
      <c r="JK7" s="64">
        <v>99.95</v>
      </c>
      <c r="JL7" s="64">
        <v>99.95</v>
      </c>
      <c r="JM7" s="64">
        <v>100</v>
      </c>
      <c r="JN7" s="72">
        <v>100</v>
      </c>
      <c r="JO7" s="64">
        <v>99.76</v>
      </c>
      <c r="JP7" s="48">
        <v>99.94</v>
      </c>
      <c r="JQ7" s="64">
        <v>100</v>
      </c>
      <c r="JR7" s="64">
        <v>100</v>
      </c>
      <c r="JS7" s="64">
        <v>99.95</v>
      </c>
      <c r="JT7" s="64">
        <v>83.63</v>
      </c>
      <c r="JU7" s="64">
        <v>55.12</v>
      </c>
      <c r="JV7" s="64">
        <v>82.22</v>
      </c>
      <c r="JW7" s="64">
        <v>99.36</v>
      </c>
      <c r="JX7" s="64">
        <v>99.94</v>
      </c>
      <c r="JY7" s="64">
        <v>99.87</v>
      </c>
      <c r="JZ7" s="72">
        <v>99.96</v>
      </c>
      <c r="KA7" s="69">
        <v>100</v>
      </c>
      <c r="KB7" s="64">
        <v>100</v>
      </c>
      <c r="KC7" s="72">
        <v>100</v>
      </c>
      <c r="KD7" s="64">
        <v>99.94</v>
      </c>
      <c r="KE7" s="64">
        <v>99.99</v>
      </c>
      <c r="KF7" s="64">
        <v>99.98</v>
      </c>
      <c r="KG7" s="64">
        <v>99.92</v>
      </c>
      <c r="KH7" s="64">
        <v>99.48</v>
      </c>
      <c r="KI7" s="64">
        <v>99.99</v>
      </c>
      <c r="KJ7" s="64">
        <v>99.99</v>
      </c>
      <c r="KK7" s="64">
        <v>99.99</v>
      </c>
      <c r="KL7" s="64">
        <v>99.99</v>
      </c>
      <c r="KM7" s="64">
        <v>99.99</v>
      </c>
      <c r="KN7" s="64">
        <v>99.38</v>
      </c>
      <c r="KO7" s="64">
        <v>99.66</v>
      </c>
      <c r="KP7" s="64">
        <v>99.66</v>
      </c>
      <c r="KQ7" s="64">
        <v>99.99</v>
      </c>
      <c r="KR7" s="48">
        <v>99.94</v>
      </c>
      <c r="KS7" s="64">
        <v>99.98</v>
      </c>
      <c r="KT7" s="104">
        <v>99.99</v>
      </c>
      <c r="KU7" s="104">
        <v>99.99</v>
      </c>
      <c r="KV7" s="104">
        <v>99.99</v>
      </c>
      <c r="KW7" s="104">
        <v>99.99</v>
      </c>
      <c r="KX7" s="104">
        <v>99.98</v>
      </c>
      <c r="KY7" s="104">
        <v>99.63</v>
      </c>
      <c r="KZ7" s="104">
        <v>99.95</v>
      </c>
      <c r="LA7" s="104">
        <v>99.98</v>
      </c>
      <c r="LB7" s="104">
        <v>99.99</v>
      </c>
      <c r="LC7" s="104">
        <v>99.99</v>
      </c>
      <c r="LD7" s="104">
        <v>99.99</v>
      </c>
      <c r="LE7" s="104">
        <v>99.98</v>
      </c>
      <c r="LF7" s="104">
        <v>99.94</v>
      </c>
      <c r="LG7" s="104">
        <v>99.95</v>
      </c>
      <c r="LH7" s="104">
        <v>99.79</v>
      </c>
      <c r="LI7" s="104">
        <v>99.99</v>
      </c>
      <c r="LJ7" s="104">
        <v>99.99</v>
      </c>
      <c r="LK7" s="104">
        <v>99.99</v>
      </c>
      <c r="LL7" s="104">
        <v>99.98</v>
      </c>
      <c r="LM7" s="104">
        <v>99.72</v>
      </c>
      <c r="LN7" s="104">
        <v>99.99</v>
      </c>
      <c r="LO7" s="104">
        <v>99.99</v>
      </c>
      <c r="LP7" s="104">
        <v>99.95</v>
      </c>
      <c r="LQ7" s="104">
        <v>100</v>
      </c>
      <c r="LR7" s="104">
        <v>100</v>
      </c>
      <c r="LS7" s="104">
        <v>99.99</v>
      </c>
      <c r="LT7" s="104">
        <v>100</v>
      </c>
      <c r="LU7" s="104">
        <v>99.92</v>
      </c>
      <c r="LV7" s="104">
        <v>99.98</v>
      </c>
      <c r="LW7" s="104">
        <v>99.94</v>
      </c>
      <c r="LX7" s="104">
        <v>100</v>
      </c>
      <c r="LY7" s="104">
        <v>99.99</v>
      </c>
      <c r="LZ7" s="104">
        <v>100</v>
      </c>
      <c r="MA7" s="104">
        <v>100</v>
      </c>
      <c r="MB7" s="104">
        <v>99.96</v>
      </c>
      <c r="MC7" s="104">
        <v>100</v>
      </c>
      <c r="MD7" s="104">
        <v>100</v>
      </c>
      <c r="ME7" s="104">
        <v>100</v>
      </c>
      <c r="MF7" s="104">
        <v>100</v>
      </c>
      <c r="MG7" s="104">
        <v>100</v>
      </c>
      <c r="MH7" s="104">
        <v>99.88</v>
      </c>
      <c r="MI7" s="104">
        <v>99.57</v>
      </c>
      <c r="MJ7" s="104">
        <v>99.98</v>
      </c>
      <c r="MK7" s="104">
        <v>99.97</v>
      </c>
      <c r="ML7" s="104">
        <v>99.92</v>
      </c>
      <c r="MM7" s="104">
        <v>100</v>
      </c>
      <c r="MN7" s="104">
        <v>100</v>
      </c>
      <c r="MO7" s="104">
        <v>99.93</v>
      </c>
      <c r="MP7" s="104">
        <v>100</v>
      </c>
      <c r="MQ7" s="104">
        <v>100</v>
      </c>
      <c r="MR7" s="104">
        <v>100</v>
      </c>
      <c r="MS7" s="104">
        <v>100</v>
      </c>
      <c r="MT7" s="104">
        <v>99.99</v>
      </c>
      <c r="MU7" s="104">
        <v>100</v>
      </c>
      <c r="MV7" s="104">
        <v>99.99</v>
      </c>
      <c r="MW7" s="104">
        <v>99.99</v>
      </c>
      <c r="MX7" s="104">
        <v>100</v>
      </c>
      <c r="MY7" s="104">
        <v>100</v>
      </c>
      <c r="MZ7" s="2"/>
      <c r="NA7" s="2"/>
      <c r="NB7" s="64"/>
      <c r="NC7">
        <v>99.99</v>
      </c>
      <c r="ND7">
        <v>100</v>
      </c>
      <c r="NE7">
        <v>100</v>
      </c>
      <c r="NF7">
        <v>100</v>
      </c>
      <c r="NG7">
        <v>100</v>
      </c>
      <c r="NH7">
        <v>100</v>
      </c>
      <c r="NI7">
        <v>99.99</v>
      </c>
      <c r="NJ7">
        <v>99.94</v>
      </c>
      <c r="NK7">
        <v>100</v>
      </c>
      <c r="NL7">
        <v>98.55</v>
      </c>
      <c r="NM7">
        <v>96.21</v>
      </c>
      <c r="NN7" s="48">
        <v>98.24</v>
      </c>
      <c r="NO7" s="48">
        <v>100</v>
      </c>
      <c r="NP7" s="67">
        <v>99.99</v>
      </c>
      <c r="NQ7" s="48">
        <v>99.98</v>
      </c>
      <c r="NR7" s="48">
        <v>99.98</v>
      </c>
      <c r="NS7" s="71">
        <v>99.97</v>
      </c>
      <c r="NT7" s="48">
        <v>99.98</v>
      </c>
      <c r="NU7" s="64">
        <v>99.97</v>
      </c>
      <c r="NV7" s="64">
        <v>99.91</v>
      </c>
      <c r="NW7" s="64">
        <v>99.77</v>
      </c>
      <c r="NX7" s="64">
        <v>99.93</v>
      </c>
      <c r="NY7" s="64">
        <v>100</v>
      </c>
      <c r="NZ7" s="2">
        <v>100</v>
      </c>
      <c r="OA7" s="64">
        <v>99.99</v>
      </c>
      <c r="OB7" s="64">
        <v>99.97</v>
      </c>
      <c r="OC7" s="64">
        <v>99.99</v>
      </c>
      <c r="OD7" s="64">
        <v>100</v>
      </c>
      <c r="OE7" s="64">
        <v>100</v>
      </c>
      <c r="OF7" s="48">
        <v>99.96</v>
      </c>
      <c r="OG7" s="48">
        <v>99.77</v>
      </c>
      <c r="OH7" s="67">
        <v>94.63</v>
      </c>
      <c r="OI7" s="67">
        <v>90.76</v>
      </c>
      <c r="OJ7" s="2">
        <v>93.52</v>
      </c>
      <c r="OK7" s="2">
        <v>100</v>
      </c>
      <c r="OL7" s="64">
        <v>99.99</v>
      </c>
      <c r="OM7" s="2">
        <v>100</v>
      </c>
      <c r="ON7" s="2">
        <v>99.84</v>
      </c>
      <c r="OO7" s="48">
        <v>93.94</v>
      </c>
      <c r="OP7" s="67">
        <v>63.13</v>
      </c>
      <c r="OQ7" s="67">
        <v>99.97</v>
      </c>
      <c r="OR7" s="2">
        <v>99.86</v>
      </c>
      <c r="OS7" s="48">
        <v>99.48</v>
      </c>
      <c r="OT7" s="2">
        <v>99.86</v>
      </c>
      <c r="OU7" s="48">
        <v>99.9</v>
      </c>
      <c r="OV7" s="64">
        <v>99.79</v>
      </c>
      <c r="OW7" s="2">
        <v>99.73</v>
      </c>
      <c r="OX7" s="2">
        <v>99.91</v>
      </c>
      <c r="OY7" s="2">
        <v>84.01</v>
      </c>
      <c r="OZ7" s="2">
        <v>78.87</v>
      </c>
      <c r="PA7" s="64">
        <v>99.26</v>
      </c>
      <c r="PB7" s="64">
        <v>99.98</v>
      </c>
      <c r="PC7" s="2">
        <v>99.86</v>
      </c>
      <c r="PD7" s="48">
        <v>99.97</v>
      </c>
      <c r="PE7" s="64">
        <v>100</v>
      </c>
      <c r="PF7" s="64">
        <v>100</v>
      </c>
      <c r="PG7" s="67">
        <v>99.99</v>
      </c>
      <c r="PH7" s="71">
        <v>99.96</v>
      </c>
      <c r="PI7" s="48">
        <v>99.99</v>
      </c>
      <c r="PJ7" s="48">
        <v>99.96</v>
      </c>
      <c r="PK7" s="64">
        <v>100</v>
      </c>
      <c r="PL7" s="64">
        <v>100</v>
      </c>
      <c r="PM7" s="64">
        <v>92.82</v>
      </c>
      <c r="PN7" s="2">
        <v>97.95</v>
      </c>
      <c r="PO7" s="64">
        <v>99.92</v>
      </c>
      <c r="PP7" s="64">
        <v>99.94</v>
      </c>
      <c r="PQ7" s="64">
        <v>99.99</v>
      </c>
      <c r="PR7" s="64">
        <v>100</v>
      </c>
      <c r="PS7" s="64">
        <v>100</v>
      </c>
      <c r="PT7" s="64">
        <v>99.99</v>
      </c>
      <c r="PU7" s="64">
        <v>100</v>
      </c>
      <c r="PV7" s="64">
        <v>99.9</v>
      </c>
      <c r="PW7" s="64">
        <v>99.87</v>
      </c>
      <c r="PX7" s="48">
        <v>68.25</v>
      </c>
      <c r="PY7" s="67" t="s">
        <v>125</v>
      </c>
      <c r="PZ7" s="67">
        <v>77.02</v>
      </c>
      <c r="QA7" s="67">
        <v>39.479999999999997</v>
      </c>
      <c r="QB7" s="48">
        <v>90.39</v>
      </c>
      <c r="QC7" s="71">
        <v>71.88</v>
      </c>
      <c r="QD7" s="48">
        <v>99.74</v>
      </c>
      <c r="QE7" s="64">
        <v>99.8</v>
      </c>
      <c r="QF7" s="64">
        <v>99.9</v>
      </c>
      <c r="QG7" s="64">
        <v>99.95</v>
      </c>
      <c r="QH7" s="71">
        <v>99.95</v>
      </c>
      <c r="QI7" s="71">
        <v>99.99</v>
      </c>
      <c r="QJ7" s="48">
        <v>99.98</v>
      </c>
      <c r="QK7" s="48">
        <v>99.81</v>
      </c>
      <c r="QL7" s="48">
        <v>99.81</v>
      </c>
      <c r="QM7" s="64">
        <v>99.91</v>
      </c>
      <c r="QN7" s="64">
        <v>99.94</v>
      </c>
      <c r="QO7" s="2">
        <v>100</v>
      </c>
      <c r="QP7" s="2">
        <v>99.98</v>
      </c>
      <c r="QQ7" s="64">
        <v>100</v>
      </c>
      <c r="QR7" s="64">
        <v>100</v>
      </c>
      <c r="QS7" s="64">
        <v>99.9</v>
      </c>
      <c r="QT7" s="67">
        <v>99.99</v>
      </c>
      <c r="QU7" s="64">
        <v>100</v>
      </c>
      <c r="QV7" s="64">
        <v>100</v>
      </c>
      <c r="QW7" s="48">
        <v>100</v>
      </c>
      <c r="QX7" s="48">
        <v>99.99</v>
      </c>
      <c r="QY7" s="48">
        <v>100</v>
      </c>
      <c r="QZ7" s="64">
        <v>99.66</v>
      </c>
      <c r="RA7" s="64">
        <v>99.71</v>
      </c>
      <c r="RB7" s="64">
        <v>94.96</v>
      </c>
      <c r="RC7" s="72">
        <v>29.16</v>
      </c>
      <c r="RD7" s="64">
        <v>73.12</v>
      </c>
      <c r="RE7" s="64">
        <v>99.97</v>
      </c>
      <c r="RF7" s="64">
        <v>100</v>
      </c>
      <c r="RG7" s="64">
        <v>99.82</v>
      </c>
      <c r="RH7" s="48">
        <v>100</v>
      </c>
      <c r="RI7" s="48">
        <v>100</v>
      </c>
      <c r="RJ7" s="48">
        <v>100</v>
      </c>
      <c r="RK7" s="48">
        <v>99.98</v>
      </c>
      <c r="RL7" s="48">
        <v>100</v>
      </c>
      <c r="RM7" s="67">
        <v>99.99</v>
      </c>
      <c r="RN7" s="48">
        <v>100</v>
      </c>
      <c r="RO7" s="48">
        <v>100</v>
      </c>
      <c r="RP7" s="48">
        <v>100</v>
      </c>
      <c r="RQ7" s="48">
        <v>100</v>
      </c>
      <c r="RR7" s="48">
        <v>100</v>
      </c>
      <c r="RS7" s="48">
        <v>99.89</v>
      </c>
      <c r="RT7" s="64">
        <v>100</v>
      </c>
      <c r="RU7" s="64">
        <v>99.91</v>
      </c>
      <c r="RV7" s="64">
        <v>99.95</v>
      </c>
      <c r="RW7" s="64">
        <v>99.75</v>
      </c>
      <c r="RX7" s="64">
        <v>96.52</v>
      </c>
      <c r="RY7" s="64">
        <v>91.53</v>
      </c>
      <c r="RZ7" s="64">
        <v>93.08</v>
      </c>
      <c r="SA7" s="183"/>
      <c r="SB7" s="64"/>
      <c r="SC7" s="64"/>
      <c r="SD7" s="64"/>
      <c r="SE7" s="64"/>
      <c r="SF7" s="72"/>
      <c r="SG7" s="2">
        <v>98.6</v>
      </c>
      <c r="SH7" s="2">
        <v>97.69</v>
      </c>
      <c r="SI7" s="2">
        <v>99.37</v>
      </c>
      <c r="SJ7" s="2">
        <v>98.56</v>
      </c>
      <c r="SK7" s="2">
        <v>95.68</v>
      </c>
      <c r="SL7" s="2">
        <v>86.64</v>
      </c>
      <c r="SM7" s="64">
        <v>99.9</v>
      </c>
      <c r="SN7" s="64">
        <v>98.51</v>
      </c>
      <c r="SO7" s="64">
        <v>97.88</v>
      </c>
      <c r="SP7" s="64">
        <v>95.66</v>
      </c>
      <c r="SQ7" s="48">
        <v>98.39</v>
      </c>
      <c r="SR7" s="48">
        <v>99.32</v>
      </c>
      <c r="SS7" s="48">
        <v>98.22</v>
      </c>
      <c r="ST7" s="48">
        <v>98.76</v>
      </c>
      <c r="SU7" s="48">
        <v>98.35</v>
      </c>
      <c r="SV7" s="48">
        <v>98.65</v>
      </c>
      <c r="SW7" s="48">
        <v>98.3</v>
      </c>
      <c r="SX7" s="48">
        <v>98.35</v>
      </c>
      <c r="SY7" s="48">
        <v>98.03</v>
      </c>
      <c r="SZ7" s="48">
        <v>97.4</v>
      </c>
      <c r="TA7" s="66">
        <v>99.58</v>
      </c>
      <c r="TB7" s="48">
        <v>99.18</v>
      </c>
      <c r="TC7" s="64">
        <v>98.88</v>
      </c>
      <c r="TD7" s="64">
        <v>99.02</v>
      </c>
      <c r="TE7" s="64">
        <v>98.93</v>
      </c>
      <c r="TF7" s="64">
        <v>99.57</v>
      </c>
      <c r="TG7" s="64">
        <v>98.07</v>
      </c>
      <c r="TH7" s="64">
        <v>98.48</v>
      </c>
      <c r="TI7" s="64">
        <v>97.82</v>
      </c>
      <c r="TJ7" s="64">
        <v>99.09</v>
      </c>
      <c r="TK7" s="64">
        <v>99.66</v>
      </c>
      <c r="TL7" s="64">
        <v>98.72</v>
      </c>
      <c r="TM7" s="64">
        <v>98.83</v>
      </c>
      <c r="TN7" s="64">
        <v>98.71</v>
      </c>
      <c r="TO7" s="64">
        <v>98.58</v>
      </c>
      <c r="TP7" s="64">
        <v>99.38</v>
      </c>
      <c r="TQ7" s="64">
        <v>99.28</v>
      </c>
      <c r="TR7" s="64">
        <v>98.87</v>
      </c>
      <c r="TS7" s="64">
        <v>99.96</v>
      </c>
      <c r="TT7" s="64">
        <v>99.92</v>
      </c>
      <c r="TU7" s="64">
        <v>100</v>
      </c>
      <c r="TV7" s="64">
        <v>99.85</v>
      </c>
      <c r="TW7" s="64">
        <v>99.46</v>
      </c>
      <c r="TX7" s="64">
        <v>98.3</v>
      </c>
      <c r="TY7" s="64">
        <v>99.4</v>
      </c>
      <c r="TZ7" s="64">
        <v>99.5</v>
      </c>
      <c r="UA7" s="64">
        <v>98.61</v>
      </c>
      <c r="UB7" s="48">
        <v>98.22</v>
      </c>
      <c r="UC7" s="67">
        <v>98.98</v>
      </c>
      <c r="UD7" s="48">
        <v>99.56</v>
      </c>
      <c r="UE7" s="48">
        <v>99.96</v>
      </c>
      <c r="UF7" s="48">
        <v>99.98</v>
      </c>
      <c r="UG7" s="48">
        <v>99.89</v>
      </c>
      <c r="UH7" s="48">
        <v>99.04</v>
      </c>
      <c r="UI7" s="64">
        <v>97.84</v>
      </c>
      <c r="UJ7" s="64">
        <v>99.54</v>
      </c>
      <c r="UK7" s="64">
        <v>99.77</v>
      </c>
      <c r="UL7" s="64">
        <v>99.95</v>
      </c>
      <c r="UM7" s="64">
        <v>99.71</v>
      </c>
      <c r="UN7" s="48">
        <v>99.91</v>
      </c>
      <c r="UO7" s="48">
        <v>99.95</v>
      </c>
      <c r="UP7" s="48">
        <v>99.92</v>
      </c>
      <c r="UQ7" s="48">
        <v>99.97</v>
      </c>
      <c r="UR7" s="48">
        <v>99.94</v>
      </c>
      <c r="US7" s="48">
        <v>99.98</v>
      </c>
      <c r="UT7" s="48">
        <v>99.98</v>
      </c>
      <c r="UU7" s="2">
        <v>99.97</v>
      </c>
      <c r="UV7" s="2">
        <v>99.97</v>
      </c>
      <c r="UW7" s="2">
        <v>99.99</v>
      </c>
      <c r="UX7" s="64">
        <v>99.91</v>
      </c>
      <c r="UY7" s="64">
        <v>99.98</v>
      </c>
      <c r="UZ7" s="64">
        <v>99.87</v>
      </c>
      <c r="VA7" s="64">
        <v>99.94</v>
      </c>
      <c r="VB7" s="67">
        <v>99.86</v>
      </c>
      <c r="VC7" s="67">
        <v>99.98</v>
      </c>
      <c r="VD7" s="67">
        <v>99.97</v>
      </c>
      <c r="VE7" s="48">
        <v>99.98</v>
      </c>
      <c r="VF7" s="48">
        <v>99.93</v>
      </c>
      <c r="VG7" s="48">
        <v>99.89</v>
      </c>
      <c r="VH7" s="71">
        <v>99.91</v>
      </c>
      <c r="VI7" s="64">
        <v>99.92</v>
      </c>
      <c r="VJ7" s="64">
        <v>99.84</v>
      </c>
      <c r="VK7" s="64">
        <v>99.96</v>
      </c>
      <c r="VL7" s="64">
        <v>99.98</v>
      </c>
      <c r="VM7" s="64">
        <v>99.98</v>
      </c>
      <c r="VN7" s="64">
        <v>99.96</v>
      </c>
      <c r="VO7" s="64">
        <v>99.85</v>
      </c>
      <c r="VP7" s="183">
        <v>99.91</v>
      </c>
      <c r="VQ7" s="64">
        <v>99.98</v>
      </c>
      <c r="VR7" s="64">
        <v>99.98</v>
      </c>
      <c r="VS7" s="64"/>
      <c r="VT7" s="2"/>
      <c r="VU7" s="2"/>
      <c r="VV7" s="2"/>
      <c r="VW7" s="2"/>
      <c r="VX7" s="71"/>
      <c r="VY7" s="2"/>
      <c r="VZ7" s="71"/>
      <c r="WA7" s="71"/>
      <c r="WB7" s="71"/>
      <c r="WC7" s="71"/>
      <c r="WD7" s="46"/>
      <c r="WE7" s="71"/>
      <c r="WF7" s="82"/>
      <c r="WG7" s="82"/>
      <c r="WH7" s="71"/>
      <c r="WI7" s="82"/>
      <c r="WJ7" s="82"/>
      <c r="WK7" s="71"/>
      <c r="WL7" s="71"/>
      <c r="WM7" s="71"/>
      <c r="WN7" s="71"/>
      <c r="WO7" s="64"/>
      <c r="WP7" s="64"/>
      <c r="WQ7" s="64"/>
      <c r="WR7" s="64"/>
      <c r="WS7" s="64"/>
      <c r="WT7" s="64"/>
      <c r="WU7" s="64"/>
      <c r="WV7" s="64"/>
      <c r="WW7" s="64"/>
      <c r="WX7" s="64"/>
      <c r="WY7" s="64"/>
      <c r="WZ7" s="64"/>
      <c r="XA7" s="64"/>
      <c r="XB7" s="64"/>
      <c r="XC7" s="64"/>
      <c r="XD7" s="64"/>
      <c r="XE7" s="64"/>
      <c r="XF7" s="64"/>
      <c r="XG7" s="64"/>
      <c r="XH7" s="64"/>
      <c r="XI7" s="64"/>
      <c r="XJ7" s="64"/>
      <c r="XK7" s="64"/>
      <c r="XL7" s="64"/>
      <c r="XM7" s="64"/>
      <c r="XN7" s="64"/>
      <c r="XO7" s="64"/>
      <c r="XP7" s="64"/>
      <c r="XQ7" s="64"/>
      <c r="XR7" s="64"/>
      <c r="XS7" s="64"/>
      <c r="XT7" s="64"/>
      <c r="XU7" s="64"/>
      <c r="XV7" s="64"/>
      <c r="XW7" s="64"/>
      <c r="XX7" s="64"/>
      <c r="XY7" s="64"/>
      <c r="XZ7" s="64"/>
      <c r="YA7" s="64"/>
      <c r="YB7" s="64"/>
      <c r="YC7" s="64"/>
      <c r="YD7" s="64"/>
      <c r="YE7" s="64"/>
      <c r="YF7" s="64"/>
      <c r="YG7" s="64"/>
      <c r="YH7" s="64"/>
      <c r="YI7" s="64"/>
      <c r="YJ7" s="64"/>
      <c r="YK7" s="64"/>
      <c r="YL7" s="64"/>
      <c r="YM7" s="64"/>
      <c r="YN7" s="64"/>
      <c r="YO7" s="64"/>
      <c r="YP7" s="64"/>
      <c r="YQ7" s="64"/>
      <c r="YR7" s="64"/>
      <c r="YS7" s="64"/>
      <c r="YT7" s="64"/>
      <c r="YU7" s="64"/>
      <c r="YV7" s="64"/>
      <c r="YW7" s="64"/>
      <c r="YX7" s="64"/>
      <c r="YY7" s="64"/>
      <c r="YZ7" s="64"/>
      <c r="ZA7" s="64"/>
      <c r="ZB7" s="64"/>
      <c r="ZC7" s="64"/>
      <c r="ZD7" s="64"/>
      <c r="ZE7" s="64"/>
      <c r="ZF7" s="64"/>
      <c r="ZG7" s="64"/>
      <c r="ZH7" s="64"/>
      <c r="ZI7" s="64"/>
      <c r="ZJ7" s="64"/>
      <c r="ZK7" s="64"/>
      <c r="ZL7" s="64"/>
      <c r="ZM7" s="64"/>
      <c r="ZN7" s="64"/>
      <c r="ZO7" s="64"/>
      <c r="ZP7" s="2"/>
      <c r="ZQ7" s="2"/>
      <c r="ZR7" s="2"/>
      <c r="ZS7" s="2"/>
      <c r="ZT7" s="2"/>
      <c r="ZU7" s="64"/>
      <c r="ZV7" s="64"/>
      <c r="ZW7" s="64"/>
      <c r="ZX7" s="64"/>
      <c r="ZY7" s="64"/>
      <c r="ZZ7" s="64"/>
      <c r="AAA7" s="72"/>
      <c r="AAB7" s="72"/>
      <c r="AAC7" s="72"/>
      <c r="AAD7" s="72"/>
      <c r="AAE7" s="72"/>
      <c r="AAF7" s="72"/>
      <c r="AAG7" s="71"/>
      <c r="AAH7" s="91"/>
      <c r="AAI7" s="64"/>
      <c r="AAJ7" s="64"/>
      <c r="AAK7" s="64"/>
      <c r="AAL7" s="64"/>
      <c r="AAM7" s="64"/>
      <c r="AAN7" s="64"/>
      <c r="AAO7" s="64"/>
      <c r="AAP7" s="64"/>
      <c r="AAQ7" s="64"/>
      <c r="AAR7" s="64"/>
      <c r="AAS7" s="64"/>
      <c r="AAT7" s="64"/>
      <c r="AAU7" s="64"/>
      <c r="AAV7" s="64"/>
      <c r="AAW7" s="64"/>
      <c r="AAX7" s="64"/>
      <c r="AAY7" s="64"/>
      <c r="AAZ7" s="64"/>
      <c r="ABA7" s="64"/>
      <c r="ABB7" s="64"/>
      <c r="ABC7" s="64"/>
      <c r="ABD7" s="64"/>
      <c r="ABE7" s="64"/>
      <c r="ABF7" s="64"/>
      <c r="ABG7" s="64"/>
      <c r="ABH7" s="64"/>
      <c r="ABI7" s="64"/>
      <c r="ABJ7" s="64"/>
      <c r="ABK7" s="64"/>
      <c r="ABL7" s="64"/>
      <c r="ABM7" s="64"/>
      <c r="ABN7" s="64"/>
      <c r="ABO7" s="64"/>
      <c r="ABP7" s="64"/>
      <c r="ABQ7" s="64"/>
      <c r="ABR7" s="64"/>
      <c r="ABS7" s="64"/>
      <c r="ABT7" s="64"/>
      <c r="ABU7" s="64"/>
      <c r="ABV7" s="64"/>
      <c r="ABW7" s="64"/>
      <c r="ABX7" s="64"/>
      <c r="ABY7" s="64"/>
      <c r="ABZ7" s="64"/>
      <c r="ACA7" s="64"/>
      <c r="ACB7" s="64"/>
      <c r="ACC7" s="64"/>
      <c r="ACD7" s="64"/>
      <c r="ACE7" s="64"/>
      <c r="ACF7" s="64"/>
      <c r="ACG7" s="64"/>
      <c r="ACH7" s="64"/>
      <c r="ACI7" s="64"/>
      <c r="ACJ7" s="64"/>
      <c r="ACK7" s="72"/>
      <c r="ACL7" s="64"/>
      <c r="ACM7" s="64"/>
      <c r="ACN7" s="64"/>
      <c r="ACO7" s="64"/>
      <c r="ACP7" s="64"/>
      <c r="ACQ7" s="64"/>
      <c r="ACR7" s="64"/>
      <c r="ACS7" s="64"/>
      <c r="ACT7" s="64"/>
      <c r="ACU7" s="64"/>
      <c r="ACV7" s="64"/>
      <c r="ACW7" s="64"/>
      <c r="ACX7" s="64"/>
      <c r="ACY7" s="64"/>
      <c r="ACZ7" s="64"/>
      <c r="ADA7" s="64"/>
      <c r="ADB7" s="64"/>
      <c r="ADC7" s="64"/>
      <c r="ADD7" s="64"/>
      <c r="ADE7" s="64"/>
      <c r="ADF7" s="64"/>
      <c r="ADG7" s="64"/>
      <c r="ADH7" s="64"/>
      <c r="ADI7" s="64"/>
      <c r="ADJ7" s="64"/>
      <c r="ADK7" s="64"/>
      <c r="ADL7" s="64"/>
      <c r="ADM7" s="64"/>
      <c r="ADN7" s="64"/>
      <c r="ADO7" s="64"/>
      <c r="ADP7" s="64"/>
      <c r="ADQ7" s="64"/>
      <c r="ADR7" s="72"/>
      <c r="ADS7" s="64"/>
      <c r="ADT7" s="64"/>
      <c r="ADU7" s="64"/>
      <c r="ADV7" s="64"/>
      <c r="ADW7" s="64"/>
      <c r="ADX7" s="64"/>
      <c r="ADY7" s="64"/>
      <c r="ADZ7" s="64"/>
      <c r="AEA7" s="64"/>
      <c r="AEB7" s="64"/>
      <c r="AEC7" s="64"/>
      <c r="AED7" s="64"/>
      <c r="AEE7" s="64"/>
      <c r="AEF7" s="64"/>
      <c r="AEG7" s="64"/>
      <c r="AEH7" s="64"/>
      <c r="AEI7" s="64"/>
      <c r="AEJ7" s="64"/>
      <c r="AEK7" s="64"/>
      <c r="AEL7" s="64"/>
      <c r="AEM7" s="64"/>
      <c r="AEN7" s="64"/>
      <c r="AEO7" s="64"/>
      <c r="AEP7" s="64"/>
      <c r="AEQ7" s="64"/>
      <c r="AER7" s="64"/>
      <c r="AES7" s="64"/>
      <c r="AET7" s="64"/>
      <c r="AEU7" s="64"/>
      <c r="AEV7" s="64"/>
      <c r="AEW7" s="64"/>
      <c r="AEX7" s="64"/>
      <c r="AEY7" s="64"/>
      <c r="AEZ7" s="64"/>
      <c r="AFA7" s="64"/>
      <c r="AFB7" s="64"/>
      <c r="AFC7" s="64"/>
      <c r="AFD7" s="64"/>
      <c r="AFE7" s="64"/>
      <c r="AFF7" s="64"/>
      <c r="AFG7" s="64"/>
      <c r="AFH7" s="64"/>
      <c r="AFI7" s="64"/>
      <c r="AFJ7" s="64"/>
      <c r="AFK7" s="64"/>
      <c r="AFL7" s="64"/>
      <c r="AFM7" s="2"/>
      <c r="AFN7" s="2"/>
      <c r="AFO7" s="64"/>
      <c r="AFP7" s="64"/>
      <c r="AFQ7" s="64"/>
      <c r="AFR7" s="64"/>
      <c r="AFS7" s="64"/>
      <c r="AFT7" s="64"/>
      <c r="AFU7" s="64"/>
      <c r="AFV7" s="64"/>
      <c r="AFW7" s="64"/>
      <c r="AFX7" s="64"/>
      <c r="AFY7" s="64"/>
      <c r="AFZ7" s="64"/>
      <c r="AGA7" s="64"/>
      <c r="AGB7" s="64"/>
      <c r="AGC7" s="64"/>
      <c r="AGD7" s="64"/>
      <c r="AGE7" s="64"/>
      <c r="AGF7" s="64"/>
      <c r="AGG7" s="64"/>
      <c r="AGH7" s="64"/>
      <c r="AGI7" s="2"/>
      <c r="AGJ7" s="2"/>
      <c r="AGK7" s="2"/>
      <c r="AGL7" s="2"/>
      <c r="AGM7" s="2"/>
      <c r="AGN7" s="2"/>
      <c r="AGO7" s="64"/>
      <c r="AGP7" s="64"/>
      <c r="AGQ7" s="64"/>
      <c r="AGR7" s="64"/>
      <c r="AGS7" s="64"/>
      <c r="AGT7" s="64"/>
      <c r="AGU7" s="64"/>
      <c r="AGV7" s="64"/>
      <c r="AGW7" s="64"/>
      <c r="AGX7" s="64"/>
      <c r="AGY7" s="64"/>
      <c r="AGZ7" s="64"/>
      <c r="AHA7" s="64"/>
      <c r="AHB7" s="64"/>
      <c r="AHC7" s="64"/>
      <c r="AHD7" s="64"/>
      <c r="AHE7" s="64"/>
      <c r="AHF7" s="64"/>
      <c r="AHG7" s="64"/>
      <c r="AHH7" s="64"/>
      <c r="AHI7" s="64"/>
      <c r="AHJ7" s="64"/>
      <c r="AHK7" s="64"/>
      <c r="AHL7" s="64"/>
      <c r="AHM7" s="64"/>
      <c r="AHN7" s="64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64"/>
      <c r="AIL7" s="64"/>
      <c r="AIM7" s="64"/>
      <c r="AIN7" s="64"/>
      <c r="AIO7" s="64"/>
      <c r="AIP7" s="64"/>
      <c r="AIQ7" s="64"/>
      <c r="AIR7" s="64"/>
      <c r="AIS7" s="64"/>
      <c r="AIT7" s="64"/>
      <c r="AIU7" s="64"/>
      <c r="AIV7" s="64"/>
      <c r="AIW7" s="64"/>
      <c r="AIX7" s="64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47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47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47"/>
      <c r="AML7" s="47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47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</row>
    <row r="8" spans="1:1082" ht="15.75" thickBot="1" x14ac:dyDescent="0.3">
      <c r="A8" s="377" t="s">
        <v>28</v>
      </c>
      <c r="B8" s="41" t="s">
        <v>32</v>
      </c>
      <c r="C8" s="64">
        <v>99.500347748544272</v>
      </c>
      <c r="D8" s="64">
        <v>99.849713045195486</v>
      </c>
      <c r="E8" s="64">
        <v>99.464902868219284</v>
      </c>
      <c r="F8" s="64">
        <v>99.79600490744555</v>
      </c>
      <c r="G8" s="64">
        <v>99.734508307139649</v>
      </c>
      <c r="H8" s="64">
        <v>99.808208962358862</v>
      </c>
      <c r="I8" s="64">
        <v>99.559687218820741</v>
      </c>
      <c r="J8" s="64">
        <v>99.84603845224828</v>
      </c>
      <c r="K8" s="64">
        <v>99.855131887902076</v>
      </c>
      <c r="L8" s="64">
        <v>99.8331197625334</v>
      </c>
      <c r="M8" s="64">
        <v>99.784037550358235</v>
      </c>
      <c r="N8" s="64">
        <v>99.83798269188641</v>
      </c>
      <c r="O8" s="64">
        <v>99.864462083786151</v>
      </c>
      <c r="P8" s="64">
        <v>99.884101439989735</v>
      </c>
      <c r="Q8" s="64">
        <v>99.845619858567986</v>
      </c>
      <c r="R8" s="64">
        <v>99.861700183173738</v>
      </c>
      <c r="S8" s="64">
        <v>99.85595857315981</v>
      </c>
      <c r="T8" s="64">
        <v>99.771285518500292</v>
      </c>
      <c r="U8" s="64">
        <v>99.796832262529037</v>
      </c>
      <c r="V8" s="64">
        <v>99.500347748544272</v>
      </c>
      <c r="W8" s="64">
        <v>99.849713045195486</v>
      </c>
      <c r="X8" s="64">
        <v>99.464902868219284</v>
      </c>
      <c r="Y8" s="64">
        <v>99.79600490744555</v>
      </c>
      <c r="Z8" s="64">
        <v>99.734508307139649</v>
      </c>
      <c r="AA8" s="64">
        <v>99.808208962358862</v>
      </c>
      <c r="AB8" s="2" t="s">
        <v>89</v>
      </c>
      <c r="AC8" s="64">
        <v>99.796832262529037</v>
      </c>
      <c r="AD8" s="64">
        <v>99.500347748544272</v>
      </c>
      <c r="AE8" s="64">
        <v>99.849713045195486</v>
      </c>
      <c r="AF8" s="64">
        <v>99.464902868219284</v>
      </c>
      <c r="AG8" s="64">
        <v>99.79600490744555</v>
      </c>
      <c r="AH8" s="64">
        <v>99.734508307139649</v>
      </c>
      <c r="AI8" s="64">
        <v>99.808208962358862</v>
      </c>
      <c r="AJ8" s="64">
        <v>99.559687218820741</v>
      </c>
      <c r="AK8" s="64">
        <v>99.84603845224828</v>
      </c>
      <c r="AL8" s="64">
        <v>99.855131887902076</v>
      </c>
      <c r="AM8" s="64">
        <v>99.8331197625334</v>
      </c>
      <c r="AN8" s="64">
        <v>99.784037550358235</v>
      </c>
      <c r="AO8" s="64">
        <v>99.83798269188641</v>
      </c>
      <c r="AP8" s="64">
        <v>99.864462083786151</v>
      </c>
      <c r="AQ8" s="64">
        <v>99.884101439989735</v>
      </c>
      <c r="AR8" s="64">
        <v>99.845619858567986</v>
      </c>
      <c r="AS8" s="64">
        <v>99.861700183173738</v>
      </c>
      <c r="AT8" s="64">
        <v>99.85595857315981</v>
      </c>
      <c r="AU8" s="64">
        <v>99.771285518500292</v>
      </c>
      <c r="AV8" s="64">
        <v>99.796832262529037</v>
      </c>
      <c r="AW8" s="64">
        <v>99.500347748544272</v>
      </c>
      <c r="AX8" s="64">
        <v>99.849713045195486</v>
      </c>
      <c r="AY8" s="64">
        <v>99.464902868219284</v>
      </c>
      <c r="AZ8" s="64">
        <v>99.79600490744555</v>
      </c>
      <c r="BA8" s="64">
        <v>99.734508307139649</v>
      </c>
      <c r="BB8" s="64">
        <v>99.808208962358862</v>
      </c>
      <c r="BC8" s="64">
        <v>99.796832262529037</v>
      </c>
      <c r="BD8" s="64">
        <v>99.500347748544272</v>
      </c>
      <c r="BE8" s="64">
        <v>99.849713045195486</v>
      </c>
      <c r="BF8" s="64">
        <v>99.464902868219284</v>
      </c>
      <c r="BG8" s="64">
        <v>99.79600490744555</v>
      </c>
      <c r="BH8" s="64">
        <v>99.734508307139649</v>
      </c>
      <c r="BI8" s="64">
        <v>99.808208962358862</v>
      </c>
      <c r="BJ8" s="64">
        <v>99.559687218820741</v>
      </c>
      <c r="BK8" s="64">
        <v>99.84603845224828</v>
      </c>
      <c r="BL8" s="64">
        <v>99.855131887902076</v>
      </c>
      <c r="BM8" s="64">
        <v>99.8331197625334</v>
      </c>
      <c r="BN8" s="64">
        <v>99.784037550358235</v>
      </c>
      <c r="BO8" s="64">
        <v>99.83798269188641</v>
      </c>
      <c r="BP8" s="64">
        <v>99.864462083786151</v>
      </c>
      <c r="BQ8" s="64">
        <v>99.884101439989735</v>
      </c>
      <c r="BR8" s="64">
        <v>99.845619858567986</v>
      </c>
      <c r="BS8" s="64">
        <v>99.861700183173738</v>
      </c>
      <c r="BT8" s="64">
        <v>99.85595857315981</v>
      </c>
      <c r="BU8" s="64">
        <v>99.771285518500292</v>
      </c>
      <c r="BV8" s="64">
        <v>99.796832262529037</v>
      </c>
      <c r="BW8" s="64">
        <v>99.500347748544272</v>
      </c>
      <c r="BX8" s="64">
        <v>99.849713045195486</v>
      </c>
      <c r="BY8" s="64">
        <v>99.837987358916408</v>
      </c>
      <c r="BZ8" s="64">
        <v>99.864471881006978</v>
      </c>
      <c r="CA8" s="64">
        <v>99.884107378444753</v>
      </c>
      <c r="CB8" s="64">
        <v>99.84561565673576</v>
      </c>
      <c r="CC8" s="64">
        <v>99.861696865107163</v>
      </c>
      <c r="CD8" s="64">
        <v>99.855958546109036</v>
      </c>
      <c r="CE8" s="64">
        <v>99.771294069495127</v>
      </c>
      <c r="CF8" s="64">
        <v>99.86</v>
      </c>
      <c r="CG8" s="64">
        <v>99.82</v>
      </c>
      <c r="CH8" s="64">
        <v>99.84</v>
      </c>
      <c r="CI8" s="64">
        <v>99.83</v>
      </c>
      <c r="CJ8" s="2">
        <v>99.75</v>
      </c>
      <c r="CK8" s="2">
        <v>99.77</v>
      </c>
      <c r="CL8" s="2">
        <v>99.83</v>
      </c>
      <c r="CM8" s="2">
        <v>99.82</v>
      </c>
      <c r="CN8" s="2">
        <v>99.82</v>
      </c>
      <c r="CO8" s="2">
        <v>99.81</v>
      </c>
      <c r="CP8" s="2">
        <v>99.81</v>
      </c>
      <c r="CQ8" s="2">
        <v>99.82</v>
      </c>
      <c r="CR8" s="2">
        <v>99.85</v>
      </c>
      <c r="CS8" s="64">
        <v>99.74</v>
      </c>
      <c r="CT8" s="2">
        <v>99.84</v>
      </c>
      <c r="CU8" s="2">
        <v>99.83</v>
      </c>
      <c r="CV8" s="2">
        <v>99.84</v>
      </c>
      <c r="CW8" s="2">
        <v>99.83</v>
      </c>
      <c r="CX8" s="2">
        <v>99.85</v>
      </c>
      <c r="CY8" s="2">
        <v>99.83</v>
      </c>
      <c r="CZ8" s="2">
        <v>99.81</v>
      </c>
      <c r="DA8" s="71">
        <v>99.83</v>
      </c>
      <c r="DB8" s="64">
        <v>99.83</v>
      </c>
      <c r="DC8" s="64">
        <v>99.81</v>
      </c>
      <c r="DD8" s="64">
        <v>99.84</v>
      </c>
      <c r="DE8" s="64">
        <v>99.86</v>
      </c>
      <c r="DF8" s="64">
        <v>99.847859937787405</v>
      </c>
      <c r="DG8" s="64">
        <v>99.82</v>
      </c>
      <c r="DH8" s="71">
        <v>99.86</v>
      </c>
      <c r="DI8" s="104">
        <v>99.85</v>
      </c>
      <c r="DJ8" s="104">
        <v>99.85</v>
      </c>
      <c r="DK8" s="104">
        <v>99.79</v>
      </c>
      <c r="DL8" s="104">
        <v>99.8</v>
      </c>
      <c r="DM8" s="104">
        <v>99.85</v>
      </c>
      <c r="DN8" s="104">
        <v>99.84</v>
      </c>
      <c r="DO8" s="104">
        <v>99.87</v>
      </c>
      <c r="DP8" s="104">
        <v>99.77</v>
      </c>
      <c r="DQ8" s="104">
        <v>99.68</v>
      </c>
      <c r="DR8" s="104">
        <v>99.82</v>
      </c>
      <c r="DS8" s="104">
        <v>99.72</v>
      </c>
      <c r="DT8" s="104">
        <v>99.73</v>
      </c>
      <c r="DU8" s="104">
        <v>99.77</v>
      </c>
      <c r="DV8" s="104">
        <v>99.81</v>
      </c>
      <c r="DW8" s="104">
        <v>99.72</v>
      </c>
      <c r="DX8" s="104">
        <v>99.78</v>
      </c>
      <c r="DY8" s="104">
        <v>99.79</v>
      </c>
      <c r="DZ8" s="104">
        <v>99.85</v>
      </c>
      <c r="EA8" s="104">
        <v>99.81</v>
      </c>
      <c r="EB8" s="104">
        <v>99.81</v>
      </c>
      <c r="EC8" s="104">
        <v>99.82</v>
      </c>
      <c r="ED8" s="104">
        <v>99.75</v>
      </c>
      <c r="EE8" s="104">
        <v>99.66</v>
      </c>
      <c r="EF8" s="104">
        <v>99.8</v>
      </c>
      <c r="EG8" s="104">
        <v>99.78</v>
      </c>
      <c r="EH8" s="104">
        <v>99.78</v>
      </c>
      <c r="EI8" s="104">
        <v>99.74</v>
      </c>
      <c r="EJ8" s="104">
        <v>99.6</v>
      </c>
      <c r="EK8" s="104">
        <v>99.45</v>
      </c>
      <c r="EL8" s="104">
        <v>99.56</v>
      </c>
      <c r="EM8" s="104">
        <v>99.55</v>
      </c>
      <c r="EN8" s="104">
        <v>99.61</v>
      </c>
      <c r="EO8" s="104">
        <v>99.66</v>
      </c>
      <c r="EP8" s="104">
        <v>99.58</v>
      </c>
      <c r="EQ8" s="104">
        <v>99.57</v>
      </c>
      <c r="ER8" s="104">
        <v>99.62</v>
      </c>
      <c r="ES8" s="104">
        <v>99.42</v>
      </c>
      <c r="ET8" s="104">
        <v>99.31</v>
      </c>
      <c r="EU8" s="104">
        <v>99.3</v>
      </c>
      <c r="EV8" s="104">
        <v>99.51</v>
      </c>
      <c r="EW8" s="104">
        <v>99.67</v>
      </c>
      <c r="EX8" s="104">
        <v>99.8</v>
      </c>
      <c r="EY8" s="104">
        <v>99.79</v>
      </c>
      <c r="EZ8" s="104">
        <v>99.86</v>
      </c>
      <c r="FA8" s="104">
        <v>99.76</v>
      </c>
      <c r="FB8" s="104">
        <v>99.77</v>
      </c>
      <c r="FC8" s="104">
        <v>99.75</v>
      </c>
      <c r="FD8" s="104">
        <v>99.5</v>
      </c>
      <c r="FE8" s="114">
        <v>99.47</v>
      </c>
      <c r="FF8" s="114">
        <v>99.82</v>
      </c>
      <c r="FG8" s="114">
        <v>99.57</v>
      </c>
      <c r="FH8" s="104">
        <v>99.72</v>
      </c>
      <c r="FI8" s="104">
        <v>99.74</v>
      </c>
      <c r="FJ8" s="104">
        <v>99.63</v>
      </c>
      <c r="FK8" s="104">
        <v>99.48</v>
      </c>
      <c r="FL8" s="104">
        <v>99.6</v>
      </c>
      <c r="FM8" s="104">
        <v>99.66</v>
      </c>
      <c r="FN8" s="104">
        <v>99.3</v>
      </c>
      <c r="FO8" s="104">
        <v>99.29</v>
      </c>
      <c r="FP8" s="104">
        <v>99.42</v>
      </c>
      <c r="FQ8" s="104">
        <v>99.58</v>
      </c>
      <c r="FR8" s="104">
        <v>99.62</v>
      </c>
      <c r="FS8" s="104">
        <v>99.06</v>
      </c>
      <c r="FT8" s="104">
        <v>99.3</v>
      </c>
      <c r="FU8" s="104">
        <v>99.15</v>
      </c>
      <c r="FV8" s="104">
        <v>99.14</v>
      </c>
      <c r="FW8" s="104">
        <v>99.19</v>
      </c>
      <c r="FX8" s="104">
        <v>99.88</v>
      </c>
      <c r="FY8" s="104">
        <v>99.86</v>
      </c>
      <c r="FZ8" s="104">
        <v>99.82</v>
      </c>
      <c r="GA8" s="104">
        <v>99.86</v>
      </c>
      <c r="GB8" s="104">
        <v>99.86</v>
      </c>
      <c r="GC8" s="104">
        <v>99.87</v>
      </c>
      <c r="GD8" s="104">
        <v>99.78</v>
      </c>
      <c r="GE8" s="104">
        <v>99.83</v>
      </c>
      <c r="GF8" s="104">
        <v>98.66</v>
      </c>
      <c r="GG8" s="104">
        <v>99.78</v>
      </c>
      <c r="GH8" s="104">
        <v>99.89</v>
      </c>
      <c r="GI8" s="104">
        <v>98.96</v>
      </c>
      <c r="GJ8" s="104"/>
      <c r="GK8" s="104">
        <v>99.7</v>
      </c>
      <c r="GL8" s="104">
        <v>99.73</v>
      </c>
      <c r="GM8" s="104">
        <v>99.71</v>
      </c>
      <c r="GN8" s="104">
        <v>99.78</v>
      </c>
      <c r="GO8" s="104">
        <v>99.8</v>
      </c>
      <c r="GP8" s="104">
        <v>99.78</v>
      </c>
      <c r="GQ8" s="114">
        <v>99.735955571840989</v>
      </c>
      <c r="GR8" s="104">
        <v>99.62</v>
      </c>
      <c r="GS8" s="104">
        <v>99.78</v>
      </c>
      <c r="GT8" s="116">
        <v>99.76</v>
      </c>
      <c r="GU8" s="64">
        <v>99.79</v>
      </c>
      <c r="GV8" s="64">
        <v>99.82</v>
      </c>
      <c r="GW8" s="64">
        <v>99.78</v>
      </c>
      <c r="GX8" s="100">
        <v>99.697114402208342</v>
      </c>
      <c r="GY8" s="53">
        <v>99.66</v>
      </c>
      <c r="GZ8" s="53">
        <v>99.83</v>
      </c>
      <c r="HA8" s="53">
        <v>99.82</v>
      </c>
      <c r="HB8" s="55">
        <v>99.8</v>
      </c>
      <c r="HC8" s="55">
        <v>99.81</v>
      </c>
      <c r="HD8" s="55">
        <v>99.82</v>
      </c>
      <c r="HE8" s="55">
        <v>99.65</v>
      </c>
      <c r="HF8" s="55">
        <v>99.74</v>
      </c>
      <c r="HG8" s="55">
        <v>99.77</v>
      </c>
      <c r="HH8" s="55">
        <v>99.62</v>
      </c>
      <c r="HI8" s="55">
        <v>99.82</v>
      </c>
      <c r="HJ8" s="55">
        <v>99.86</v>
      </c>
      <c r="HK8" s="55">
        <v>99.86</v>
      </c>
      <c r="HL8" s="55">
        <v>99.85</v>
      </c>
      <c r="HM8" s="55">
        <v>99.78</v>
      </c>
      <c r="HN8" s="55">
        <v>99.83</v>
      </c>
      <c r="HO8" s="55">
        <v>99.83</v>
      </c>
      <c r="HP8" s="55">
        <v>99.78</v>
      </c>
      <c r="HQ8" s="55">
        <v>99.9</v>
      </c>
      <c r="HR8" s="55">
        <v>99.87</v>
      </c>
      <c r="HS8" s="55">
        <v>99.86</v>
      </c>
      <c r="HT8" s="55">
        <v>99.86</v>
      </c>
      <c r="HU8" s="55">
        <v>99.87</v>
      </c>
      <c r="HV8" s="55">
        <v>99.86</v>
      </c>
      <c r="HW8" s="55">
        <v>99.84</v>
      </c>
      <c r="HX8" s="55">
        <v>99.89</v>
      </c>
      <c r="HY8" s="55">
        <v>99.76</v>
      </c>
      <c r="HZ8" s="55">
        <v>99.88</v>
      </c>
      <c r="IA8" s="55">
        <v>99.87</v>
      </c>
      <c r="IB8" s="55">
        <v>99.62</v>
      </c>
      <c r="IC8" s="55">
        <v>99.81</v>
      </c>
      <c r="ID8" s="55">
        <v>99.83</v>
      </c>
      <c r="IE8" s="55">
        <v>99.85</v>
      </c>
      <c r="IF8" s="55">
        <v>99.87</v>
      </c>
      <c r="IG8" s="55">
        <v>99.66</v>
      </c>
      <c r="IH8" s="55">
        <v>99.78</v>
      </c>
      <c r="II8" s="55">
        <v>99.87</v>
      </c>
      <c r="IJ8" s="55">
        <v>99.86</v>
      </c>
      <c r="IK8" s="55">
        <v>99.84</v>
      </c>
      <c r="IL8" s="55">
        <v>99.88</v>
      </c>
      <c r="IM8" s="55">
        <v>99.62</v>
      </c>
      <c r="IN8" s="55">
        <v>99.8</v>
      </c>
      <c r="IO8" s="100">
        <v>99.86</v>
      </c>
      <c r="IP8" s="100">
        <v>99.89</v>
      </c>
      <c r="IQ8" s="100">
        <v>99.79</v>
      </c>
      <c r="IR8" s="100">
        <v>99.91</v>
      </c>
      <c r="IS8" s="100">
        <v>99.86</v>
      </c>
      <c r="IT8" s="100">
        <v>99.9</v>
      </c>
      <c r="IU8" s="100">
        <v>99.91</v>
      </c>
      <c r="IV8" s="100">
        <v>99.9</v>
      </c>
      <c r="IW8" s="100">
        <v>99.89</v>
      </c>
      <c r="IX8" s="118">
        <v>99.57</v>
      </c>
      <c r="IY8" s="143">
        <v>99.872540143175243</v>
      </c>
      <c r="IZ8" s="143">
        <v>99.842189820354392</v>
      </c>
      <c r="JA8" s="143">
        <v>99.878866871231097</v>
      </c>
      <c r="JB8" s="143">
        <v>99.892877614550855</v>
      </c>
      <c r="JC8" s="100">
        <v>99.88</v>
      </c>
      <c r="JD8" s="56">
        <v>99.87</v>
      </c>
      <c r="JE8" s="64">
        <v>99.53</v>
      </c>
      <c r="JF8" s="64">
        <v>99.38</v>
      </c>
      <c r="JG8" s="64">
        <v>98.35</v>
      </c>
      <c r="JH8" s="64">
        <v>99.875222590920728</v>
      </c>
      <c r="JI8" s="64">
        <v>99.72607881502455</v>
      </c>
      <c r="JJ8" s="64">
        <v>99.748801804104403</v>
      </c>
      <c r="JK8" s="64">
        <v>99.718425204529268</v>
      </c>
      <c r="JL8" s="64">
        <v>99.670634337714986</v>
      </c>
      <c r="JM8" s="64">
        <v>99.61</v>
      </c>
      <c r="JN8" s="72">
        <v>99.62</v>
      </c>
      <c r="JO8" s="64">
        <v>99.89</v>
      </c>
      <c r="JP8" s="64">
        <v>99.92</v>
      </c>
      <c r="JQ8" s="64">
        <v>99.88</v>
      </c>
      <c r="JR8" s="64">
        <v>99.87</v>
      </c>
      <c r="JS8" s="64">
        <v>99.83</v>
      </c>
      <c r="JT8" s="64">
        <v>99.503608657411775</v>
      </c>
      <c r="JU8" s="64">
        <v>99.725076220551301</v>
      </c>
      <c r="JV8" s="64">
        <v>99.535273840338007</v>
      </c>
      <c r="JW8" s="64">
        <v>99.61163860288201</v>
      </c>
      <c r="JX8" s="64">
        <v>99.883557508262243</v>
      </c>
      <c r="JY8" s="64">
        <v>99.829841394231934</v>
      </c>
      <c r="JZ8" s="72">
        <v>94.533638631121605</v>
      </c>
      <c r="KA8" s="64">
        <v>99.882155843543188</v>
      </c>
      <c r="KB8" s="64">
        <v>99.853099011802513</v>
      </c>
      <c r="KC8" s="72">
        <v>99.887165292928202</v>
      </c>
      <c r="KD8" s="64">
        <v>99.885252945755695</v>
      </c>
      <c r="KE8" s="64">
        <v>99.891396675674599</v>
      </c>
      <c r="KF8" s="64">
        <v>99.876964949930169</v>
      </c>
      <c r="KG8" s="64">
        <v>99.88826888259598</v>
      </c>
      <c r="KH8" s="64">
        <v>99.82</v>
      </c>
      <c r="KI8" s="64">
        <v>99.9</v>
      </c>
      <c r="KJ8" s="64">
        <v>99.8</v>
      </c>
      <c r="KK8" s="64">
        <v>99.89</v>
      </c>
      <c r="KL8" s="64">
        <v>99.885640049618246</v>
      </c>
      <c r="KM8" s="64">
        <v>99.895667249339482</v>
      </c>
      <c r="KN8" s="64">
        <v>99.85985197022751</v>
      </c>
      <c r="KO8" s="64">
        <v>99.87</v>
      </c>
      <c r="KP8" s="64">
        <v>99.91</v>
      </c>
      <c r="KQ8" s="64">
        <v>99.88</v>
      </c>
      <c r="KR8" s="71">
        <v>99.913013106537548</v>
      </c>
      <c r="KS8" s="169">
        <v>99.92288893162646</v>
      </c>
      <c r="KT8" s="104">
        <v>99.89</v>
      </c>
      <c r="KU8" s="104">
        <v>99.9</v>
      </c>
      <c r="KV8" s="104">
        <v>99.91</v>
      </c>
      <c r="KW8" s="104">
        <v>99.91</v>
      </c>
      <c r="KX8" s="104">
        <v>99.92</v>
      </c>
      <c r="KY8" s="104">
        <v>99.64</v>
      </c>
      <c r="KZ8" s="104">
        <v>99.85</v>
      </c>
      <c r="LA8" s="104">
        <v>99.89</v>
      </c>
      <c r="LB8" s="104">
        <v>99.89</v>
      </c>
      <c r="LC8" s="104">
        <v>99.88</v>
      </c>
      <c r="LD8" s="104">
        <v>99.77</v>
      </c>
      <c r="LE8" s="104">
        <v>99.88</v>
      </c>
      <c r="LF8" s="104">
        <v>99.87</v>
      </c>
      <c r="LG8" s="104">
        <v>99.87</v>
      </c>
      <c r="LH8" s="104">
        <v>99.87</v>
      </c>
      <c r="LI8" s="104">
        <v>99.91</v>
      </c>
      <c r="LJ8" s="104">
        <v>99.93</v>
      </c>
      <c r="LK8" s="104">
        <v>99.92</v>
      </c>
      <c r="LL8" s="104">
        <v>99.92</v>
      </c>
      <c r="LM8" s="104">
        <v>99.66</v>
      </c>
      <c r="LN8" s="104">
        <v>99.7</v>
      </c>
      <c r="LO8" s="104">
        <v>99.91</v>
      </c>
      <c r="LP8" s="104">
        <v>99.76</v>
      </c>
      <c r="LQ8" s="104">
        <v>99.71</v>
      </c>
      <c r="LR8" s="104">
        <v>99.75</v>
      </c>
      <c r="LS8" s="104">
        <v>99.79</v>
      </c>
      <c r="LT8" s="104">
        <v>99.61</v>
      </c>
      <c r="LU8" s="104">
        <v>99.66</v>
      </c>
      <c r="LV8" s="104">
        <v>99.59</v>
      </c>
      <c r="LW8" s="104">
        <v>99.75</v>
      </c>
      <c r="LX8" s="104">
        <v>99.9</v>
      </c>
      <c r="LY8" s="104">
        <v>99.85</v>
      </c>
      <c r="LZ8" s="104">
        <v>99.79</v>
      </c>
      <c r="MA8" s="104">
        <v>99.9</v>
      </c>
      <c r="MB8" s="104">
        <v>99.8</v>
      </c>
      <c r="MC8" s="104">
        <v>99.65</v>
      </c>
      <c r="MD8" s="104">
        <v>99.78</v>
      </c>
      <c r="ME8" s="104">
        <v>99.85</v>
      </c>
      <c r="MF8" s="104">
        <v>99.72</v>
      </c>
      <c r="MG8" s="104">
        <v>99.68</v>
      </c>
      <c r="MH8" s="104">
        <v>99.68</v>
      </c>
      <c r="MI8" s="104">
        <v>99.55</v>
      </c>
      <c r="MJ8" s="104">
        <v>99.65</v>
      </c>
      <c r="MK8" s="104">
        <v>99.56</v>
      </c>
      <c r="ML8" s="104">
        <v>99.64</v>
      </c>
      <c r="MM8" s="104">
        <v>99.68</v>
      </c>
      <c r="MN8" s="104">
        <v>99.64</v>
      </c>
      <c r="MO8" s="104">
        <v>99.65</v>
      </c>
      <c r="MP8" s="104">
        <v>99.63</v>
      </c>
      <c r="MQ8" s="104">
        <v>99.61</v>
      </c>
      <c r="MR8" s="104">
        <v>99.7</v>
      </c>
      <c r="MS8" s="104">
        <v>99.74</v>
      </c>
      <c r="MT8" s="104">
        <v>99.52</v>
      </c>
      <c r="MU8" s="104">
        <v>99.66</v>
      </c>
      <c r="MV8" s="104">
        <v>99.46</v>
      </c>
      <c r="MW8" s="104">
        <v>99.63</v>
      </c>
      <c r="MX8" s="104">
        <v>99.67</v>
      </c>
      <c r="MY8" s="104">
        <v>99.72</v>
      </c>
      <c r="MZ8" s="64"/>
      <c r="NA8" s="64"/>
      <c r="NB8" s="64"/>
      <c r="ND8">
        <v>99.84</v>
      </c>
      <c r="NE8">
        <v>99.9</v>
      </c>
      <c r="NF8">
        <v>99.89</v>
      </c>
      <c r="NG8">
        <v>99.9</v>
      </c>
      <c r="NH8">
        <v>99.87</v>
      </c>
      <c r="NI8">
        <v>99.81</v>
      </c>
      <c r="NJ8">
        <v>99.73</v>
      </c>
      <c r="NK8">
        <v>99.73</v>
      </c>
      <c r="NL8">
        <v>99.77</v>
      </c>
      <c r="NM8">
        <v>99.68</v>
      </c>
      <c r="NN8" s="64">
        <v>99.705796554955612</v>
      </c>
      <c r="NO8" s="64">
        <v>99.908930706845823</v>
      </c>
      <c r="NP8" s="64">
        <v>99.762552843664508</v>
      </c>
      <c r="NQ8" s="64">
        <v>99.660836824501104</v>
      </c>
      <c r="NR8" s="64">
        <v>99.395259211329559</v>
      </c>
      <c r="NS8" s="71">
        <v>99.172138138408727</v>
      </c>
      <c r="NT8" s="64">
        <v>99.726335945740729</v>
      </c>
      <c r="NU8" s="64">
        <v>99.936237607059354</v>
      </c>
      <c r="NV8" s="64">
        <v>99.927430716567471</v>
      </c>
      <c r="NW8" s="64">
        <v>99.927560557884874</v>
      </c>
      <c r="NX8" s="64">
        <v>99.927928928578083</v>
      </c>
      <c r="NY8" s="64">
        <v>99.89</v>
      </c>
      <c r="NZ8" s="64">
        <v>99.84</v>
      </c>
      <c r="OA8" s="64">
        <v>99.56</v>
      </c>
      <c r="OB8" s="64">
        <v>99.838756295855646</v>
      </c>
      <c r="OC8" s="64">
        <v>99.904347314833615</v>
      </c>
      <c r="OD8" s="64">
        <v>99.937924077948338</v>
      </c>
      <c r="OE8" s="64">
        <v>99.888582011354345</v>
      </c>
      <c r="OF8" s="64">
        <v>99.902369259469481</v>
      </c>
      <c r="OG8" s="64">
        <v>99.918949313977606</v>
      </c>
      <c r="OH8" s="64">
        <v>99.926566241789629</v>
      </c>
      <c r="OI8" s="2">
        <v>99.92</v>
      </c>
      <c r="OJ8" s="2">
        <v>99.93</v>
      </c>
      <c r="OK8" s="2">
        <v>99.78</v>
      </c>
      <c r="OL8" s="64">
        <v>99.93</v>
      </c>
      <c r="OM8" s="64">
        <v>99.93</v>
      </c>
      <c r="ON8" s="64">
        <v>99.93</v>
      </c>
      <c r="OO8" s="64">
        <v>99.93</v>
      </c>
      <c r="OP8" s="64">
        <v>99.86326527908551</v>
      </c>
      <c r="OQ8" s="64">
        <v>99.778814557725283</v>
      </c>
      <c r="OR8" s="64">
        <v>99.914823850473397</v>
      </c>
      <c r="OS8" s="64">
        <v>99.5967747479298</v>
      </c>
      <c r="OT8" s="64">
        <v>98.390759953654893</v>
      </c>
      <c r="OU8" s="64">
        <v>99.923067989994848</v>
      </c>
      <c r="OV8" s="64">
        <v>99.92</v>
      </c>
      <c r="OW8" s="2">
        <v>99.93</v>
      </c>
      <c r="OX8" s="2">
        <v>99.93</v>
      </c>
      <c r="OY8" s="2">
        <v>99.93</v>
      </c>
      <c r="OZ8" s="2">
        <v>99.93</v>
      </c>
      <c r="PA8" s="64">
        <v>99.9</v>
      </c>
      <c r="PB8" s="64">
        <v>99.86</v>
      </c>
      <c r="PC8" s="64">
        <v>99.9</v>
      </c>
      <c r="PD8" s="64">
        <v>99.930986548803943</v>
      </c>
      <c r="PE8" s="64">
        <v>99.913912762911153</v>
      </c>
      <c r="PF8" s="64">
        <v>99.911808109969201</v>
      </c>
      <c r="PG8" s="64">
        <v>99.925403405813199</v>
      </c>
      <c r="PH8" s="71">
        <v>98.573705683770584</v>
      </c>
      <c r="PI8" s="64">
        <v>99.924608631771093</v>
      </c>
      <c r="PJ8" s="64">
        <v>99.910590606688956</v>
      </c>
      <c r="PK8" s="64">
        <v>99.93</v>
      </c>
      <c r="PL8" s="64">
        <v>99.9</v>
      </c>
      <c r="PM8" s="64">
        <v>99.91</v>
      </c>
      <c r="PN8" s="2">
        <v>99.91</v>
      </c>
      <c r="PO8" s="64">
        <v>99.9</v>
      </c>
      <c r="PP8" s="64">
        <v>99.88</v>
      </c>
      <c r="PQ8" s="64">
        <v>99.51</v>
      </c>
      <c r="PR8" s="64">
        <v>99.45</v>
      </c>
      <c r="PS8" s="64">
        <v>99.57</v>
      </c>
      <c r="PT8" s="64">
        <v>99.82</v>
      </c>
      <c r="PU8" s="64">
        <v>99.8</v>
      </c>
      <c r="PV8" s="64">
        <v>99.82</v>
      </c>
      <c r="PW8" s="64">
        <v>99.62</v>
      </c>
      <c r="PX8" s="64">
        <v>98.710369931677533</v>
      </c>
      <c r="PY8" s="64">
        <v>99.57663779205383</v>
      </c>
      <c r="PZ8" s="64">
        <v>99.938960695388602</v>
      </c>
      <c r="QA8" s="64">
        <v>99.935735839353583</v>
      </c>
      <c r="QB8" s="71">
        <v>99.942887910249993</v>
      </c>
      <c r="QC8" s="64">
        <v>99.942887910249993</v>
      </c>
      <c r="QD8" s="64">
        <v>99.942887910249993</v>
      </c>
      <c r="QE8" s="64">
        <v>99.94</v>
      </c>
      <c r="QF8" s="64">
        <v>99.92</v>
      </c>
      <c r="QG8" s="64">
        <v>99.9</v>
      </c>
      <c r="QH8" s="64">
        <v>99.94</v>
      </c>
      <c r="QI8" s="114">
        <v>99.86</v>
      </c>
      <c r="QJ8" s="64">
        <v>99.79</v>
      </c>
      <c r="QK8" s="64">
        <v>99.24</v>
      </c>
      <c r="QL8" s="64">
        <v>99.89</v>
      </c>
      <c r="QM8" s="64">
        <v>99.66</v>
      </c>
      <c r="QN8" s="64">
        <v>99.9</v>
      </c>
      <c r="QO8" s="2">
        <v>99.94</v>
      </c>
      <c r="QP8" s="2">
        <v>99.9</v>
      </c>
      <c r="QQ8" s="64">
        <v>99.91</v>
      </c>
      <c r="QR8" s="64">
        <v>99.95</v>
      </c>
      <c r="QS8" s="64">
        <v>99.95</v>
      </c>
      <c r="QT8" s="64">
        <v>99.85</v>
      </c>
      <c r="QU8" s="64">
        <v>99.95</v>
      </c>
      <c r="QV8" s="64">
        <v>99.92</v>
      </c>
      <c r="QW8" s="64">
        <v>99.7</v>
      </c>
      <c r="QX8" s="64">
        <v>99.94</v>
      </c>
      <c r="QY8" s="64">
        <v>99.95</v>
      </c>
      <c r="QZ8" s="64">
        <v>97.61</v>
      </c>
      <c r="RA8" s="64">
        <v>99.91</v>
      </c>
      <c r="RB8" s="64">
        <v>99.92</v>
      </c>
      <c r="RC8" s="72">
        <v>99.92</v>
      </c>
      <c r="RD8" s="64">
        <v>99.91</v>
      </c>
      <c r="RE8" s="64">
        <v>99.88</v>
      </c>
      <c r="RF8" s="64">
        <v>99.93</v>
      </c>
      <c r="RG8" s="64">
        <v>99.91</v>
      </c>
      <c r="RH8" s="64">
        <v>99.93</v>
      </c>
      <c r="RI8" s="64">
        <v>99.93</v>
      </c>
      <c r="RJ8" s="64">
        <v>99.9</v>
      </c>
      <c r="RK8" s="64">
        <v>99.93</v>
      </c>
      <c r="RL8" s="64">
        <v>99.89</v>
      </c>
      <c r="RM8" s="64">
        <v>99.93</v>
      </c>
      <c r="RN8" s="64">
        <v>99.94</v>
      </c>
      <c r="RO8" s="64">
        <v>99.94</v>
      </c>
      <c r="RP8" s="64">
        <v>99.930320441694491</v>
      </c>
      <c r="RQ8" s="64">
        <v>99.935675985901256</v>
      </c>
      <c r="RR8" s="64">
        <v>99.93</v>
      </c>
      <c r="RS8" s="64">
        <v>99.91</v>
      </c>
      <c r="RT8" s="64">
        <v>99.94</v>
      </c>
      <c r="RU8" s="64">
        <v>99.94</v>
      </c>
      <c r="RV8" s="64">
        <v>99.94</v>
      </c>
      <c r="RW8" s="64">
        <v>99.94</v>
      </c>
      <c r="RX8" s="64">
        <v>99.92</v>
      </c>
      <c r="RY8" s="64">
        <v>99.94</v>
      </c>
      <c r="RZ8" s="64">
        <v>99.94</v>
      </c>
      <c r="SA8" s="183"/>
      <c r="SB8" s="64"/>
      <c r="SC8" s="64"/>
      <c r="SD8" s="64"/>
      <c r="SE8" s="64"/>
      <c r="SF8" s="313">
        <v>99.09</v>
      </c>
      <c r="SG8" s="48">
        <v>99.95</v>
      </c>
      <c r="SH8" s="48">
        <v>99.94</v>
      </c>
      <c r="SI8" s="48">
        <v>99.65</v>
      </c>
      <c r="SJ8" s="64">
        <v>99.92</v>
      </c>
      <c r="SK8" s="64">
        <v>99.88</v>
      </c>
      <c r="SL8" s="64">
        <v>99.89</v>
      </c>
      <c r="SM8" s="64">
        <v>99.91</v>
      </c>
      <c r="SN8" s="64">
        <v>99.87</v>
      </c>
      <c r="SO8" s="64">
        <v>99.46</v>
      </c>
      <c r="SP8" s="64">
        <v>99.8</v>
      </c>
      <c r="SQ8" s="48">
        <v>99.7</v>
      </c>
      <c r="SR8" s="48">
        <v>99.95</v>
      </c>
      <c r="SS8" s="64">
        <v>99.92</v>
      </c>
      <c r="ST8" s="64">
        <v>99.87</v>
      </c>
      <c r="SU8" s="48">
        <v>99.63</v>
      </c>
      <c r="SV8" s="64">
        <v>99.78</v>
      </c>
      <c r="SW8" s="64">
        <v>99.71</v>
      </c>
      <c r="SX8" s="64">
        <v>99.78</v>
      </c>
      <c r="SY8" s="64">
        <v>99.94</v>
      </c>
      <c r="SZ8" s="64">
        <v>99.81</v>
      </c>
      <c r="TA8" s="64">
        <v>99.93</v>
      </c>
      <c r="TB8" s="48">
        <v>99.84</v>
      </c>
      <c r="TC8" s="64">
        <v>99.94</v>
      </c>
      <c r="TD8" s="64">
        <v>99.88</v>
      </c>
      <c r="TE8" s="64">
        <v>99.89</v>
      </c>
      <c r="TF8" s="64">
        <v>99.91</v>
      </c>
      <c r="TG8" s="64">
        <v>99.61</v>
      </c>
      <c r="TH8" s="64">
        <v>99.83</v>
      </c>
      <c r="TI8" s="64">
        <v>99.95</v>
      </c>
      <c r="TJ8" s="64">
        <v>99.65</v>
      </c>
      <c r="TK8" s="64">
        <v>99.92</v>
      </c>
      <c r="TL8" s="64">
        <v>99.94</v>
      </c>
      <c r="TM8" s="64">
        <v>97.79</v>
      </c>
      <c r="TN8" s="64">
        <v>99.95</v>
      </c>
      <c r="TO8" s="64">
        <v>99.95</v>
      </c>
      <c r="TP8" s="64">
        <v>99.94</v>
      </c>
      <c r="TQ8" s="64">
        <v>99.94</v>
      </c>
      <c r="TR8" s="64">
        <v>99.93</v>
      </c>
      <c r="TS8" s="64">
        <v>99.93</v>
      </c>
      <c r="TT8" s="64">
        <v>99.94</v>
      </c>
      <c r="TU8" s="64">
        <v>99.94</v>
      </c>
      <c r="TV8" s="64">
        <v>99.94</v>
      </c>
      <c r="TW8" s="64">
        <v>99.91</v>
      </c>
      <c r="TX8" s="64">
        <v>99.87</v>
      </c>
      <c r="TY8" s="64">
        <v>99.92</v>
      </c>
      <c r="TZ8" s="64">
        <v>99.93</v>
      </c>
      <c r="UA8" s="64">
        <v>99.93</v>
      </c>
      <c r="UB8" s="64">
        <v>99.91</v>
      </c>
      <c r="UC8" s="64">
        <v>99.93</v>
      </c>
      <c r="UD8" s="64">
        <v>99.93</v>
      </c>
      <c r="UE8" s="64">
        <v>99.93</v>
      </c>
      <c r="UF8" s="64">
        <v>99.93</v>
      </c>
      <c r="UG8" s="64">
        <v>99.94</v>
      </c>
      <c r="UH8" s="64">
        <v>99.89</v>
      </c>
      <c r="UI8" s="64">
        <v>99.92</v>
      </c>
      <c r="UJ8" s="64">
        <v>99.93</v>
      </c>
      <c r="UK8" s="64">
        <v>99.93</v>
      </c>
      <c r="UL8" s="64">
        <v>99.92</v>
      </c>
      <c r="UM8" s="64">
        <v>99.92</v>
      </c>
      <c r="UN8" s="64">
        <v>99.92</v>
      </c>
      <c r="UO8" s="64">
        <v>99.93</v>
      </c>
      <c r="UP8" s="64">
        <v>99.92</v>
      </c>
      <c r="UQ8" s="64">
        <v>99.92</v>
      </c>
      <c r="UR8" s="64">
        <v>99.91</v>
      </c>
      <c r="US8" s="64">
        <v>99.9</v>
      </c>
      <c r="UT8" s="64">
        <v>99.82</v>
      </c>
      <c r="UU8" s="2">
        <v>99.88</v>
      </c>
      <c r="UV8" s="2">
        <v>99.89</v>
      </c>
      <c r="UW8" s="2">
        <v>99.88</v>
      </c>
      <c r="UX8" s="64">
        <v>99.9</v>
      </c>
      <c r="UY8" s="64">
        <v>99.9</v>
      </c>
      <c r="UZ8" s="64">
        <v>99.88</v>
      </c>
      <c r="VA8" s="64">
        <v>99.87</v>
      </c>
      <c r="VB8" s="64">
        <v>99.91</v>
      </c>
      <c r="VC8" s="64">
        <v>99.91</v>
      </c>
      <c r="VD8" s="64">
        <v>99.91</v>
      </c>
      <c r="VE8" s="64">
        <v>99.82</v>
      </c>
      <c r="VF8" s="64">
        <v>99.9</v>
      </c>
      <c r="VG8" s="64">
        <v>99.86</v>
      </c>
      <c r="VH8" s="64">
        <v>99.88</v>
      </c>
      <c r="VI8" s="64">
        <v>99.88</v>
      </c>
      <c r="VJ8" s="64">
        <v>99.82</v>
      </c>
      <c r="VK8" s="64">
        <v>99.91</v>
      </c>
      <c r="VL8" s="64">
        <v>99.91</v>
      </c>
      <c r="VM8" s="64">
        <v>99.91</v>
      </c>
      <c r="VN8" s="64">
        <v>99.91</v>
      </c>
      <c r="VO8" s="64">
        <v>99.91</v>
      </c>
      <c r="VP8" s="183">
        <v>99.8</v>
      </c>
      <c r="VQ8" s="64">
        <v>99.5</v>
      </c>
      <c r="VR8" s="64">
        <v>99.56</v>
      </c>
      <c r="VS8" s="64"/>
      <c r="VT8" s="64"/>
      <c r="VU8" s="64"/>
      <c r="VV8" s="64"/>
      <c r="VW8" s="64"/>
      <c r="VX8" s="71"/>
      <c r="VY8" s="2"/>
      <c r="VZ8" s="71"/>
      <c r="WA8" s="2"/>
      <c r="WB8" s="2"/>
      <c r="WC8" s="2"/>
      <c r="WD8" s="46"/>
      <c r="WE8" s="71"/>
      <c r="WF8" s="82"/>
      <c r="WG8" s="82"/>
      <c r="WH8" s="64"/>
      <c r="WI8" s="64"/>
      <c r="WJ8" s="72"/>
      <c r="WK8" s="71"/>
      <c r="WL8" s="64"/>
      <c r="WM8" s="64"/>
      <c r="WN8" s="64"/>
      <c r="WO8" s="64"/>
      <c r="WP8" s="64"/>
      <c r="WQ8" s="64"/>
      <c r="WR8" s="64"/>
      <c r="WS8" s="64"/>
      <c r="WT8" s="64"/>
      <c r="WU8" s="64"/>
      <c r="WV8" s="64"/>
      <c r="WW8" s="64"/>
      <c r="WX8" s="64"/>
      <c r="WY8" s="64"/>
      <c r="WZ8" s="64"/>
      <c r="XA8" s="64"/>
      <c r="XB8" s="64"/>
      <c r="XC8" s="64"/>
      <c r="XD8" s="64"/>
      <c r="XE8" s="64"/>
      <c r="XF8" s="64"/>
      <c r="XG8" s="64"/>
      <c r="XH8" s="64"/>
      <c r="XI8" s="64"/>
      <c r="XJ8" s="64"/>
      <c r="XK8" s="64"/>
      <c r="XL8" s="64"/>
      <c r="XM8" s="64"/>
      <c r="XN8" s="64"/>
      <c r="XO8" s="64"/>
      <c r="XP8" s="64"/>
      <c r="XQ8" s="64"/>
      <c r="XR8" s="64"/>
      <c r="XS8" s="64"/>
      <c r="XT8" s="64"/>
      <c r="XU8" s="64"/>
      <c r="XV8" s="64"/>
      <c r="XW8" s="64"/>
      <c r="XX8" s="64"/>
      <c r="XY8" s="64"/>
      <c r="XZ8" s="64"/>
      <c r="YA8" s="64"/>
      <c r="YB8" s="64"/>
      <c r="YC8" s="64"/>
      <c r="YD8" s="64"/>
      <c r="YE8" s="64"/>
      <c r="YF8" s="64"/>
      <c r="YG8" s="64"/>
      <c r="YH8" s="64"/>
      <c r="YI8" s="64"/>
      <c r="YJ8" s="64"/>
      <c r="YK8" s="64"/>
      <c r="YL8" s="64"/>
      <c r="YM8" s="64"/>
      <c r="YN8" s="64"/>
      <c r="YO8" s="64"/>
      <c r="YP8" s="64"/>
      <c r="YQ8" s="64"/>
      <c r="YR8" s="64"/>
      <c r="YS8" s="64"/>
      <c r="YT8" s="64"/>
      <c r="YU8" s="64"/>
      <c r="YV8" s="64"/>
      <c r="YW8" s="64"/>
      <c r="YX8" s="64"/>
      <c r="YY8" s="64"/>
      <c r="YZ8" s="64"/>
      <c r="ZA8" s="64"/>
      <c r="ZB8" s="64"/>
      <c r="ZC8" s="64"/>
      <c r="ZD8" s="64"/>
      <c r="ZE8" s="64"/>
      <c r="ZF8" s="64"/>
      <c r="ZG8" s="64"/>
      <c r="ZH8" s="64"/>
      <c r="ZI8" s="64"/>
      <c r="ZJ8" s="64"/>
      <c r="ZK8" s="64"/>
      <c r="ZL8" s="64"/>
      <c r="ZM8" s="64"/>
      <c r="ZN8" s="64"/>
      <c r="ZO8" s="64"/>
      <c r="ZP8" s="64"/>
      <c r="ZQ8" s="64"/>
      <c r="ZR8" s="64"/>
      <c r="ZS8" s="64"/>
      <c r="ZT8" s="64"/>
      <c r="ZU8" s="64"/>
      <c r="ZV8" s="64"/>
      <c r="ZW8" s="64"/>
      <c r="ZX8" s="64"/>
      <c r="ZY8" s="64"/>
      <c r="ZZ8" s="64"/>
      <c r="AAA8" s="72"/>
      <c r="AAB8" s="64"/>
      <c r="AAC8" s="64"/>
      <c r="AAD8" s="64"/>
      <c r="AAE8" s="64"/>
      <c r="AAF8" s="72"/>
      <c r="AAG8" s="71"/>
      <c r="AAH8" s="91"/>
      <c r="AAI8" s="64"/>
      <c r="AAJ8" s="64"/>
      <c r="AAK8" s="64"/>
      <c r="AAL8" s="64"/>
      <c r="AAM8" s="64"/>
      <c r="AAN8" s="64"/>
      <c r="AAO8" s="64"/>
      <c r="AAP8" s="64"/>
      <c r="AAQ8" s="64"/>
      <c r="AAR8" s="64"/>
      <c r="AAS8" s="64"/>
      <c r="AAT8" s="64"/>
      <c r="AAU8" s="64"/>
      <c r="AAV8" s="64"/>
      <c r="AAW8" s="64"/>
      <c r="AAX8" s="64"/>
      <c r="AAY8" s="64"/>
      <c r="AAZ8" s="64"/>
      <c r="ABA8" s="64"/>
      <c r="ABB8" s="64"/>
      <c r="ABC8" s="64"/>
      <c r="ABD8" s="64"/>
      <c r="ABE8" s="64"/>
      <c r="ABF8" s="64"/>
      <c r="ABG8" s="64"/>
      <c r="ABH8" s="64"/>
      <c r="ABI8" s="64"/>
      <c r="ABJ8" s="64"/>
      <c r="ABK8" s="64"/>
      <c r="ABL8" s="64"/>
      <c r="ABM8" s="64"/>
      <c r="ABN8" s="64"/>
      <c r="ABO8" s="64"/>
      <c r="ABP8" s="64"/>
      <c r="ABQ8" s="64"/>
      <c r="ABR8" s="64"/>
      <c r="ABS8" s="64"/>
      <c r="ABT8" s="64"/>
      <c r="ABU8" s="64"/>
      <c r="ABV8" s="64"/>
      <c r="ABW8" s="64"/>
      <c r="ABX8" s="64"/>
      <c r="ABY8" s="64"/>
      <c r="ABZ8" s="64"/>
      <c r="ACA8" s="64"/>
      <c r="ACB8" s="64"/>
      <c r="ACC8" s="64"/>
      <c r="ACD8" s="64"/>
      <c r="ACE8" s="64"/>
      <c r="ACF8" s="64"/>
      <c r="ACG8" s="64"/>
      <c r="ACH8" s="64"/>
      <c r="ACI8" s="64"/>
      <c r="ACJ8" s="64"/>
      <c r="ACK8" s="72"/>
      <c r="ACL8" s="64"/>
      <c r="ACM8" s="64"/>
      <c r="ACN8" s="64"/>
      <c r="ACO8" s="64"/>
      <c r="ACP8" s="64"/>
      <c r="ACQ8" s="64"/>
      <c r="ACR8" s="64"/>
      <c r="ACS8" s="64"/>
      <c r="ACT8" s="64"/>
      <c r="ACU8" s="64"/>
      <c r="ACV8" s="64"/>
      <c r="ACW8" s="64"/>
      <c r="ACX8" s="64"/>
      <c r="ACY8" s="64"/>
      <c r="ACZ8" s="64"/>
      <c r="ADA8" s="64"/>
      <c r="ADB8" s="64"/>
      <c r="ADC8" s="64"/>
      <c r="ADD8" s="64"/>
      <c r="ADE8" s="64"/>
      <c r="ADF8" s="64"/>
      <c r="ADG8" s="64"/>
      <c r="ADH8" s="64"/>
      <c r="ADI8" s="64"/>
      <c r="ADJ8" s="64"/>
      <c r="ADK8" s="64"/>
      <c r="ADL8" s="64"/>
      <c r="ADM8" s="64"/>
      <c r="ADN8" s="64"/>
      <c r="ADO8" s="64"/>
      <c r="ADP8" s="64"/>
      <c r="ADQ8" s="64"/>
      <c r="ADR8" s="72"/>
      <c r="ADS8" s="64"/>
      <c r="ADT8" s="64"/>
      <c r="ADU8" s="64"/>
      <c r="ADV8" s="69"/>
      <c r="ADW8" s="69"/>
      <c r="ADX8" s="69"/>
      <c r="ADY8" s="69"/>
      <c r="ADZ8" s="69"/>
      <c r="AEA8" s="69"/>
      <c r="AEB8" s="69"/>
      <c r="AEC8" s="64"/>
      <c r="AED8" s="64"/>
      <c r="AEE8" s="64"/>
      <c r="AEF8" s="64"/>
      <c r="AEG8" s="64"/>
      <c r="AEH8" s="64"/>
      <c r="AEI8" s="64"/>
      <c r="AEJ8" s="64"/>
      <c r="AEK8" s="64"/>
      <c r="AEL8" s="64"/>
      <c r="AEM8" s="64"/>
      <c r="AEN8" s="64"/>
      <c r="AEO8" s="64"/>
      <c r="AEP8" s="64"/>
      <c r="AEQ8" s="64"/>
      <c r="AER8" s="64"/>
      <c r="AES8" s="64"/>
      <c r="AET8" s="64"/>
      <c r="AEU8" s="64"/>
      <c r="AEV8" s="64"/>
      <c r="AEW8" s="64"/>
      <c r="AEX8" s="64"/>
      <c r="AEY8" s="64"/>
      <c r="AEZ8" s="64"/>
      <c r="AFA8" s="64"/>
      <c r="AFB8" s="64"/>
      <c r="AFC8" s="64"/>
      <c r="AFD8" s="64"/>
      <c r="AFE8" s="64"/>
      <c r="AFF8" s="64"/>
      <c r="AFG8" s="64"/>
      <c r="AFH8" s="64"/>
      <c r="AFI8" s="64"/>
      <c r="AFJ8" s="64"/>
      <c r="AFK8" s="64"/>
      <c r="AFL8" s="64"/>
      <c r="AFM8" s="64"/>
      <c r="AFN8" s="64"/>
      <c r="AFO8" s="64"/>
      <c r="AFP8" s="64"/>
      <c r="AFQ8" s="64"/>
      <c r="AFR8" s="64"/>
      <c r="AFS8" s="64"/>
      <c r="AFT8" s="64"/>
      <c r="AFU8" s="64"/>
      <c r="AFV8" s="64"/>
      <c r="AFW8" s="64"/>
      <c r="AFX8" s="64"/>
      <c r="AFY8" s="64"/>
      <c r="AFZ8" s="64"/>
      <c r="AGA8" s="64"/>
      <c r="AGB8" s="64"/>
      <c r="AGC8" s="64"/>
      <c r="AGD8" s="64"/>
      <c r="AGE8" s="64"/>
      <c r="AGF8" s="64"/>
      <c r="AGG8" s="64"/>
      <c r="AGH8" s="64"/>
      <c r="AGI8" s="64"/>
      <c r="AGJ8" s="64"/>
      <c r="AGK8" s="64"/>
      <c r="AGL8" s="64"/>
      <c r="AGM8" s="64"/>
      <c r="AGN8" s="64"/>
      <c r="AGO8" s="64"/>
      <c r="AGP8" s="64"/>
      <c r="AGQ8" s="64"/>
      <c r="AGR8" s="64"/>
      <c r="AGS8" s="64"/>
      <c r="AGT8" s="64"/>
      <c r="AGU8" s="64"/>
      <c r="AGV8" s="64"/>
      <c r="AGW8" s="64"/>
      <c r="AGX8" s="64"/>
      <c r="AGY8" s="64"/>
      <c r="AGZ8" s="64"/>
      <c r="AHA8" s="64"/>
      <c r="AHB8" s="64"/>
      <c r="AHC8" s="64"/>
      <c r="AHD8" s="64"/>
      <c r="AHE8" s="64"/>
      <c r="AHF8" s="64"/>
      <c r="AHG8" s="64"/>
      <c r="AHH8" s="64"/>
      <c r="AHI8" s="64"/>
      <c r="AHJ8" s="64"/>
      <c r="AHK8" s="64"/>
      <c r="AHL8" s="64"/>
      <c r="AHM8" s="64"/>
      <c r="AHN8" s="64"/>
      <c r="AHO8" s="2"/>
      <c r="AHP8" s="2"/>
      <c r="AHQ8" s="2"/>
      <c r="AHR8" s="64"/>
      <c r="AHS8" s="64"/>
      <c r="AHT8" s="64"/>
      <c r="AHU8" s="64"/>
      <c r="AHV8" s="64"/>
      <c r="AHW8" s="64"/>
      <c r="AHX8" s="64"/>
      <c r="AHY8" s="64"/>
      <c r="AHZ8" s="64"/>
      <c r="AIA8" s="64"/>
      <c r="AIB8" s="64"/>
      <c r="AIC8" s="64"/>
      <c r="AID8" s="2"/>
      <c r="AIE8" s="2"/>
      <c r="AIF8" s="2"/>
      <c r="AIG8" s="2"/>
      <c r="AIH8" s="2"/>
      <c r="AII8" s="2"/>
      <c r="AIJ8" s="2"/>
      <c r="AIK8" s="64"/>
      <c r="AIL8" s="64"/>
      <c r="AIM8" s="64"/>
      <c r="AIN8" s="64"/>
      <c r="AIO8" s="64"/>
      <c r="AIP8" s="64"/>
      <c r="AIQ8" s="64"/>
      <c r="AIR8" s="64"/>
      <c r="AIS8" s="64"/>
      <c r="AIT8" s="64"/>
      <c r="AIU8" s="64"/>
      <c r="AIV8" s="64"/>
      <c r="AIW8" s="64"/>
      <c r="AIX8" s="64"/>
      <c r="AIY8" s="64"/>
      <c r="AIZ8" s="64"/>
      <c r="AJA8" s="64"/>
      <c r="AJB8" s="64"/>
      <c r="AJC8" s="64"/>
      <c r="AJD8" s="64"/>
      <c r="AJE8" s="64"/>
      <c r="AJF8" s="64"/>
      <c r="AJG8" s="64"/>
      <c r="AJH8" s="64"/>
      <c r="AJI8" s="2"/>
      <c r="AJJ8" s="2"/>
      <c r="AJK8" s="47"/>
      <c r="AJL8" s="2"/>
      <c r="AJM8" s="64"/>
      <c r="AJN8" s="2"/>
      <c r="AJO8" s="2"/>
      <c r="AJP8" s="64"/>
      <c r="AJQ8" s="64"/>
      <c r="AJR8" s="64"/>
      <c r="AJS8" s="64"/>
      <c r="AJT8" s="64"/>
      <c r="AJU8" s="64"/>
      <c r="AJV8" s="64"/>
      <c r="AJW8" s="64"/>
      <c r="AJX8" s="64"/>
      <c r="AJY8" s="72"/>
      <c r="AJZ8" s="64"/>
      <c r="AKA8" s="64"/>
      <c r="AKB8" s="64"/>
      <c r="AKC8" s="64"/>
      <c r="AKD8" s="64"/>
      <c r="AKE8" s="64"/>
      <c r="AKF8" s="64"/>
      <c r="AKG8" s="64"/>
      <c r="AKH8" s="64"/>
      <c r="AKI8" s="64"/>
      <c r="AKJ8" s="64"/>
      <c r="AKK8" s="64"/>
      <c r="AKL8" s="64"/>
      <c r="AKM8" s="64"/>
      <c r="AKN8" s="64"/>
      <c r="AKO8" s="64"/>
      <c r="AKP8" s="64"/>
      <c r="AKQ8" s="64"/>
      <c r="AKR8" s="64"/>
      <c r="AKS8" s="64"/>
      <c r="AKT8" s="64"/>
      <c r="AKU8" s="64"/>
      <c r="AKV8" s="64"/>
      <c r="AKW8" s="64"/>
      <c r="AKX8" s="64"/>
      <c r="AKY8" s="64"/>
      <c r="AKZ8" s="64"/>
      <c r="ALA8" s="64"/>
      <c r="ALB8" s="64"/>
      <c r="ALC8" s="64"/>
      <c r="ALD8" s="64"/>
      <c r="ALE8" s="64"/>
      <c r="ALF8" s="64"/>
      <c r="ALG8" s="64"/>
      <c r="ALH8" s="64"/>
      <c r="ALI8" s="64"/>
      <c r="ALJ8" s="64"/>
      <c r="ALK8" s="64"/>
      <c r="ALL8" s="64"/>
      <c r="ALM8" s="64"/>
      <c r="ALN8" s="64"/>
      <c r="ALO8" s="64"/>
      <c r="ALP8" s="64"/>
      <c r="ALQ8" s="64"/>
      <c r="ALR8" s="64"/>
      <c r="ALS8" s="64"/>
      <c r="ALT8" s="64"/>
      <c r="ALU8" s="64"/>
      <c r="ALV8" s="64"/>
      <c r="ALW8" s="64"/>
      <c r="ALX8" s="64"/>
      <c r="ALY8" s="64"/>
      <c r="ALZ8" s="64"/>
      <c r="AMA8" s="64"/>
      <c r="AMB8" s="64"/>
      <c r="AMC8" s="64"/>
      <c r="AMD8" s="64"/>
      <c r="AME8" s="95"/>
      <c r="AMF8" s="95"/>
      <c r="AMG8" s="95"/>
      <c r="AMH8" s="95"/>
      <c r="AMI8" s="95"/>
      <c r="AMJ8" s="95"/>
      <c r="AMK8" s="96"/>
      <c r="AML8" s="2"/>
      <c r="AMM8" s="64"/>
      <c r="AMN8" s="64"/>
      <c r="AMO8" s="64"/>
      <c r="AMP8" s="64"/>
      <c r="AMQ8" s="64"/>
      <c r="AMR8" s="64"/>
      <c r="AMS8" s="64"/>
      <c r="AMT8" s="64"/>
      <c r="AMU8" s="64"/>
      <c r="AMV8" s="64"/>
      <c r="AMW8" s="64"/>
      <c r="AMX8" s="64"/>
      <c r="AMY8" s="64"/>
      <c r="AMZ8" s="64"/>
      <c r="ANA8" s="64"/>
      <c r="ANB8" s="64"/>
      <c r="ANC8" s="64"/>
      <c r="AND8" s="64"/>
      <c r="ANE8" s="64"/>
      <c r="ANF8" s="64"/>
      <c r="ANG8" s="64"/>
      <c r="ANH8" s="64"/>
      <c r="ANI8" s="64"/>
      <c r="ANJ8" s="64"/>
      <c r="ANK8" s="64"/>
      <c r="ANL8" s="64"/>
      <c r="ANM8" s="72"/>
      <c r="ANN8" s="64"/>
      <c r="ANO8" s="64"/>
      <c r="ANP8" s="64"/>
      <c r="ANQ8" s="64"/>
      <c r="ANR8" s="64"/>
      <c r="ANS8" s="64"/>
      <c r="ANT8" s="64"/>
      <c r="ANU8" s="64"/>
      <c r="ANV8" s="64"/>
      <c r="ANW8" s="64"/>
      <c r="ANX8" s="64"/>
      <c r="ANY8" s="64"/>
      <c r="ANZ8" s="64"/>
      <c r="AOA8" s="64"/>
      <c r="AOB8" s="64"/>
      <c r="AOC8" s="64"/>
      <c r="AOD8" s="64"/>
      <c r="AOE8" s="64"/>
      <c r="AOF8" s="64"/>
      <c r="AOG8" s="64"/>
      <c r="AOH8" s="64"/>
      <c r="AOI8" s="64"/>
      <c r="AOJ8" s="64"/>
      <c r="AOK8" s="64"/>
      <c r="AOL8" s="64"/>
      <c r="AOM8" s="64"/>
      <c r="AON8" s="64"/>
      <c r="AOO8" s="64"/>
      <c r="AOP8" s="64"/>
    </row>
    <row r="9" spans="1:1082" ht="15.75" thickBot="1" x14ac:dyDescent="0.3">
      <c r="A9" s="379"/>
      <c r="B9" s="98" t="s">
        <v>33</v>
      </c>
      <c r="C9" s="2">
        <v>99.99</v>
      </c>
      <c r="D9" s="2">
        <v>99.99</v>
      </c>
      <c r="E9" s="2">
        <v>99.99</v>
      </c>
      <c r="F9" s="2">
        <v>99.99</v>
      </c>
      <c r="G9" s="2">
        <v>99.99</v>
      </c>
      <c r="H9" s="2">
        <v>99.99</v>
      </c>
      <c r="I9" s="2">
        <v>99.99</v>
      </c>
      <c r="J9" s="2">
        <v>99.99</v>
      </c>
      <c r="K9" s="2">
        <v>99.99</v>
      </c>
      <c r="L9" s="2">
        <v>99.99</v>
      </c>
      <c r="M9" s="2">
        <v>99.99</v>
      </c>
      <c r="N9" s="2">
        <v>99.99</v>
      </c>
      <c r="O9" s="2">
        <v>99.99</v>
      </c>
      <c r="P9" s="2">
        <v>99.99</v>
      </c>
      <c r="Q9" s="2">
        <v>99.99</v>
      </c>
      <c r="R9" s="2">
        <v>99.99</v>
      </c>
      <c r="S9" s="2">
        <v>99.99</v>
      </c>
      <c r="T9" s="2">
        <v>99.99</v>
      </c>
      <c r="U9" s="2">
        <v>99.99</v>
      </c>
      <c r="V9" s="2">
        <v>99.99</v>
      </c>
      <c r="W9" s="2">
        <v>99.99</v>
      </c>
      <c r="X9" s="2">
        <v>99.99</v>
      </c>
      <c r="Y9" s="2">
        <v>99.99</v>
      </c>
      <c r="Z9" s="2">
        <v>99.99</v>
      </c>
      <c r="AA9" s="2">
        <v>99.99</v>
      </c>
      <c r="AB9" s="2" t="s">
        <v>89</v>
      </c>
      <c r="AC9" s="2">
        <v>99.99</v>
      </c>
      <c r="AD9" s="2">
        <v>99.99</v>
      </c>
      <c r="AE9" s="2">
        <v>99.99</v>
      </c>
      <c r="AF9" s="2">
        <v>99.99</v>
      </c>
      <c r="AG9" s="2">
        <v>99.99</v>
      </c>
      <c r="AH9" s="2">
        <v>99.99</v>
      </c>
      <c r="AI9" s="2">
        <v>99.99</v>
      </c>
      <c r="AJ9" s="2">
        <v>99.99</v>
      </c>
      <c r="AK9" s="2">
        <v>99.99</v>
      </c>
      <c r="AL9" s="2">
        <v>99.99</v>
      </c>
      <c r="AM9" s="2">
        <v>99.99</v>
      </c>
      <c r="AN9" s="2">
        <v>99.99</v>
      </c>
      <c r="AO9" s="2">
        <v>99.99</v>
      </c>
      <c r="AP9" s="2">
        <v>99.99</v>
      </c>
      <c r="AQ9" s="2">
        <v>99.99</v>
      </c>
      <c r="AR9" s="2">
        <v>99.99</v>
      </c>
      <c r="AS9" s="2">
        <v>99.99</v>
      </c>
      <c r="AT9" s="2">
        <v>99.99</v>
      </c>
      <c r="AU9" s="2">
        <v>99.99</v>
      </c>
      <c r="AV9" s="2">
        <v>99.99</v>
      </c>
      <c r="AW9" s="2">
        <v>99.99</v>
      </c>
      <c r="AX9" s="2">
        <v>99.99</v>
      </c>
      <c r="AY9" s="2">
        <v>99.99</v>
      </c>
      <c r="AZ9" s="2">
        <v>99.99</v>
      </c>
      <c r="BA9" s="2">
        <v>99.99</v>
      </c>
      <c r="BB9" s="2">
        <v>99.99</v>
      </c>
      <c r="BC9" s="2">
        <v>99.99</v>
      </c>
      <c r="BD9" s="2">
        <v>99.99</v>
      </c>
      <c r="BE9" s="2">
        <v>99.99</v>
      </c>
      <c r="BF9" s="2">
        <v>99.99</v>
      </c>
      <c r="BG9" s="2">
        <v>99.99</v>
      </c>
      <c r="BH9" s="2">
        <v>99.99</v>
      </c>
      <c r="BI9" s="2">
        <v>99.99</v>
      </c>
      <c r="BJ9" s="2">
        <v>99.99</v>
      </c>
      <c r="BK9" s="2">
        <v>99.99</v>
      </c>
      <c r="BL9" s="2">
        <v>99.99</v>
      </c>
      <c r="BM9" s="2">
        <v>99.99</v>
      </c>
      <c r="BN9" s="2">
        <v>99.99</v>
      </c>
      <c r="BO9" s="2">
        <v>99.99</v>
      </c>
      <c r="BP9" s="2">
        <v>99.99</v>
      </c>
      <c r="BQ9" s="2">
        <v>99.99</v>
      </c>
      <c r="BR9" s="2">
        <v>99.99</v>
      </c>
      <c r="BS9" s="2">
        <v>99.99</v>
      </c>
      <c r="BT9" s="2">
        <v>99.99</v>
      </c>
      <c r="BU9" s="2">
        <v>99.99</v>
      </c>
      <c r="BV9" s="2">
        <v>99.99</v>
      </c>
      <c r="BW9" s="2">
        <v>99.99</v>
      </c>
      <c r="BX9" s="2">
        <v>99.99</v>
      </c>
      <c r="BY9" s="2">
        <v>99.99</v>
      </c>
      <c r="BZ9" s="2">
        <v>99.99</v>
      </c>
      <c r="CA9" s="2">
        <v>99.99</v>
      </c>
      <c r="CB9" s="2">
        <v>99.99</v>
      </c>
      <c r="CC9" s="2">
        <v>99.99</v>
      </c>
      <c r="CD9" s="2">
        <v>99.99</v>
      </c>
      <c r="CE9" s="2">
        <v>99.99</v>
      </c>
      <c r="CF9" s="2">
        <v>99.99</v>
      </c>
      <c r="CG9" s="2">
        <v>99.99</v>
      </c>
      <c r="CH9" s="2">
        <v>99.99</v>
      </c>
      <c r="CI9" s="2">
        <v>99.99</v>
      </c>
      <c r="CJ9" s="2">
        <v>99.99</v>
      </c>
      <c r="CK9" s="2">
        <v>99.99</v>
      </c>
      <c r="CL9" s="2">
        <v>99.99</v>
      </c>
      <c r="CM9" s="2">
        <v>99.99</v>
      </c>
      <c r="CN9" s="2">
        <v>99.99</v>
      </c>
      <c r="CO9" s="2">
        <v>99.99</v>
      </c>
      <c r="CP9" s="2">
        <v>99.99</v>
      </c>
      <c r="CQ9" s="2">
        <v>99.99</v>
      </c>
      <c r="CR9" s="2">
        <v>99.99</v>
      </c>
      <c r="CS9" s="2">
        <v>99.99</v>
      </c>
      <c r="CT9" s="2">
        <v>99.99</v>
      </c>
      <c r="CU9" s="2">
        <v>99.99</v>
      </c>
      <c r="CV9" s="2">
        <v>99.99</v>
      </c>
      <c r="CW9" s="2">
        <v>99.99</v>
      </c>
      <c r="CX9" s="2">
        <v>99.99</v>
      </c>
      <c r="CY9" s="2">
        <v>99.99</v>
      </c>
      <c r="CZ9" s="2">
        <v>99.99</v>
      </c>
      <c r="DA9" s="2">
        <v>99.97</v>
      </c>
      <c r="DB9" s="2">
        <v>99.98</v>
      </c>
      <c r="DC9" s="2">
        <v>99.98</v>
      </c>
      <c r="DD9" s="2">
        <v>99.98</v>
      </c>
      <c r="DE9" s="2">
        <v>99.99</v>
      </c>
      <c r="DF9" s="2">
        <v>99.99</v>
      </c>
      <c r="DG9" s="2">
        <v>99.96</v>
      </c>
      <c r="DH9" s="2">
        <v>99.98</v>
      </c>
      <c r="DI9" s="104">
        <v>99.96</v>
      </c>
      <c r="DJ9" s="104">
        <v>99.96</v>
      </c>
      <c r="DK9" s="104">
        <v>99.97</v>
      </c>
      <c r="DL9" s="104">
        <v>99.93</v>
      </c>
      <c r="DM9" s="104">
        <v>99.97</v>
      </c>
      <c r="DN9" s="104">
        <v>99.97</v>
      </c>
      <c r="DO9" s="104">
        <v>99.98</v>
      </c>
      <c r="DP9" s="104">
        <v>99.98</v>
      </c>
      <c r="DQ9" s="104">
        <v>99.97</v>
      </c>
      <c r="DR9" s="104">
        <v>99.97</v>
      </c>
      <c r="DS9" s="104">
        <v>99.97</v>
      </c>
      <c r="DT9" s="104">
        <v>99.96</v>
      </c>
      <c r="DU9" s="104">
        <v>99.98</v>
      </c>
      <c r="DV9" s="104">
        <v>99.96</v>
      </c>
      <c r="DW9" s="104">
        <v>99.95</v>
      </c>
      <c r="DX9" s="104">
        <v>99.98</v>
      </c>
      <c r="DY9" s="104">
        <v>99.98</v>
      </c>
      <c r="DZ9" s="104">
        <v>99.98</v>
      </c>
      <c r="EA9" s="104">
        <v>99.97</v>
      </c>
      <c r="EB9" s="104">
        <v>99.98</v>
      </c>
      <c r="EC9" s="104">
        <v>99.98</v>
      </c>
      <c r="ED9" s="104">
        <v>99.95</v>
      </c>
      <c r="EE9" s="104">
        <v>99.97</v>
      </c>
      <c r="EF9" s="104">
        <v>99.98</v>
      </c>
      <c r="EG9" s="104">
        <v>99.98</v>
      </c>
      <c r="EH9" s="104">
        <v>99.97</v>
      </c>
      <c r="EI9" s="104">
        <v>99.98</v>
      </c>
      <c r="EJ9" s="104">
        <v>99.94</v>
      </c>
      <c r="EK9" s="104">
        <v>99.92</v>
      </c>
      <c r="EL9" s="104">
        <v>99.91</v>
      </c>
      <c r="EM9" s="104">
        <v>99.97</v>
      </c>
      <c r="EN9" s="104">
        <v>99.98</v>
      </c>
      <c r="EO9" s="104">
        <v>99.98</v>
      </c>
      <c r="EP9" s="104">
        <v>99.98</v>
      </c>
      <c r="EQ9" s="104">
        <v>99.98</v>
      </c>
      <c r="ER9" s="104">
        <v>99.98</v>
      </c>
      <c r="ES9" s="104">
        <v>99.98</v>
      </c>
      <c r="ET9" s="104">
        <v>99.98</v>
      </c>
      <c r="EU9" s="104">
        <v>99.98</v>
      </c>
      <c r="EV9" s="104">
        <v>99.98</v>
      </c>
      <c r="EW9" s="104">
        <v>99.98</v>
      </c>
      <c r="EX9" s="104">
        <v>99.98</v>
      </c>
      <c r="EY9" s="104">
        <v>99.98</v>
      </c>
      <c r="EZ9" s="104">
        <v>99.98</v>
      </c>
      <c r="FA9" s="104">
        <v>99.98</v>
      </c>
      <c r="FB9" s="104">
        <v>99.98</v>
      </c>
      <c r="FC9" s="104">
        <v>99.98</v>
      </c>
      <c r="FD9" s="104">
        <v>99.98</v>
      </c>
      <c r="FE9" s="114">
        <v>99.976964770110797</v>
      </c>
      <c r="FF9" s="114">
        <v>99.981502206563107</v>
      </c>
      <c r="FG9" s="114">
        <v>99.979839666287418</v>
      </c>
      <c r="FH9" s="104">
        <v>99.98</v>
      </c>
      <c r="FI9" s="104">
        <v>99.98</v>
      </c>
      <c r="FJ9" s="104">
        <v>99.98</v>
      </c>
      <c r="FK9" s="104">
        <v>99.98</v>
      </c>
      <c r="FL9" s="104">
        <v>99.98</v>
      </c>
      <c r="FM9" s="104">
        <v>99.98</v>
      </c>
      <c r="FN9" s="104">
        <v>99.98</v>
      </c>
      <c r="FO9" s="104">
        <v>99.98</v>
      </c>
      <c r="FP9" s="104">
        <v>99.98</v>
      </c>
      <c r="FQ9" s="104">
        <v>99.98</v>
      </c>
      <c r="FR9" s="104">
        <v>99.96</v>
      </c>
      <c r="FS9" s="104">
        <v>99.94</v>
      </c>
      <c r="FT9" s="104">
        <v>99.96</v>
      </c>
      <c r="FU9" s="104">
        <v>99.98</v>
      </c>
      <c r="FV9" s="104">
        <v>99.98</v>
      </c>
      <c r="FW9" s="104">
        <v>99.98</v>
      </c>
      <c r="FX9" s="104">
        <v>99.98</v>
      </c>
      <c r="FY9" s="104">
        <v>99.98</v>
      </c>
      <c r="FZ9" s="104">
        <v>99.98</v>
      </c>
      <c r="GA9" s="104">
        <v>99.98</v>
      </c>
      <c r="GB9" s="104">
        <v>99.98</v>
      </c>
      <c r="GC9" s="104">
        <v>99.98</v>
      </c>
      <c r="GD9" s="104">
        <v>99.98</v>
      </c>
      <c r="GE9" s="104">
        <v>99.98</v>
      </c>
      <c r="GF9" s="104">
        <v>98.89</v>
      </c>
      <c r="GG9" s="104">
        <v>99.98</v>
      </c>
      <c r="GH9" s="104">
        <v>99.98</v>
      </c>
      <c r="GI9" s="104">
        <v>99.78</v>
      </c>
      <c r="GJ9" s="104"/>
      <c r="GK9" s="104">
        <v>99.94</v>
      </c>
      <c r="GL9" s="104">
        <v>99.93</v>
      </c>
      <c r="GM9" s="104">
        <v>99.98</v>
      </c>
      <c r="GN9" s="104">
        <v>99.98</v>
      </c>
      <c r="GO9" s="104">
        <v>99.98</v>
      </c>
      <c r="GP9" s="104">
        <v>99.98</v>
      </c>
      <c r="GQ9" s="104">
        <v>99.96</v>
      </c>
      <c r="GR9" s="104">
        <v>99.85</v>
      </c>
      <c r="GS9" s="104">
        <v>99.97</v>
      </c>
      <c r="GT9" s="116">
        <v>99.98</v>
      </c>
      <c r="GU9" s="2">
        <v>99.97</v>
      </c>
      <c r="GV9" s="2">
        <v>99.98</v>
      </c>
      <c r="GW9" s="2">
        <v>99.96</v>
      </c>
      <c r="GX9" s="118">
        <v>99.977954645161333</v>
      </c>
      <c r="GY9" s="53">
        <v>99.98</v>
      </c>
      <c r="GZ9" s="53">
        <v>99.98</v>
      </c>
      <c r="HA9" s="53">
        <v>99.97</v>
      </c>
      <c r="HB9" s="56">
        <v>99.98</v>
      </c>
      <c r="HC9" s="56">
        <v>99.97</v>
      </c>
      <c r="HD9" s="56">
        <v>99.98</v>
      </c>
      <c r="HE9" s="55">
        <v>99.98</v>
      </c>
      <c r="HF9" s="55">
        <v>99.97</v>
      </c>
      <c r="HG9" s="55">
        <v>99.98</v>
      </c>
      <c r="HH9" s="55">
        <v>99.96</v>
      </c>
      <c r="HI9" s="55">
        <v>99.98</v>
      </c>
      <c r="HJ9" s="55">
        <v>99.98</v>
      </c>
      <c r="HK9" s="55">
        <v>99.98</v>
      </c>
      <c r="HL9" s="55">
        <v>99.98</v>
      </c>
      <c r="HM9" s="55">
        <v>99.98</v>
      </c>
      <c r="HN9" s="55">
        <v>99.97</v>
      </c>
      <c r="HO9" s="55">
        <v>99.98</v>
      </c>
      <c r="HP9" s="55">
        <v>99.97</v>
      </c>
      <c r="HQ9" s="55">
        <v>99.98</v>
      </c>
      <c r="HR9" s="55">
        <v>99.96</v>
      </c>
      <c r="HS9" s="55">
        <v>99.95</v>
      </c>
      <c r="HT9" s="55">
        <v>99.98</v>
      </c>
      <c r="HU9" s="55">
        <v>99.97</v>
      </c>
      <c r="HV9" s="55">
        <v>99.97</v>
      </c>
      <c r="HW9" s="55">
        <v>99.97</v>
      </c>
      <c r="HX9" s="55">
        <v>99.98</v>
      </c>
      <c r="HY9" s="55">
        <v>99.97</v>
      </c>
      <c r="HZ9" s="55">
        <v>99.97</v>
      </c>
      <c r="IA9" s="55">
        <v>99.97</v>
      </c>
      <c r="IB9" s="55">
        <v>99.89</v>
      </c>
      <c r="IC9" s="55">
        <v>99.98</v>
      </c>
      <c r="ID9" s="55">
        <v>99.97</v>
      </c>
      <c r="IE9" s="55">
        <v>99.98</v>
      </c>
      <c r="IF9" s="55">
        <v>99.98</v>
      </c>
      <c r="IG9" s="55">
        <v>99.81</v>
      </c>
      <c r="IH9" s="55">
        <v>99.95</v>
      </c>
      <c r="II9" s="55">
        <v>99.98</v>
      </c>
      <c r="IJ9" s="55">
        <v>99.98</v>
      </c>
      <c r="IK9" s="55">
        <v>99.97</v>
      </c>
      <c r="IL9" s="55">
        <v>99.97</v>
      </c>
      <c r="IM9" s="55">
        <v>99.97</v>
      </c>
      <c r="IN9" s="55">
        <v>99.98</v>
      </c>
      <c r="IO9" s="100">
        <v>99.97</v>
      </c>
      <c r="IP9" s="100">
        <v>99.98</v>
      </c>
      <c r="IQ9" s="100">
        <v>99.97</v>
      </c>
      <c r="IR9" s="100">
        <v>99.98</v>
      </c>
      <c r="IS9" s="100">
        <v>99.98</v>
      </c>
      <c r="IT9" s="100">
        <v>99.98</v>
      </c>
      <c r="IU9" s="100">
        <v>99.98</v>
      </c>
      <c r="IV9" s="100">
        <v>99.98</v>
      </c>
      <c r="IW9" s="100">
        <v>99.96</v>
      </c>
      <c r="IX9" s="118">
        <v>99.94</v>
      </c>
      <c r="IY9" s="143">
        <v>99.945568447279044</v>
      </c>
      <c r="IZ9" s="143">
        <v>99.939818766856234</v>
      </c>
      <c r="JA9" s="143">
        <v>99.94566111643519</v>
      </c>
      <c r="JB9" s="143">
        <v>99.963572724842308</v>
      </c>
      <c r="JC9" s="100">
        <v>99.96</v>
      </c>
      <c r="JD9" s="56">
        <v>99.96</v>
      </c>
      <c r="JE9" s="64">
        <v>99.914100786394229</v>
      </c>
      <c r="JF9" s="64">
        <v>99.96</v>
      </c>
      <c r="JG9" s="64">
        <v>99.95</v>
      </c>
      <c r="JH9" s="64">
        <v>99.962228871631325</v>
      </c>
      <c r="JI9" s="64">
        <v>99.962330185403857</v>
      </c>
      <c r="JJ9" s="64">
        <v>99.962566460839483</v>
      </c>
      <c r="JK9" s="64">
        <v>99.963592527723861</v>
      </c>
      <c r="JL9" s="64">
        <v>99.95867627573088</v>
      </c>
      <c r="JM9" s="64">
        <v>99.85</v>
      </c>
      <c r="JN9" s="72">
        <v>99.96</v>
      </c>
      <c r="JO9" s="64">
        <v>99.95</v>
      </c>
      <c r="JP9" s="64">
        <v>99.96</v>
      </c>
      <c r="JQ9" s="64">
        <v>99.96</v>
      </c>
      <c r="JR9" s="64">
        <v>99.96</v>
      </c>
      <c r="JS9" s="64">
        <v>99.96</v>
      </c>
      <c r="JT9" s="64">
        <v>99.730250744789444</v>
      </c>
      <c r="JU9" s="64">
        <v>99.911073866329858</v>
      </c>
      <c r="JV9" s="64">
        <v>99.903063713560371</v>
      </c>
      <c r="JW9" s="64">
        <v>99.91063228431922</v>
      </c>
      <c r="JX9" s="64">
        <v>99.920959664558339</v>
      </c>
      <c r="JY9" s="64">
        <v>99.86513697459506</v>
      </c>
      <c r="JZ9" s="72">
        <v>99.934643700048284</v>
      </c>
      <c r="KA9" s="64">
        <v>99.941124475955078</v>
      </c>
      <c r="KB9" s="64">
        <v>99.940524322976898</v>
      </c>
      <c r="KC9" s="72">
        <v>99.93745258410938</v>
      </c>
      <c r="KD9" s="64">
        <v>99.940987229245792</v>
      </c>
      <c r="KE9" s="64">
        <v>99.944021524189722</v>
      </c>
      <c r="KF9" s="64">
        <v>99.938436709807348</v>
      </c>
      <c r="KG9" s="64">
        <v>99.941506893830365</v>
      </c>
      <c r="KH9" s="64">
        <v>99.95</v>
      </c>
      <c r="KI9" s="64">
        <v>99.94</v>
      </c>
      <c r="KJ9" s="64">
        <v>99.94</v>
      </c>
      <c r="KK9" s="64">
        <v>99.94</v>
      </c>
      <c r="KL9" s="64">
        <v>99.944067918472058</v>
      </c>
      <c r="KM9" s="64">
        <v>99.945563942485165</v>
      </c>
      <c r="KN9" s="64">
        <v>99.94478797587108</v>
      </c>
      <c r="KO9" s="64">
        <v>99.95</v>
      </c>
      <c r="KP9" s="64">
        <v>99.95</v>
      </c>
      <c r="KQ9" s="64">
        <v>99.94</v>
      </c>
      <c r="KR9" s="71">
        <v>99.941653641626573</v>
      </c>
      <c r="KS9" s="169">
        <v>99.950758376044575</v>
      </c>
      <c r="KT9" s="104">
        <v>99.94</v>
      </c>
      <c r="KU9" s="104">
        <v>99.94</v>
      </c>
      <c r="KV9" s="104">
        <v>99.95</v>
      </c>
      <c r="KW9" s="104">
        <v>99.95</v>
      </c>
      <c r="KX9" s="104">
        <v>99.95</v>
      </c>
      <c r="KY9" s="104">
        <v>99.95</v>
      </c>
      <c r="KZ9" s="104">
        <v>99.92</v>
      </c>
      <c r="LA9" s="104">
        <v>99.94</v>
      </c>
      <c r="LB9" s="104">
        <v>99.94</v>
      </c>
      <c r="LC9" s="104">
        <v>99.94</v>
      </c>
      <c r="LD9" s="104">
        <v>99.94</v>
      </c>
      <c r="LE9" s="104">
        <v>99.93</v>
      </c>
      <c r="LF9" s="104">
        <v>99.95</v>
      </c>
      <c r="LG9" s="104">
        <v>99.95</v>
      </c>
      <c r="LH9" s="104">
        <v>99.94</v>
      </c>
      <c r="LI9" s="104">
        <v>99.95</v>
      </c>
      <c r="LJ9" s="104">
        <v>99.95</v>
      </c>
      <c r="LK9" s="104">
        <v>99.95</v>
      </c>
      <c r="LL9" s="104">
        <v>99.94</v>
      </c>
      <c r="LM9" s="104">
        <v>99.95</v>
      </c>
      <c r="LN9" s="104">
        <v>99.95</v>
      </c>
      <c r="LO9" s="104">
        <v>99.95</v>
      </c>
      <c r="LP9" s="104">
        <v>99.95</v>
      </c>
      <c r="LQ9" s="104">
        <v>99.95</v>
      </c>
      <c r="LR9" s="104">
        <v>99.94</v>
      </c>
      <c r="LS9" s="104">
        <v>99.94</v>
      </c>
      <c r="LT9" s="104">
        <v>99.95</v>
      </c>
      <c r="LU9" s="104">
        <v>99.95</v>
      </c>
      <c r="LV9" s="104">
        <v>99.95</v>
      </c>
      <c r="LW9" s="104">
        <v>99.95</v>
      </c>
      <c r="LX9" s="104">
        <v>99.94</v>
      </c>
      <c r="LY9" s="104">
        <v>99.94</v>
      </c>
      <c r="LZ9" s="104">
        <v>99.94</v>
      </c>
      <c r="MA9" s="104">
        <v>99.94</v>
      </c>
      <c r="MB9" s="104">
        <v>99.95</v>
      </c>
      <c r="MC9" s="104">
        <v>99.93</v>
      </c>
      <c r="MD9" s="104">
        <v>99.94</v>
      </c>
      <c r="ME9" s="104">
        <v>99.93</v>
      </c>
      <c r="MF9" s="104">
        <v>99.95</v>
      </c>
      <c r="MG9" s="104">
        <v>99.93</v>
      </c>
      <c r="MH9" s="104">
        <v>99.93</v>
      </c>
      <c r="MI9" s="104">
        <v>99.94</v>
      </c>
      <c r="MJ9" s="104">
        <v>99.94</v>
      </c>
      <c r="MK9" s="104">
        <v>99.93</v>
      </c>
      <c r="ML9" s="104">
        <v>99.93</v>
      </c>
      <c r="MM9" s="104">
        <v>99.93</v>
      </c>
      <c r="MN9" s="104">
        <v>99.93</v>
      </c>
      <c r="MO9" s="104">
        <v>99.94</v>
      </c>
      <c r="MP9" s="104">
        <v>99.94</v>
      </c>
      <c r="MQ9" s="104">
        <v>99.92</v>
      </c>
      <c r="MR9" s="104">
        <v>99.94</v>
      </c>
      <c r="MS9" s="104">
        <v>99.94</v>
      </c>
      <c r="MT9" s="104">
        <v>99.95</v>
      </c>
      <c r="MU9" s="104">
        <v>99.95</v>
      </c>
      <c r="MV9" s="104">
        <v>99.95</v>
      </c>
      <c r="MW9" s="104">
        <v>99.96</v>
      </c>
      <c r="MX9" s="104">
        <v>99.94</v>
      </c>
      <c r="MY9" s="104">
        <v>99.95</v>
      </c>
      <c r="MZ9" s="30"/>
      <c r="NA9" s="30"/>
      <c r="NB9" s="30"/>
      <c r="ND9">
        <v>99.95</v>
      </c>
      <c r="NE9">
        <v>99.95</v>
      </c>
      <c r="NF9">
        <v>99.95</v>
      </c>
      <c r="NG9">
        <v>99.95</v>
      </c>
      <c r="NH9">
        <v>99.95</v>
      </c>
      <c r="NI9">
        <v>99.93</v>
      </c>
      <c r="NJ9">
        <v>99.95</v>
      </c>
      <c r="NK9">
        <v>99.94</v>
      </c>
      <c r="NL9">
        <v>99.94</v>
      </c>
      <c r="NM9">
        <v>99.95</v>
      </c>
      <c r="NN9" s="66">
        <v>99.968544687345542</v>
      </c>
      <c r="NO9" s="66">
        <v>99.971908507053868</v>
      </c>
      <c r="NP9" s="66">
        <v>99.976431503086943</v>
      </c>
      <c r="NQ9" s="66">
        <v>99.976067597140258</v>
      </c>
      <c r="NR9" s="66">
        <v>99.975652271513766</v>
      </c>
      <c r="NS9" s="71">
        <v>99.966922563550341</v>
      </c>
      <c r="NT9" s="66">
        <v>99.972638751513742</v>
      </c>
      <c r="NU9" s="66">
        <v>99.978545986910248</v>
      </c>
      <c r="NV9" s="66">
        <v>99.976585942042348</v>
      </c>
      <c r="NW9" s="66">
        <v>99.975336306885339</v>
      </c>
      <c r="NX9" s="66">
        <v>99.971283985859941</v>
      </c>
      <c r="NY9" s="66">
        <v>99.974865725432707</v>
      </c>
      <c r="NZ9" s="66">
        <v>99.975865995384709</v>
      </c>
      <c r="OA9" s="66">
        <v>99.970599517294744</v>
      </c>
      <c r="OB9" s="66">
        <v>99.970455681142184</v>
      </c>
      <c r="OC9" s="66">
        <v>99.973045943090654</v>
      </c>
      <c r="OD9" s="66">
        <v>99.974292082724972</v>
      </c>
      <c r="OE9" s="66">
        <v>99.977014006226526</v>
      </c>
      <c r="OF9" s="71">
        <v>99.961516643771901</v>
      </c>
      <c r="OG9" s="66">
        <v>99.969063209531583</v>
      </c>
      <c r="OH9" s="66">
        <v>99.970076076109692</v>
      </c>
      <c r="OI9" s="66">
        <v>99.965541213754477</v>
      </c>
      <c r="OJ9" s="66">
        <v>99.974915524847049</v>
      </c>
      <c r="OK9" s="66">
        <v>99.97011387669771</v>
      </c>
      <c r="OL9" s="66">
        <v>99.977579155482502</v>
      </c>
      <c r="OM9" s="66">
        <v>99.973239819360828</v>
      </c>
      <c r="ON9" s="66">
        <v>99.973764700447973</v>
      </c>
      <c r="OO9" s="66">
        <v>99.976587540240686</v>
      </c>
      <c r="OP9" s="66">
        <v>99.919146707664467</v>
      </c>
      <c r="OQ9" s="66">
        <v>99.884904969205365</v>
      </c>
      <c r="OR9" s="66">
        <v>99.973973013554186</v>
      </c>
      <c r="OS9" s="66">
        <v>99.974488599535633</v>
      </c>
      <c r="OT9" s="66">
        <v>99.966525675947111</v>
      </c>
      <c r="OU9" s="66">
        <v>99.968970977798534</v>
      </c>
      <c r="OV9" s="66">
        <v>99.964546535704841</v>
      </c>
      <c r="OW9" s="66">
        <v>99.974717705481993</v>
      </c>
      <c r="OX9" s="66">
        <v>99.97238465995288</v>
      </c>
      <c r="OY9" s="66">
        <v>99.971187592579994</v>
      </c>
      <c r="OZ9" s="66">
        <v>99.974617419346629</v>
      </c>
      <c r="PA9" s="66">
        <v>99.966608358211872</v>
      </c>
      <c r="PB9" s="66">
        <v>99.913452546169182</v>
      </c>
      <c r="PC9" s="66">
        <v>99.949924418600801</v>
      </c>
      <c r="PD9" s="66">
        <v>99.974681824541463</v>
      </c>
      <c r="PE9" s="66">
        <v>99.973193974142248</v>
      </c>
      <c r="PF9" s="66">
        <v>99.959940286907994</v>
      </c>
      <c r="PG9" s="66">
        <v>99.969734458903503</v>
      </c>
      <c r="PH9" s="71">
        <v>99.966454815626705</v>
      </c>
      <c r="PI9" s="66">
        <v>99.970700877355597</v>
      </c>
      <c r="PJ9" s="66">
        <v>99.956367969119569</v>
      </c>
      <c r="PK9" s="66">
        <v>99.971366350126317</v>
      </c>
      <c r="PL9" s="66">
        <v>99.939713331074429</v>
      </c>
      <c r="PM9" s="66">
        <v>99.96266627610207</v>
      </c>
      <c r="PN9" s="66">
        <v>99.963882527959598</v>
      </c>
      <c r="PO9" s="66">
        <v>99.960043119293246</v>
      </c>
      <c r="PP9" s="66">
        <v>99.965465448922373</v>
      </c>
      <c r="PQ9" s="66">
        <v>99.958816846152274</v>
      </c>
      <c r="PR9" s="66">
        <v>99.966048529657328</v>
      </c>
      <c r="PS9" s="66">
        <v>99.942693687509447</v>
      </c>
      <c r="PT9" s="66">
        <v>99.970793738674033</v>
      </c>
      <c r="PU9" s="66">
        <v>99.97</v>
      </c>
      <c r="PV9" s="66">
        <v>99.958378938448931</v>
      </c>
      <c r="PW9" s="66">
        <v>99.964083596680027</v>
      </c>
      <c r="PX9" s="66">
        <v>99.968078463655388</v>
      </c>
      <c r="PY9" s="66">
        <v>99.96604289576112</v>
      </c>
      <c r="PZ9" s="66">
        <v>99.971459618718185</v>
      </c>
      <c r="QA9" s="66">
        <v>99.972116637796233</v>
      </c>
      <c r="QB9" s="71">
        <v>99.97389581931003</v>
      </c>
      <c r="QC9" s="66">
        <v>99.968702223290833</v>
      </c>
      <c r="QD9" s="66">
        <v>99.95763652675781</v>
      </c>
      <c r="QE9" s="66">
        <v>99.975812704433508</v>
      </c>
      <c r="QF9" s="64">
        <v>99.975121592615352</v>
      </c>
      <c r="QG9" s="64">
        <v>99.97</v>
      </c>
      <c r="QH9" s="66">
        <v>99.993862997099555</v>
      </c>
      <c r="QI9" s="67">
        <v>100</v>
      </c>
      <c r="QJ9" s="67">
        <v>100</v>
      </c>
      <c r="QK9" s="66">
        <v>99.994959353063209</v>
      </c>
      <c r="QL9" s="66">
        <v>99.994303101570893</v>
      </c>
      <c r="QM9" s="66">
        <v>99.992873138577352</v>
      </c>
      <c r="QN9" s="66">
        <v>99.993936621944073</v>
      </c>
      <c r="QO9" s="66">
        <v>99.993816761744327</v>
      </c>
      <c r="QP9" s="66">
        <v>99.993755263223036</v>
      </c>
      <c r="QQ9" s="66">
        <v>99.993477354906034</v>
      </c>
      <c r="QR9" s="66">
        <v>99.994364291117151</v>
      </c>
      <c r="QS9" s="66">
        <v>99.993856526120766</v>
      </c>
      <c r="QT9" s="66">
        <v>99.994962016872577</v>
      </c>
      <c r="QU9" s="66">
        <v>99.994549243540504</v>
      </c>
      <c r="QV9" s="66">
        <v>99.994713239022857</v>
      </c>
      <c r="QW9" s="66">
        <v>99.995169951763927</v>
      </c>
      <c r="QX9" s="66">
        <v>99.995146707380385</v>
      </c>
      <c r="QY9" s="66">
        <v>99.993997808430564</v>
      </c>
      <c r="QZ9" s="66">
        <v>99.99334788931435</v>
      </c>
      <c r="RA9" s="66">
        <v>99.994392474965295</v>
      </c>
      <c r="RB9" s="66">
        <v>99.994675628206735</v>
      </c>
      <c r="RC9" s="73">
        <v>99.993547810917818</v>
      </c>
      <c r="RD9" s="66">
        <v>99.994652237349172</v>
      </c>
      <c r="RE9" s="66">
        <v>99.993935556551449</v>
      </c>
      <c r="RF9" s="66">
        <v>99.994146880157629</v>
      </c>
      <c r="RG9" s="66">
        <v>99.993040603879734</v>
      </c>
      <c r="RH9" s="66">
        <v>99.994577841590555</v>
      </c>
      <c r="RI9" s="66">
        <v>99.994154325798903</v>
      </c>
      <c r="RJ9" s="66">
        <v>99.992863353698951</v>
      </c>
      <c r="RK9" s="66">
        <v>99.994336521753596</v>
      </c>
      <c r="RL9" s="66">
        <v>99.993760072529156</v>
      </c>
      <c r="RM9" s="66">
        <v>99.994000408405938</v>
      </c>
      <c r="RN9" s="66">
        <v>99.993470700314816</v>
      </c>
      <c r="RO9" s="66">
        <v>99.994145111621023</v>
      </c>
      <c r="RP9" s="66">
        <v>99.993875920163632</v>
      </c>
      <c r="RQ9" s="66">
        <v>99.992565820113327</v>
      </c>
      <c r="RR9" s="66">
        <v>99.983850677722216</v>
      </c>
      <c r="RS9" s="66">
        <v>99.994059478624138</v>
      </c>
      <c r="RT9" s="66">
        <v>99.992383297652566</v>
      </c>
      <c r="RU9" s="66">
        <v>99.993187141174417</v>
      </c>
      <c r="RV9" s="66">
        <v>99.993543494898816</v>
      </c>
      <c r="RW9" s="66">
        <v>99.994527268275419</v>
      </c>
      <c r="RX9" s="66">
        <v>99.993017390403736</v>
      </c>
      <c r="RY9" s="66">
        <v>99.993592412861148</v>
      </c>
      <c r="RZ9" s="66">
        <v>99.994951200974242</v>
      </c>
      <c r="SA9" s="268"/>
      <c r="SB9" s="66"/>
      <c r="SC9" s="66"/>
      <c r="SD9" s="66"/>
      <c r="SE9" s="66"/>
      <c r="SF9" s="320">
        <v>99.99</v>
      </c>
      <c r="SG9" s="66">
        <v>99.994641351301681</v>
      </c>
      <c r="SH9" s="66">
        <v>99.989891911792554</v>
      </c>
      <c r="SI9" s="66">
        <v>99.99600235841541</v>
      </c>
      <c r="SJ9" s="66">
        <v>99.997127783788443</v>
      </c>
      <c r="SK9" s="66">
        <v>99.996797155009972</v>
      </c>
      <c r="SL9" s="66">
        <v>99.99620544067146</v>
      </c>
      <c r="SM9" s="66">
        <v>99.996206090330034</v>
      </c>
      <c r="SN9" s="66">
        <v>99.997627033442498</v>
      </c>
      <c r="SO9" s="66">
        <v>99.999369636899388</v>
      </c>
      <c r="SP9" s="66">
        <v>99.999391386683016</v>
      </c>
      <c r="SQ9" s="66">
        <v>99.999391386683016</v>
      </c>
      <c r="SR9" s="66">
        <v>99.999391386683016</v>
      </c>
      <c r="SS9" s="66">
        <v>99.999479657699567</v>
      </c>
      <c r="ST9" s="66">
        <v>99.999630619205334</v>
      </c>
      <c r="SU9" s="66">
        <v>99.99956305073087</v>
      </c>
      <c r="SV9" s="66">
        <v>99.999374708388828</v>
      </c>
      <c r="SW9" s="66">
        <v>99.999340159413919</v>
      </c>
      <c r="SX9" s="66">
        <v>99.999238606525353</v>
      </c>
      <c r="SY9" s="66">
        <v>99.999304430689563</v>
      </c>
      <c r="SZ9" s="66">
        <v>99.999601614295102</v>
      </c>
      <c r="TA9" s="66">
        <v>99.999381037782996</v>
      </c>
      <c r="TB9" s="66">
        <v>99.999381037782996</v>
      </c>
      <c r="TC9" s="64">
        <v>100</v>
      </c>
      <c r="TD9" s="64">
        <v>100</v>
      </c>
      <c r="TE9" s="64">
        <v>100</v>
      </c>
      <c r="TF9" s="64">
        <v>100</v>
      </c>
      <c r="TG9" s="64">
        <v>100</v>
      </c>
      <c r="TH9" s="64">
        <v>100</v>
      </c>
      <c r="TI9" s="64">
        <v>100</v>
      </c>
      <c r="TJ9" s="64">
        <v>99.99600235841541</v>
      </c>
      <c r="TK9" s="64">
        <v>99.997127783788443</v>
      </c>
      <c r="TL9" s="64">
        <v>100</v>
      </c>
      <c r="TM9" s="64">
        <v>100</v>
      </c>
      <c r="TN9" s="64">
        <v>100</v>
      </c>
      <c r="TO9" s="64">
        <v>100</v>
      </c>
      <c r="TP9" s="64">
        <v>100</v>
      </c>
      <c r="TQ9" s="64">
        <v>100</v>
      </c>
      <c r="TR9" s="64">
        <v>100</v>
      </c>
      <c r="TS9" s="64">
        <v>100</v>
      </c>
      <c r="TT9" s="64">
        <v>100</v>
      </c>
      <c r="TU9" s="66">
        <v>99.999423087106223</v>
      </c>
      <c r="TV9" s="66">
        <v>99.999504080499122</v>
      </c>
      <c r="TW9" s="66">
        <v>99.999324104250888</v>
      </c>
      <c r="TX9" s="66">
        <v>99.999099188037505</v>
      </c>
      <c r="TY9" s="66">
        <v>99.999247917164439</v>
      </c>
      <c r="TZ9" s="64">
        <v>100</v>
      </c>
      <c r="UA9" s="64">
        <v>100</v>
      </c>
      <c r="UB9" s="66">
        <v>99.999037484057055</v>
      </c>
      <c r="UC9" s="66">
        <v>99.999228156838527</v>
      </c>
      <c r="UD9" s="66">
        <v>99.999401393012874</v>
      </c>
      <c r="UE9" s="66">
        <v>99.999490859558307</v>
      </c>
      <c r="UF9" s="66">
        <v>99.999548505723254</v>
      </c>
      <c r="UG9" s="66">
        <v>99.999568560500308</v>
      </c>
      <c r="UH9" s="66">
        <v>99.999356416527235</v>
      </c>
      <c r="UI9" s="66">
        <v>99.999172059717154</v>
      </c>
      <c r="UJ9" s="66">
        <v>99.999401265615617</v>
      </c>
      <c r="UK9" s="66">
        <v>99.999562692415338</v>
      </c>
      <c r="UL9" s="66">
        <v>99.999407134958659</v>
      </c>
      <c r="UM9" s="66">
        <v>99.999407134958659</v>
      </c>
      <c r="UN9" s="66">
        <v>99.999154102265663</v>
      </c>
      <c r="UO9" s="66">
        <v>99.998991458656207</v>
      </c>
      <c r="UP9" s="66">
        <v>99.999464862778552</v>
      </c>
      <c r="UQ9" s="66">
        <v>99.999197597512548</v>
      </c>
      <c r="UR9" s="66">
        <v>99.999240370574853</v>
      </c>
      <c r="US9" s="66">
        <v>99.999240370574853</v>
      </c>
      <c r="UT9" s="66">
        <v>99.999235288591166</v>
      </c>
      <c r="UU9" s="66">
        <v>99.999246589556449</v>
      </c>
      <c r="UV9" s="66">
        <v>99.999217848520985</v>
      </c>
      <c r="UW9" s="66">
        <v>99.999208380183333</v>
      </c>
      <c r="UX9" s="66">
        <v>99.999298771385128</v>
      </c>
      <c r="UY9" s="66">
        <v>99.998871042011416</v>
      </c>
      <c r="UZ9" s="66">
        <v>99.999486300302777</v>
      </c>
      <c r="VA9" s="66">
        <v>99.999414372721773</v>
      </c>
      <c r="VB9" s="66">
        <v>99.999343549645886</v>
      </c>
      <c r="VC9" s="66">
        <v>99.999447486029965</v>
      </c>
      <c r="VD9" s="66">
        <v>99.999271810214111</v>
      </c>
      <c r="VE9" s="66">
        <v>99.999499318629177</v>
      </c>
      <c r="VF9" s="66">
        <v>99.999371814707942</v>
      </c>
      <c r="VG9" s="66">
        <v>99.999186252550587</v>
      </c>
      <c r="VH9" s="66">
        <v>99.998957787241309</v>
      </c>
      <c r="VI9" s="66">
        <v>99.999389130000438</v>
      </c>
      <c r="VJ9" s="66">
        <v>99.999270010236074</v>
      </c>
      <c r="VK9" s="66">
        <v>99.999322258087105</v>
      </c>
      <c r="VL9" s="66">
        <v>99.999164626964173</v>
      </c>
      <c r="VM9" s="66">
        <v>99.999430767509892</v>
      </c>
      <c r="VN9" s="66">
        <v>99.999311618060275</v>
      </c>
      <c r="VO9" s="66">
        <v>99.99924816193213</v>
      </c>
      <c r="VP9" s="268">
        <v>99.998993855812827</v>
      </c>
      <c r="VQ9" s="66">
        <v>99.999293362773329</v>
      </c>
      <c r="VR9" s="66">
        <v>99.999088054256902</v>
      </c>
      <c r="VS9" s="66"/>
      <c r="VT9" s="2"/>
      <c r="VU9" s="2"/>
      <c r="VV9" s="2"/>
      <c r="VW9" s="2"/>
      <c r="VX9" s="71"/>
      <c r="VY9" s="2"/>
      <c r="VZ9" s="71"/>
      <c r="WA9" s="2"/>
      <c r="WB9" s="2"/>
      <c r="WC9" s="2"/>
      <c r="WD9" s="46"/>
      <c r="WE9" s="71"/>
      <c r="WF9" s="82"/>
      <c r="WG9" s="82"/>
      <c r="WH9" s="66"/>
      <c r="WI9" s="66"/>
      <c r="WJ9" s="73"/>
      <c r="WK9" s="71"/>
      <c r="WL9" s="2"/>
      <c r="WM9" s="2"/>
      <c r="WN9" s="2"/>
      <c r="WO9" s="2"/>
      <c r="WP9" s="2"/>
      <c r="WQ9" s="2"/>
      <c r="WR9" s="2"/>
      <c r="WS9" s="2"/>
      <c r="WT9" s="64"/>
      <c r="WU9" s="64"/>
      <c r="WV9" s="64"/>
      <c r="WW9" s="64"/>
      <c r="WX9" s="64"/>
      <c r="WY9" s="64"/>
      <c r="WZ9" s="64"/>
      <c r="XA9" s="64"/>
      <c r="XB9" s="64"/>
      <c r="XC9" s="64"/>
      <c r="XD9" s="64"/>
      <c r="XE9" s="64"/>
      <c r="XF9" s="64"/>
      <c r="XG9" s="64"/>
      <c r="XH9" s="64"/>
      <c r="XI9" s="64"/>
      <c r="XJ9" s="64"/>
      <c r="XK9" s="64"/>
      <c r="XL9" s="64"/>
      <c r="XM9" s="64"/>
      <c r="XN9" s="64"/>
      <c r="XO9" s="64"/>
      <c r="XP9" s="64"/>
      <c r="XQ9" s="64"/>
      <c r="XR9" s="64"/>
      <c r="XS9" s="64"/>
      <c r="XT9" s="64"/>
      <c r="XU9" s="64"/>
      <c r="XV9" s="64"/>
      <c r="XW9" s="64"/>
      <c r="XX9" s="64"/>
      <c r="XY9" s="64"/>
      <c r="XZ9" s="64"/>
      <c r="YA9" s="64"/>
      <c r="YB9" s="64"/>
      <c r="YC9" s="64"/>
      <c r="YD9" s="64"/>
      <c r="YE9" s="64"/>
      <c r="YF9" s="64"/>
      <c r="YG9" s="64"/>
      <c r="YH9" s="64"/>
      <c r="YI9" s="64"/>
      <c r="YJ9" s="64"/>
      <c r="YK9" s="64"/>
      <c r="YL9" s="64"/>
      <c r="YM9" s="64"/>
      <c r="YN9" s="64"/>
      <c r="YO9" s="64"/>
      <c r="YP9" s="64"/>
      <c r="YQ9" s="64"/>
      <c r="YR9" s="64"/>
      <c r="YS9" s="64"/>
      <c r="YT9" s="64"/>
      <c r="YU9" s="64"/>
      <c r="YV9" s="64"/>
      <c r="YW9" s="64"/>
      <c r="YX9" s="64"/>
      <c r="YY9" s="2"/>
      <c r="YZ9" s="64"/>
      <c r="ZA9" s="2"/>
      <c r="ZB9" s="2"/>
      <c r="ZC9" s="2"/>
      <c r="ZD9" s="2"/>
      <c r="ZE9" s="2"/>
      <c r="ZF9" s="2"/>
      <c r="ZG9" s="64"/>
      <c r="ZH9" s="64"/>
      <c r="ZI9" s="64"/>
      <c r="ZJ9" s="64"/>
      <c r="ZK9" s="64"/>
      <c r="ZL9" s="64"/>
      <c r="ZM9" s="64"/>
      <c r="ZN9" s="64"/>
      <c r="ZO9" s="64"/>
      <c r="ZP9" s="64"/>
      <c r="ZQ9" s="64"/>
      <c r="ZR9" s="64"/>
      <c r="ZS9" s="64"/>
      <c r="ZT9" s="64"/>
      <c r="ZU9" s="64"/>
      <c r="ZV9" s="64"/>
      <c r="ZW9" s="64"/>
      <c r="ZX9" s="64"/>
      <c r="ZY9" s="64"/>
      <c r="ZZ9" s="64"/>
      <c r="AAA9" s="72"/>
      <c r="AAB9" s="64"/>
      <c r="AAC9" s="64"/>
      <c r="AAD9" s="64"/>
      <c r="AAE9" s="64"/>
      <c r="AAF9" s="72"/>
      <c r="AAG9" s="71"/>
      <c r="AAH9" s="91"/>
      <c r="AAI9" s="64"/>
      <c r="AAJ9" s="64"/>
      <c r="AAK9" s="64"/>
      <c r="AAL9" s="64"/>
      <c r="AAM9" s="64"/>
      <c r="AAN9" s="64"/>
      <c r="AAO9" s="64"/>
      <c r="AAP9" s="64"/>
      <c r="AAQ9" s="64"/>
      <c r="AAR9" s="64"/>
      <c r="AAS9" s="64"/>
      <c r="AAT9" s="64"/>
      <c r="AAU9" s="64"/>
      <c r="AAV9" s="64"/>
      <c r="AAW9" s="64"/>
      <c r="AAX9" s="64"/>
      <c r="AAY9" s="64"/>
      <c r="AAZ9" s="64"/>
      <c r="ABA9" s="64"/>
      <c r="ABB9" s="64"/>
      <c r="ABC9" s="64"/>
      <c r="ABD9" s="64"/>
      <c r="ABE9" s="64"/>
      <c r="ABF9" s="64"/>
      <c r="ABG9" s="64"/>
      <c r="ABH9" s="64"/>
      <c r="ABI9" s="64"/>
      <c r="ABJ9" s="64"/>
      <c r="ABK9" s="64"/>
      <c r="ABL9" s="64"/>
      <c r="ABM9" s="64"/>
      <c r="ABN9" s="64"/>
      <c r="ABO9" s="64"/>
      <c r="ABP9" s="64"/>
      <c r="ABQ9" s="64"/>
      <c r="ABR9" s="64"/>
      <c r="ABS9" s="64"/>
      <c r="ABT9" s="64"/>
      <c r="ABU9" s="64"/>
      <c r="ABV9" s="64"/>
      <c r="ABW9" s="64"/>
      <c r="ABX9" s="64"/>
      <c r="ABY9" s="64"/>
      <c r="ABZ9" s="64"/>
      <c r="ACA9" s="64"/>
      <c r="ACB9" s="64"/>
      <c r="ACC9" s="64"/>
      <c r="ACD9" s="64"/>
      <c r="ACE9" s="64"/>
      <c r="ACF9" s="64"/>
      <c r="ACG9" s="64"/>
      <c r="ACH9" s="64"/>
      <c r="ACI9" s="64"/>
      <c r="ACJ9" s="64"/>
      <c r="ACK9" s="72"/>
      <c r="ACL9" s="64"/>
      <c r="ACM9" s="64"/>
      <c r="ACN9" s="64"/>
      <c r="ACO9" s="64"/>
      <c r="ACP9" s="64"/>
      <c r="ACQ9" s="64"/>
      <c r="ACR9" s="64"/>
      <c r="ACS9" s="64"/>
      <c r="ACT9" s="64"/>
      <c r="ACU9" s="64"/>
      <c r="ACV9" s="64"/>
      <c r="ACW9" s="64"/>
      <c r="ACX9" s="64"/>
      <c r="ACY9" s="64"/>
      <c r="ACZ9" s="64"/>
      <c r="ADA9" s="64"/>
      <c r="ADB9" s="64"/>
      <c r="ADC9" s="64"/>
      <c r="ADD9" s="64"/>
      <c r="ADE9" s="64"/>
      <c r="ADF9" s="64"/>
      <c r="ADG9" s="64"/>
      <c r="ADH9" s="64"/>
      <c r="ADI9" s="64"/>
      <c r="ADJ9" s="64"/>
      <c r="ADK9" s="64"/>
      <c r="ADL9" s="64"/>
      <c r="ADM9" s="64"/>
      <c r="ADN9" s="64"/>
      <c r="ADO9" s="64"/>
      <c r="ADP9" s="64"/>
      <c r="ADQ9" s="64"/>
      <c r="ADR9" s="72"/>
      <c r="ADS9" s="64"/>
      <c r="ADT9" s="64"/>
      <c r="ADU9" s="64"/>
      <c r="ADV9" s="64"/>
      <c r="ADW9" s="64"/>
      <c r="ADX9" s="64"/>
      <c r="ADY9" s="64"/>
      <c r="ADZ9" s="64"/>
      <c r="AEA9" s="64"/>
      <c r="AEB9" s="64"/>
      <c r="AEC9" s="64"/>
      <c r="AED9" s="64"/>
      <c r="AEE9" s="64"/>
      <c r="AEF9" s="64"/>
      <c r="AEG9" s="64"/>
      <c r="AEH9" s="64"/>
      <c r="AEI9" s="64"/>
      <c r="AEJ9" s="64"/>
      <c r="AEK9" s="64"/>
      <c r="AEL9" s="64"/>
      <c r="AEM9" s="64"/>
      <c r="AEN9" s="64"/>
      <c r="AEO9" s="64"/>
      <c r="AEP9" s="64"/>
      <c r="AEQ9" s="64"/>
      <c r="AER9" s="64"/>
      <c r="AES9" s="64"/>
      <c r="AET9" s="64"/>
      <c r="AEU9" s="64"/>
      <c r="AEV9" s="64"/>
      <c r="AEW9" s="64"/>
      <c r="AEX9" s="64"/>
      <c r="AEY9" s="64"/>
      <c r="AEZ9" s="64"/>
      <c r="AFA9" s="64"/>
      <c r="AFB9" s="64"/>
      <c r="AFC9" s="64"/>
      <c r="AFD9" s="64"/>
      <c r="AFE9" s="64"/>
      <c r="AFF9" s="64"/>
      <c r="AFG9" s="64"/>
      <c r="AFH9" s="64"/>
      <c r="AFI9" s="64"/>
      <c r="AFJ9" s="64"/>
      <c r="AFK9" s="64"/>
      <c r="AFL9" s="64"/>
      <c r="AFM9" s="64"/>
      <c r="AFN9" s="64"/>
      <c r="AFO9" s="64"/>
      <c r="AFP9" s="64"/>
      <c r="AFQ9" s="64"/>
      <c r="AFR9" s="64"/>
      <c r="AFS9" s="64"/>
      <c r="AFT9" s="64"/>
      <c r="AFU9" s="64"/>
      <c r="AFV9" s="64"/>
      <c r="AFW9" s="64"/>
      <c r="AFX9" s="64"/>
      <c r="AFY9" s="64"/>
      <c r="AFZ9" s="64"/>
      <c r="AGA9" s="64"/>
      <c r="AGB9" s="64"/>
      <c r="AGC9" s="64"/>
      <c r="AGD9" s="64"/>
      <c r="AGE9" s="64"/>
      <c r="AGF9" s="64"/>
      <c r="AGG9" s="64"/>
      <c r="AGH9" s="64"/>
      <c r="AGI9" s="64"/>
      <c r="AGJ9" s="64"/>
      <c r="AGK9" s="64"/>
      <c r="AGL9" s="64"/>
      <c r="AGM9" s="64"/>
      <c r="AGN9" s="64"/>
      <c r="AGO9" s="64"/>
      <c r="AGP9" s="64"/>
      <c r="AGQ9" s="64"/>
      <c r="AGR9" s="64"/>
      <c r="AGS9" s="64"/>
      <c r="AGT9" s="64"/>
      <c r="AGU9" s="64"/>
      <c r="AGV9" s="64"/>
      <c r="AGW9" s="64"/>
      <c r="AGX9" s="64"/>
      <c r="AGY9" s="64"/>
      <c r="AGZ9" s="64"/>
      <c r="AHA9" s="64"/>
      <c r="AHB9" s="64"/>
      <c r="AHC9" s="64"/>
      <c r="AHD9" s="64"/>
      <c r="AHE9" s="64"/>
      <c r="AHF9" s="64"/>
      <c r="AHG9" s="64"/>
      <c r="AHH9" s="64"/>
      <c r="AHI9" s="64"/>
      <c r="AHJ9" s="64"/>
      <c r="AHK9" s="64"/>
      <c r="AHL9" s="64"/>
      <c r="AHM9" s="64"/>
      <c r="AHN9" s="64"/>
      <c r="AHO9" s="64"/>
      <c r="AHP9" s="64"/>
      <c r="AHQ9" s="64"/>
      <c r="AHR9" s="64"/>
      <c r="AHS9" s="64"/>
      <c r="AHT9" s="64"/>
      <c r="AHU9" s="64"/>
      <c r="AHV9" s="64"/>
      <c r="AHW9" s="64"/>
      <c r="AHX9" s="64"/>
      <c r="AHY9" s="64"/>
      <c r="AHZ9" s="64"/>
      <c r="AIA9" s="64"/>
      <c r="AIB9" s="64"/>
      <c r="AIC9" s="2"/>
      <c r="AID9" s="2"/>
      <c r="AIE9" s="2"/>
      <c r="AIF9" s="2"/>
      <c r="AIG9" s="2"/>
      <c r="AIH9" s="2"/>
      <c r="AII9" s="2"/>
      <c r="AIJ9" s="2"/>
      <c r="AIK9" s="64"/>
      <c r="AIL9" s="64"/>
      <c r="AIM9" s="64"/>
      <c r="AIN9" s="64"/>
      <c r="AIO9" s="64"/>
      <c r="AIP9" s="64"/>
      <c r="AIQ9" s="64"/>
      <c r="AIR9" s="64"/>
      <c r="AIS9" s="64"/>
      <c r="AIT9" s="64"/>
      <c r="AIU9" s="64"/>
      <c r="AIV9" s="64"/>
      <c r="AIW9" s="64"/>
      <c r="AIX9" s="64"/>
      <c r="AIY9" s="64"/>
      <c r="AIZ9" s="64"/>
      <c r="AJA9" s="64"/>
      <c r="AJB9" s="64"/>
      <c r="AJC9" s="64"/>
      <c r="AJD9" s="64"/>
      <c r="AJE9" s="64"/>
      <c r="AJF9" s="64"/>
      <c r="AJG9" s="64"/>
      <c r="AJH9" s="64"/>
      <c r="AJI9" s="64"/>
      <c r="AJJ9" s="64"/>
      <c r="AJK9" s="72"/>
      <c r="AJL9" s="64"/>
      <c r="AJM9" s="64"/>
      <c r="AJN9" s="64"/>
      <c r="AJO9" s="64"/>
      <c r="AJP9" s="64"/>
      <c r="AJQ9" s="64"/>
      <c r="AJR9" s="64"/>
      <c r="AJS9" s="64"/>
      <c r="AJT9" s="64"/>
      <c r="AJU9" s="64"/>
      <c r="AJV9" s="64"/>
      <c r="AJW9" s="64"/>
      <c r="AJX9" s="64"/>
      <c r="AJY9" s="72"/>
      <c r="AJZ9" s="64"/>
      <c r="AKA9" s="64"/>
      <c r="AKB9" s="64"/>
      <c r="AKC9" s="64"/>
      <c r="AKD9" s="64"/>
      <c r="AKE9" s="64"/>
      <c r="AKF9" s="64"/>
      <c r="AKG9" s="64"/>
      <c r="AKH9" s="64"/>
      <c r="AKI9" s="64"/>
      <c r="AKJ9" s="64"/>
      <c r="AKK9" s="64"/>
      <c r="AKL9" s="64"/>
      <c r="AKM9" s="64"/>
      <c r="AKN9" s="64"/>
      <c r="AKO9" s="64"/>
      <c r="AKP9" s="64"/>
      <c r="AKQ9" s="64"/>
      <c r="AKR9" s="64"/>
      <c r="AKS9" s="64"/>
      <c r="AKT9" s="64"/>
      <c r="AKU9" s="64"/>
      <c r="AKV9" s="64"/>
      <c r="AKW9" s="64"/>
      <c r="AKX9" s="64"/>
      <c r="AKY9" s="64"/>
      <c r="AKZ9" s="64"/>
      <c r="ALA9" s="64"/>
      <c r="ALB9" s="64"/>
      <c r="ALC9" s="64"/>
      <c r="ALD9" s="64"/>
      <c r="ALE9" s="64"/>
      <c r="ALF9" s="64"/>
      <c r="ALG9" s="64"/>
      <c r="ALH9" s="64"/>
      <c r="ALI9" s="64"/>
      <c r="ALJ9" s="64"/>
      <c r="ALK9" s="64"/>
      <c r="ALL9" s="64"/>
      <c r="ALM9" s="64"/>
      <c r="ALN9" s="64"/>
      <c r="ALO9" s="64"/>
      <c r="ALP9" s="64"/>
      <c r="ALQ9" s="64"/>
      <c r="ALR9" s="64"/>
      <c r="ALS9" s="64"/>
      <c r="ALT9" s="64"/>
      <c r="ALU9" s="64"/>
      <c r="ALV9" s="64"/>
      <c r="ALW9" s="64"/>
      <c r="ALX9" s="64"/>
      <c r="ALY9" s="64"/>
      <c r="ALZ9" s="64"/>
      <c r="AMA9" s="64"/>
      <c r="AMB9" s="64"/>
      <c r="AMC9" s="64"/>
      <c r="AMD9" s="64"/>
      <c r="AME9" s="64"/>
      <c r="AMF9" s="64"/>
      <c r="AMG9" s="64"/>
      <c r="AMH9" s="64"/>
      <c r="AMI9" s="64"/>
      <c r="AMJ9" s="64"/>
      <c r="AMK9" s="72"/>
      <c r="AML9" s="72"/>
      <c r="AMM9" s="64"/>
      <c r="AMN9" s="64"/>
      <c r="AMO9" s="64"/>
      <c r="AMP9" s="64"/>
      <c r="AMQ9" s="64"/>
      <c r="AMR9" s="64"/>
      <c r="AMS9" s="64"/>
      <c r="AMT9" s="64"/>
      <c r="AMU9" s="64"/>
      <c r="AMV9" s="64"/>
      <c r="AMW9" s="64"/>
      <c r="AMX9" s="64"/>
      <c r="AMY9" s="64"/>
      <c r="AMZ9" s="64"/>
      <c r="ANA9" s="64"/>
      <c r="ANB9" s="64"/>
      <c r="ANC9" s="64"/>
      <c r="AND9" s="64"/>
      <c r="ANE9" s="64"/>
      <c r="ANF9" s="64"/>
      <c r="ANG9" s="64"/>
      <c r="ANH9" s="64"/>
      <c r="ANI9" s="64"/>
      <c r="ANJ9" s="64"/>
      <c r="ANK9" s="64"/>
      <c r="ANL9" s="64"/>
      <c r="ANM9" s="72"/>
      <c r="ANN9" s="64"/>
      <c r="ANO9" s="64"/>
      <c r="ANP9" s="64"/>
      <c r="ANQ9" s="64"/>
      <c r="ANR9" s="64"/>
      <c r="ANS9" s="64"/>
      <c r="ANT9" s="64"/>
      <c r="ANU9" s="64"/>
      <c r="ANV9" s="64"/>
      <c r="ANW9" s="64"/>
      <c r="ANX9" s="64"/>
      <c r="ANY9" s="64"/>
      <c r="ANZ9" s="64"/>
      <c r="AOA9" s="64"/>
      <c r="AOB9" s="64"/>
      <c r="AOC9" s="64"/>
      <c r="AOD9" s="64"/>
      <c r="AOE9" s="64"/>
      <c r="AOF9" s="64"/>
      <c r="AOG9" s="64"/>
      <c r="AOH9" s="64"/>
      <c r="AOI9" s="64"/>
      <c r="AOJ9" s="64"/>
      <c r="AOK9" s="64"/>
      <c r="AOL9" s="64"/>
      <c r="AOM9" s="64"/>
      <c r="AON9" s="64"/>
      <c r="AOO9" s="64"/>
      <c r="AOP9" s="64"/>
    </row>
    <row r="10" spans="1:1082" ht="15.75" thickBot="1" x14ac:dyDescent="0.3">
      <c r="A10" s="380" t="s">
        <v>123</v>
      </c>
      <c r="B10" s="42" t="s">
        <v>32</v>
      </c>
      <c r="C10" s="2">
        <v>98.93</v>
      </c>
      <c r="D10" s="2">
        <v>98.95</v>
      </c>
      <c r="E10" s="2">
        <v>98.9</v>
      </c>
      <c r="F10" s="2">
        <v>98.88</v>
      </c>
      <c r="G10" s="2">
        <v>98.87</v>
      </c>
      <c r="H10" s="2">
        <v>98.96</v>
      </c>
      <c r="I10" s="2">
        <v>99</v>
      </c>
      <c r="J10" s="2">
        <v>99.07</v>
      </c>
      <c r="K10" s="2">
        <v>99</v>
      </c>
      <c r="L10" s="2">
        <v>99.01</v>
      </c>
      <c r="M10" s="2">
        <v>99.02</v>
      </c>
      <c r="N10" s="2">
        <v>98.94</v>
      </c>
      <c r="O10" s="2">
        <v>99.06</v>
      </c>
      <c r="P10" s="2">
        <v>99.05</v>
      </c>
      <c r="Q10" s="2">
        <v>99.02</v>
      </c>
      <c r="R10" s="2">
        <v>99</v>
      </c>
      <c r="S10" s="2">
        <v>99.01</v>
      </c>
      <c r="T10" s="2">
        <v>99</v>
      </c>
      <c r="U10" s="67">
        <v>99.01</v>
      </c>
      <c r="V10" s="67">
        <v>98.97</v>
      </c>
      <c r="W10" s="67">
        <v>96.05</v>
      </c>
      <c r="X10" s="67">
        <v>96.14</v>
      </c>
      <c r="Y10" s="67">
        <v>95.8</v>
      </c>
      <c r="Z10" s="67">
        <v>95.66</v>
      </c>
      <c r="AA10" s="67">
        <v>98.57</v>
      </c>
      <c r="AB10" s="2" t="s">
        <v>89</v>
      </c>
      <c r="AC10" s="88">
        <v>98.06</v>
      </c>
      <c r="AD10" s="88">
        <v>98.6</v>
      </c>
      <c r="AE10" s="88">
        <v>98</v>
      </c>
      <c r="AF10" s="88">
        <v>98.88</v>
      </c>
      <c r="AG10" s="88">
        <v>98.77</v>
      </c>
      <c r="AH10" s="88">
        <v>98.49</v>
      </c>
      <c r="AI10" s="88">
        <v>98.88</v>
      </c>
      <c r="AJ10" s="88">
        <v>98.85</v>
      </c>
      <c r="AK10" s="88">
        <v>98.96</v>
      </c>
      <c r="AL10" s="88">
        <v>98.76</v>
      </c>
      <c r="AM10" s="88">
        <v>98.86</v>
      </c>
      <c r="AN10" s="88">
        <v>98.74</v>
      </c>
      <c r="AO10" s="88">
        <v>98.35</v>
      </c>
      <c r="AP10" s="88">
        <v>98.86</v>
      </c>
      <c r="AQ10" s="88">
        <v>98.95</v>
      </c>
      <c r="AR10" s="88">
        <v>98.94</v>
      </c>
      <c r="AS10" s="88">
        <v>98.92</v>
      </c>
      <c r="AT10" s="88">
        <v>98.85</v>
      </c>
      <c r="AU10" s="88">
        <v>98.88</v>
      </c>
      <c r="AV10" s="88">
        <v>98.94</v>
      </c>
      <c r="AW10" s="88">
        <v>98.76</v>
      </c>
      <c r="AX10" s="88">
        <v>98.97</v>
      </c>
      <c r="AY10" s="88">
        <v>99.09</v>
      </c>
      <c r="AZ10" s="88">
        <v>98.96</v>
      </c>
      <c r="BA10" s="88">
        <v>99.03</v>
      </c>
      <c r="BB10" s="88">
        <v>98.6</v>
      </c>
      <c r="BC10" s="88">
        <v>98.62</v>
      </c>
      <c r="BD10" s="88">
        <v>98.12</v>
      </c>
      <c r="BE10" s="88">
        <v>98.82</v>
      </c>
      <c r="BF10" s="88">
        <v>99</v>
      </c>
      <c r="BG10" s="88">
        <v>98.98</v>
      </c>
      <c r="BH10" s="88">
        <v>97.95</v>
      </c>
      <c r="BI10" s="88">
        <v>98.82</v>
      </c>
      <c r="BJ10" s="88">
        <v>98.85</v>
      </c>
      <c r="BK10" s="88">
        <v>92.87</v>
      </c>
      <c r="BL10" s="88">
        <v>98.91</v>
      </c>
      <c r="BM10" s="88">
        <v>98.92</v>
      </c>
      <c r="BN10" s="88">
        <v>98.91</v>
      </c>
      <c r="BO10" s="88">
        <v>98.92</v>
      </c>
      <c r="BP10" s="88">
        <v>98.78</v>
      </c>
      <c r="BQ10" s="88">
        <v>98.94</v>
      </c>
      <c r="BR10" s="88">
        <v>98.95</v>
      </c>
      <c r="BS10" s="88">
        <v>98.98</v>
      </c>
      <c r="BT10" s="88">
        <v>98.58</v>
      </c>
      <c r="BU10" s="88">
        <v>98.96</v>
      </c>
      <c r="BV10" s="88">
        <v>98.98</v>
      </c>
      <c r="BW10" s="88">
        <v>98.96</v>
      </c>
      <c r="BX10" s="67">
        <v>98.95</v>
      </c>
      <c r="BY10" s="2">
        <v>98.78</v>
      </c>
      <c r="BZ10" s="2">
        <v>98.99</v>
      </c>
      <c r="CA10" s="2">
        <v>98.97</v>
      </c>
      <c r="CB10" s="2">
        <v>98.92</v>
      </c>
      <c r="CC10" s="2">
        <v>98.88</v>
      </c>
      <c r="CD10" s="2">
        <v>98.91</v>
      </c>
      <c r="CE10" s="2">
        <v>98.94</v>
      </c>
      <c r="CF10" s="2">
        <v>98.82</v>
      </c>
      <c r="CG10" s="2">
        <v>99</v>
      </c>
      <c r="CH10" s="2">
        <v>98.95</v>
      </c>
      <c r="CI10" s="2">
        <v>98.96</v>
      </c>
      <c r="CJ10" s="2">
        <v>98.91</v>
      </c>
      <c r="CK10" s="2">
        <v>98.99</v>
      </c>
      <c r="CL10" s="2">
        <v>98.96</v>
      </c>
      <c r="CM10" s="2">
        <v>98.91</v>
      </c>
      <c r="CN10" s="2">
        <v>98.98</v>
      </c>
      <c r="CO10" s="2">
        <v>98.98</v>
      </c>
      <c r="CP10" s="2">
        <v>98.97</v>
      </c>
      <c r="CQ10" s="2">
        <v>98.95</v>
      </c>
      <c r="CR10" s="2">
        <v>98.92</v>
      </c>
      <c r="CS10" s="2">
        <v>99.08</v>
      </c>
      <c r="CT10" s="2">
        <v>98.97</v>
      </c>
      <c r="CU10" s="2">
        <v>99.04</v>
      </c>
      <c r="CV10" s="2">
        <v>99.06</v>
      </c>
      <c r="CW10" s="2">
        <v>99.17</v>
      </c>
      <c r="CX10" s="2">
        <v>99.1</v>
      </c>
      <c r="CY10" s="2">
        <v>99.04</v>
      </c>
      <c r="CZ10" s="2">
        <v>99.15</v>
      </c>
      <c r="DA10" s="64"/>
      <c r="DB10" s="64"/>
      <c r="DC10" s="64"/>
      <c r="DD10" s="69"/>
      <c r="DE10" s="64"/>
      <c r="DF10" s="69"/>
      <c r="DG10" s="64"/>
      <c r="DH10" s="64"/>
      <c r="DI10" s="100"/>
      <c r="DJ10" s="50"/>
      <c r="DK10" s="55"/>
      <c r="DL10" s="55"/>
      <c r="DM10" s="55"/>
      <c r="DN10" s="55"/>
      <c r="DO10" s="109"/>
      <c r="DP10" s="110"/>
      <c r="DQ10" s="109"/>
      <c r="DR10" s="109"/>
      <c r="DS10" s="111"/>
      <c r="DT10" s="55"/>
      <c r="DU10" s="55"/>
      <c r="DV10" s="55"/>
      <c r="DW10" s="55"/>
      <c r="DX10" s="55"/>
      <c r="DY10" s="55"/>
      <c r="DZ10" s="104">
        <v>99.15</v>
      </c>
      <c r="EA10" s="104">
        <v>99.06</v>
      </c>
      <c r="EB10" s="104">
        <v>99.06</v>
      </c>
      <c r="EC10" s="104">
        <v>99.03</v>
      </c>
      <c r="ED10" s="104">
        <v>99.01</v>
      </c>
      <c r="EE10" s="104">
        <v>99.16</v>
      </c>
      <c r="EF10" s="104">
        <v>99.14</v>
      </c>
      <c r="EG10" s="104">
        <v>99.12</v>
      </c>
      <c r="EH10" s="104">
        <v>99.04</v>
      </c>
      <c r="EI10" s="104">
        <v>99.05</v>
      </c>
      <c r="EJ10" s="104">
        <v>99.07</v>
      </c>
      <c r="EK10" s="104">
        <v>99.06</v>
      </c>
      <c r="EL10" s="104">
        <v>99.14</v>
      </c>
      <c r="EM10" s="104">
        <v>99.02</v>
      </c>
      <c r="EN10" s="104">
        <v>99.12</v>
      </c>
      <c r="EO10" s="104">
        <v>99.07</v>
      </c>
      <c r="EP10" s="104">
        <v>99.04</v>
      </c>
      <c r="EQ10" s="104">
        <v>99.07</v>
      </c>
      <c r="ER10" s="104">
        <v>99.04</v>
      </c>
      <c r="ES10" s="104">
        <v>99.14</v>
      </c>
      <c r="ET10" s="104">
        <v>98.73</v>
      </c>
      <c r="EU10" s="104">
        <v>99.13</v>
      </c>
      <c r="EV10" s="104">
        <v>99.07</v>
      </c>
      <c r="EW10" s="104">
        <v>99.01</v>
      </c>
      <c r="EX10" s="104">
        <v>99.02</v>
      </c>
      <c r="EY10" s="104">
        <v>99.09</v>
      </c>
      <c r="EZ10" s="104">
        <v>99.07</v>
      </c>
      <c r="FA10" s="104">
        <v>99.07</v>
      </c>
      <c r="FB10" s="104">
        <v>99.08</v>
      </c>
      <c r="FC10" s="104">
        <v>99.06</v>
      </c>
      <c r="FD10" s="104">
        <v>99.07</v>
      </c>
      <c r="FE10" s="104">
        <v>99.03</v>
      </c>
      <c r="FF10" s="104">
        <v>99.06</v>
      </c>
      <c r="FG10" s="104">
        <v>99.12</v>
      </c>
      <c r="FH10" s="104">
        <v>99.08</v>
      </c>
      <c r="FI10" s="104">
        <v>99.08</v>
      </c>
      <c r="FJ10" s="104">
        <v>99.03</v>
      </c>
      <c r="FK10" s="104">
        <v>99.02</v>
      </c>
      <c r="FL10" s="104">
        <v>99.05</v>
      </c>
      <c r="FM10" s="104">
        <v>99.04</v>
      </c>
      <c r="FN10" s="104">
        <v>99.08</v>
      </c>
      <c r="FO10" s="104">
        <v>99.08</v>
      </c>
      <c r="FP10" s="104">
        <v>99.04</v>
      </c>
      <c r="FQ10" s="104">
        <v>98.92</v>
      </c>
      <c r="FR10" s="104">
        <v>99.01</v>
      </c>
      <c r="FS10" s="104">
        <v>98.97</v>
      </c>
      <c r="FT10" s="104">
        <v>98.98</v>
      </c>
      <c r="FU10" s="104">
        <v>98.94</v>
      </c>
      <c r="FV10" s="104">
        <v>99.02</v>
      </c>
      <c r="FW10" s="104">
        <v>99</v>
      </c>
      <c r="FX10" s="104">
        <v>98.99</v>
      </c>
      <c r="FY10" s="104">
        <v>98.98</v>
      </c>
      <c r="FZ10" s="104">
        <v>98.99</v>
      </c>
      <c r="GA10" s="104">
        <v>99</v>
      </c>
      <c r="GB10" s="104">
        <v>99.02</v>
      </c>
      <c r="GC10" s="104">
        <v>99.03</v>
      </c>
      <c r="GD10" s="104">
        <v>99.1</v>
      </c>
      <c r="GE10" s="104">
        <v>99.02</v>
      </c>
      <c r="GF10" s="104">
        <v>99.02</v>
      </c>
      <c r="GG10" s="104">
        <v>98.94</v>
      </c>
      <c r="GH10" s="104">
        <v>99.02</v>
      </c>
      <c r="GI10" s="104">
        <v>98.82</v>
      </c>
      <c r="GJ10" s="104">
        <v>98.11</v>
      </c>
      <c r="GK10" s="104">
        <v>98.35</v>
      </c>
      <c r="GL10" s="104">
        <v>98.04</v>
      </c>
      <c r="GM10" s="104">
        <v>98.21</v>
      </c>
      <c r="GN10" s="104">
        <v>99.08</v>
      </c>
      <c r="GO10" s="104">
        <v>99.09</v>
      </c>
      <c r="GP10" s="104">
        <v>99.1</v>
      </c>
      <c r="GQ10" s="104">
        <v>99.01</v>
      </c>
      <c r="GR10" s="104">
        <v>99.1</v>
      </c>
      <c r="GS10" s="104">
        <v>99.01</v>
      </c>
      <c r="GT10" s="116">
        <v>99</v>
      </c>
      <c r="GU10" s="64">
        <v>99.03</v>
      </c>
      <c r="GV10" s="64">
        <v>99.06</v>
      </c>
      <c r="GW10" s="104">
        <v>99.04</v>
      </c>
      <c r="GX10" s="57">
        <v>98.94</v>
      </c>
      <c r="GY10" s="53">
        <v>99.12</v>
      </c>
      <c r="GZ10" s="53">
        <v>99.14</v>
      </c>
      <c r="HA10" s="53">
        <v>99.16</v>
      </c>
      <c r="HB10" s="57">
        <v>99.13</v>
      </c>
      <c r="HC10" s="57">
        <v>99.09</v>
      </c>
      <c r="HD10" s="57">
        <v>99.11</v>
      </c>
      <c r="HE10" s="55">
        <v>99.07</v>
      </c>
      <c r="HF10" s="55">
        <v>99.04</v>
      </c>
      <c r="HG10" s="55">
        <v>98.96</v>
      </c>
      <c r="HH10" s="55">
        <v>99.01</v>
      </c>
      <c r="HI10" s="55">
        <v>99.03</v>
      </c>
      <c r="HJ10" s="55">
        <v>99.03</v>
      </c>
      <c r="HK10" s="55">
        <v>99.14</v>
      </c>
      <c r="HL10" s="55">
        <v>99.16</v>
      </c>
      <c r="HM10" s="55">
        <v>99.13</v>
      </c>
      <c r="HN10" s="55">
        <v>99.08</v>
      </c>
      <c r="HO10" s="55">
        <v>99.08</v>
      </c>
      <c r="HP10" s="55">
        <v>99.06</v>
      </c>
      <c r="HQ10" s="55">
        <v>99.05</v>
      </c>
      <c r="HR10" s="55">
        <v>99.08</v>
      </c>
      <c r="HS10" s="55">
        <v>99.08</v>
      </c>
      <c r="HT10" s="55">
        <v>99.11</v>
      </c>
      <c r="HU10" s="55">
        <v>99.07</v>
      </c>
      <c r="HV10" s="55">
        <v>99.05</v>
      </c>
      <c r="HW10" s="55">
        <v>99.11</v>
      </c>
      <c r="HX10" s="55">
        <v>99.09</v>
      </c>
      <c r="HY10" s="55">
        <v>99.05</v>
      </c>
      <c r="HZ10" s="55">
        <v>99.03</v>
      </c>
      <c r="IA10" s="55">
        <v>99.08</v>
      </c>
      <c r="IB10" s="55">
        <v>99.06</v>
      </c>
      <c r="IC10" s="55">
        <v>99.37</v>
      </c>
      <c r="ID10" s="55">
        <v>99.1</v>
      </c>
      <c r="IE10" s="55">
        <v>99.11</v>
      </c>
      <c r="IF10" s="55">
        <v>99.13</v>
      </c>
      <c r="IG10" s="55">
        <v>98.01</v>
      </c>
      <c r="IH10" s="55">
        <v>99.18</v>
      </c>
      <c r="II10" s="55">
        <v>99.15</v>
      </c>
      <c r="IJ10" s="55">
        <v>99.13</v>
      </c>
      <c r="IK10" s="55">
        <v>99.1</v>
      </c>
      <c r="IL10" s="55">
        <v>99.06</v>
      </c>
      <c r="IM10" s="55">
        <v>99.28</v>
      </c>
      <c r="IN10" s="55">
        <v>99.19</v>
      </c>
      <c r="IO10" s="100">
        <v>99.16</v>
      </c>
      <c r="IP10" s="100">
        <v>99.11</v>
      </c>
      <c r="IQ10" s="100">
        <v>99.11</v>
      </c>
      <c r="IR10" s="100">
        <v>99.16</v>
      </c>
      <c r="IS10" s="100">
        <v>99.22</v>
      </c>
      <c r="IT10" s="100">
        <v>99.31</v>
      </c>
      <c r="IU10" s="100">
        <v>99.21</v>
      </c>
      <c r="IV10" s="100">
        <v>99.17</v>
      </c>
      <c r="IW10" s="100">
        <v>99.1</v>
      </c>
      <c r="IX10" s="118">
        <v>99.14</v>
      </c>
      <c r="IY10" s="143">
        <v>99.2</v>
      </c>
      <c r="IZ10" s="143">
        <v>99.3</v>
      </c>
      <c r="JA10" s="142">
        <v>99.29</v>
      </c>
      <c r="JB10" s="143">
        <v>99.21</v>
      </c>
      <c r="JC10" s="144">
        <v>99.2</v>
      </c>
      <c r="JD10" s="145">
        <v>99.17</v>
      </c>
      <c r="JE10" s="64">
        <v>99.28</v>
      </c>
      <c r="JF10" s="64">
        <v>99.21</v>
      </c>
      <c r="JG10" s="64">
        <v>99.16</v>
      </c>
      <c r="JH10" s="64">
        <v>99.32</v>
      </c>
      <c r="JI10" s="64">
        <v>99.23</v>
      </c>
      <c r="JJ10" s="64">
        <v>99.26</v>
      </c>
      <c r="JK10" s="64">
        <v>99.26</v>
      </c>
      <c r="JL10" s="64">
        <v>99.26</v>
      </c>
      <c r="JM10" s="64">
        <v>99.32</v>
      </c>
      <c r="JN10" s="72">
        <v>99.3</v>
      </c>
      <c r="JO10" s="64">
        <v>99.28</v>
      </c>
      <c r="JP10" s="64">
        <v>99.15</v>
      </c>
      <c r="JQ10" s="64">
        <v>99.22</v>
      </c>
      <c r="JR10" s="48">
        <v>99.24</v>
      </c>
      <c r="JS10" s="64">
        <v>99.27</v>
      </c>
      <c r="JT10" s="64">
        <v>99.25</v>
      </c>
      <c r="JU10" s="64">
        <v>99.34</v>
      </c>
      <c r="JV10" s="64">
        <v>99.38</v>
      </c>
      <c r="JW10" s="64">
        <v>99.09</v>
      </c>
      <c r="JX10" s="64">
        <v>99.2</v>
      </c>
      <c r="JY10" s="64">
        <v>99.22</v>
      </c>
      <c r="JZ10" s="72">
        <v>99.31</v>
      </c>
      <c r="KA10" s="48">
        <v>99.29</v>
      </c>
      <c r="KB10" s="48">
        <v>99.29</v>
      </c>
      <c r="KC10" s="158">
        <v>99.28</v>
      </c>
      <c r="KD10" s="64">
        <v>99.27</v>
      </c>
      <c r="KE10" s="64">
        <v>99.25</v>
      </c>
      <c r="KF10" s="64">
        <v>99.24</v>
      </c>
      <c r="KG10" s="64">
        <v>99.22</v>
      </c>
      <c r="KH10" s="64">
        <v>99.26</v>
      </c>
      <c r="KI10" s="64">
        <v>99.29</v>
      </c>
      <c r="KJ10" s="64">
        <v>99.33</v>
      </c>
      <c r="KK10" s="64">
        <v>99.29</v>
      </c>
      <c r="KL10" s="64">
        <v>99.3</v>
      </c>
      <c r="KM10" s="64">
        <v>99.28</v>
      </c>
      <c r="KN10" s="64">
        <v>99.3</v>
      </c>
      <c r="KO10" s="64">
        <v>99.27</v>
      </c>
      <c r="KP10" s="64">
        <v>99.27</v>
      </c>
      <c r="KQ10" s="64">
        <v>99.36</v>
      </c>
      <c r="KR10" s="64">
        <v>99.32</v>
      </c>
      <c r="KS10" s="64">
        <v>99.29</v>
      </c>
      <c r="KT10" s="104">
        <v>99.18</v>
      </c>
      <c r="KU10" s="104">
        <v>99.24</v>
      </c>
      <c r="KV10" s="104">
        <v>99.23</v>
      </c>
      <c r="KW10" s="104">
        <v>99.24</v>
      </c>
      <c r="KX10" s="104">
        <v>99.33</v>
      </c>
      <c r="KY10" s="101">
        <v>97.47</v>
      </c>
      <c r="KZ10" s="104">
        <v>98.7</v>
      </c>
      <c r="LA10" s="101">
        <v>99.36</v>
      </c>
      <c r="LB10" s="101">
        <v>99.3</v>
      </c>
      <c r="LC10" s="104">
        <v>99.19</v>
      </c>
      <c r="LD10" s="104">
        <v>99.3</v>
      </c>
      <c r="LE10" s="104">
        <v>99.33</v>
      </c>
      <c r="LF10" s="104">
        <v>99.32</v>
      </c>
      <c r="LG10" s="104">
        <v>99.34</v>
      </c>
      <c r="LH10" s="104">
        <v>99.33</v>
      </c>
      <c r="LI10" s="104">
        <v>99.32</v>
      </c>
      <c r="LJ10" s="104">
        <v>99.33</v>
      </c>
      <c r="LK10" s="104">
        <v>99.22</v>
      </c>
      <c r="LL10" s="104">
        <v>99.33</v>
      </c>
      <c r="LM10" s="104">
        <v>99.34</v>
      </c>
      <c r="LN10" s="101">
        <v>99.36</v>
      </c>
      <c r="LO10" s="104">
        <v>99.2</v>
      </c>
      <c r="LP10" s="104">
        <v>99.36</v>
      </c>
      <c r="LQ10" s="104">
        <v>99.4</v>
      </c>
      <c r="LR10" s="104">
        <v>99.42</v>
      </c>
      <c r="LS10" s="104">
        <v>99.48</v>
      </c>
      <c r="LT10" s="104">
        <v>99.42</v>
      </c>
      <c r="LU10" s="104">
        <v>99.39</v>
      </c>
      <c r="LV10" s="104">
        <v>99.36</v>
      </c>
      <c r="LW10" s="104">
        <v>99.35</v>
      </c>
      <c r="LX10" s="104">
        <v>99.27</v>
      </c>
      <c r="LY10" s="104">
        <v>99.34</v>
      </c>
      <c r="LZ10" s="104">
        <v>99.44</v>
      </c>
      <c r="MA10" s="104">
        <v>99.39</v>
      </c>
      <c r="MB10" s="104">
        <v>99.38</v>
      </c>
      <c r="MC10" s="104">
        <v>99.43</v>
      </c>
      <c r="MD10" s="104">
        <v>99.41</v>
      </c>
      <c r="ME10" s="104">
        <v>99.31</v>
      </c>
      <c r="MF10" s="104">
        <v>99.36</v>
      </c>
      <c r="MG10" s="104">
        <v>82.38</v>
      </c>
      <c r="MH10" s="104">
        <v>92.68</v>
      </c>
      <c r="MI10" s="104">
        <v>93.85</v>
      </c>
      <c r="MJ10" s="104">
        <v>96.71</v>
      </c>
      <c r="MK10" s="104">
        <v>98.22</v>
      </c>
      <c r="ML10" s="104">
        <v>98.64</v>
      </c>
      <c r="MM10" s="104">
        <v>98.55</v>
      </c>
      <c r="MN10" s="104">
        <v>98.71</v>
      </c>
      <c r="MO10" s="104">
        <v>98.61</v>
      </c>
      <c r="MP10" s="104">
        <v>98.69</v>
      </c>
      <c r="MQ10" s="104">
        <v>97.18</v>
      </c>
      <c r="MR10" s="104">
        <v>98.86</v>
      </c>
      <c r="MS10" s="101">
        <v>98.69</v>
      </c>
      <c r="MT10" s="101">
        <v>98.62</v>
      </c>
      <c r="MU10" s="101">
        <v>98.86</v>
      </c>
      <c r="MV10" s="101">
        <v>98.92</v>
      </c>
      <c r="MW10" s="101">
        <v>98.76</v>
      </c>
      <c r="MX10" s="101">
        <v>98.64</v>
      </c>
      <c r="MY10" s="104">
        <v>97.16</v>
      </c>
      <c r="MZ10" s="64"/>
      <c r="NA10" s="64"/>
      <c r="NB10" s="64"/>
      <c r="NC10">
        <v>98.9</v>
      </c>
      <c r="ND10">
        <v>98.76</v>
      </c>
      <c r="NE10">
        <v>98.66</v>
      </c>
      <c r="NF10">
        <v>98.73</v>
      </c>
      <c r="NG10">
        <v>98.7</v>
      </c>
      <c r="NH10">
        <v>98.77</v>
      </c>
      <c r="NI10">
        <v>98.94</v>
      </c>
      <c r="NJ10">
        <v>98.85</v>
      </c>
      <c r="NK10">
        <v>98.84</v>
      </c>
      <c r="NL10">
        <v>98.82</v>
      </c>
      <c r="NM10">
        <v>98.75</v>
      </c>
      <c r="NN10" s="48">
        <v>98.86</v>
      </c>
      <c r="NO10" s="48">
        <v>98.8</v>
      </c>
      <c r="NP10" s="48">
        <v>98.88</v>
      </c>
      <c r="NQ10" s="48">
        <v>98.81</v>
      </c>
      <c r="NR10" s="48">
        <v>98.84</v>
      </c>
      <c r="NS10" s="71">
        <v>98.82</v>
      </c>
      <c r="NT10" s="48">
        <v>98.84</v>
      </c>
      <c r="NU10" s="48">
        <v>98.91</v>
      </c>
      <c r="NV10" s="48">
        <v>98.86</v>
      </c>
      <c r="NW10" s="48">
        <v>98.91</v>
      </c>
      <c r="NX10" s="104">
        <v>98.81</v>
      </c>
      <c r="NY10" s="48">
        <v>98.86</v>
      </c>
      <c r="NZ10" s="66">
        <v>99.95</v>
      </c>
      <c r="OA10" s="71">
        <v>98.882999999999996</v>
      </c>
      <c r="OB10" s="71">
        <v>98.950999999999993</v>
      </c>
      <c r="OC10" s="71">
        <v>99.004000000000005</v>
      </c>
      <c r="OD10" s="48">
        <v>99.06</v>
      </c>
      <c r="OE10" s="48">
        <v>98.87</v>
      </c>
      <c r="OF10" s="48">
        <v>98.93</v>
      </c>
      <c r="OG10" s="48">
        <v>98.84</v>
      </c>
      <c r="OH10" s="48">
        <v>98.8</v>
      </c>
      <c r="OI10" s="104">
        <v>98.77</v>
      </c>
      <c r="OJ10" s="104">
        <v>98.78</v>
      </c>
      <c r="OK10" s="104">
        <v>98.89</v>
      </c>
      <c r="OL10" s="64">
        <v>98.8</v>
      </c>
      <c r="OM10" s="64">
        <v>98.87</v>
      </c>
      <c r="ON10" s="64">
        <v>98.84</v>
      </c>
      <c r="OO10" s="48">
        <v>98.84</v>
      </c>
      <c r="OP10" s="104">
        <v>98.82</v>
      </c>
      <c r="OQ10" s="104">
        <v>98.82</v>
      </c>
      <c r="OR10" s="104">
        <v>98.86</v>
      </c>
      <c r="OS10" s="48">
        <v>98.82</v>
      </c>
      <c r="OT10" s="48">
        <v>98.84</v>
      </c>
      <c r="OU10" s="48">
        <v>98.85</v>
      </c>
      <c r="OV10" s="48">
        <v>98.3</v>
      </c>
      <c r="OW10" s="48">
        <v>98.6</v>
      </c>
      <c r="OX10" s="48">
        <v>98.75</v>
      </c>
      <c r="OY10" s="48">
        <v>98.89</v>
      </c>
      <c r="OZ10" s="2">
        <v>98.8</v>
      </c>
      <c r="PA10" s="104">
        <v>98.72</v>
      </c>
      <c r="PB10" s="104">
        <v>98.66</v>
      </c>
      <c r="PC10" s="48">
        <v>98.69</v>
      </c>
      <c r="PD10" s="48">
        <v>98.57</v>
      </c>
      <c r="PE10" s="48">
        <v>98.62</v>
      </c>
      <c r="PF10" s="48">
        <v>98.73</v>
      </c>
      <c r="PG10" s="48">
        <v>98.46</v>
      </c>
      <c r="PH10" s="71">
        <v>98.59</v>
      </c>
      <c r="PI10" s="64">
        <v>98.95</v>
      </c>
      <c r="PJ10" s="48">
        <v>98.89</v>
      </c>
      <c r="PK10" s="104">
        <v>98.81</v>
      </c>
      <c r="PL10" s="104">
        <v>98.82</v>
      </c>
      <c r="PM10" s="104">
        <v>98.96</v>
      </c>
      <c r="PN10" s="2">
        <v>98.39</v>
      </c>
      <c r="PO10" s="64">
        <v>98.36</v>
      </c>
      <c r="PP10" s="64">
        <v>99.04</v>
      </c>
      <c r="PQ10" s="64">
        <v>98.99</v>
      </c>
      <c r="PR10" s="104">
        <v>98.97</v>
      </c>
      <c r="PS10" s="104">
        <v>98.94</v>
      </c>
      <c r="PT10" s="104">
        <v>97.57</v>
      </c>
      <c r="PU10" s="64">
        <v>98.91</v>
      </c>
      <c r="PV10" s="64">
        <v>98.92</v>
      </c>
      <c r="PW10" s="64">
        <v>98.86</v>
      </c>
      <c r="PX10" s="64">
        <v>99.15</v>
      </c>
      <c r="PY10" s="64">
        <v>99.26</v>
      </c>
      <c r="PZ10" s="48">
        <v>99.13</v>
      </c>
      <c r="QA10" s="64">
        <v>99.2</v>
      </c>
      <c r="QB10" s="48">
        <v>99.07</v>
      </c>
      <c r="QC10" s="71">
        <v>99.02</v>
      </c>
      <c r="QD10" s="48">
        <v>98.9</v>
      </c>
      <c r="QE10" s="64">
        <v>98.74</v>
      </c>
      <c r="QF10" s="64">
        <v>98.81</v>
      </c>
      <c r="QG10" s="64">
        <v>98.89</v>
      </c>
      <c r="QH10" s="71">
        <v>98.97</v>
      </c>
      <c r="QI10" s="71">
        <v>99.12</v>
      </c>
      <c r="QJ10" s="48">
        <v>99.09</v>
      </c>
      <c r="QK10" s="48">
        <v>98.95</v>
      </c>
      <c r="QL10" s="48">
        <v>98.88</v>
      </c>
      <c r="QM10" s="48">
        <v>98.96</v>
      </c>
      <c r="QN10" s="48">
        <v>98.87</v>
      </c>
      <c r="QO10" s="48">
        <v>98.91</v>
      </c>
      <c r="QP10" s="104">
        <v>98.88</v>
      </c>
      <c r="QQ10" s="64">
        <v>98.89</v>
      </c>
      <c r="QR10" s="64">
        <v>98.8</v>
      </c>
      <c r="QS10" s="64">
        <v>98.88</v>
      </c>
      <c r="QT10" s="104">
        <v>98.91</v>
      </c>
      <c r="QU10" s="104">
        <v>98.94</v>
      </c>
      <c r="QV10" s="104">
        <v>99.02</v>
      </c>
      <c r="QW10" s="48">
        <v>98.93</v>
      </c>
      <c r="QX10" s="48">
        <v>98.99</v>
      </c>
      <c r="QY10" s="48">
        <v>98.9</v>
      </c>
      <c r="QZ10" s="48">
        <v>98.95</v>
      </c>
      <c r="RA10" s="104">
        <v>98.99</v>
      </c>
      <c r="RB10" s="104">
        <v>98.98</v>
      </c>
      <c r="RC10" s="116">
        <v>98.99</v>
      </c>
      <c r="RD10" s="64">
        <v>98.93</v>
      </c>
      <c r="RE10" s="64">
        <v>98.87</v>
      </c>
      <c r="RF10" s="48">
        <v>98.87</v>
      </c>
      <c r="RG10" s="48">
        <v>98.89</v>
      </c>
      <c r="RH10" s="48">
        <v>98.87</v>
      </c>
      <c r="RI10" s="48">
        <v>98.85</v>
      </c>
      <c r="RJ10" s="48">
        <v>98.87</v>
      </c>
      <c r="RK10" s="48">
        <v>98.89</v>
      </c>
      <c r="RL10" s="48">
        <v>98.88</v>
      </c>
      <c r="RM10" s="48">
        <v>98.93</v>
      </c>
      <c r="RN10" s="48">
        <v>98.88</v>
      </c>
      <c r="RO10" s="48">
        <v>98.79</v>
      </c>
      <c r="RP10" s="48">
        <v>98.82</v>
      </c>
      <c r="RQ10" s="48">
        <v>98.97</v>
      </c>
      <c r="RR10" s="104">
        <v>96.98</v>
      </c>
      <c r="RS10" s="104">
        <v>98.98</v>
      </c>
      <c r="RT10" s="104">
        <v>99</v>
      </c>
      <c r="RU10" s="64">
        <v>99.02</v>
      </c>
      <c r="RV10" s="104">
        <v>98.98</v>
      </c>
      <c r="RW10" s="104">
        <v>99.02</v>
      </c>
      <c r="RX10" s="104">
        <v>99.03</v>
      </c>
      <c r="RY10" s="64">
        <v>98.97</v>
      </c>
      <c r="RZ10" s="64">
        <v>98.96</v>
      </c>
      <c r="SA10" s="183"/>
      <c r="SB10" s="64"/>
      <c r="SC10" s="64"/>
      <c r="SD10" s="64"/>
      <c r="SE10" s="64"/>
      <c r="SF10" s="72"/>
      <c r="SG10" s="64">
        <v>99.01</v>
      </c>
      <c r="SH10" s="64">
        <v>95.34</v>
      </c>
      <c r="SI10" s="64">
        <v>98.62</v>
      </c>
      <c r="SJ10" s="64">
        <v>99.02</v>
      </c>
      <c r="SK10" s="64">
        <v>98.98</v>
      </c>
      <c r="SL10" s="48">
        <v>99.07</v>
      </c>
      <c r="SM10" s="64">
        <v>98.92</v>
      </c>
      <c r="SN10" s="48">
        <v>99.01</v>
      </c>
      <c r="SO10" s="48">
        <v>99.1</v>
      </c>
      <c r="SP10" s="48">
        <v>99.12</v>
      </c>
      <c r="SQ10" s="48">
        <v>99.11</v>
      </c>
      <c r="SR10" s="48">
        <v>99.1</v>
      </c>
      <c r="SS10" s="48">
        <v>99.25</v>
      </c>
      <c r="ST10" s="48">
        <v>98.45</v>
      </c>
      <c r="SU10" s="48">
        <v>99.22</v>
      </c>
      <c r="SV10" s="48">
        <v>99.18</v>
      </c>
      <c r="SW10" s="48">
        <v>99.11</v>
      </c>
      <c r="SX10" s="48">
        <v>99.07</v>
      </c>
      <c r="SY10" s="48">
        <v>99.1</v>
      </c>
      <c r="SZ10" s="48">
        <v>99.17</v>
      </c>
      <c r="TA10" s="172">
        <v>98.98</v>
      </c>
      <c r="TB10" s="64">
        <v>98.77</v>
      </c>
      <c r="TC10" s="64">
        <v>98.92</v>
      </c>
      <c r="TD10" s="64">
        <v>98.71</v>
      </c>
      <c r="TE10" s="64">
        <v>98.64</v>
      </c>
      <c r="TF10" s="64">
        <v>98.75</v>
      </c>
      <c r="TG10" s="64">
        <v>99.02</v>
      </c>
      <c r="TH10" s="64">
        <v>98.88</v>
      </c>
      <c r="TI10" s="64">
        <v>99.04</v>
      </c>
      <c r="TJ10" s="64">
        <v>98.95</v>
      </c>
      <c r="TK10" s="64">
        <v>99.06</v>
      </c>
      <c r="TL10" s="64">
        <v>99.09</v>
      </c>
      <c r="TM10" s="64">
        <v>99.18</v>
      </c>
      <c r="TN10" s="64">
        <v>99.28</v>
      </c>
      <c r="TO10" s="64">
        <v>99.22</v>
      </c>
      <c r="TP10" s="64">
        <v>99.14</v>
      </c>
      <c r="TQ10" s="64">
        <v>99.01</v>
      </c>
      <c r="TR10" s="64">
        <v>99.12</v>
      </c>
      <c r="TS10" s="64">
        <v>99.23</v>
      </c>
      <c r="TT10" s="64">
        <v>99.11</v>
      </c>
      <c r="TU10" s="48">
        <v>99.17</v>
      </c>
      <c r="TV10" s="104">
        <v>99.11</v>
      </c>
      <c r="TW10" s="48">
        <v>99.19</v>
      </c>
      <c r="TX10" s="48">
        <v>99.12</v>
      </c>
      <c r="TY10" s="64">
        <v>99.06</v>
      </c>
      <c r="TZ10" s="64">
        <v>98.11</v>
      </c>
      <c r="UA10" s="64">
        <v>98.96</v>
      </c>
      <c r="UB10" s="64">
        <v>99.09</v>
      </c>
      <c r="UC10" s="48">
        <v>98.93</v>
      </c>
      <c r="UD10" s="48">
        <v>99.11</v>
      </c>
      <c r="UE10" s="48">
        <v>99.06</v>
      </c>
      <c r="UF10" s="48">
        <v>99.02</v>
      </c>
      <c r="UG10" s="48">
        <v>98.94</v>
      </c>
      <c r="UH10" s="48">
        <v>98.86</v>
      </c>
      <c r="UI10" s="48">
        <v>99.06</v>
      </c>
      <c r="UJ10" s="48">
        <v>98.92</v>
      </c>
      <c r="UK10" s="64">
        <v>98.99</v>
      </c>
      <c r="UL10" s="48">
        <v>98.94</v>
      </c>
      <c r="UM10" s="64">
        <v>99.04</v>
      </c>
      <c r="UN10" s="64">
        <v>98.92</v>
      </c>
      <c r="UO10" s="64">
        <v>98.85</v>
      </c>
      <c r="UP10" s="48">
        <v>98.95</v>
      </c>
      <c r="UQ10" s="48">
        <v>98.92</v>
      </c>
      <c r="UR10" s="48">
        <v>98.89</v>
      </c>
      <c r="US10" s="48">
        <v>98.87</v>
      </c>
      <c r="UT10" s="48">
        <v>98.88</v>
      </c>
      <c r="UU10" s="104">
        <v>98.97</v>
      </c>
      <c r="UV10" s="104">
        <v>98.86</v>
      </c>
      <c r="UW10" s="104">
        <v>98.91</v>
      </c>
      <c r="UX10" s="48">
        <v>98.79</v>
      </c>
      <c r="UY10" s="48">
        <v>98.85</v>
      </c>
      <c r="UZ10" s="48">
        <v>98.86</v>
      </c>
      <c r="VA10" s="64">
        <v>98.87</v>
      </c>
      <c r="VB10" s="67">
        <v>99.83</v>
      </c>
      <c r="VC10" s="67">
        <v>99.96</v>
      </c>
      <c r="VD10" s="67">
        <v>99.95</v>
      </c>
      <c r="VE10" s="48">
        <v>99.94</v>
      </c>
      <c r="VF10" s="48">
        <v>99.03</v>
      </c>
      <c r="VG10" s="48">
        <v>98.94</v>
      </c>
      <c r="VH10" s="71">
        <v>98.92</v>
      </c>
      <c r="VI10" s="48">
        <v>99</v>
      </c>
      <c r="VJ10" s="48">
        <v>98.91</v>
      </c>
      <c r="VK10" s="48">
        <v>99.06</v>
      </c>
      <c r="VL10" s="64">
        <v>99.01</v>
      </c>
      <c r="VM10" s="48">
        <v>98.7</v>
      </c>
      <c r="VN10" s="64">
        <v>98.94</v>
      </c>
      <c r="VO10" s="48">
        <v>98.87</v>
      </c>
      <c r="VP10" s="104">
        <v>98.96</v>
      </c>
      <c r="VQ10" s="104">
        <v>98.94</v>
      </c>
      <c r="VR10" s="48">
        <v>99.08</v>
      </c>
      <c r="VS10" s="183"/>
      <c r="VT10" s="2"/>
      <c r="VU10" s="2"/>
      <c r="VV10" s="2"/>
      <c r="VW10" s="2"/>
      <c r="VX10" s="71"/>
      <c r="VY10" s="2"/>
      <c r="VZ10" s="71"/>
      <c r="WA10" s="64"/>
      <c r="WB10" s="64"/>
      <c r="WC10" s="64"/>
      <c r="WD10" s="46"/>
      <c r="WE10" s="71"/>
      <c r="WF10" s="82"/>
      <c r="WG10" s="82"/>
      <c r="WH10" s="64"/>
      <c r="WI10" s="64"/>
      <c r="WJ10" s="72"/>
      <c r="WK10" s="71"/>
      <c r="WL10" s="2"/>
      <c r="WM10" s="2"/>
      <c r="WN10" s="71"/>
      <c r="WO10" s="64"/>
      <c r="WP10" s="64"/>
      <c r="WQ10" s="64"/>
      <c r="WR10" s="64"/>
      <c r="WS10" s="64"/>
      <c r="WT10" s="64"/>
      <c r="WU10" s="64"/>
      <c r="WV10" s="64"/>
      <c r="WW10" s="64"/>
      <c r="WX10" s="64"/>
      <c r="WY10" s="64"/>
      <c r="WZ10" s="64"/>
      <c r="XA10" s="64"/>
      <c r="XB10" s="64"/>
      <c r="XC10" s="64"/>
      <c r="XD10" s="64"/>
      <c r="XE10" s="64"/>
      <c r="XF10" s="64"/>
      <c r="XG10" s="64"/>
      <c r="XH10" s="64"/>
      <c r="XI10" s="64"/>
      <c r="XJ10" s="64"/>
      <c r="XK10" s="64"/>
      <c r="XL10" s="64"/>
      <c r="XM10" s="64"/>
      <c r="XN10" s="64"/>
      <c r="XO10" s="64"/>
      <c r="XP10" s="64"/>
      <c r="XQ10" s="64"/>
      <c r="XR10" s="64"/>
      <c r="XS10" s="64"/>
      <c r="XT10" s="64"/>
      <c r="XU10" s="64"/>
      <c r="XV10" s="64"/>
      <c r="XW10" s="64"/>
      <c r="XX10" s="64"/>
      <c r="XY10" s="64"/>
      <c r="XZ10" s="67"/>
      <c r="YA10" s="67"/>
      <c r="YB10" s="67"/>
      <c r="YC10" s="67"/>
      <c r="YD10" s="67"/>
      <c r="YE10" s="64"/>
      <c r="YF10" s="64"/>
      <c r="YG10" s="64"/>
      <c r="YH10" s="64"/>
      <c r="YI10" s="64"/>
      <c r="YJ10" s="64"/>
      <c r="YK10" s="64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88"/>
      <c r="ZV10" s="88"/>
      <c r="ZW10" s="88"/>
      <c r="ZX10" s="88"/>
      <c r="ZY10" s="88"/>
      <c r="ZZ10" s="88"/>
      <c r="AAA10" s="90"/>
      <c r="AAB10" s="67"/>
      <c r="AAC10" s="67"/>
      <c r="AAD10" s="67"/>
      <c r="AAE10" s="67"/>
      <c r="AAF10" s="92"/>
      <c r="AAG10" s="88"/>
      <c r="AAH10" s="90"/>
      <c r="AAI10" s="67"/>
      <c r="AAJ10" s="67"/>
      <c r="AAK10" s="67"/>
      <c r="AAL10" s="67"/>
      <c r="AAM10" s="67"/>
      <c r="AAN10" s="67"/>
      <c r="AAO10" s="64"/>
      <c r="AAP10" s="64"/>
      <c r="AAQ10" s="64"/>
      <c r="AAR10" s="64"/>
      <c r="AAS10" s="64"/>
      <c r="AAT10" s="64"/>
      <c r="AAU10" s="64"/>
      <c r="AAV10" s="64"/>
      <c r="AAW10" s="64"/>
      <c r="AAX10" s="64"/>
      <c r="AAY10" s="64"/>
      <c r="AAZ10" s="64"/>
      <c r="ABA10" s="64"/>
      <c r="ABB10" s="64"/>
      <c r="ABC10" s="64"/>
      <c r="ABD10" s="64"/>
      <c r="ABE10" s="64"/>
      <c r="ABF10" s="64"/>
      <c r="ABG10" s="64"/>
      <c r="ABH10" s="64"/>
      <c r="ABI10" s="64"/>
      <c r="ABJ10" s="64"/>
      <c r="ABK10" s="64"/>
      <c r="ABL10" s="64"/>
      <c r="ABM10" s="64"/>
      <c r="ABN10" s="64"/>
      <c r="ABO10" s="64"/>
      <c r="ABP10" s="64"/>
      <c r="ABQ10" s="64"/>
      <c r="ABR10" s="64"/>
      <c r="ABS10" s="64"/>
      <c r="ABT10" s="64"/>
      <c r="ABU10" s="64"/>
      <c r="ABV10" s="64"/>
      <c r="ABW10" s="64"/>
      <c r="ABX10" s="64"/>
      <c r="ABY10" s="64"/>
      <c r="ABZ10" s="64"/>
      <c r="ACA10" s="64"/>
      <c r="ACB10" s="64"/>
      <c r="ACC10" s="64"/>
      <c r="ACD10" s="64"/>
      <c r="ACE10" s="64"/>
      <c r="ACF10" s="64"/>
      <c r="ACG10" s="64"/>
      <c r="ACH10" s="64"/>
      <c r="ACI10" s="64"/>
      <c r="ACJ10" s="64"/>
      <c r="ACK10" s="72"/>
      <c r="ACL10" s="64"/>
      <c r="ACM10" s="64"/>
      <c r="ACN10" s="64"/>
      <c r="ACO10" s="64"/>
      <c r="ACP10" s="64"/>
      <c r="ACQ10" s="64"/>
      <c r="ACR10" s="64"/>
      <c r="ACS10" s="64"/>
      <c r="ACT10" s="64"/>
      <c r="ACU10" s="64"/>
      <c r="ACV10" s="64"/>
      <c r="ACW10" s="64"/>
      <c r="ACX10" s="64"/>
      <c r="ACY10" s="64"/>
      <c r="ACZ10" s="64"/>
      <c r="ADA10" s="64"/>
      <c r="ADB10" s="64"/>
      <c r="ADC10" s="64"/>
      <c r="ADD10" s="64"/>
      <c r="ADE10" s="64"/>
      <c r="ADF10" s="64"/>
      <c r="ADG10" s="64"/>
      <c r="ADH10" s="64"/>
      <c r="ADI10" s="64"/>
      <c r="ADJ10" s="64"/>
      <c r="ADK10" s="64"/>
      <c r="ADL10" s="64"/>
      <c r="ADM10" s="64"/>
      <c r="ADN10" s="64"/>
      <c r="ADO10" s="64"/>
      <c r="ADP10" s="64"/>
      <c r="ADQ10" s="64"/>
      <c r="ADR10" s="72"/>
      <c r="ADS10" s="64"/>
      <c r="ADT10" s="64"/>
      <c r="ADU10" s="64"/>
      <c r="ADV10" s="64"/>
      <c r="ADW10" s="64"/>
      <c r="ADX10" s="64"/>
      <c r="ADY10" s="64"/>
      <c r="ADZ10" s="64"/>
      <c r="AEA10" s="64"/>
      <c r="AEB10" s="64"/>
      <c r="AEC10" s="64"/>
      <c r="AED10" s="64"/>
      <c r="AEE10" s="64"/>
      <c r="AEF10" s="64"/>
      <c r="AEG10" s="64"/>
      <c r="AEH10" s="64"/>
      <c r="AEI10" s="64"/>
      <c r="AEJ10" s="64"/>
      <c r="AEK10" s="64"/>
      <c r="AEL10" s="64"/>
      <c r="AEM10" s="64"/>
      <c r="AEN10" s="64"/>
      <c r="AEO10" s="64"/>
      <c r="AEP10" s="64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64"/>
      <c r="AGA10" s="64"/>
      <c r="AGB10" s="64"/>
      <c r="AGC10" s="64"/>
      <c r="AGD10" s="64"/>
      <c r="AGE10" s="64"/>
      <c r="AGF10" s="64"/>
      <c r="AGG10" s="64"/>
      <c r="AGH10" s="64"/>
      <c r="AGI10" s="67"/>
      <c r="AGJ10" s="67"/>
      <c r="AGK10" s="67"/>
      <c r="AGL10" s="67"/>
      <c r="AGM10" s="67"/>
      <c r="AGN10" s="67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87"/>
      <c r="AJK10" s="89"/>
      <c r="AJL10" s="67"/>
      <c r="AJM10" s="67"/>
      <c r="AJN10" s="67"/>
      <c r="AJO10" s="67"/>
      <c r="AJP10" s="67"/>
      <c r="AJQ10" s="67"/>
      <c r="AJR10" s="67"/>
      <c r="AJS10" s="67"/>
      <c r="AJT10" s="87"/>
      <c r="AJU10" s="87"/>
      <c r="AJV10" s="87"/>
      <c r="AJW10" s="87"/>
      <c r="AJX10" s="87"/>
      <c r="AJY10" s="89"/>
      <c r="AJZ10" s="67"/>
      <c r="AKA10" s="67"/>
      <c r="AKB10" s="67"/>
      <c r="AKC10" s="67"/>
      <c r="AKD10" s="67"/>
      <c r="AKE10" s="67"/>
      <c r="AKF10" s="67"/>
      <c r="AKG10" s="67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67"/>
      <c r="ALY10" s="67"/>
      <c r="ALZ10" s="67"/>
      <c r="AMA10" s="67"/>
      <c r="AMB10" s="67"/>
      <c r="AMC10" s="67"/>
      <c r="AMD10" s="67"/>
      <c r="AME10" s="2"/>
      <c r="AMF10" s="2"/>
      <c r="AMG10" s="2"/>
      <c r="AMH10" s="2"/>
      <c r="AMI10" s="2"/>
      <c r="AMJ10" s="2"/>
      <c r="AMK10" s="47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87"/>
      <c r="ANI10" s="87"/>
      <c r="ANJ10" s="87"/>
      <c r="ANK10" s="87"/>
      <c r="ANL10" s="87"/>
      <c r="ANM10" s="89"/>
      <c r="ANN10" s="67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</row>
    <row r="11" spans="1:1082" ht="16.5" customHeight="1" thickBot="1" x14ac:dyDescent="0.3">
      <c r="A11" s="378"/>
      <c r="B11" s="43" t="s">
        <v>33</v>
      </c>
      <c r="C11" s="2">
        <v>99.92</v>
      </c>
      <c r="D11" s="2">
        <v>99.93</v>
      </c>
      <c r="E11" s="2">
        <v>99.91</v>
      </c>
      <c r="F11" s="2">
        <v>99.98</v>
      </c>
      <c r="G11" s="2">
        <v>99.93</v>
      </c>
      <c r="H11" s="2">
        <v>99.95</v>
      </c>
      <c r="I11" s="2">
        <v>99.94</v>
      </c>
      <c r="J11" s="2">
        <v>99.93</v>
      </c>
      <c r="K11" s="2">
        <v>99.93</v>
      </c>
      <c r="L11" s="2">
        <v>99.93</v>
      </c>
      <c r="M11" s="2">
        <v>99.94</v>
      </c>
      <c r="N11" s="2">
        <v>99.93</v>
      </c>
      <c r="O11" s="2">
        <v>99.94</v>
      </c>
      <c r="P11" s="2">
        <v>99.94</v>
      </c>
      <c r="Q11" s="2">
        <v>99.94</v>
      </c>
      <c r="R11" s="2">
        <v>99.94</v>
      </c>
      <c r="S11" s="2">
        <v>99.94</v>
      </c>
      <c r="T11" s="2">
        <v>99.94</v>
      </c>
      <c r="U11" s="87">
        <v>99.94</v>
      </c>
      <c r="V11" s="87">
        <v>99.93</v>
      </c>
      <c r="W11" s="87">
        <v>99.93</v>
      </c>
      <c r="X11" s="87">
        <v>99.86</v>
      </c>
      <c r="Y11" s="87">
        <v>99.91</v>
      </c>
      <c r="Z11" s="87">
        <v>99.87</v>
      </c>
      <c r="AA11" s="87">
        <v>99.88</v>
      </c>
      <c r="AB11" s="2" t="s">
        <v>89</v>
      </c>
      <c r="AC11" s="67">
        <v>98.08</v>
      </c>
      <c r="AD11" s="67">
        <v>98.6</v>
      </c>
      <c r="AE11" s="67">
        <v>98</v>
      </c>
      <c r="AF11" s="67">
        <v>98.88</v>
      </c>
      <c r="AG11" s="67">
        <v>98.77</v>
      </c>
      <c r="AH11" s="67">
        <v>99.09</v>
      </c>
      <c r="AI11" s="67">
        <v>99.69</v>
      </c>
      <c r="AJ11" s="67">
        <v>99.68</v>
      </c>
      <c r="AK11" s="67">
        <v>99.77</v>
      </c>
      <c r="AL11" s="67">
        <v>99.51</v>
      </c>
      <c r="AM11" s="67">
        <v>99.61</v>
      </c>
      <c r="AN11" s="67">
        <v>99.56</v>
      </c>
      <c r="AO11" s="67">
        <v>99.13</v>
      </c>
      <c r="AP11" s="67">
        <v>99.68</v>
      </c>
      <c r="AQ11" s="67">
        <v>99.74</v>
      </c>
      <c r="AR11" s="67">
        <v>99.71</v>
      </c>
      <c r="AS11" s="67">
        <v>99.7</v>
      </c>
      <c r="AT11" s="67">
        <v>99.63</v>
      </c>
      <c r="AU11" s="67">
        <v>99.67</v>
      </c>
      <c r="AV11" s="67">
        <v>99.68</v>
      </c>
      <c r="AW11" s="67">
        <v>99.6</v>
      </c>
      <c r="AX11" s="67">
        <v>99.64</v>
      </c>
      <c r="AY11" s="67">
        <v>99.72</v>
      </c>
      <c r="AZ11" s="67">
        <v>99.78</v>
      </c>
      <c r="BA11" s="67">
        <v>99.75</v>
      </c>
      <c r="BB11" s="67">
        <v>99.5</v>
      </c>
      <c r="BC11" s="67">
        <v>99.55</v>
      </c>
      <c r="BD11" s="67">
        <v>99.56</v>
      </c>
      <c r="BE11" s="67">
        <v>99.58</v>
      </c>
      <c r="BF11" s="67">
        <v>99.73</v>
      </c>
      <c r="BG11" s="67">
        <v>99.66</v>
      </c>
      <c r="BH11" s="67">
        <v>98.72</v>
      </c>
      <c r="BI11" s="67">
        <v>99.58</v>
      </c>
      <c r="BJ11" s="67">
        <v>99.64</v>
      </c>
      <c r="BK11" s="67">
        <v>93.58</v>
      </c>
      <c r="BL11" s="67">
        <v>99.66</v>
      </c>
      <c r="BM11" s="67">
        <v>99.69</v>
      </c>
      <c r="BN11" s="67">
        <v>99.67</v>
      </c>
      <c r="BO11" s="67">
        <v>99.68</v>
      </c>
      <c r="BP11" s="67">
        <v>99.62</v>
      </c>
      <c r="BQ11" s="67">
        <v>99.8</v>
      </c>
      <c r="BR11" s="67">
        <v>99.92</v>
      </c>
      <c r="BS11" s="67">
        <v>99.91</v>
      </c>
      <c r="BT11" s="67">
        <v>99.81</v>
      </c>
      <c r="BU11" s="67">
        <v>99.93</v>
      </c>
      <c r="BV11" s="67">
        <v>99.93</v>
      </c>
      <c r="BW11" s="67">
        <v>99.92</v>
      </c>
      <c r="BX11" s="67">
        <v>99.91</v>
      </c>
      <c r="BY11" s="2">
        <v>99.89</v>
      </c>
      <c r="BZ11" s="2">
        <v>99.92</v>
      </c>
      <c r="CA11" s="2">
        <v>99.91</v>
      </c>
      <c r="CB11" s="2">
        <v>99.92</v>
      </c>
      <c r="CC11" s="2">
        <v>99.91</v>
      </c>
      <c r="CD11" s="2">
        <v>99.91</v>
      </c>
      <c r="CE11" s="2">
        <v>99.92</v>
      </c>
      <c r="CF11" s="2">
        <v>99.91</v>
      </c>
      <c r="CG11" s="2">
        <v>99.92</v>
      </c>
      <c r="CH11" s="2">
        <v>99.92</v>
      </c>
      <c r="CI11" s="2">
        <v>99.93</v>
      </c>
      <c r="CJ11" s="2">
        <v>99.91</v>
      </c>
      <c r="CK11" s="2">
        <v>99.92</v>
      </c>
      <c r="CL11" s="2">
        <v>99.93</v>
      </c>
      <c r="CM11" s="2">
        <v>99.92</v>
      </c>
      <c r="CN11" s="2">
        <v>99.93</v>
      </c>
      <c r="CO11" s="2">
        <v>99.93</v>
      </c>
      <c r="CP11" s="2">
        <v>99.93</v>
      </c>
      <c r="CQ11" s="2">
        <v>99.92</v>
      </c>
      <c r="CR11" s="2">
        <v>99.92</v>
      </c>
      <c r="CS11" s="2">
        <v>99.92</v>
      </c>
      <c r="CT11" s="2">
        <v>99.92</v>
      </c>
      <c r="CU11" s="2">
        <v>99.94</v>
      </c>
      <c r="CV11" s="2">
        <v>99.92</v>
      </c>
      <c r="CW11" s="2">
        <v>99.92</v>
      </c>
      <c r="CX11" s="2">
        <v>99.93</v>
      </c>
      <c r="CY11" s="2">
        <v>99.92</v>
      </c>
      <c r="CZ11" s="2">
        <v>99.92</v>
      </c>
      <c r="DA11" s="64"/>
      <c r="DB11" s="64"/>
      <c r="DC11" s="64"/>
      <c r="DD11" s="69"/>
      <c r="DE11" s="64"/>
      <c r="DF11" s="69"/>
      <c r="DG11" s="64"/>
      <c r="DH11" s="64"/>
      <c r="DI11" s="100"/>
      <c r="DJ11" s="50"/>
      <c r="DK11" s="55"/>
      <c r="DL11" s="55"/>
      <c r="DM11" s="55"/>
      <c r="DN11" s="55"/>
      <c r="DO11" s="55"/>
      <c r="DP11" s="51"/>
      <c r="DQ11" s="55"/>
      <c r="DR11" s="55"/>
      <c r="DS11" s="55"/>
      <c r="DT11" s="55"/>
      <c r="DU11" s="55"/>
      <c r="DV11" s="55"/>
      <c r="DW11" s="55"/>
      <c r="DX11" s="55"/>
      <c r="DY11" s="55"/>
      <c r="DZ11" s="104">
        <v>99.93</v>
      </c>
      <c r="EA11" s="104">
        <v>99.93</v>
      </c>
      <c r="EB11" s="104">
        <v>99.93</v>
      </c>
      <c r="EC11" s="104">
        <v>99.92</v>
      </c>
      <c r="ED11" s="104">
        <v>99.91</v>
      </c>
      <c r="EE11" s="104">
        <v>99.92</v>
      </c>
      <c r="EF11" s="104">
        <v>99.92</v>
      </c>
      <c r="EG11" s="104">
        <v>99.92</v>
      </c>
      <c r="EH11" s="104">
        <v>99.92</v>
      </c>
      <c r="EI11" s="104">
        <v>99.92</v>
      </c>
      <c r="EJ11" s="104">
        <v>99.91</v>
      </c>
      <c r="EK11" s="104">
        <v>99.91</v>
      </c>
      <c r="EL11" s="104">
        <v>99.91</v>
      </c>
      <c r="EM11" s="104">
        <v>99.9</v>
      </c>
      <c r="EN11" s="104">
        <v>99.92</v>
      </c>
      <c r="EO11" s="104">
        <v>99.92</v>
      </c>
      <c r="EP11" s="104">
        <v>99.92</v>
      </c>
      <c r="EQ11" s="104">
        <v>99.92</v>
      </c>
      <c r="ER11" s="104">
        <v>99.94</v>
      </c>
      <c r="ES11" s="104">
        <v>99.91</v>
      </c>
      <c r="ET11" s="104">
        <v>99.66</v>
      </c>
      <c r="EU11" s="104">
        <v>99.91</v>
      </c>
      <c r="EV11" s="104">
        <v>99.92</v>
      </c>
      <c r="EW11" s="104">
        <v>99.88</v>
      </c>
      <c r="EX11" s="104">
        <v>99.92</v>
      </c>
      <c r="EY11" s="104">
        <v>99.92</v>
      </c>
      <c r="EZ11" s="104">
        <v>99.91</v>
      </c>
      <c r="FA11" s="104">
        <v>99.91</v>
      </c>
      <c r="FB11" s="104">
        <v>99.92</v>
      </c>
      <c r="FC11" s="104">
        <v>99.92</v>
      </c>
      <c r="FD11" s="104">
        <v>99.91</v>
      </c>
      <c r="FE11" s="104">
        <v>99.92</v>
      </c>
      <c r="FF11" s="104">
        <v>99.92</v>
      </c>
      <c r="FG11" s="104">
        <v>99.91</v>
      </c>
      <c r="FH11" s="104">
        <v>99.91</v>
      </c>
      <c r="FI11" s="104">
        <v>99.92</v>
      </c>
      <c r="FJ11" s="104">
        <v>99.91</v>
      </c>
      <c r="FK11" s="104">
        <v>99.89</v>
      </c>
      <c r="FL11" s="104">
        <v>99.92</v>
      </c>
      <c r="FM11" s="104">
        <v>99.91</v>
      </c>
      <c r="FN11" s="104">
        <v>99.92</v>
      </c>
      <c r="FO11" s="104">
        <v>99.92</v>
      </c>
      <c r="FP11" s="104">
        <v>99.92</v>
      </c>
      <c r="FQ11" s="104">
        <v>99.89</v>
      </c>
      <c r="FR11" s="104">
        <v>99.91</v>
      </c>
      <c r="FS11" s="104">
        <v>99.91</v>
      </c>
      <c r="FT11" s="104">
        <v>99.9</v>
      </c>
      <c r="FU11" s="104">
        <v>99.9</v>
      </c>
      <c r="FV11" s="104">
        <v>99.92</v>
      </c>
      <c r="FW11" s="104">
        <v>99.92</v>
      </c>
      <c r="FX11" s="104">
        <v>99.9</v>
      </c>
      <c r="FY11" s="104">
        <v>99.91</v>
      </c>
      <c r="FZ11" s="104">
        <v>99.91</v>
      </c>
      <c r="GA11" s="104">
        <v>99.93</v>
      </c>
      <c r="GB11" s="104">
        <v>99.92</v>
      </c>
      <c r="GC11" s="104">
        <v>99.92</v>
      </c>
      <c r="GD11" s="104">
        <v>99.92</v>
      </c>
      <c r="GE11" s="104">
        <v>99.91</v>
      </c>
      <c r="GF11" s="104">
        <v>99.91</v>
      </c>
      <c r="GG11" s="104">
        <v>99.89</v>
      </c>
      <c r="GH11" s="104">
        <v>99.91</v>
      </c>
      <c r="GI11" s="104">
        <v>99.93</v>
      </c>
      <c r="GJ11" s="104">
        <v>98.97</v>
      </c>
      <c r="GK11" s="104">
        <v>99.22</v>
      </c>
      <c r="GL11" s="104">
        <v>99.02</v>
      </c>
      <c r="GM11" s="104">
        <v>99.03</v>
      </c>
      <c r="GN11" s="104">
        <v>99.92</v>
      </c>
      <c r="GO11" s="104">
        <v>99.93</v>
      </c>
      <c r="GP11" s="104">
        <v>99.92</v>
      </c>
      <c r="GQ11" s="104">
        <v>99.93</v>
      </c>
      <c r="GR11" s="104">
        <v>99.93</v>
      </c>
      <c r="GS11" s="104">
        <v>99.93</v>
      </c>
      <c r="GT11" s="116">
        <v>99.92</v>
      </c>
      <c r="GU11" s="104">
        <v>99.92</v>
      </c>
      <c r="GV11" s="104">
        <v>99.92</v>
      </c>
      <c r="GW11" s="48">
        <v>99.92</v>
      </c>
      <c r="GX11" s="57">
        <v>99.92</v>
      </c>
      <c r="GY11" s="53">
        <v>99.92</v>
      </c>
      <c r="GZ11" s="53">
        <v>99.92</v>
      </c>
      <c r="HA11" s="53">
        <v>99.98</v>
      </c>
      <c r="HB11" s="55">
        <v>99.93</v>
      </c>
      <c r="HC11" s="55">
        <v>99.92</v>
      </c>
      <c r="HD11" s="55">
        <v>99.92</v>
      </c>
      <c r="HE11" s="55">
        <v>99.93</v>
      </c>
      <c r="HF11" s="55">
        <v>99.92</v>
      </c>
      <c r="HG11" s="55">
        <v>99.92</v>
      </c>
      <c r="HH11" s="55">
        <v>99.92</v>
      </c>
      <c r="HI11" s="55">
        <v>99.93</v>
      </c>
      <c r="HJ11" s="55">
        <v>99.93</v>
      </c>
      <c r="HK11" s="55">
        <v>99.93</v>
      </c>
      <c r="HL11" s="55">
        <v>99.93</v>
      </c>
      <c r="HM11" s="55">
        <v>99.92</v>
      </c>
      <c r="HN11" s="55">
        <v>99.92</v>
      </c>
      <c r="HO11" s="55">
        <v>99.93</v>
      </c>
      <c r="HP11" s="55">
        <v>99.92</v>
      </c>
      <c r="HQ11" s="55">
        <v>99.93</v>
      </c>
      <c r="HR11" s="55">
        <v>99.93</v>
      </c>
      <c r="HS11" s="55">
        <v>99.93</v>
      </c>
      <c r="HT11" s="55">
        <v>99.92</v>
      </c>
      <c r="HU11" s="55">
        <v>99.93</v>
      </c>
      <c r="HV11" s="55">
        <v>99.92</v>
      </c>
      <c r="HW11" s="55">
        <v>99.93</v>
      </c>
      <c r="HX11" s="55">
        <v>99.93</v>
      </c>
      <c r="HY11" s="55">
        <v>99.93</v>
      </c>
      <c r="HZ11" s="55">
        <v>99.93</v>
      </c>
      <c r="IA11" s="55">
        <v>99.93</v>
      </c>
      <c r="IB11" s="55">
        <v>99.91</v>
      </c>
      <c r="IC11" s="55">
        <v>99.93</v>
      </c>
      <c r="ID11" s="55">
        <v>99.93</v>
      </c>
      <c r="IE11" s="55">
        <v>99.94</v>
      </c>
      <c r="IF11" s="55">
        <v>99.94</v>
      </c>
      <c r="IG11" s="55">
        <v>99.93</v>
      </c>
      <c r="IH11" s="55">
        <v>99.93</v>
      </c>
      <c r="II11" s="55">
        <v>99.94</v>
      </c>
      <c r="IJ11" s="55">
        <v>99.93</v>
      </c>
      <c r="IK11" s="55">
        <v>99.93</v>
      </c>
      <c r="IL11" s="55">
        <v>99.93</v>
      </c>
      <c r="IM11" s="55">
        <v>99.94</v>
      </c>
      <c r="IN11" s="55">
        <v>99.93</v>
      </c>
      <c r="IO11" s="100">
        <v>99.93</v>
      </c>
      <c r="IP11" s="100">
        <v>99.94</v>
      </c>
      <c r="IQ11" s="100">
        <v>99.93</v>
      </c>
      <c r="IR11" s="100">
        <v>99.94</v>
      </c>
      <c r="IS11" s="100">
        <v>99.93</v>
      </c>
      <c r="IT11" s="100">
        <v>99.93</v>
      </c>
      <c r="IU11" s="100">
        <v>99.93</v>
      </c>
      <c r="IV11" s="100">
        <v>99.94</v>
      </c>
      <c r="IW11" s="100">
        <v>99.92</v>
      </c>
      <c r="IX11" s="118">
        <v>99.93</v>
      </c>
      <c r="IY11" s="141">
        <v>99.94</v>
      </c>
      <c r="IZ11" s="143">
        <v>99.93</v>
      </c>
      <c r="JA11" s="143">
        <v>99.93</v>
      </c>
      <c r="JB11" s="143">
        <v>99.93</v>
      </c>
      <c r="JC11" s="64">
        <v>99.93</v>
      </c>
      <c r="JD11" s="72">
        <v>99.91</v>
      </c>
      <c r="JE11" s="64">
        <v>99.94</v>
      </c>
      <c r="JF11" s="64">
        <v>99.94</v>
      </c>
      <c r="JG11" s="64">
        <v>99.88</v>
      </c>
      <c r="JH11" s="64">
        <v>99.93</v>
      </c>
      <c r="JI11" s="64">
        <v>99.93</v>
      </c>
      <c r="JJ11" s="64">
        <v>99.94</v>
      </c>
      <c r="JK11" s="64">
        <v>99.93</v>
      </c>
      <c r="JL11" s="64">
        <v>99.94</v>
      </c>
      <c r="JM11" s="64">
        <v>99.94</v>
      </c>
      <c r="JN11" s="72">
        <v>99.93</v>
      </c>
      <c r="JO11" s="64">
        <v>99.94</v>
      </c>
      <c r="JP11" s="64">
        <v>99.94</v>
      </c>
      <c r="JQ11" s="64">
        <v>99.94</v>
      </c>
      <c r="JR11" s="64">
        <v>99.94</v>
      </c>
      <c r="JS11" s="64">
        <v>99.94</v>
      </c>
      <c r="JT11" s="64">
        <v>99.92</v>
      </c>
      <c r="JU11" s="64">
        <v>99.94</v>
      </c>
      <c r="JV11" s="64">
        <v>99.94</v>
      </c>
      <c r="JW11" s="64">
        <v>99.89</v>
      </c>
      <c r="JX11" s="64">
        <v>99.84</v>
      </c>
      <c r="JY11" s="64">
        <v>99.9</v>
      </c>
      <c r="JZ11" s="72">
        <v>99.92</v>
      </c>
      <c r="KA11" s="69">
        <v>99.93</v>
      </c>
      <c r="KB11" s="64">
        <v>99.94</v>
      </c>
      <c r="KC11" s="72">
        <v>99.94</v>
      </c>
      <c r="KD11" s="64">
        <v>99.94</v>
      </c>
      <c r="KE11" s="64">
        <v>99.93</v>
      </c>
      <c r="KF11" s="64">
        <v>99.94</v>
      </c>
      <c r="KG11" s="64">
        <v>99.93</v>
      </c>
      <c r="KH11" s="64">
        <v>99.94</v>
      </c>
      <c r="KI11" s="64">
        <v>99.94</v>
      </c>
      <c r="KJ11" s="64">
        <v>99.94</v>
      </c>
      <c r="KK11" s="64">
        <v>99.94</v>
      </c>
      <c r="KL11" s="64">
        <v>99.91</v>
      </c>
      <c r="KM11" s="64">
        <v>99.94</v>
      </c>
      <c r="KN11" s="64">
        <v>99.94</v>
      </c>
      <c r="KO11" s="64">
        <v>99.94</v>
      </c>
      <c r="KP11" s="64">
        <v>99.93</v>
      </c>
      <c r="KQ11" s="64">
        <v>99.94</v>
      </c>
      <c r="KR11" s="64">
        <v>99.94</v>
      </c>
      <c r="KS11" s="64">
        <v>99.94</v>
      </c>
      <c r="KT11" s="104">
        <v>99.93</v>
      </c>
      <c r="KU11" s="104">
        <v>99.94</v>
      </c>
      <c r="KV11" s="104">
        <v>99.94</v>
      </c>
      <c r="KW11" s="104">
        <v>99.94</v>
      </c>
      <c r="KX11" s="104">
        <v>99.94</v>
      </c>
      <c r="KY11" s="104">
        <v>98.29</v>
      </c>
      <c r="KZ11" s="104">
        <v>99.47</v>
      </c>
      <c r="LA11" s="101">
        <v>99.93</v>
      </c>
      <c r="LB11" s="104">
        <v>99.93</v>
      </c>
      <c r="LC11" s="104">
        <v>99.89</v>
      </c>
      <c r="LD11" s="104">
        <v>99.93</v>
      </c>
      <c r="LE11" s="104">
        <v>99.93</v>
      </c>
      <c r="LF11" s="104">
        <v>99.93</v>
      </c>
      <c r="LG11" s="104">
        <v>99.94</v>
      </c>
      <c r="LH11" s="104">
        <v>99.92</v>
      </c>
      <c r="LI11" s="104">
        <v>99.93</v>
      </c>
      <c r="LJ11" s="104">
        <v>99.93</v>
      </c>
      <c r="LK11" s="104">
        <v>99.87</v>
      </c>
      <c r="LL11" s="104">
        <v>99.87</v>
      </c>
      <c r="LM11" s="104">
        <v>99.94</v>
      </c>
      <c r="LN11" s="104">
        <v>99.93</v>
      </c>
      <c r="LO11" s="104">
        <v>99.87</v>
      </c>
      <c r="LP11" s="104">
        <v>99.93</v>
      </c>
      <c r="LQ11" s="104">
        <v>99.92</v>
      </c>
      <c r="LR11" s="104">
        <v>99.93</v>
      </c>
      <c r="LS11" s="104">
        <v>99.94</v>
      </c>
      <c r="LT11" s="104">
        <v>99.94</v>
      </c>
      <c r="LU11" s="104">
        <v>99.94</v>
      </c>
      <c r="LV11" s="104">
        <v>99.94</v>
      </c>
      <c r="LW11" s="104">
        <v>99.94</v>
      </c>
      <c r="LX11" s="104">
        <v>99.93</v>
      </c>
      <c r="LY11" s="104">
        <v>99.94</v>
      </c>
      <c r="LZ11" s="104">
        <v>99.94</v>
      </c>
      <c r="MA11" s="104">
        <v>99.94</v>
      </c>
      <c r="MB11" s="104">
        <v>99.93</v>
      </c>
      <c r="MC11" s="104">
        <v>99.93</v>
      </c>
      <c r="MD11" s="104">
        <v>99.96</v>
      </c>
      <c r="ME11" s="104">
        <v>99.93</v>
      </c>
      <c r="MF11" s="104">
        <v>99.93</v>
      </c>
      <c r="MG11" s="104">
        <v>98.62</v>
      </c>
      <c r="MH11" s="104">
        <v>98.15</v>
      </c>
      <c r="MI11" s="104">
        <v>98.91</v>
      </c>
      <c r="MJ11" s="104">
        <v>99.49</v>
      </c>
      <c r="MK11" s="104">
        <v>99.81</v>
      </c>
      <c r="ML11" s="104">
        <v>99.9</v>
      </c>
      <c r="MM11" s="104">
        <v>99.92</v>
      </c>
      <c r="MN11" s="104">
        <v>99.95</v>
      </c>
      <c r="MO11" s="104">
        <v>99.93</v>
      </c>
      <c r="MP11" s="104">
        <v>99.93</v>
      </c>
      <c r="MQ11" s="104">
        <v>99.8</v>
      </c>
      <c r="MR11" s="104">
        <v>99.94</v>
      </c>
      <c r="MS11" s="101">
        <v>99.94</v>
      </c>
      <c r="MT11" s="101">
        <v>99.94</v>
      </c>
      <c r="MU11" s="101">
        <v>99.94</v>
      </c>
      <c r="MV11" s="101">
        <v>99.94</v>
      </c>
      <c r="MW11" s="101">
        <v>99.94</v>
      </c>
      <c r="MX11" s="101">
        <v>99.94</v>
      </c>
      <c r="MY11" s="104">
        <v>99.59</v>
      </c>
      <c r="MZ11" s="64"/>
      <c r="NA11" s="64"/>
      <c r="NB11" s="64"/>
      <c r="NC11">
        <v>99.94</v>
      </c>
      <c r="ND11">
        <v>99.94</v>
      </c>
      <c r="NE11">
        <v>99.93</v>
      </c>
      <c r="NF11">
        <v>99.94</v>
      </c>
      <c r="NG11">
        <v>99.94</v>
      </c>
      <c r="NH11">
        <v>99.95</v>
      </c>
      <c r="NI11">
        <v>99.95</v>
      </c>
      <c r="NJ11">
        <v>99.95</v>
      </c>
      <c r="NK11">
        <v>99.95</v>
      </c>
      <c r="NL11">
        <v>99.94</v>
      </c>
      <c r="NM11">
        <v>99.94</v>
      </c>
      <c r="NN11" s="48">
        <v>99.94</v>
      </c>
      <c r="NO11" s="48">
        <v>99.95</v>
      </c>
      <c r="NP11" s="48">
        <v>99.95</v>
      </c>
      <c r="NQ11" s="48">
        <v>99.94</v>
      </c>
      <c r="NR11" s="48">
        <v>99.95</v>
      </c>
      <c r="NS11" s="71">
        <v>99.95</v>
      </c>
      <c r="NT11" s="48">
        <v>99.94</v>
      </c>
      <c r="NU11" s="64">
        <v>99.95</v>
      </c>
      <c r="NV11" s="64">
        <v>99.95</v>
      </c>
      <c r="NW11" s="64">
        <v>99.94</v>
      </c>
      <c r="NX11" s="64">
        <v>99.93</v>
      </c>
      <c r="NY11" s="64">
        <v>99.94</v>
      </c>
      <c r="NZ11" s="64">
        <v>98.87</v>
      </c>
      <c r="OA11" s="179">
        <v>99.94</v>
      </c>
      <c r="OB11" s="64">
        <v>99.94</v>
      </c>
      <c r="OC11" s="64">
        <v>99.94</v>
      </c>
      <c r="OD11" s="64">
        <v>99.95</v>
      </c>
      <c r="OE11" s="48">
        <v>99.95</v>
      </c>
      <c r="OF11" s="48">
        <v>99.94</v>
      </c>
      <c r="OG11" s="48">
        <v>99.95</v>
      </c>
      <c r="OH11" s="48">
        <v>99.94</v>
      </c>
      <c r="OI11" s="2">
        <v>99.93</v>
      </c>
      <c r="OJ11" s="2">
        <v>99.94</v>
      </c>
      <c r="OK11" s="2">
        <v>99.94</v>
      </c>
      <c r="OL11" s="64">
        <v>99.95</v>
      </c>
      <c r="OM11" s="64">
        <v>99.94</v>
      </c>
      <c r="ON11" s="64">
        <v>99.94</v>
      </c>
      <c r="OO11" s="67">
        <v>99.93</v>
      </c>
      <c r="OP11" s="48">
        <v>99.94</v>
      </c>
      <c r="OQ11" s="48">
        <v>99.95</v>
      </c>
      <c r="OR11" s="48">
        <v>99.94</v>
      </c>
      <c r="OS11" s="48">
        <v>99.94</v>
      </c>
      <c r="OT11" s="64">
        <v>99.94</v>
      </c>
      <c r="OU11" s="48">
        <v>99.93</v>
      </c>
      <c r="OV11" s="64">
        <v>99.7</v>
      </c>
      <c r="OW11" s="2">
        <v>99.95</v>
      </c>
      <c r="OX11" s="2">
        <v>99.94</v>
      </c>
      <c r="OY11" s="2">
        <v>99.94</v>
      </c>
      <c r="OZ11" s="2">
        <v>99.94</v>
      </c>
      <c r="PA11" s="64">
        <v>99.94</v>
      </c>
      <c r="PB11" s="64">
        <v>99.93</v>
      </c>
      <c r="PC11" s="2">
        <v>99.95</v>
      </c>
      <c r="PD11" s="48">
        <v>99.93</v>
      </c>
      <c r="PE11" s="48">
        <v>99.96</v>
      </c>
      <c r="PF11" s="48">
        <v>99.9</v>
      </c>
      <c r="PG11" s="48">
        <v>99.93</v>
      </c>
      <c r="PH11" s="71">
        <v>99.89</v>
      </c>
      <c r="PI11" s="48">
        <v>99.95</v>
      </c>
      <c r="PJ11" s="48">
        <v>99.91</v>
      </c>
      <c r="PK11" s="64">
        <v>99.94</v>
      </c>
      <c r="PL11" s="64">
        <v>100</v>
      </c>
      <c r="PM11" s="64">
        <v>99.94</v>
      </c>
      <c r="PN11" s="2">
        <v>99.74</v>
      </c>
      <c r="PO11" s="64">
        <v>99.38</v>
      </c>
      <c r="PP11" s="64">
        <v>99.94</v>
      </c>
      <c r="PQ11" s="64">
        <v>99.95</v>
      </c>
      <c r="PR11" s="64">
        <v>99.94</v>
      </c>
      <c r="PS11" s="64">
        <v>99.94</v>
      </c>
      <c r="PT11" s="64">
        <v>99.95</v>
      </c>
      <c r="PU11" s="64">
        <v>99.94</v>
      </c>
      <c r="PV11" s="64">
        <v>99.95</v>
      </c>
      <c r="PW11" s="64">
        <v>99.95</v>
      </c>
      <c r="PX11" s="64">
        <v>99.96</v>
      </c>
      <c r="PY11" s="64" t="s">
        <v>127</v>
      </c>
      <c r="PZ11" s="48">
        <v>99.95</v>
      </c>
      <c r="QA11" s="67">
        <v>99.95</v>
      </c>
      <c r="QB11" s="48">
        <v>99.95</v>
      </c>
      <c r="QC11" s="71">
        <v>99.95</v>
      </c>
      <c r="QD11" s="48">
        <v>99.93</v>
      </c>
      <c r="QE11" s="64">
        <v>99.95</v>
      </c>
      <c r="QF11" s="64">
        <v>99.94</v>
      </c>
      <c r="QG11" s="64">
        <v>99.93</v>
      </c>
      <c r="QH11" s="71">
        <v>99.95</v>
      </c>
      <c r="QI11" s="71">
        <v>99.96</v>
      </c>
      <c r="QJ11" s="48">
        <v>99.95</v>
      </c>
      <c r="QK11" s="48">
        <v>99.98</v>
      </c>
      <c r="QL11" s="67">
        <v>99.95</v>
      </c>
      <c r="QM11" s="67">
        <v>99.94</v>
      </c>
      <c r="QN11" s="64">
        <v>99.94</v>
      </c>
      <c r="QO11" s="2">
        <v>99.94</v>
      </c>
      <c r="QP11" s="2">
        <v>99.95</v>
      </c>
      <c r="QQ11" s="64">
        <v>99.95</v>
      </c>
      <c r="QR11" s="64">
        <v>99.94</v>
      </c>
      <c r="QS11" s="64">
        <v>99.94</v>
      </c>
      <c r="QT11" s="48">
        <v>99.94</v>
      </c>
      <c r="QU11" s="64">
        <v>99.95</v>
      </c>
      <c r="QV11" s="48">
        <v>99.94</v>
      </c>
      <c r="QW11" s="48">
        <v>99.95</v>
      </c>
      <c r="QX11" s="48">
        <v>99.95</v>
      </c>
      <c r="QY11" s="48">
        <v>99.95</v>
      </c>
      <c r="QZ11" s="48">
        <v>99.89</v>
      </c>
      <c r="RA11" s="64">
        <v>99.95</v>
      </c>
      <c r="RB11" s="64">
        <v>99.95</v>
      </c>
      <c r="RC11" s="72">
        <v>99.95</v>
      </c>
      <c r="RD11" s="64">
        <v>99.95</v>
      </c>
      <c r="RE11" s="64">
        <v>99.95</v>
      </c>
      <c r="RF11" s="64">
        <v>99.95</v>
      </c>
      <c r="RG11" s="64">
        <v>99.95</v>
      </c>
      <c r="RH11" s="48">
        <v>99.95</v>
      </c>
      <c r="RI11" s="48">
        <v>99.95</v>
      </c>
      <c r="RJ11" s="48">
        <v>99.93</v>
      </c>
      <c r="RK11" s="48">
        <v>99.94</v>
      </c>
      <c r="RL11" s="48">
        <v>99.95</v>
      </c>
      <c r="RM11" s="48">
        <v>99.94</v>
      </c>
      <c r="RN11" s="48">
        <v>99.93</v>
      </c>
      <c r="RO11" s="48">
        <v>99.9</v>
      </c>
      <c r="RP11" s="48">
        <v>99.95</v>
      </c>
      <c r="RQ11" s="48">
        <v>99.94</v>
      </c>
      <c r="RR11" s="48">
        <v>99.87</v>
      </c>
      <c r="RS11" s="48">
        <v>99.94</v>
      </c>
      <c r="RT11" s="64">
        <v>99.93</v>
      </c>
      <c r="RU11" s="64">
        <v>99.94</v>
      </c>
      <c r="RV11" s="64">
        <v>99.96</v>
      </c>
      <c r="RW11" s="64">
        <v>99.95</v>
      </c>
      <c r="RX11" s="64">
        <v>100</v>
      </c>
      <c r="RY11" s="64">
        <v>99.95</v>
      </c>
      <c r="RZ11" s="64">
        <v>99.93</v>
      </c>
      <c r="SA11" s="183"/>
      <c r="SB11" s="64"/>
      <c r="SC11" s="64"/>
      <c r="SD11" s="64"/>
      <c r="SE11" s="64"/>
      <c r="SF11" s="72"/>
      <c r="SG11" s="48">
        <v>99.95</v>
      </c>
      <c r="SH11" s="48">
        <v>96.43</v>
      </c>
      <c r="SI11" s="48">
        <v>99.82</v>
      </c>
      <c r="SJ11" s="48">
        <v>99.93</v>
      </c>
      <c r="SK11" s="48">
        <v>99.93</v>
      </c>
      <c r="SL11" s="48">
        <v>99.93</v>
      </c>
      <c r="SM11" s="64">
        <v>99.9</v>
      </c>
      <c r="SN11" s="64">
        <v>99.95</v>
      </c>
      <c r="SO11" s="64">
        <v>99.95</v>
      </c>
      <c r="SP11" s="64">
        <v>99.94</v>
      </c>
      <c r="SQ11" s="48">
        <v>99.96</v>
      </c>
      <c r="SR11" s="48">
        <v>99.95</v>
      </c>
      <c r="SS11" s="48">
        <v>99.94</v>
      </c>
      <c r="ST11" s="48">
        <v>99.84</v>
      </c>
      <c r="SU11" s="67">
        <v>99.96</v>
      </c>
      <c r="SV11" s="48">
        <v>99.95</v>
      </c>
      <c r="SW11" s="48">
        <v>99.95</v>
      </c>
      <c r="SX11" s="67">
        <v>99.95</v>
      </c>
      <c r="SY11" s="67">
        <v>99.96</v>
      </c>
      <c r="SZ11" s="67">
        <v>99.96</v>
      </c>
      <c r="TA11" s="64">
        <v>99.92</v>
      </c>
      <c r="TB11" s="48">
        <v>99.91</v>
      </c>
      <c r="TC11" s="64">
        <v>99.9</v>
      </c>
      <c r="TD11" s="64">
        <v>99.93</v>
      </c>
      <c r="TE11" s="64">
        <v>99.89</v>
      </c>
      <c r="TF11" s="64">
        <v>99.9</v>
      </c>
      <c r="TG11" s="64">
        <v>99.91</v>
      </c>
      <c r="TH11" s="64">
        <v>99.91</v>
      </c>
      <c r="TI11" s="64">
        <v>99.91</v>
      </c>
      <c r="TJ11" s="64">
        <v>99.91</v>
      </c>
      <c r="TK11" s="64">
        <v>99.93</v>
      </c>
      <c r="TL11" s="64">
        <v>99.92</v>
      </c>
      <c r="TM11" s="64">
        <v>99.95</v>
      </c>
      <c r="TN11" s="64">
        <v>99.95</v>
      </c>
      <c r="TO11" s="64">
        <v>99.94</v>
      </c>
      <c r="TP11" s="64">
        <v>99.95</v>
      </c>
      <c r="TQ11" s="64">
        <v>99.94</v>
      </c>
      <c r="TR11" s="64">
        <v>99.92</v>
      </c>
      <c r="TS11" s="64">
        <v>100</v>
      </c>
      <c r="TT11" s="64">
        <v>99.95</v>
      </c>
      <c r="TU11" s="64">
        <v>99.95</v>
      </c>
      <c r="TV11" s="64">
        <v>99.95</v>
      </c>
      <c r="TW11" s="64">
        <v>99.95</v>
      </c>
      <c r="TX11" s="48">
        <v>99.95</v>
      </c>
      <c r="TY11" s="64">
        <v>99.96</v>
      </c>
      <c r="TZ11" s="64">
        <v>99.95</v>
      </c>
      <c r="UA11" s="64">
        <v>99.97</v>
      </c>
      <c r="UB11" s="48">
        <v>99.95</v>
      </c>
      <c r="UC11" s="48">
        <v>99.95</v>
      </c>
      <c r="UD11" s="48">
        <v>99.95</v>
      </c>
      <c r="UE11" s="48">
        <v>99.95</v>
      </c>
      <c r="UF11" s="48">
        <v>99.95</v>
      </c>
      <c r="UG11" s="48">
        <v>99.94</v>
      </c>
      <c r="UH11" s="48">
        <v>99.95</v>
      </c>
      <c r="UI11" s="48">
        <v>99.95</v>
      </c>
      <c r="UJ11" s="64">
        <v>99.92</v>
      </c>
      <c r="UK11" s="64">
        <v>99.95</v>
      </c>
      <c r="UL11" s="64">
        <v>99.95</v>
      </c>
      <c r="UM11" s="64">
        <v>99.93</v>
      </c>
      <c r="UN11" s="48">
        <v>99.95</v>
      </c>
      <c r="UO11" s="48">
        <v>99.95</v>
      </c>
      <c r="UP11" s="48">
        <v>99.95</v>
      </c>
      <c r="UQ11" s="48">
        <v>99.96</v>
      </c>
      <c r="UR11" s="48">
        <v>99.95</v>
      </c>
      <c r="US11" s="48">
        <v>99.95</v>
      </c>
      <c r="UT11" s="48">
        <v>99.95</v>
      </c>
      <c r="UU11" s="2">
        <v>99.94</v>
      </c>
      <c r="UV11" s="2">
        <v>99.95</v>
      </c>
      <c r="UW11" s="2">
        <v>99.93</v>
      </c>
      <c r="UX11" s="64">
        <v>99.94</v>
      </c>
      <c r="UY11" s="64">
        <v>99.94</v>
      </c>
      <c r="UZ11" s="64">
        <v>99.95</v>
      </c>
      <c r="VA11" s="64">
        <v>99.95</v>
      </c>
      <c r="VB11" s="48">
        <v>98.21</v>
      </c>
      <c r="VC11" s="48">
        <v>98.87</v>
      </c>
      <c r="VD11" s="64">
        <v>99.04</v>
      </c>
      <c r="VE11" s="48">
        <v>98.88</v>
      </c>
      <c r="VF11" s="48">
        <v>99.96</v>
      </c>
      <c r="VG11" s="48">
        <v>99.96</v>
      </c>
      <c r="VH11" s="71">
        <v>99.96</v>
      </c>
      <c r="VI11" s="64">
        <v>99.95</v>
      </c>
      <c r="VJ11" s="64">
        <v>99.94</v>
      </c>
      <c r="VK11" s="64">
        <v>99.95</v>
      </c>
      <c r="VL11" s="64">
        <v>99.95</v>
      </c>
      <c r="VM11" s="64">
        <v>99.95</v>
      </c>
      <c r="VN11" s="64">
        <v>99.95</v>
      </c>
      <c r="VO11" s="64">
        <v>99.95</v>
      </c>
      <c r="VP11" s="64">
        <v>99.95</v>
      </c>
      <c r="VQ11" s="64">
        <v>99.95</v>
      </c>
      <c r="VR11" s="64">
        <v>99.95</v>
      </c>
      <c r="VS11" s="183"/>
      <c r="VT11" s="2"/>
      <c r="VU11" s="2"/>
      <c r="VV11" s="2"/>
      <c r="VW11" s="2"/>
      <c r="VX11" s="71"/>
      <c r="VY11" s="2"/>
      <c r="VZ11" s="71"/>
      <c r="WA11" s="64"/>
      <c r="WB11" s="64"/>
      <c r="WC11" s="64"/>
      <c r="WD11" s="46"/>
      <c r="WE11" s="71"/>
      <c r="WF11" s="82"/>
      <c r="WG11" s="82"/>
      <c r="WH11" s="64"/>
      <c r="WI11" s="64"/>
      <c r="WJ11" s="72"/>
      <c r="WK11" s="71"/>
      <c r="WL11" s="2"/>
      <c r="WM11" s="2"/>
      <c r="WN11" s="71"/>
      <c r="WO11" s="64"/>
      <c r="WP11" s="64"/>
      <c r="WQ11" s="64"/>
      <c r="WR11" s="64"/>
      <c r="WS11" s="64"/>
      <c r="WT11" s="64"/>
      <c r="WU11" s="64"/>
      <c r="WV11" s="64"/>
      <c r="WW11" s="64"/>
      <c r="WX11" s="64"/>
      <c r="WY11" s="64"/>
      <c r="WZ11" s="64"/>
      <c r="XA11" s="64"/>
      <c r="XB11" s="64"/>
      <c r="XC11" s="64"/>
      <c r="XD11" s="64"/>
      <c r="XE11" s="64"/>
      <c r="XF11" s="64"/>
      <c r="XG11" s="64"/>
      <c r="XH11" s="64"/>
      <c r="XI11" s="64"/>
      <c r="XJ11" s="64"/>
      <c r="XK11" s="64"/>
      <c r="XL11" s="64"/>
      <c r="XM11" s="64"/>
      <c r="XN11" s="64"/>
      <c r="XO11" s="64"/>
      <c r="XP11" s="64"/>
      <c r="XQ11" s="64"/>
      <c r="XR11" s="64"/>
      <c r="XS11" s="64"/>
      <c r="XT11" s="64"/>
      <c r="XU11" s="64"/>
      <c r="XV11" s="64"/>
      <c r="XW11" s="64"/>
      <c r="XX11" s="64"/>
      <c r="XY11" s="64"/>
      <c r="XZ11" s="64"/>
      <c r="YA11" s="64"/>
      <c r="YB11" s="64"/>
      <c r="YC11" s="64"/>
      <c r="YD11" s="64"/>
      <c r="YE11" s="64"/>
      <c r="YF11" s="64"/>
      <c r="YG11" s="64"/>
      <c r="YH11" s="64"/>
      <c r="YI11" s="64"/>
      <c r="YJ11" s="64"/>
      <c r="YK11" s="64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88"/>
      <c r="ZV11" s="88"/>
      <c r="ZW11" s="88"/>
      <c r="ZX11" s="88"/>
      <c r="ZY11" s="88"/>
      <c r="ZZ11" s="88"/>
      <c r="AAA11" s="90"/>
      <c r="AAB11" s="67"/>
      <c r="AAC11" s="67"/>
      <c r="AAD11" s="67"/>
      <c r="AAE11" s="67"/>
      <c r="AAF11" s="92"/>
      <c r="AAG11" s="88"/>
      <c r="AAH11" s="90"/>
      <c r="AAI11" s="67"/>
      <c r="AAJ11" s="67"/>
      <c r="AAK11" s="67"/>
      <c r="AAL11" s="67"/>
      <c r="AAM11" s="67"/>
      <c r="AAN11" s="67"/>
      <c r="AAO11" s="64"/>
      <c r="AAP11" s="64"/>
      <c r="AAQ11" s="64"/>
      <c r="AAR11" s="64"/>
      <c r="AAS11" s="64"/>
      <c r="AAT11" s="64"/>
      <c r="AAU11" s="64"/>
      <c r="AAV11" s="64"/>
      <c r="AAW11" s="64"/>
      <c r="AAX11" s="64"/>
      <c r="AAY11" s="64"/>
      <c r="AAZ11" s="64"/>
      <c r="ABA11" s="64"/>
      <c r="ABB11" s="64"/>
      <c r="ABC11" s="64"/>
      <c r="ABD11" s="64"/>
      <c r="ABE11" s="64"/>
      <c r="ABF11" s="64"/>
      <c r="ABG11" s="64"/>
      <c r="ABH11" s="64"/>
      <c r="ABI11" s="64"/>
      <c r="ABJ11" s="64"/>
      <c r="ABK11" s="64"/>
      <c r="ABL11" s="64"/>
      <c r="ABM11" s="64"/>
      <c r="ABN11" s="64"/>
      <c r="ABO11" s="64"/>
      <c r="ABP11" s="64"/>
      <c r="ABQ11" s="64"/>
      <c r="ABR11" s="64"/>
      <c r="ABS11" s="64"/>
      <c r="ABT11" s="64"/>
      <c r="ABU11" s="64"/>
      <c r="ABV11" s="64"/>
      <c r="ABW11" s="64"/>
      <c r="ABX11" s="64"/>
      <c r="ABY11" s="64"/>
      <c r="ABZ11" s="64"/>
      <c r="ACA11" s="64"/>
      <c r="ACB11" s="64"/>
      <c r="ACC11" s="64"/>
      <c r="ACD11" s="64"/>
      <c r="ACE11" s="64"/>
      <c r="ACF11" s="64"/>
      <c r="ACG11" s="64"/>
      <c r="ACH11" s="64"/>
      <c r="ACI11" s="64"/>
      <c r="ACJ11" s="64"/>
      <c r="ACK11" s="64"/>
      <c r="ACL11" s="33"/>
      <c r="ACM11" s="64"/>
      <c r="ACN11" s="64"/>
      <c r="ACO11" s="64"/>
      <c r="ACP11" s="64"/>
      <c r="ACQ11" s="64"/>
      <c r="ACR11" s="64"/>
      <c r="ACS11" s="64"/>
      <c r="ACT11" s="64"/>
      <c r="ACU11" s="64"/>
      <c r="ACV11" s="64"/>
      <c r="ACW11" s="64"/>
      <c r="ACX11" s="64"/>
      <c r="ACY11" s="64"/>
      <c r="ACZ11" s="64"/>
      <c r="ADA11" s="64"/>
      <c r="ADB11" s="64"/>
      <c r="ADC11" s="64"/>
      <c r="ADD11" s="64"/>
      <c r="ADE11" s="64"/>
      <c r="ADF11" s="64"/>
      <c r="ADG11" s="64"/>
      <c r="ADH11" s="64"/>
      <c r="ADI11" s="64"/>
      <c r="ADJ11" s="64"/>
      <c r="ADK11" s="64"/>
      <c r="ADL11" s="64"/>
      <c r="ADM11" s="64"/>
      <c r="ADN11" s="64"/>
      <c r="ADO11" s="64"/>
      <c r="ADP11" s="64"/>
      <c r="ADQ11" s="64"/>
      <c r="ADR11" s="72"/>
      <c r="ADS11" s="64"/>
      <c r="ADT11" s="64"/>
      <c r="ADU11" s="64"/>
      <c r="ADV11" s="64"/>
      <c r="ADW11" s="64"/>
      <c r="ADX11" s="64"/>
      <c r="ADY11" s="64"/>
      <c r="ADZ11" s="64"/>
      <c r="AEA11" s="64"/>
      <c r="AEB11" s="64"/>
      <c r="AEC11" s="64"/>
      <c r="AED11" s="64"/>
      <c r="AEE11" s="64"/>
      <c r="AEF11" s="64"/>
      <c r="AEG11" s="64"/>
      <c r="AEH11" s="64"/>
      <c r="AEI11" s="64"/>
      <c r="AEJ11" s="64"/>
      <c r="AEK11" s="64"/>
      <c r="AEL11" s="64"/>
      <c r="AEM11" s="64"/>
      <c r="AEN11" s="64"/>
      <c r="AEO11" s="64"/>
      <c r="AEP11" s="64"/>
      <c r="AEQ11" s="64"/>
      <c r="AER11" s="64"/>
      <c r="AES11" s="64"/>
      <c r="AET11" s="64"/>
      <c r="AEU11" s="64"/>
      <c r="AEV11" s="64"/>
      <c r="AEW11" s="64"/>
      <c r="AEX11" s="64"/>
      <c r="AEY11" s="64"/>
      <c r="AEZ11" s="64"/>
      <c r="AFA11" s="64"/>
      <c r="AFB11" s="64"/>
      <c r="AFC11" s="64"/>
      <c r="AFD11" s="64"/>
      <c r="AFE11" s="64"/>
      <c r="AFF11" s="64"/>
      <c r="AFG11" s="64"/>
      <c r="AFH11" s="64"/>
      <c r="AFI11" s="64"/>
      <c r="AFJ11" s="64"/>
      <c r="AFK11" s="64"/>
      <c r="AFL11" s="64"/>
      <c r="AFM11" s="64"/>
      <c r="AFN11" s="64"/>
      <c r="AFO11" s="64"/>
      <c r="AFP11" s="64"/>
      <c r="AFQ11" s="64"/>
      <c r="AFR11" s="64"/>
      <c r="AFS11" s="64"/>
      <c r="AFT11" s="64"/>
      <c r="AFU11" s="64"/>
      <c r="AFV11" s="64"/>
      <c r="AFW11" s="64"/>
      <c r="AFX11" s="64"/>
      <c r="AFY11" s="64"/>
      <c r="AFZ11" s="64"/>
      <c r="AGA11" s="64"/>
      <c r="AGB11" s="64"/>
      <c r="AGC11" s="64"/>
      <c r="AGD11" s="64"/>
      <c r="AGE11" s="64"/>
      <c r="AGF11" s="64"/>
      <c r="AGG11" s="64"/>
      <c r="AGH11" s="64"/>
      <c r="AGI11" s="64"/>
      <c r="AGJ11" s="64"/>
      <c r="AGK11" s="64"/>
      <c r="AGL11" s="64"/>
      <c r="AGM11" s="64"/>
      <c r="AGN11" s="64"/>
      <c r="AGO11" s="64"/>
      <c r="AGP11" s="64"/>
      <c r="AGQ11" s="64"/>
      <c r="AGR11" s="64"/>
      <c r="AGS11" s="64"/>
      <c r="AGT11" s="64"/>
      <c r="AGU11" s="64"/>
      <c r="AGV11" s="64"/>
      <c r="AGW11" s="64"/>
      <c r="AGX11" s="64"/>
      <c r="AGY11" s="64"/>
      <c r="AGZ11" s="64"/>
      <c r="AHA11" s="64"/>
      <c r="AHB11" s="64"/>
      <c r="AHC11" s="64"/>
      <c r="AHD11" s="64"/>
      <c r="AHE11" s="64"/>
      <c r="AHF11" s="64"/>
      <c r="AHG11" s="64"/>
      <c r="AHH11" s="64"/>
      <c r="AHI11" s="64"/>
      <c r="AHJ11" s="64"/>
      <c r="AHK11" s="64"/>
      <c r="AHL11" s="64"/>
      <c r="AHM11" s="64"/>
      <c r="AHN11" s="64"/>
      <c r="AHO11" s="64"/>
      <c r="AHP11" s="64"/>
      <c r="AHQ11" s="64"/>
      <c r="AHR11" s="64"/>
      <c r="AHS11" s="64"/>
      <c r="AHT11" s="64"/>
      <c r="AHU11" s="64"/>
      <c r="AHV11" s="64"/>
      <c r="AHW11" s="64"/>
      <c r="AHX11" s="64"/>
      <c r="AHY11" s="64"/>
      <c r="AHZ11" s="64"/>
      <c r="AIA11" s="64"/>
      <c r="AIB11" s="64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87"/>
      <c r="AJK11" s="89"/>
      <c r="AJL11" s="67"/>
      <c r="AJM11" s="2"/>
      <c r="AJN11" s="2"/>
      <c r="AJO11" s="2"/>
      <c r="AJP11" s="2"/>
      <c r="AJQ11" s="2"/>
      <c r="AJR11" s="2"/>
      <c r="AJS11" s="2"/>
      <c r="AJT11" s="87"/>
      <c r="AJU11" s="87"/>
      <c r="AJV11" s="87"/>
      <c r="AJW11" s="87"/>
      <c r="AJX11" s="87"/>
      <c r="AJY11" s="89"/>
      <c r="AJZ11" s="67"/>
      <c r="AKA11" s="67"/>
      <c r="AKB11" s="67"/>
      <c r="AKC11" s="67"/>
      <c r="AKD11" s="67"/>
      <c r="AKE11" s="67"/>
      <c r="AKF11" s="67"/>
      <c r="AKG11" s="67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67"/>
      <c r="ALY11" s="67"/>
      <c r="ALZ11" s="67"/>
      <c r="AMA11" s="67"/>
      <c r="AMB11" s="67"/>
      <c r="AMC11" s="67"/>
      <c r="AMD11" s="67"/>
      <c r="AME11" s="2"/>
      <c r="AMF11" s="2"/>
      <c r="AMG11" s="2"/>
      <c r="AMH11" s="2"/>
      <c r="AMI11" s="2"/>
      <c r="AMJ11" s="2"/>
      <c r="AMK11" s="47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87"/>
      <c r="ANI11" s="87"/>
      <c r="ANJ11" s="87"/>
      <c r="ANK11" s="87"/>
      <c r="ANL11" s="87"/>
      <c r="ANM11" s="89"/>
      <c r="ANN11" s="67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</row>
    <row r="12" spans="1:1082" ht="15.75" thickBot="1" x14ac:dyDescent="0.3">
      <c r="A12" s="45" t="s">
        <v>35</v>
      </c>
      <c r="B12" s="99" t="s">
        <v>32</v>
      </c>
      <c r="C12" s="2">
        <v>74.59</v>
      </c>
      <c r="D12" s="30">
        <v>74.42</v>
      </c>
      <c r="E12" s="30">
        <v>74.17</v>
      </c>
      <c r="F12" s="30">
        <v>74.67</v>
      </c>
      <c r="G12" s="2">
        <v>75.17</v>
      </c>
      <c r="H12" s="2">
        <v>75.2</v>
      </c>
      <c r="I12" s="2">
        <v>76.41</v>
      </c>
      <c r="J12" s="2">
        <v>75.290000000000006</v>
      </c>
      <c r="K12" s="2">
        <v>74.52</v>
      </c>
      <c r="L12" s="2">
        <v>72.540000000000006</v>
      </c>
      <c r="M12" s="2">
        <v>74.19</v>
      </c>
      <c r="N12" s="2">
        <v>75.069999999999993</v>
      </c>
      <c r="O12" s="2">
        <v>75.41</v>
      </c>
      <c r="P12" s="2">
        <v>76.02</v>
      </c>
      <c r="Q12" s="2">
        <v>75.12</v>
      </c>
      <c r="R12" s="2">
        <v>74.91</v>
      </c>
      <c r="S12" s="2">
        <v>74.61</v>
      </c>
      <c r="T12" s="2">
        <v>74.56</v>
      </c>
      <c r="U12" s="2"/>
      <c r="V12" s="2"/>
      <c r="W12" s="2"/>
      <c r="X12" s="2"/>
      <c r="Y12" s="2"/>
      <c r="Z12" s="2"/>
      <c r="AA12" s="2"/>
      <c r="AB12" s="2" t="s">
        <v>89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>
        <v>74.3</v>
      </c>
      <c r="CC12" s="2">
        <v>73.7</v>
      </c>
      <c r="CD12" s="2">
        <v>74.12</v>
      </c>
      <c r="CE12" s="2">
        <v>74.41</v>
      </c>
      <c r="CF12" s="2">
        <v>74.28</v>
      </c>
      <c r="CG12" s="2">
        <v>74.44</v>
      </c>
      <c r="CH12" s="2">
        <v>75.64</v>
      </c>
      <c r="CI12" s="2">
        <v>73.92</v>
      </c>
      <c r="CJ12" s="2">
        <v>73.430000000000007</v>
      </c>
      <c r="CK12" s="2">
        <v>74.180000000000007</v>
      </c>
      <c r="CL12" s="2">
        <v>73.22</v>
      </c>
      <c r="CM12" s="2">
        <v>73.56</v>
      </c>
      <c r="CN12" s="2">
        <v>73.599999999999994</v>
      </c>
      <c r="CO12" s="2">
        <v>75.239999999999995</v>
      </c>
      <c r="CP12" s="2">
        <v>72.91</v>
      </c>
      <c r="CQ12" s="2">
        <v>73.53</v>
      </c>
      <c r="CR12" s="2">
        <v>73.58</v>
      </c>
      <c r="CS12" s="2">
        <v>74.13</v>
      </c>
      <c r="CT12" s="2">
        <v>74.510000000000005</v>
      </c>
      <c r="CU12" s="2">
        <v>74.37</v>
      </c>
      <c r="CV12" s="2">
        <v>74.989999999999995</v>
      </c>
      <c r="CW12" s="2">
        <v>75.23</v>
      </c>
      <c r="CX12" s="2">
        <v>74.13</v>
      </c>
      <c r="CY12" s="2">
        <v>74.86</v>
      </c>
      <c r="CZ12" s="2">
        <v>74.47</v>
      </c>
      <c r="DA12" s="2"/>
      <c r="DB12" s="2"/>
      <c r="DC12" s="2"/>
      <c r="DD12" s="2"/>
      <c r="DE12" s="64"/>
      <c r="DF12" s="2"/>
      <c r="DG12" s="2"/>
      <c r="DH12" s="2"/>
      <c r="DI12" s="52"/>
      <c r="DJ12" s="54"/>
      <c r="DK12" s="49"/>
      <c r="DL12" s="55"/>
      <c r="DM12" s="54"/>
      <c r="DN12" s="54"/>
      <c r="DO12" s="49"/>
      <c r="DP12" s="53"/>
      <c r="DQ12" s="49"/>
      <c r="DR12" s="54"/>
      <c r="DS12" s="55"/>
      <c r="DT12" s="54"/>
      <c r="DU12" s="54"/>
      <c r="DV12" s="54"/>
      <c r="DW12" s="54"/>
      <c r="DX12" s="54"/>
      <c r="DY12" s="55"/>
      <c r="DZ12" s="104">
        <v>73.58</v>
      </c>
      <c r="EA12" s="104">
        <v>73.319999999999993</v>
      </c>
      <c r="EB12" s="104">
        <v>74</v>
      </c>
      <c r="EC12" s="104">
        <v>74.209999999999994</v>
      </c>
      <c r="ED12" s="104">
        <v>73.89</v>
      </c>
      <c r="EE12" s="104">
        <v>74.98</v>
      </c>
      <c r="EF12" s="104">
        <v>72.56</v>
      </c>
      <c r="EG12" s="104">
        <v>74.03</v>
      </c>
      <c r="EH12" s="104">
        <v>74.489999999999995</v>
      </c>
      <c r="EI12" s="104">
        <v>74.69</v>
      </c>
      <c r="EJ12" s="104">
        <v>74.400000000000006</v>
      </c>
      <c r="EK12" s="104">
        <v>74.83</v>
      </c>
      <c r="EL12" s="104">
        <v>75.349999999999994</v>
      </c>
      <c r="EM12" s="104">
        <v>71.88</v>
      </c>
      <c r="EN12" s="104">
        <v>74.17</v>
      </c>
      <c r="EO12" s="104">
        <v>74.02</v>
      </c>
      <c r="EP12" s="104">
        <v>74.28</v>
      </c>
      <c r="EQ12" s="104">
        <v>74.84</v>
      </c>
      <c r="ER12" s="104">
        <v>75.010000000000005</v>
      </c>
      <c r="ES12" s="104">
        <v>75.48</v>
      </c>
      <c r="ET12" s="104">
        <v>73.73</v>
      </c>
      <c r="EU12" s="104">
        <v>74.8</v>
      </c>
      <c r="EV12" s="104">
        <v>74.400000000000006</v>
      </c>
      <c r="EW12" s="104">
        <v>71.400000000000006</v>
      </c>
      <c r="EX12" s="104">
        <v>70.61</v>
      </c>
      <c r="EY12" s="104">
        <v>69.89</v>
      </c>
      <c r="EZ12" s="104">
        <v>72.11</v>
      </c>
      <c r="FA12" s="104">
        <v>73.69</v>
      </c>
      <c r="FB12" s="104">
        <v>72.650000000000006</v>
      </c>
      <c r="FC12" s="104">
        <v>73.180000000000007</v>
      </c>
      <c r="FD12" s="104">
        <v>73.37</v>
      </c>
      <c r="FE12" s="104">
        <v>73.63</v>
      </c>
      <c r="FF12" s="104">
        <v>73.569999999999993</v>
      </c>
      <c r="FG12" s="104">
        <v>73.56</v>
      </c>
      <c r="FH12" s="104">
        <v>73.88</v>
      </c>
      <c r="FI12" s="104">
        <v>73.459999999999994</v>
      </c>
      <c r="FJ12" s="104">
        <v>73.84</v>
      </c>
      <c r="FK12" s="104">
        <v>71.260000000000005</v>
      </c>
      <c r="FL12" s="104">
        <v>71.790000000000006</v>
      </c>
      <c r="FM12" s="104">
        <v>75.06</v>
      </c>
      <c r="FN12" s="104">
        <v>74.790000000000006</v>
      </c>
      <c r="FO12" s="104">
        <v>74.95</v>
      </c>
      <c r="FP12" s="104">
        <v>75.14</v>
      </c>
      <c r="FQ12" s="104">
        <v>72.67</v>
      </c>
      <c r="FR12" s="104">
        <v>74.099999999999994</v>
      </c>
      <c r="FS12" s="104">
        <v>75.7</v>
      </c>
      <c r="FT12" s="104">
        <v>74.989999999999995</v>
      </c>
      <c r="FU12" s="104">
        <v>75.88</v>
      </c>
      <c r="FV12" s="104">
        <v>75.42</v>
      </c>
      <c r="FW12" s="104">
        <v>75.27</v>
      </c>
      <c r="FX12" s="104">
        <v>74.569999999999993</v>
      </c>
      <c r="FY12" s="104">
        <v>74.95</v>
      </c>
      <c r="FZ12" s="104">
        <v>75.23</v>
      </c>
      <c r="GA12" s="104">
        <v>75.3</v>
      </c>
      <c r="GB12" s="104">
        <v>75.61</v>
      </c>
      <c r="GC12" s="104">
        <v>74.28</v>
      </c>
      <c r="GD12" s="104">
        <v>74.72</v>
      </c>
      <c r="GE12" s="104">
        <v>74</v>
      </c>
      <c r="GF12" s="104">
        <v>74.8</v>
      </c>
      <c r="GG12" s="104">
        <v>74.680000000000007</v>
      </c>
      <c r="GH12" s="104">
        <v>75.38</v>
      </c>
      <c r="GI12" s="104">
        <v>75.349999999999994</v>
      </c>
      <c r="GJ12" s="104">
        <v>74.66</v>
      </c>
      <c r="GK12" s="104">
        <v>74.540000000000006</v>
      </c>
      <c r="GL12" s="104">
        <v>74.790000000000006</v>
      </c>
      <c r="GM12" s="104">
        <v>74.069999999999993</v>
      </c>
      <c r="GN12" s="104">
        <v>74.900000000000006</v>
      </c>
      <c r="GO12" s="104">
        <v>75.540000000000006</v>
      </c>
      <c r="GP12" s="104">
        <v>76.16</v>
      </c>
      <c r="GQ12" s="104">
        <v>74.95</v>
      </c>
      <c r="GR12" s="104">
        <v>75.34</v>
      </c>
      <c r="GS12" s="104">
        <v>75.2</v>
      </c>
      <c r="GT12" s="116">
        <v>75.430000000000007</v>
      </c>
      <c r="GU12" s="2">
        <v>75.23</v>
      </c>
      <c r="GV12" s="2">
        <v>75.349999999999994</v>
      </c>
      <c r="GW12" s="2">
        <v>76.19</v>
      </c>
      <c r="GX12" s="54">
        <v>75.05</v>
      </c>
      <c r="GY12" s="53">
        <v>75.349999999999994</v>
      </c>
      <c r="GZ12" s="53">
        <v>74.55</v>
      </c>
      <c r="HA12" s="53">
        <v>75.540000000000006</v>
      </c>
      <c r="HB12" s="53">
        <v>75.06</v>
      </c>
      <c r="HC12" s="53">
        <v>74.91</v>
      </c>
      <c r="HD12" s="53">
        <v>75.930000000000007</v>
      </c>
      <c r="HE12" s="55">
        <v>73.58</v>
      </c>
      <c r="HF12" s="55">
        <v>73.069999999999993</v>
      </c>
      <c r="HG12" s="55">
        <v>72.94</v>
      </c>
      <c r="HH12" s="55">
        <v>69.28</v>
      </c>
      <c r="HI12" s="55">
        <v>70.94</v>
      </c>
      <c r="HJ12" s="55">
        <v>75.709999999999994</v>
      </c>
      <c r="HK12" s="55">
        <v>76.69</v>
      </c>
      <c r="HL12" s="55">
        <v>76.08</v>
      </c>
      <c r="HM12" s="55">
        <v>75.38</v>
      </c>
      <c r="HN12" s="55">
        <v>74.84</v>
      </c>
      <c r="HO12" s="55">
        <v>75.599999999999994</v>
      </c>
      <c r="HP12" s="55">
        <v>75.73</v>
      </c>
      <c r="HQ12" s="55">
        <v>75.680000000000007</v>
      </c>
      <c r="HR12" s="55">
        <v>76.64</v>
      </c>
      <c r="HS12" s="55">
        <v>76.05</v>
      </c>
      <c r="HT12" s="55">
        <v>75.94</v>
      </c>
      <c r="HU12" s="55">
        <v>75.22</v>
      </c>
      <c r="HV12" s="55">
        <v>75.94</v>
      </c>
      <c r="HW12" s="55">
        <v>75.650000000000006</v>
      </c>
      <c r="HX12" s="55">
        <v>76.03</v>
      </c>
      <c r="HY12" s="55">
        <v>76.900000000000006</v>
      </c>
      <c r="HZ12" s="55">
        <v>75.2</v>
      </c>
      <c r="IA12" s="55">
        <v>74.98</v>
      </c>
      <c r="IB12" s="55">
        <v>75.3</v>
      </c>
      <c r="IC12" s="55">
        <v>75.03</v>
      </c>
      <c r="ID12" s="55">
        <v>75.31</v>
      </c>
      <c r="IE12" s="55">
        <v>75.36</v>
      </c>
      <c r="IF12" s="55">
        <v>75.41</v>
      </c>
      <c r="IG12" s="55">
        <v>74.760000000000005</v>
      </c>
      <c r="IH12" s="55">
        <v>74.989999999999995</v>
      </c>
      <c r="II12" s="55">
        <v>74.33</v>
      </c>
      <c r="IJ12" s="55">
        <v>75.17</v>
      </c>
      <c r="IK12" s="55">
        <v>75.13</v>
      </c>
      <c r="IL12" s="55">
        <v>74.23</v>
      </c>
      <c r="IM12" s="55">
        <v>76.5</v>
      </c>
      <c r="IN12" s="55">
        <v>74.37</v>
      </c>
      <c r="IO12" s="100">
        <v>74.64</v>
      </c>
      <c r="IP12" s="100">
        <v>74.599999999999994</v>
      </c>
      <c r="IQ12" s="100">
        <v>75</v>
      </c>
      <c r="IR12" s="100">
        <v>75.260000000000005</v>
      </c>
      <c r="IS12" s="100">
        <v>75.930000000000007</v>
      </c>
      <c r="IT12" s="100">
        <v>76.819999999999993</v>
      </c>
      <c r="IU12" s="100">
        <v>86.29</v>
      </c>
      <c r="IV12" s="100">
        <v>86.22</v>
      </c>
      <c r="IW12" s="100">
        <v>75.34</v>
      </c>
      <c r="IX12" s="118">
        <v>85.26</v>
      </c>
      <c r="IY12" s="143">
        <v>75.86</v>
      </c>
      <c r="IZ12" s="143">
        <v>75.91</v>
      </c>
      <c r="JA12" s="143">
        <v>76.44</v>
      </c>
      <c r="JB12" s="143">
        <v>75.92</v>
      </c>
      <c r="JC12" s="71">
        <v>86.179698216735247</v>
      </c>
      <c r="JD12" s="146">
        <v>86.377673567425362</v>
      </c>
      <c r="JE12" s="71">
        <v>86.406214302033362</v>
      </c>
      <c r="JF12" s="64">
        <v>86.539118551417829</v>
      </c>
      <c r="JG12" s="64">
        <v>83.291342189647281</v>
      </c>
      <c r="JH12" s="64">
        <v>86.817304416941084</v>
      </c>
      <c r="JI12" s="64">
        <v>86.643012475678148</v>
      </c>
      <c r="JJ12" s="64">
        <v>86.319515815918692</v>
      </c>
      <c r="JK12" s="64">
        <v>86.624203821656053</v>
      </c>
      <c r="JL12" s="64">
        <v>86.701822767396536</v>
      </c>
      <c r="JM12" s="64">
        <v>86.551249713368492</v>
      </c>
      <c r="JN12" s="72">
        <v>86.563425187884306</v>
      </c>
      <c r="JO12" s="71">
        <v>86.395939086294419</v>
      </c>
      <c r="JP12" s="71">
        <v>86.89805769451786</v>
      </c>
      <c r="JQ12" s="71">
        <v>86.676768854178817</v>
      </c>
      <c r="JR12" s="71">
        <v>86.890487609912071</v>
      </c>
      <c r="JS12" s="71">
        <v>86.853448275862078</v>
      </c>
      <c r="JT12" s="64">
        <v>88.695455573140407</v>
      </c>
      <c r="JU12" s="71">
        <v>86.676768854178817</v>
      </c>
      <c r="JV12" s="64">
        <v>87.237860266905898</v>
      </c>
      <c r="JW12" s="64">
        <v>86.739505462909719</v>
      </c>
      <c r="JX12" s="64">
        <v>87.301226715129474</v>
      </c>
      <c r="JY12" s="64">
        <v>87.079807912188429</v>
      </c>
      <c r="JZ12" s="72">
        <v>87.495764147746513</v>
      </c>
      <c r="KA12" s="48">
        <v>77.14</v>
      </c>
      <c r="KB12" s="48">
        <v>77.09</v>
      </c>
      <c r="KC12" s="158">
        <v>77.64</v>
      </c>
      <c r="KD12" s="64">
        <v>77.05</v>
      </c>
      <c r="KE12" s="48">
        <v>76.98</v>
      </c>
      <c r="KF12" s="48">
        <v>77.150000000000006</v>
      </c>
      <c r="KG12" s="48">
        <v>76.319999999999993</v>
      </c>
      <c r="KH12" s="64">
        <v>87.456130420015853</v>
      </c>
      <c r="KI12" s="64">
        <v>87.296380090497735</v>
      </c>
      <c r="KJ12" s="64">
        <v>87.571125739149835</v>
      </c>
      <c r="KK12" s="64">
        <v>87.43939564776187</v>
      </c>
      <c r="KL12" s="64">
        <v>87.312168116597007</v>
      </c>
      <c r="KM12" s="64">
        <v>87.32570003400977</v>
      </c>
      <c r="KN12" s="64">
        <v>87.375678119349004</v>
      </c>
      <c r="KO12" s="64">
        <v>77.17</v>
      </c>
      <c r="KP12" s="64">
        <v>77.55</v>
      </c>
      <c r="KQ12" s="64">
        <v>78.83</v>
      </c>
      <c r="KR12" s="48">
        <v>77.739999999999995</v>
      </c>
      <c r="KS12" s="48">
        <v>77.11</v>
      </c>
      <c r="KT12" s="104">
        <v>77.86</v>
      </c>
      <c r="KU12" s="104">
        <v>77.540000000000006</v>
      </c>
      <c r="KV12" s="104">
        <v>77.12</v>
      </c>
      <c r="KW12" s="104">
        <v>76.040000000000006</v>
      </c>
      <c r="KX12" s="104">
        <v>75.25</v>
      </c>
      <c r="KY12" s="104">
        <v>72.36</v>
      </c>
      <c r="KZ12" s="104">
        <v>76.78</v>
      </c>
      <c r="LA12" s="104">
        <v>77.22</v>
      </c>
      <c r="LB12" s="104">
        <v>77.680000000000007</v>
      </c>
      <c r="LC12" s="104">
        <v>75.760000000000005</v>
      </c>
      <c r="LD12" s="104">
        <v>77.91</v>
      </c>
      <c r="LE12" s="104">
        <v>78.489999999999995</v>
      </c>
      <c r="LF12" s="104">
        <v>76.77</v>
      </c>
      <c r="LG12" s="104">
        <v>76.92</v>
      </c>
      <c r="LH12" s="104">
        <v>77.819999999999993</v>
      </c>
      <c r="LI12" s="104">
        <v>77.53</v>
      </c>
      <c r="LJ12" s="104">
        <v>77.709999999999994</v>
      </c>
      <c r="LK12" s="104">
        <v>77.349999999999994</v>
      </c>
      <c r="LL12" s="104">
        <v>77.38</v>
      </c>
      <c r="LM12" s="104">
        <v>77.290000000000006</v>
      </c>
      <c r="LN12" s="104">
        <v>77.290000000000006</v>
      </c>
      <c r="LO12" s="104">
        <v>74.42</v>
      </c>
      <c r="LP12" s="104">
        <v>76.77</v>
      </c>
      <c r="LQ12" s="104">
        <v>77.53</v>
      </c>
      <c r="LR12" s="104">
        <v>77.72</v>
      </c>
      <c r="LS12" s="104">
        <v>77.819999999999993</v>
      </c>
      <c r="LT12" s="104">
        <v>77.25</v>
      </c>
      <c r="LU12" s="104">
        <v>77.069999999999993</v>
      </c>
      <c r="LV12" s="104">
        <v>77.099999999999994</v>
      </c>
      <c r="LW12" s="104">
        <v>77.099999999999994</v>
      </c>
      <c r="LX12" s="104">
        <v>76.97</v>
      </c>
      <c r="LY12" s="104">
        <v>77.349999999999994</v>
      </c>
      <c r="LZ12" s="104">
        <v>77.84</v>
      </c>
      <c r="MA12" s="104">
        <v>76.42</v>
      </c>
      <c r="MB12" s="104">
        <v>75.540000000000006</v>
      </c>
      <c r="MC12" s="104">
        <v>76.540000000000006</v>
      </c>
      <c r="MD12" s="104">
        <v>76.430000000000007</v>
      </c>
      <c r="ME12" s="104">
        <v>76.459999999999994</v>
      </c>
      <c r="MF12" s="114">
        <v>86.407440609592115</v>
      </c>
      <c r="MG12" s="114">
        <v>86.576354679802947</v>
      </c>
      <c r="MH12" s="114">
        <v>86.76799284756369</v>
      </c>
      <c r="MI12" s="114">
        <v>87.015308973069622</v>
      </c>
      <c r="MJ12" s="114">
        <v>87.825506343200544</v>
      </c>
      <c r="MK12" s="114">
        <v>87.384003535130361</v>
      </c>
      <c r="ML12" s="114">
        <v>87.340924313462835</v>
      </c>
      <c r="MM12" s="114">
        <v>87.119777158774369</v>
      </c>
      <c r="MN12" s="104">
        <v>78.12</v>
      </c>
      <c r="MO12" s="104">
        <v>76.91</v>
      </c>
      <c r="MP12" s="104">
        <v>77.239999999999995</v>
      </c>
      <c r="MQ12" s="104">
        <v>75.03</v>
      </c>
      <c r="MR12" s="104">
        <v>77.36</v>
      </c>
      <c r="MS12" s="101">
        <v>77.63</v>
      </c>
      <c r="MT12" s="101">
        <v>81.290000000000006</v>
      </c>
      <c r="MU12" s="101">
        <v>78.31</v>
      </c>
      <c r="MV12" s="101">
        <v>76.38</v>
      </c>
      <c r="MW12" s="101">
        <v>77.48</v>
      </c>
      <c r="MX12" s="101">
        <v>77.06</v>
      </c>
      <c r="MY12" s="104">
        <v>71.94</v>
      </c>
      <c r="MZ12" s="2"/>
      <c r="NA12" s="2"/>
      <c r="NB12" s="2"/>
      <c r="NC12">
        <v>72.069999999999993</v>
      </c>
      <c r="ND12">
        <v>76.64</v>
      </c>
      <c r="NE12">
        <v>76.790000000000006</v>
      </c>
      <c r="NF12">
        <v>75.599999999999994</v>
      </c>
      <c r="NG12">
        <v>76.84</v>
      </c>
      <c r="NH12">
        <v>76.709999999999994</v>
      </c>
      <c r="NI12">
        <v>78.010000000000005</v>
      </c>
      <c r="NJ12">
        <v>77.260000000000005</v>
      </c>
      <c r="NK12">
        <v>77.11</v>
      </c>
      <c r="NL12">
        <v>77.33</v>
      </c>
      <c r="NM12">
        <v>77.64</v>
      </c>
      <c r="NN12" s="48">
        <v>77.87</v>
      </c>
      <c r="NO12" s="48">
        <v>78.92</v>
      </c>
      <c r="NP12" s="48">
        <v>79.099999999999994</v>
      </c>
      <c r="NQ12" s="48">
        <v>78.239999999999995</v>
      </c>
      <c r="NR12" s="48">
        <v>78.19</v>
      </c>
      <c r="NS12" s="71">
        <v>77.83</v>
      </c>
      <c r="NT12" s="48">
        <v>78.25</v>
      </c>
      <c r="NU12" s="48">
        <v>78.31</v>
      </c>
      <c r="NV12" s="48">
        <v>78.58</v>
      </c>
      <c r="NW12" s="48">
        <v>78.8</v>
      </c>
      <c r="NX12" s="48">
        <v>78.25</v>
      </c>
      <c r="NY12" s="48">
        <v>77.510000000000005</v>
      </c>
      <c r="NZ12" s="48">
        <v>77.72</v>
      </c>
      <c r="OA12" s="64">
        <v>78.02</v>
      </c>
      <c r="OB12" s="64">
        <v>77.709999999999994</v>
      </c>
      <c r="OC12" s="64">
        <v>78.48</v>
      </c>
      <c r="OD12" s="64">
        <v>79.23</v>
      </c>
      <c r="OE12" s="48">
        <v>78.94</v>
      </c>
      <c r="OF12" s="48">
        <v>76.77</v>
      </c>
      <c r="OG12" s="48">
        <v>77.61</v>
      </c>
      <c r="OH12" s="48">
        <v>77.95</v>
      </c>
      <c r="OI12" s="48">
        <v>77.95</v>
      </c>
      <c r="OJ12" s="48">
        <v>78.61</v>
      </c>
      <c r="OK12" s="48">
        <v>78.66</v>
      </c>
      <c r="OL12" s="48">
        <v>78.010000000000005</v>
      </c>
      <c r="OM12" s="48">
        <v>78.2</v>
      </c>
      <c r="ON12" s="48">
        <v>79.180000000000007</v>
      </c>
      <c r="OO12" s="48">
        <v>78.510000000000005</v>
      </c>
      <c r="OP12" s="48">
        <v>78.459999999999994</v>
      </c>
      <c r="OQ12" s="48">
        <v>78.510000000000005</v>
      </c>
      <c r="OR12" s="48">
        <v>79.849999999999994</v>
      </c>
      <c r="OS12" s="48">
        <v>79.12</v>
      </c>
      <c r="OT12" s="48">
        <v>78.3</v>
      </c>
      <c r="OU12" s="48">
        <v>76.900000000000006</v>
      </c>
      <c r="OV12" s="64">
        <v>80.02</v>
      </c>
      <c r="OW12" s="2">
        <v>77.3</v>
      </c>
      <c r="OX12" s="2">
        <v>78.33</v>
      </c>
      <c r="OY12" s="2">
        <v>78.44</v>
      </c>
      <c r="OZ12" s="48">
        <v>78.39</v>
      </c>
      <c r="PA12" s="48">
        <v>77.88</v>
      </c>
      <c r="PB12" s="48">
        <v>77.930000000000007</v>
      </c>
      <c r="PC12" s="48">
        <v>78.3</v>
      </c>
      <c r="PD12" s="48">
        <v>78.03</v>
      </c>
      <c r="PE12" s="48">
        <v>78.48</v>
      </c>
      <c r="PF12" s="48">
        <v>78.95</v>
      </c>
      <c r="PG12" s="48">
        <v>76.92</v>
      </c>
      <c r="PH12" s="71">
        <v>77.540000000000006</v>
      </c>
      <c r="PI12" s="48">
        <v>77.95</v>
      </c>
      <c r="PJ12" s="48">
        <v>77.2</v>
      </c>
      <c r="PK12" s="48">
        <v>77.75</v>
      </c>
      <c r="PL12" s="48">
        <v>77.61</v>
      </c>
      <c r="PM12" s="48">
        <v>77.58</v>
      </c>
      <c r="PN12" s="48">
        <v>77.37</v>
      </c>
      <c r="PO12" s="48">
        <v>79.86</v>
      </c>
      <c r="PP12" s="64">
        <v>80.56</v>
      </c>
      <c r="PQ12" s="64">
        <v>80.66</v>
      </c>
      <c r="PR12" s="64">
        <v>80.02</v>
      </c>
      <c r="PS12" s="64">
        <v>80.62</v>
      </c>
      <c r="PT12" s="64">
        <v>82.78</v>
      </c>
      <c r="PU12" s="64">
        <v>80.62</v>
      </c>
      <c r="PV12" s="64">
        <v>80.400000000000006</v>
      </c>
      <c r="PW12" s="64">
        <v>81.02</v>
      </c>
      <c r="PX12" s="48">
        <v>83.14</v>
      </c>
      <c r="PY12" s="48">
        <v>81.56</v>
      </c>
      <c r="PZ12" s="48">
        <v>80.11</v>
      </c>
      <c r="QA12" s="48">
        <v>81.069999999999993</v>
      </c>
      <c r="QB12" s="48">
        <v>80.78</v>
      </c>
      <c r="QC12" s="71">
        <v>80.64</v>
      </c>
      <c r="QD12" s="48">
        <v>80.180000000000007</v>
      </c>
      <c r="QE12" s="64">
        <v>80.62</v>
      </c>
      <c r="QF12" s="64">
        <v>80.33</v>
      </c>
      <c r="QG12" s="64">
        <v>80.19</v>
      </c>
      <c r="QH12" s="71">
        <v>80.41</v>
      </c>
      <c r="QI12" s="71">
        <v>80.12</v>
      </c>
      <c r="QJ12" s="48">
        <v>80.099999999999994</v>
      </c>
      <c r="QK12" s="48">
        <v>80.25</v>
      </c>
      <c r="QL12" s="48">
        <v>80.5</v>
      </c>
      <c r="QM12" s="48">
        <v>79.98</v>
      </c>
      <c r="QN12" s="48">
        <v>80.05</v>
      </c>
      <c r="QO12" s="48">
        <v>79.930000000000007</v>
      </c>
      <c r="QP12" s="48">
        <v>80.03</v>
      </c>
      <c r="QQ12" s="48">
        <v>79.790000000000006</v>
      </c>
      <c r="QR12" s="48">
        <v>79.5</v>
      </c>
      <c r="QS12" s="48">
        <v>79.849999999999994</v>
      </c>
      <c r="QT12" s="64">
        <v>80.12</v>
      </c>
      <c r="QU12" s="64">
        <v>80.260000000000005</v>
      </c>
      <c r="QV12" s="64">
        <v>80.489999999999995</v>
      </c>
      <c r="QW12" s="48">
        <v>80.75</v>
      </c>
      <c r="QX12" s="48">
        <v>80.41</v>
      </c>
      <c r="QY12" s="48">
        <v>80.13</v>
      </c>
      <c r="QZ12" s="48">
        <v>80.42</v>
      </c>
      <c r="RA12" s="48">
        <v>80.64</v>
      </c>
      <c r="RB12" s="48">
        <v>80.64</v>
      </c>
      <c r="RC12" s="158">
        <v>80.7</v>
      </c>
      <c r="RD12" s="48">
        <v>80.510000000000005</v>
      </c>
      <c r="RE12" s="48">
        <v>80.5</v>
      </c>
      <c r="RF12" s="48">
        <v>80.73</v>
      </c>
      <c r="RG12" s="48">
        <v>79.78</v>
      </c>
      <c r="RH12" s="48">
        <v>80.680000000000007</v>
      </c>
      <c r="RI12" s="48">
        <v>80.819999999999993</v>
      </c>
      <c r="RJ12" s="48">
        <v>80.81</v>
      </c>
      <c r="RK12" s="48">
        <v>80.010000000000005</v>
      </c>
      <c r="RL12" s="48">
        <v>80.260000000000005</v>
      </c>
      <c r="RM12" s="48">
        <v>79.7</v>
      </c>
      <c r="RN12" s="48">
        <v>79.27</v>
      </c>
      <c r="RO12" s="48">
        <v>78.28</v>
      </c>
      <c r="RP12" s="48">
        <v>80.650000000000006</v>
      </c>
      <c r="RQ12" s="48">
        <v>79.66</v>
      </c>
      <c r="RR12" s="48">
        <v>80.430000000000007</v>
      </c>
      <c r="RS12" s="48">
        <v>79.11</v>
      </c>
      <c r="RT12" s="48">
        <v>80.25</v>
      </c>
      <c r="RU12" s="48">
        <v>80.27</v>
      </c>
      <c r="RV12" s="48">
        <v>80.7</v>
      </c>
      <c r="RW12" s="48">
        <v>80.900000000000006</v>
      </c>
      <c r="RX12" s="48">
        <v>81.150000000000006</v>
      </c>
      <c r="RY12" s="48">
        <v>80.72</v>
      </c>
      <c r="RZ12" s="48">
        <v>80.7</v>
      </c>
      <c r="SA12" s="183"/>
      <c r="SB12" s="64"/>
      <c r="SC12" s="64"/>
      <c r="SD12" s="64"/>
      <c r="SE12" s="64"/>
      <c r="SF12" s="72"/>
      <c r="SG12" s="48">
        <v>80.39</v>
      </c>
      <c r="SH12" s="48">
        <v>75.510000000000005</v>
      </c>
      <c r="SI12" s="48">
        <v>80.790000000000006</v>
      </c>
      <c r="SJ12" s="48">
        <v>78.28</v>
      </c>
      <c r="SK12" s="48">
        <v>75.84</v>
      </c>
      <c r="SL12" s="48">
        <v>80</v>
      </c>
      <c r="SM12" s="48">
        <v>80.66</v>
      </c>
      <c r="SN12" s="64">
        <v>81.760000000000005</v>
      </c>
      <c r="SO12" s="64">
        <v>81.52</v>
      </c>
      <c r="SP12" s="48">
        <v>79.599999999999994</v>
      </c>
      <c r="SQ12" s="64">
        <v>83.312606356519296</v>
      </c>
      <c r="SR12" s="64">
        <v>83.012342787446656</v>
      </c>
      <c r="SS12" s="64">
        <v>81.52</v>
      </c>
      <c r="ST12" s="48">
        <v>80.7</v>
      </c>
      <c r="SU12" s="64">
        <v>81.45</v>
      </c>
      <c r="SV12" s="64">
        <v>81.55</v>
      </c>
      <c r="SW12" s="64">
        <v>81.52</v>
      </c>
      <c r="SX12" s="67">
        <v>81.52</v>
      </c>
      <c r="SY12" s="64">
        <v>81.760000000000005</v>
      </c>
      <c r="SZ12" s="64">
        <v>81.11</v>
      </c>
      <c r="TA12" s="64">
        <v>81.760000000000005</v>
      </c>
      <c r="TB12" s="64">
        <v>79.08</v>
      </c>
      <c r="TC12" s="64">
        <v>81.349999999999994</v>
      </c>
      <c r="TD12" s="64">
        <v>81.670913378744842</v>
      </c>
      <c r="TE12" s="64">
        <v>81.607466031366116</v>
      </c>
      <c r="TF12" s="64">
        <v>81.551172619980193</v>
      </c>
      <c r="TG12" s="64">
        <v>81.101487688195434</v>
      </c>
      <c r="TH12" s="64">
        <v>81.11</v>
      </c>
      <c r="TI12" s="64">
        <v>81.45</v>
      </c>
      <c r="TJ12" s="64">
        <v>81.55</v>
      </c>
      <c r="TK12" s="64">
        <v>81.52</v>
      </c>
      <c r="TL12" s="64">
        <v>83.175598277134469</v>
      </c>
      <c r="TM12" s="64">
        <v>83.883926010114649</v>
      </c>
      <c r="TN12" s="64">
        <v>82.63239976342291</v>
      </c>
      <c r="TO12" s="64">
        <v>83.387255556745799</v>
      </c>
      <c r="TP12" s="64">
        <v>82.419851120905264</v>
      </c>
      <c r="TQ12" s="64">
        <v>83.793202559822205</v>
      </c>
      <c r="TR12" s="64">
        <v>82.239904834354277</v>
      </c>
      <c r="TS12" s="64">
        <v>83.682874343669511</v>
      </c>
      <c r="TT12" s="64">
        <v>83.987307861015125</v>
      </c>
      <c r="TU12" s="64">
        <v>82.4</v>
      </c>
      <c r="TV12" s="64">
        <v>82.41</v>
      </c>
      <c r="TW12" s="48">
        <v>81.96</v>
      </c>
      <c r="TX12" s="64">
        <v>82.14</v>
      </c>
      <c r="TY12" s="64">
        <v>81.91</v>
      </c>
      <c r="TZ12" s="64">
        <v>81.86</v>
      </c>
      <c r="UA12" s="64">
        <v>82.01</v>
      </c>
      <c r="UB12" s="48">
        <v>82.04</v>
      </c>
      <c r="UC12" s="48">
        <v>82.11</v>
      </c>
      <c r="UD12" s="48">
        <v>81.72</v>
      </c>
      <c r="UE12" s="48">
        <v>81.93</v>
      </c>
      <c r="UF12" s="48">
        <v>82.15</v>
      </c>
      <c r="UG12" s="48">
        <v>82.3</v>
      </c>
      <c r="UH12" s="48">
        <v>82.14</v>
      </c>
      <c r="UI12" s="48">
        <v>82.15</v>
      </c>
      <c r="UJ12" s="48">
        <v>81.47</v>
      </c>
      <c r="UK12" s="48">
        <v>81.62</v>
      </c>
      <c r="UL12" s="64">
        <v>82.31</v>
      </c>
      <c r="UM12" s="48">
        <v>82.4</v>
      </c>
      <c r="UN12" s="48">
        <v>82.37</v>
      </c>
      <c r="UO12" s="48">
        <v>82.4</v>
      </c>
      <c r="UP12" s="48">
        <v>81.709999999999994</v>
      </c>
      <c r="UQ12" s="48">
        <v>82.57</v>
      </c>
      <c r="UR12" s="48">
        <v>81.96</v>
      </c>
      <c r="US12" s="48">
        <v>82.3</v>
      </c>
      <c r="UT12" s="48">
        <v>82.34</v>
      </c>
      <c r="UU12" s="48">
        <v>82.36</v>
      </c>
      <c r="UV12" s="48">
        <v>82.37</v>
      </c>
      <c r="UW12" s="48">
        <v>82.35</v>
      </c>
      <c r="UX12" s="64">
        <v>82.38</v>
      </c>
      <c r="UY12" s="64">
        <v>82.23</v>
      </c>
      <c r="UZ12" s="64">
        <v>82.15</v>
      </c>
      <c r="VA12" s="64">
        <v>82.6</v>
      </c>
      <c r="VB12" s="67">
        <v>81.99</v>
      </c>
      <c r="VC12" s="64">
        <v>82.6</v>
      </c>
      <c r="VD12" s="64">
        <v>82.41</v>
      </c>
      <c r="VE12" s="48">
        <v>76.760000000000005</v>
      </c>
      <c r="VF12" s="48">
        <v>82.35</v>
      </c>
      <c r="VG12" s="48">
        <v>82.27</v>
      </c>
      <c r="VH12" s="71">
        <v>82.08</v>
      </c>
      <c r="VI12" s="64">
        <v>81.209999999999994</v>
      </c>
      <c r="VJ12" s="64">
        <v>81.760000000000005</v>
      </c>
      <c r="VK12" s="64">
        <v>82.03</v>
      </c>
      <c r="VL12" s="64">
        <v>82.28</v>
      </c>
      <c r="VM12" s="64">
        <v>81.92</v>
      </c>
      <c r="VN12" s="64">
        <v>81.89</v>
      </c>
      <c r="VO12" s="64">
        <v>82.33</v>
      </c>
      <c r="VP12" s="64">
        <v>82.17</v>
      </c>
      <c r="VQ12" s="64">
        <v>81.849999999999994</v>
      </c>
      <c r="VR12" s="48">
        <v>82.17</v>
      </c>
      <c r="VS12" s="183"/>
      <c r="VT12" s="2"/>
      <c r="VU12" s="2"/>
      <c r="VV12" s="2"/>
      <c r="VW12" s="2"/>
      <c r="VX12" s="64"/>
      <c r="VY12" s="2"/>
      <c r="VZ12" s="30"/>
      <c r="WA12" s="64"/>
      <c r="WB12" s="64"/>
      <c r="WC12" s="64"/>
      <c r="WD12" s="86"/>
      <c r="WE12" s="2"/>
      <c r="WF12" s="66"/>
      <c r="WG12" s="66"/>
      <c r="WH12" s="64"/>
      <c r="WI12" s="64"/>
      <c r="WJ12" s="72"/>
      <c r="WK12" s="2"/>
      <c r="WL12" s="2"/>
      <c r="WM12" s="2"/>
      <c r="WN12" s="2"/>
      <c r="WO12" s="2"/>
      <c r="WP12" s="2"/>
      <c r="WQ12" s="2"/>
      <c r="WR12" s="2"/>
      <c r="WS12" s="64"/>
      <c r="WT12" s="64"/>
      <c r="WU12" s="64"/>
      <c r="WV12" s="64"/>
      <c r="WW12" s="64"/>
      <c r="WX12" s="64"/>
      <c r="WY12" s="64"/>
      <c r="WZ12" s="64"/>
      <c r="XA12" s="64"/>
      <c r="XB12" s="64"/>
      <c r="XC12" s="64"/>
      <c r="XD12" s="64"/>
      <c r="XE12" s="64"/>
      <c r="XF12" s="64"/>
      <c r="XG12" s="64"/>
      <c r="XH12" s="64"/>
      <c r="XI12" s="64"/>
      <c r="XJ12" s="64"/>
      <c r="XK12" s="64"/>
      <c r="XL12" s="64"/>
      <c r="XM12" s="64"/>
      <c r="XN12" s="64"/>
      <c r="XO12" s="64"/>
      <c r="XP12" s="64"/>
      <c r="XQ12" s="64"/>
      <c r="XR12" s="64"/>
      <c r="XS12" s="64"/>
      <c r="XT12" s="64"/>
      <c r="XU12" s="64"/>
      <c r="XV12" s="64"/>
      <c r="XW12" s="64"/>
      <c r="XX12" s="64"/>
      <c r="XY12" s="64"/>
      <c r="XZ12" s="64"/>
      <c r="YA12" s="64"/>
      <c r="YB12" s="64"/>
      <c r="YC12" s="64"/>
      <c r="YD12" s="64"/>
      <c r="YE12" s="64"/>
      <c r="YF12" s="64"/>
      <c r="YG12" s="64"/>
      <c r="YH12" s="64"/>
      <c r="YI12" s="64"/>
      <c r="YJ12" s="64"/>
      <c r="YK12" s="64"/>
      <c r="YL12" s="64"/>
      <c r="YM12" s="64"/>
      <c r="YN12" s="64"/>
      <c r="YO12" s="64"/>
      <c r="YP12" s="64"/>
      <c r="YQ12" s="64"/>
      <c r="YR12" s="64"/>
      <c r="YS12" s="64"/>
      <c r="YT12" s="64"/>
      <c r="YU12" s="64"/>
      <c r="YV12" s="64"/>
      <c r="YW12" s="64"/>
      <c r="YX12" s="64"/>
      <c r="YY12" s="2"/>
      <c r="YZ12" s="64"/>
      <c r="ZA12" s="2"/>
      <c r="ZB12" s="2"/>
      <c r="ZC12" s="2"/>
      <c r="ZD12" s="2"/>
      <c r="ZE12" s="2"/>
      <c r="ZF12" s="2"/>
      <c r="ZG12" s="64"/>
      <c r="ZH12" s="64"/>
      <c r="ZI12" s="64"/>
      <c r="ZJ12" s="64"/>
      <c r="ZK12" s="64"/>
      <c r="ZL12" s="64"/>
      <c r="ZM12" s="64"/>
      <c r="ZN12" s="64"/>
      <c r="ZO12" s="2"/>
      <c r="ZP12" s="2"/>
      <c r="ZQ12" s="2"/>
      <c r="ZR12" s="2"/>
      <c r="ZS12" s="2"/>
      <c r="ZT12" s="2"/>
      <c r="ZU12" s="71"/>
      <c r="ZV12" s="71"/>
      <c r="ZW12" s="71"/>
      <c r="ZX12" s="71"/>
      <c r="ZY12" s="71"/>
      <c r="ZZ12" s="71"/>
      <c r="AAA12" s="91"/>
      <c r="AAB12" s="64"/>
      <c r="AAC12" s="64"/>
      <c r="AAD12" s="64"/>
      <c r="AAE12" s="64"/>
      <c r="AAF12" s="72"/>
      <c r="AAG12" s="64"/>
      <c r="AAH12" s="72"/>
      <c r="AAI12" s="64"/>
      <c r="AAJ12" s="64"/>
      <c r="AAK12" s="64"/>
      <c r="AAL12" s="64"/>
      <c r="AAM12" s="64"/>
      <c r="AAN12" s="64"/>
      <c r="AAO12" s="64"/>
      <c r="AAP12" s="64"/>
      <c r="AAQ12" s="64"/>
      <c r="AAR12" s="64"/>
      <c r="AAS12" s="64"/>
      <c r="AAT12" s="64"/>
      <c r="AAU12" s="64"/>
      <c r="AAV12" s="64"/>
      <c r="AAW12" s="64"/>
      <c r="AAX12" s="64"/>
      <c r="AAY12" s="64"/>
      <c r="AAZ12" s="64"/>
      <c r="ABA12" s="64"/>
      <c r="ABB12" s="64"/>
      <c r="ABC12" s="64"/>
      <c r="ABD12" s="64"/>
      <c r="ABE12" s="64"/>
      <c r="ABF12" s="64"/>
      <c r="ABG12" s="64"/>
      <c r="ABH12" s="64"/>
      <c r="ABI12" s="64"/>
      <c r="ABJ12" s="64"/>
      <c r="ABK12" s="64"/>
      <c r="ABL12" s="64"/>
      <c r="ABM12" s="64"/>
      <c r="ABN12" s="64"/>
      <c r="ABO12" s="64"/>
      <c r="ABP12" s="64"/>
      <c r="ABQ12" s="64"/>
      <c r="ABR12" s="64"/>
      <c r="ABS12" s="64"/>
      <c r="ABT12" s="64"/>
      <c r="ABU12" s="64"/>
      <c r="ABV12" s="64"/>
      <c r="ABW12" s="64"/>
      <c r="ABX12" s="64"/>
      <c r="ABY12" s="64"/>
      <c r="ABZ12" s="64"/>
      <c r="ACA12" s="64"/>
      <c r="ACB12" s="64"/>
      <c r="ACC12" s="64"/>
      <c r="ACD12" s="64"/>
      <c r="ACE12" s="64"/>
      <c r="ACF12" s="64"/>
      <c r="ACG12" s="64"/>
      <c r="ACH12" s="64"/>
      <c r="ACI12" s="64"/>
      <c r="ACJ12" s="64"/>
      <c r="ACK12" s="64"/>
      <c r="ACL12" s="64"/>
      <c r="ACM12" s="64"/>
      <c r="ACN12" s="64"/>
      <c r="ACO12" s="64"/>
      <c r="ACP12" s="64"/>
      <c r="ACQ12" s="64"/>
      <c r="ACR12" s="64"/>
      <c r="ACS12" s="64"/>
      <c r="ACT12" s="64"/>
      <c r="ACU12" s="64"/>
      <c r="ACV12" s="64"/>
      <c r="ACW12" s="64"/>
      <c r="ACX12" s="64"/>
      <c r="ACY12" s="64"/>
      <c r="ACZ12" s="64"/>
      <c r="ADA12" s="64"/>
      <c r="ADB12" s="64"/>
      <c r="ADC12" s="64"/>
      <c r="ADD12" s="64"/>
      <c r="ADE12" s="64"/>
      <c r="ADF12" s="64"/>
      <c r="ADG12" s="64"/>
      <c r="ADH12" s="64"/>
      <c r="ADI12" s="64"/>
      <c r="ADJ12" s="64"/>
      <c r="ADK12" s="64"/>
      <c r="ADL12" s="2"/>
      <c r="ADM12" s="2"/>
      <c r="ADN12" s="2"/>
      <c r="ADO12" s="64"/>
      <c r="ADP12" s="64"/>
      <c r="ADQ12" s="64"/>
      <c r="ADR12" s="72"/>
      <c r="ADS12" s="64"/>
      <c r="ADT12" s="64"/>
      <c r="ADU12" s="64"/>
      <c r="ADV12" s="64"/>
      <c r="ADW12" s="64"/>
      <c r="ADX12" s="64"/>
      <c r="ADY12" s="64"/>
      <c r="ADZ12" s="64"/>
      <c r="AEA12" s="64"/>
      <c r="AEB12" s="64"/>
      <c r="AEC12" s="64"/>
      <c r="AED12" s="64"/>
      <c r="AEE12" s="64"/>
      <c r="AEF12" s="64"/>
      <c r="AEG12" s="64"/>
      <c r="AEH12" s="64"/>
      <c r="AEI12" s="64"/>
      <c r="AEJ12" s="64"/>
      <c r="AEK12" s="64"/>
      <c r="AEL12" s="64"/>
      <c r="AEM12" s="64"/>
      <c r="AEN12" s="64"/>
      <c r="AEO12" s="64"/>
      <c r="AEP12" s="64"/>
      <c r="AEQ12" s="64"/>
      <c r="AER12" s="64"/>
      <c r="AES12" s="64"/>
      <c r="AET12" s="64"/>
      <c r="AEU12" s="64"/>
      <c r="AEV12" s="64"/>
      <c r="AEW12" s="64"/>
      <c r="AEX12" s="64"/>
      <c r="AEY12" s="64"/>
      <c r="AEZ12" s="64"/>
      <c r="AFA12" s="64"/>
      <c r="AFB12" s="64"/>
      <c r="AFC12" s="64"/>
      <c r="AFD12" s="64"/>
      <c r="AFE12" s="64"/>
      <c r="AFF12" s="64"/>
      <c r="AFG12" s="64"/>
      <c r="AFH12" s="64"/>
      <c r="AFI12" s="64"/>
      <c r="AFJ12" s="64"/>
      <c r="AFK12" s="64"/>
      <c r="AFL12" s="64"/>
      <c r="AFM12" s="64"/>
      <c r="AFN12" s="64"/>
      <c r="AFO12" s="64"/>
      <c r="AFP12" s="64"/>
      <c r="AFQ12" s="64"/>
      <c r="AFR12" s="64"/>
      <c r="AFS12" s="64"/>
      <c r="AFT12" s="64"/>
      <c r="AFU12" s="64"/>
      <c r="AFV12" s="64"/>
      <c r="AFW12" s="64"/>
      <c r="AFX12" s="64"/>
      <c r="AFY12" s="64"/>
      <c r="AFZ12" s="64"/>
      <c r="AGA12" s="64"/>
      <c r="AGB12" s="64"/>
      <c r="AGC12" s="64"/>
      <c r="AGD12" s="64"/>
      <c r="AGE12" s="64"/>
      <c r="AGF12" s="64"/>
      <c r="AGG12" s="64"/>
      <c r="AGH12" s="64"/>
      <c r="AGI12" s="64"/>
      <c r="AGJ12" s="64"/>
      <c r="AGK12" s="64"/>
      <c r="AGL12" s="64"/>
      <c r="AGM12" s="64"/>
      <c r="AGN12" s="64"/>
      <c r="AGO12" s="64"/>
      <c r="AGP12" s="64"/>
      <c r="AGQ12" s="64"/>
      <c r="AGR12" s="64"/>
      <c r="AGS12" s="64"/>
      <c r="AGT12" s="64"/>
      <c r="AGU12" s="64"/>
      <c r="AGV12" s="64"/>
      <c r="AGW12" s="64"/>
      <c r="AGX12" s="64"/>
      <c r="AGY12" s="64"/>
      <c r="AGZ12" s="64"/>
      <c r="AHA12" s="64"/>
      <c r="AHB12" s="64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47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47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47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47"/>
      <c r="ANN12" s="2"/>
      <c r="ANO12" s="64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</row>
    <row r="13" spans="1:1082" ht="15.75" thickBot="1" x14ac:dyDescent="0.3">
      <c r="A13" s="45" t="s">
        <v>36</v>
      </c>
      <c r="B13" s="99" t="s">
        <v>32</v>
      </c>
      <c r="C13" s="2">
        <v>83.77</v>
      </c>
      <c r="D13" s="30">
        <v>83.49</v>
      </c>
      <c r="E13" s="30">
        <v>83.51</v>
      </c>
      <c r="F13" s="30">
        <v>83.6</v>
      </c>
      <c r="G13" s="2">
        <v>84.02</v>
      </c>
      <c r="H13" s="2">
        <v>84.06</v>
      </c>
      <c r="I13" s="2">
        <v>85.07</v>
      </c>
      <c r="J13" s="2">
        <v>84.24</v>
      </c>
      <c r="K13" s="2">
        <v>83.74</v>
      </c>
      <c r="L13" s="2">
        <v>82.75</v>
      </c>
      <c r="M13" s="2">
        <v>83.39</v>
      </c>
      <c r="N13" s="2">
        <v>84.09</v>
      </c>
      <c r="O13" s="2">
        <v>84.36</v>
      </c>
      <c r="P13" s="2">
        <v>84.86</v>
      </c>
      <c r="Q13" s="2">
        <v>84.09</v>
      </c>
      <c r="R13" s="2">
        <v>83.91</v>
      </c>
      <c r="S13" s="2">
        <v>83.58</v>
      </c>
      <c r="T13" s="2">
        <v>83.35</v>
      </c>
      <c r="U13" s="2"/>
      <c r="V13" s="2"/>
      <c r="W13" s="2"/>
      <c r="X13" s="2"/>
      <c r="Y13" s="2"/>
      <c r="Z13" s="2"/>
      <c r="AA13" s="2"/>
      <c r="AB13" s="2" t="s">
        <v>89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>
        <v>82.87</v>
      </c>
      <c r="CC13" s="2">
        <v>82.1</v>
      </c>
      <c r="CD13" s="2">
        <v>82.88</v>
      </c>
      <c r="CE13" s="2">
        <v>83.05</v>
      </c>
      <c r="CF13" s="2">
        <v>82.95</v>
      </c>
      <c r="CG13" s="2">
        <v>83.27</v>
      </c>
      <c r="CH13" s="2">
        <v>84.06</v>
      </c>
      <c r="CI13" s="2">
        <v>82.53</v>
      </c>
      <c r="CJ13" s="2">
        <v>82.41</v>
      </c>
      <c r="CK13" s="2">
        <v>82.88</v>
      </c>
      <c r="CL13" s="2">
        <v>81.99</v>
      </c>
      <c r="CM13" s="2">
        <v>82.4</v>
      </c>
      <c r="CN13" s="2">
        <v>82.96</v>
      </c>
      <c r="CO13" s="2">
        <v>84.25</v>
      </c>
      <c r="CP13" s="2">
        <v>81.75</v>
      </c>
      <c r="CQ13" s="2">
        <v>82.49</v>
      </c>
      <c r="CR13" s="2">
        <v>82.6</v>
      </c>
      <c r="CS13" s="2">
        <v>82.92</v>
      </c>
      <c r="CT13" s="2">
        <v>83.45</v>
      </c>
      <c r="CU13" s="2">
        <v>83.26</v>
      </c>
      <c r="CV13" s="2">
        <v>84.14</v>
      </c>
      <c r="CW13" s="2">
        <v>84.13</v>
      </c>
      <c r="CX13" s="2">
        <v>83.19</v>
      </c>
      <c r="CY13" s="2">
        <v>83.93</v>
      </c>
      <c r="CZ13" s="2">
        <v>83.4</v>
      </c>
      <c r="DA13" s="2"/>
      <c r="DB13" s="2"/>
      <c r="DC13" s="2"/>
      <c r="DD13" s="2"/>
      <c r="DE13" s="64"/>
      <c r="DF13" s="2"/>
      <c r="DG13" s="2"/>
      <c r="DH13" s="2"/>
      <c r="DI13" s="52"/>
      <c r="DJ13" s="54"/>
      <c r="DK13" s="49"/>
      <c r="DL13" s="55"/>
      <c r="DM13" s="54"/>
      <c r="DN13" s="54"/>
      <c r="DO13" s="49"/>
      <c r="DP13" s="53"/>
      <c r="DQ13" s="49"/>
      <c r="DR13" s="54"/>
      <c r="DS13" s="55"/>
      <c r="DT13" s="54"/>
      <c r="DU13" s="54"/>
      <c r="DV13" s="54"/>
      <c r="DW13" s="54"/>
      <c r="DX13" s="54"/>
      <c r="DY13" s="55"/>
      <c r="DZ13" s="104">
        <v>83</v>
      </c>
      <c r="EA13" s="104">
        <v>82.77</v>
      </c>
      <c r="EB13" s="104">
        <v>83.48</v>
      </c>
      <c r="EC13" s="104">
        <v>83.65</v>
      </c>
      <c r="ED13" s="104">
        <v>83.46</v>
      </c>
      <c r="EE13" s="104">
        <v>84.31</v>
      </c>
      <c r="EF13" s="104">
        <v>81.23</v>
      </c>
      <c r="EG13" s="104">
        <v>83.5</v>
      </c>
      <c r="EH13" s="104">
        <v>83.89</v>
      </c>
      <c r="EI13" s="104">
        <v>84.08</v>
      </c>
      <c r="EJ13" s="104">
        <v>83.78</v>
      </c>
      <c r="EK13" s="104">
        <v>84.19</v>
      </c>
      <c r="EL13" s="104">
        <v>84.65</v>
      </c>
      <c r="EM13" s="104">
        <v>82.9</v>
      </c>
      <c r="EN13" s="104">
        <v>83.68</v>
      </c>
      <c r="EO13" s="104">
        <v>83.59</v>
      </c>
      <c r="EP13" s="104">
        <v>83.84</v>
      </c>
      <c r="EQ13" s="104">
        <v>84.02</v>
      </c>
      <c r="ER13" s="104">
        <v>84.23</v>
      </c>
      <c r="ES13" s="104">
        <v>84.66</v>
      </c>
      <c r="ET13" s="104">
        <v>83.61</v>
      </c>
      <c r="EU13" s="104">
        <v>84.05</v>
      </c>
      <c r="EV13" s="104">
        <v>83.99</v>
      </c>
      <c r="EW13" s="104">
        <v>80.400000000000006</v>
      </c>
      <c r="EX13" s="104">
        <v>79.05</v>
      </c>
      <c r="EY13" s="104">
        <v>78.3</v>
      </c>
      <c r="EZ13" s="104">
        <v>82.53</v>
      </c>
      <c r="FA13" s="104">
        <v>83.52</v>
      </c>
      <c r="FB13" s="104">
        <v>82.69</v>
      </c>
      <c r="FC13" s="104">
        <v>82.84</v>
      </c>
      <c r="FD13" s="104">
        <v>83.09</v>
      </c>
      <c r="FE13" s="104">
        <v>83.16</v>
      </c>
      <c r="FF13" s="104">
        <v>83.05</v>
      </c>
      <c r="FG13" s="104">
        <v>83.13</v>
      </c>
      <c r="FH13" s="104">
        <v>83.21</v>
      </c>
      <c r="FI13" s="104">
        <v>82.96</v>
      </c>
      <c r="FJ13" s="104">
        <v>82.9</v>
      </c>
      <c r="FK13" s="104">
        <v>80.28</v>
      </c>
      <c r="FL13" s="104">
        <v>79.849999999999994</v>
      </c>
      <c r="FM13" s="104">
        <v>84.19</v>
      </c>
      <c r="FN13" s="104">
        <v>84.54</v>
      </c>
      <c r="FO13" s="104">
        <v>84.5</v>
      </c>
      <c r="FP13" s="104">
        <v>84.3</v>
      </c>
      <c r="FQ13" s="104">
        <v>83.55</v>
      </c>
      <c r="FR13" s="104">
        <v>83.24</v>
      </c>
      <c r="FS13" s="104">
        <v>85.01</v>
      </c>
      <c r="FT13" s="104">
        <v>84.44</v>
      </c>
      <c r="FU13" s="104">
        <v>85.14</v>
      </c>
      <c r="FV13" s="104">
        <v>84.62</v>
      </c>
      <c r="FW13" s="104">
        <v>84.46</v>
      </c>
      <c r="FX13" s="104">
        <v>84.52</v>
      </c>
      <c r="FY13" s="104">
        <v>84.85</v>
      </c>
      <c r="FZ13" s="104">
        <v>84.79</v>
      </c>
      <c r="GA13" s="104">
        <v>84.6</v>
      </c>
      <c r="GB13" s="104">
        <v>84.86</v>
      </c>
      <c r="GC13" s="104">
        <v>83.61</v>
      </c>
      <c r="GD13" s="104">
        <v>84.01</v>
      </c>
      <c r="GE13" s="104">
        <v>83.52</v>
      </c>
      <c r="GF13" s="104">
        <v>84.16</v>
      </c>
      <c r="GG13" s="104">
        <v>83.95</v>
      </c>
      <c r="GH13" s="104">
        <v>84.63</v>
      </c>
      <c r="GI13" s="104">
        <v>84.35</v>
      </c>
      <c r="GJ13" s="104">
        <v>83.8</v>
      </c>
      <c r="GK13" s="104">
        <v>83.71</v>
      </c>
      <c r="GL13" s="104">
        <v>83.87</v>
      </c>
      <c r="GM13" s="104">
        <v>83.5</v>
      </c>
      <c r="GN13" s="104">
        <v>84.23</v>
      </c>
      <c r="GO13" s="104">
        <v>84.83</v>
      </c>
      <c r="GP13" s="104">
        <v>85.48</v>
      </c>
      <c r="GQ13" s="104">
        <v>84.34</v>
      </c>
      <c r="GR13" s="104">
        <v>84.69</v>
      </c>
      <c r="GS13" s="104">
        <v>84.56</v>
      </c>
      <c r="GT13" s="116">
        <v>84.62</v>
      </c>
      <c r="GU13" s="2">
        <v>84.49</v>
      </c>
      <c r="GV13" s="2">
        <v>84.68</v>
      </c>
      <c r="GW13" s="2">
        <v>85.23</v>
      </c>
      <c r="GX13" s="54">
        <v>84.39</v>
      </c>
      <c r="GY13" s="53">
        <v>84.68</v>
      </c>
      <c r="GZ13" s="53">
        <v>84.39</v>
      </c>
      <c r="HA13" s="53">
        <v>84.82</v>
      </c>
      <c r="HB13" s="53">
        <v>84.66</v>
      </c>
      <c r="HC13" s="53">
        <v>84.58</v>
      </c>
      <c r="HD13" s="53">
        <v>85.17</v>
      </c>
      <c r="HE13" s="55">
        <v>84.19</v>
      </c>
      <c r="HF13" s="55">
        <v>83.69</v>
      </c>
      <c r="HG13" s="55">
        <v>82.77</v>
      </c>
      <c r="HH13" s="55">
        <v>78.459999999999994</v>
      </c>
      <c r="HI13" s="55">
        <v>80.45</v>
      </c>
      <c r="HJ13" s="55">
        <v>84.75</v>
      </c>
      <c r="HK13" s="55">
        <v>85.46</v>
      </c>
      <c r="HL13" s="55">
        <v>84.99</v>
      </c>
      <c r="HM13" s="55">
        <v>84.64</v>
      </c>
      <c r="HN13" s="55">
        <v>84.45</v>
      </c>
      <c r="HO13" s="55">
        <v>84.58</v>
      </c>
      <c r="HP13" s="55">
        <v>84.75</v>
      </c>
      <c r="HQ13" s="55">
        <v>84.53</v>
      </c>
      <c r="HR13" s="55">
        <v>85.29</v>
      </c>
      <c r="HS13" s="55">
        <v>84.92</v>
      </c>
      <c r="HT13" s="55">
        <v>84.73</v>
      </c>
      <c r="HU13" s="55">
        <v>84.43</v>
      </c>
      <c r="HV13" s="55">
        <v>84.69</v>
      </c>
      <c r="HW13" s="55">
        <v>84.44</v>
      </c>
      <c r="HX13" s="55">
        <v>84.7</v>
      </c>
      <c r="HY13" s="55">
        <v>85.35</v>
      </c>
      <c r="HZ13" s="55">
        <v>84.38</v>
      </c>
      <c r="IA13" s="55">
        <v>84.18</v>
      </c>
      <c r="IB13" s="55">
        <v>84.37</v>
      </c>
      <c r="IC13" s="55">
        <v>84.01</v>
      </c>
      <c r="ID13" s="55">
        <v>84.43</v>
      </c>
      <c r="IE13" s="55">
        <v>84.45</v>
      </c>
      <c r="IF13" s="55">
        <v>85.13</v>
      </c>
      <c r="IG13" s="55">
        <v>84.02</v>
      </c>
      <c r="IH13" s="55">
        <v>84.31</v>
      </c>
      <c r="II13" s="55">
        <v>83.33</v>
      </c>
      <c r="IJ13" s="55">
        <v>84.12</v>
      </c>
      <c r="IK13" s="55">
        <v>84.13</v>
      </c>
      <c r="IL13" s="55">
        <v>84.13</v>
      </c>
      <c r="IM13" s="55">
        <v>85.19</v>
      </c>
      <c r="IN13" s="55">
        <v>83.76</v>
      </c>
      <c r="IO13" s="100">
        <v>83.85</v>
      </c>
      <c r="IP13" s="100">
        <v>83.65</v>
      </c>
      <c r="IQ13" s="100">
        <v>83.92</v>
      </c>
      <c r="IR13" s="100">
        <v>84.21</v>
      </c>
      <c r="IS13" s="100">
        <v>84.71</v>
      </c>
      <c r="IT13" s="100">
        <v>85.4</v>
      </c>
      <c r="IU13" s="100">
        <v>96.35</v>
      </c>
      <c r="IV13" s="100">
        <v>96.34</v>
      </c>
      <c r="IW13" s="100">
        <v>84.27</v>
      </c>
      <c r="IX13" s="118">
        <v>96.24</v>
      </c>
      <c r="IY13" s="143">
        <v>84.57</v>
      </c>
      <c r="IZ13" s="143">
        <v>84.62</v>
      </c>
      <c r="JA13" s="143">
        <v>85.38</v>
      </c>
      <c r="JB13" s="143">
        <v>84.58</v>
      </c>
      <c r="JC13" s="71">
        <v>96.284865112025599</v>
      </c>
      <c r="JD13" s="146">
        <v>96.305615921308473</v>
      </c>
      <c r="JE13" s="71">
        <v>96.253141421064669</v>
      </c>
      <c r="JF13" s="64">
        <v>96.389932809474999</v>
      </c>
      <c r="JG13" s="64">
        <v>95.797068254695375</v>
      </c>
      <c r="JH13" s="64">
        <v>96.264335187918718</v>
      </c>
      <c r="JI13" s="64">
        <v>96.303078860020605</v>
      </c>
      <c r="JJ13" s="64">
        <v>96.277263903163188</v>
      </c>
      <c r="JK13" s="64">
        <v>96.360327570518663</v>
      </c>
      <c r="JL13" s="64">
        <v>96.297145477473336</v>
      </c>
      <c r="JM13" s="64">
        <v>96.376977757395096</v>
      </c>
      <c r="JN13" s="72">
        <v>96.299248462764723</v>
      </c>
      <c r="JO13" s="71">
        <v>96.243654822335017</v>
      </c>
      <c r="JP13" s="71">
        <v>96.529134582231904</v>
      </c>
      <c r="JQ13" s="71">
        <v>96.141741461708847</v>
      </c>
      <c r="JR13" s="71">
        <v>96.459974877241052</v>
      </c>
      <c r="JS13" s="71">
        <v>96.426950998185148</v>
      </c>
      <c r="JT13" s="64">
        <v>96.744291205064442</v>
      </c>
      <c r="JU13" s="64">
        <v>96.297145477473336</v>
      </c>
      <c r="JV13" s="64">
        <v>96.635639789166746</v>
      </c>
      <c r="JW13" s="64">
        <v>96.446233467510069</v>
      </c>
      <c r="JX13" s="64">
        <v>96.581099500227154</v>
      </c>
      <c r="JY13" s="64">
        <v>96.512691516121663</v>
      </c>
      <c r="JZ13" s="72">
        <v>96.046537896758153</v>
      </c>
      <c r="KA13" s="48">
        <v>85.32</v>
      </c>
      <c r="KB13" s="48">
        <v>85.37</v>
      </c>
      <c r="KC13" s="158">
        <v>86.15</v>
      </c>
      <c r="KD13" s="64">
        <v>85.08</v>
      </c>
      <c r="KE13" s="48">
        <v>85.08</v>
      </c>
      <c r="KF13" s="48">
        <v>85.43</v>
      </c>
      <c r="KG13" s="48">
        <v>85.14</v>
      </c>
      <c r="KH13" s="64">
        <v>96.6489301483075</v>
      </c>
      <c r="KI13" s="64">
        <v>96.651583710407238</v>
      </c>
      <c r="KJ13" s="64">
        <v>96.686377329019294</v>
      </c>
      <c r="KK13" s="64">
        <v>96.628706731311311</v>
      </c>
      <c r="KL13" s="64">
        <v>96.621850638345947</v>
      </c>
      <c r="KM13" s="64">
        <v>96.64437138646413</v>
      </c>
      <c r="KN13" s="64">
        <v>96.643309222423142</v>
      </c>
      <c r="KO13" s="64">
        <v>85.51</v>
      </c>
      <c r="KP13" s="64">
        <v>85.79</v>
      </c>
      <c r="KQ13" s="64">
        <v>86.71</v>
      </c>
      <c r="KR13" s="48">
        <v>85.74</v>
      </c>
      <c r="KS13" s="48">
        <v>85.5</v>
      </c>
      <c r="KT13" s="104">
        <v>86.11</v>
      </c>
      <c r="KU13" s="104">
        <v>85.8</v>
      </c>
      <c r="KV13" s="104">
        <v>85.62</v>
      </c>
      <c r="KW13" s="104">
        <v>83.7</v>
      </c>
      <c r="KX13" s="104">
        <v>83.06</v>
      </c>
      <c r="KY13" s="104">
        <v>80.44</v>
      </c>
      <c r="KZ13" s="104">
        <v>85.35</v>
      </c>
      <c r="LA13" s="104">
        <v>85.38</v>
      </c>
      <c r="LB13" s="104">
        <v>85.92</v>
      </c>
      <c r="LC13" s="104">
        <v>84.84</v>
      </c>
      <c r="LD13" s="104">
        <v>85.93</v>
      </c>
      <c r="LE13" s="104">
        <v>86.43</v>
      </c>
      <c r="LF13" s="104">
        <v>85.1</v>
      </c>
      <c r="LG13" s="104">
        <v>85.48</v>
      </c>
      <c r="LH13" s="104">
        <v>86.1</v>
      </c>
      <c r="LI13" s="104">
        <v>85.66</v>
      </c>
      <c r="LJ13" s="104">
        <v>85.69</v>
      </c>
      <c r="LK13" s="104">
        <v>85.58</v>
      </c>
      <c r="LL13" s="104">
        <v>85.85</v>
      </c>
      <c r="LM13" s="104">
        <v>85.58</v>
      </c>
      <c r="LN13" s="104">
        <v>85.51</v>
      </c>
      <c r="LO13" s="104">
        <v>84.5</v>
      </c>
      <c r="LP13" s="104">
        <v>85.27</v>
      </c>
      <c r="LQ13" s="104">
        <v>85.7</v>
      </c>
      <c r="LR13" s="104">
        <v>85.86</v>
      </c>
      <c r="LS13" s="104">
        <v>86.12</v>
      </c>
      <c r="LT13" s="104">
        <v>85.5</v>
      </c>
      <c r="LU13" s="104">
        <v>85.41</v>
      </c>
      <c r="LV13" s="104">
        <v>85.45</v>
      </c>
      <c r="LW13" s="104">
        <v>85.32</v>
      </c>
      <c r="LX13" s="104">
        <v>85.22</v>
      </c>
      <c r="LY13" s="104">
        <v>85.5</v>
      </c>
      <c r="LZ13" s="104">
        <v>85.99</v>
      </c>
      <c r="MA13" s="104">
        <v>85.29</v>
      </c>
      <c r="MB13" s="104">
        <v>85</v>
      </c>
      <c r="MC13" s="104">
        <v>85.21</v>
      </c>
      <c r="MD13" s="104">
        <v>85.13</v>
      </c>
      <c r="ME13" s="104">
        <v>85.1</v>
      </c>
      <c r="MF13" s="114">
        <v>96.190049305244287</v>
      </c>
      <c r="MG13" s="114">
        <v>96.227048813255692</v>
      </c>
      <c r="MH13" s="114">
        <v>96.31202503352705</v>
      </c>
      <c r="MI13" s="114">
        <v>96.401832606995185</v>
      </c>
      <c r="MJ13" s="114">
        <v>96.672601825061236</v>
      </c>
      <c r="MK13" s="114">
        <v>96.387538665488293</v>
      </c>
      <c r="ML13" s="114">
        <v>96.483590087073026</v>
      </c>
      <c r="MM13" s="114">
        <v>96.490250696378837</v>
      </c>
      <c r="MN13" s="104">
        <v>86.62</v>
      </c>
      <c r="MO13" s="104">
        <v>85.78</v>
      </c>
      <c r="MP13" s="104">
        <v>85.82</v>
      </c>
      <c r="MQ13" s="104">
        <v>84.7</v>
      </c>
      <c r="MR13" s="104">
        <v>85.93</v>
      </c>
      <c r="MS13" s="101">
        <v>85.99</v>
      </c>
      <c r="MT13" s="101">
        <v>89.71</v>
      </c>
      <c r="MU13" s="101">
        <v>86.51</v>
      </c>
      <c r="MV13" s="101">
        <v>85.49</v>
      </c>
      <c r="MW13" s="101">
        <v>86.16</v>
      </c>
      <c r="MX13" s="101">
        <v>85.89</v>
      </c>
      <c r="MY13" s="104">
        <v>82.41</v>
      </c>
      <c r="MZ13" s="2"/>
      <c r="NA13" s="2"/>
      <c r="NB13" s="2"/>
      <c r="NC13">
        <v>82.25</v>
      </c>
      <c r="ND13">
        <v>85.76</v>
      </c>
      <c r="NE13">
        <v>85.83</v>
      </c>
      <c r="NF13">
        <v>84.31</v>
      </c>
      <c r="NG13">
        <v>85.87</v>
      </c>
      <c r="NH13">
        <v>85.96</v>
      </c>
      <c r="NI13">
        <v>86.58</v>
      </c>
      <c r="NJ13">
        <v>86.14</v>
      </c>
      <c r="NK13">
        <v>85.84</v>
      </c>
      <c r="NL13">
        <v>85.95</v>
      </c>
      <c r="NM13">
        <v>86.18</v>
      </c>
      <c r="NN13" s="48">
        <v>86.27</v>
      </c>
      <c r="NO13" s="48">
        <v>86.87</v>
      </c>
      <c r="NP13" s="48">
        <v>87.25</v>
      </c>
      <c r="NQ13" s="48">
        <v>86.43</v>
      </c>
      <c r="NR13" s="48">
        <v>86.6</v>
      </c>
      <c r="NS13" s="71">
        <v>86.48</v>
      </c>
      <c r="NT13" s="48">
        <v>86.74</v>
      </c>
      <c r="NU13" s="48">
        <v>86.53</v>
      </c>
      <c r="NV13" s="48">
        <v>86.79</v>
      </c>
      <c r="NW13" s="48">
        <v>87.11</v>
      </c>
      <c r="NX13" s="48">
        <v>86.48</v>
      </c>
      <c r="NY13" s="48">
        <v>86.09</v>
      </c>
      <c r="NZ13" s="48">
        <v>86.34</v>
      </c>
      <c r="OA13" s="64">
        <v>86.35</v>
      </c>
      <c r="OB13" s="64">
        <v>85.97</v>
      </c>
      <c r="OC13" s="64">
        <v>86.83</v>
      </c>
      <c r="OD13" s="64">
        <v>87.36</v>
      </c>
      <c r="OE13" s="48">
        <v>86.73</v>
      </c>
      <c r="OF13" s="48">
        <v>86.33</v>
      </c>
      <c r="OG13" s="48">
        <v>86.16</v>
      </c>
      <c r="OH13" s="48">
        <v>86.32</v>
      </c>
      <c r="OI13" s="48">
        <v>86.34</v>
      </c>
      <c r="OJ13" s="48">
        <v>86.66</v>
      </c>
      <c r="OK13" s="48">
        <v>87.02</v>
      </c>
      <c r="OL13" s="48">
        <v>86.46</v>
      </c>
      <c r="OM13" s="48">
        <v>86.58</v>
      </c>
      <c r="ON13" s="48">
        <v>87.17</v>
      </c>
      <c r="OO13" s="48">
        <v>86.91</v>
      </c>
      <c r="OP13" s="48">
        <v>86.83</v>
      </c>
      <c r="OQ13" s="48">
        <v>86.87</v>
      </c>
      <c r="OR13" s="48">
        <v>87.72</v>
      </c>
      <c r="OS13" s="48">
        <v>87.38</v>
      </c>
      <c r="OT13" s="48">
        <v>86.73</v>
      </c>
      <c r="OU13" s="48">
        <v>85.63</v>
      </c>
      <c r="OV13" s="64">
        <v>88.36</v>
      </c>
      <c r="OW13" s="2">
        <v>86.07</v>
      </c>
      <c r="OX13" s="2">
        <v>86.92</v>
      </c>
      <c r="OY13" s="2">
        <v>87.1</v>
      </c>
      <c r="OZ13" s="48">
        <v>86.83</v>
      </c>
      <c r="PA13" s="48">
        <v>86.32</v>
      </c>
      <c r="PB13" s="48">
        <v>86.25</v>
      </c>
      <c r="PC13" s="48">
        <v>86.62</v>
      </c>
      <c r="PD13" s="48">
        <v>86.3</v>
      </c>
      <c r="PE13" s="48">
        <v>86.83</v>
      </c>
      <c r="PF13" s="48">
        <v>87.25</v>
      </c>
      <c r="PG13" s="48">
        <v>86.28</v>
      </c>
      <c r="PH13" s="71">
        <v>86.52</v>
      </c>
      <c r="PI13" s="48">
        <v>86.74</v>
      </c>
      <c r="PJ13" s="48">
        <v>86.37</v>
      </c>
      <c r="PK13" s="48">
        <v>86.49</v>
      </c>
      <c r="PL13" s="48">
        <v>86.49</v>
      </c>
      <c r="PM13" s="48">
        <v>86.53</v>
      </c>
      <c r="PN13" s="48">
        <v>86.18</v>
      </c>
      <c r="PO13" s="48">
        <v>86.06</v>
      </c>
      <c r="PP13" s="64">
        <v>86.72</v>
      </c>
      <c r="PQ13" s="64">
        <v>86.78</v>
      </c>
      <c r="PR13" s="64">
        <v>88.36</v>
      </c>
      <c r="PS13" s="64">
        <v>86.75</v>
      </c>
      <c r="PT13" s="64">
        <v>88.31</v>
      </c>
      <c r="PU13" s="64">
        <v>86.76</v>
      </c>
      <c r="PV13" s="64">
        <v>86.5</v>
      </c>
      <c r="PW13" s="64">
        <v>86.96</v>
      </c>
      <c r="PX13" s="48">
        <v>88.39</v>
      </c>
      <c r="PY13" s="48">
        <v>87.27</v>
      </c>
      <c r="PZ13" s="48">
        <v>86.47</v>
      </c>
      <c r="QA13" s="48">
        <v>87.14</v>
      </c>
      <c r="QB13" s="48">
        <v>86.78</v>
      </c>
      <c r="QC13" s="71">
        <v>86.65</v>
      </c>
      <c r="QD13" s="48">
        <v>86.38</v>
      </c>
      <c r="QE13" s="64">
        <v>86.66</v>
      </c>
      <c r="QF13" s="64">
        <v>86.69</v>
      </c>
      <c r="QG13" s="64">
        <v>86.68</v>
      </c>
      <c r="QH13" s="71">
        <v>87.01</v>
      </c>
      <c r="QI13" s="71">
        <v>86.63</v>
      </c>
      <c r="QJ13" s="48">
        <v>86.56</v>
      </c>
      <c r="QK13" s="48">
        <v>86.47</v>
      </c>
      <c r="QL13" s="48">
        <v>86.57</v>
      </c>
      <c r="QM13" s="48">
        <v>86.15</v>
      </c>
      <c r="QN13" s="48">
        <v>86.12</v>
      </c>
      <c r="QO13" s="48">
        <v>86.19</v>
      </c>
      <c r="QP13" s="48">
        <v>86.23</v>
      </c>
      <c r="QQ13" s="48">
        <v>86.07</v>
      </c>
      <c r="QR13" s="48">
        <v>85.79</v>
      </c>
      <c r="QS13" s="48">
        <v>86.17</v>
      </c>
      <c r="QT13" s="64">
        <v>86.37</v>
      </c>
      <c r="QU13" s="64">
        <v>86.48</v>
      </c>
      <c r="QV13" s="64">
        <v>86.74</v>
      </c>
      <c r="QW13" s="48">
        <v>86.8</v>
      </c>
      <c r="QX13" s="48">
        <v>86.57</v>
      </c>
      <c r="QY13" s="48">
        <v>86.58</v>
      </c>
      <c r="QZ13" s="48">
        <v>86.71</v>
      </c>
      <c r="RA13" s="48">
        <v>86.86</v>
      </c>
      <c r="RB13" s="48">
        <v>86.88</v>
      </c>
      <c r="RC13" s="158">
        <v>87</v>
      </c>
      <c r="RD13" s="48">
        <v>86.93</v>
      </c>
      <c r="RE13" s="48">
        <v>86.78</v>
      </c>
      <c r="RF13" s="48">
        <v>86.89</v>
      </c>
      <c r="RG13" s="48">
        <v>86.6</v>
      </c>
      <c r="RH13" s="48">
        <v>86.86</v>
      </c>
      <c r="RI13" s="48">
        <v>86.95</v>
      </c>
      <c r="RJ13" s="48">
        <v>87.08</v>
      </c>
      <c r="RK13" s="48">
        <v>86.45</v>
      </c>
      <c r="RL13" s="48">
        <v>86.59</v>
      </c>
      <c r="RM13" s="48">
        <v>86.34</v>
      </c>
      <c r="RN13" s="48">
        <v>86.28</v>
      </c>
      <c r="RO13" s="48">
        <v>86.12</v>
      </c>
      <c r="RP13" s="48">
        <v>87.01</v>
      </c>
      <c r="RQ13" s="48">
        <v>86.72</v>
      </c>
      <c r="RR13" s="48">
        <v>86.78</v>
      </c>
      <c r="RS13" s="48">
        <v>86.39</v>
      </c>
      <c r="RT13" s="48">
        <v>86.76</v>
      </c>
      <c r="RU13" s="48">
        <v>86.75</v>
      </c>
      <c r="RV13" s="48">
        <v>86.98</v>
      </c>
      <c r="RW13" s="48">
        <v>87.09</v>
      </c>
      <c r="RX13" s="48">
        <v>87.36</v>
      </c>
      <c r="RY13" s="48">
        <v>87</v>
      </c>
      <c r="RZ13" s="48">
        <v>86.97</v>
      </c>
      <c r="SA13" s="183"/>
      <c r="SB13" s="64"/>
      <c r="SC13" s="64"/>
      <c r="SD13" s="64"/>
      <c r="SE13" s="64"/>
      <c r="SF13" s="72"/>
      <c r="SG13" s="48">
        <v>87.04</v>
      </c>
      <c r="SH13" s="48">
        <v>81.45</v>
      </c>
      <c r="SI13" s="48">
        <v>86.95</v>
      </c>
      <c r="SJ13" s="48">
        <v>86.12</v>
      </c>
      <c r="SK13" s="48">
        <v>84.07</v>
      </c>
      <c r="SL13" s="48">
        <v>86.88</v>
      </c>
      <c r="SM13" s="48">
        <v>87.03</v>
      </c>
      <c r="SN13" s="64">
        <v>89.16</v>
      </c>
      <c r="SO13" s="64">
        <v>88.5</v>
      </c>
      <c r="SP13" s="48">
        <v>86.29</v>
      </c>
      <c r="SQ13" s="64">
        <v>89.790274420771979</v>
      </c>
      <c r="SR13" s="64">
        <v>89.464689491439628</v>
      </c>
      <c r="SS13" s="64">
        <v>88.5</v>
      </c>
      <c r="ST13" s="48">
        <v>86.97</v>
      </c>
      <c r="SU13" s="64">
        <v>87.75</v>
      </c>
      <c r="SV13" s="64">
        <v>87.42</v>
      </c>
      <c r="SW13" s="64">
        <v>87.73</v>
      </c>
      <c r="SX13" s="67">
        <v>88.5</v>
      </c>
      <c r="SY13" s="64">
        <v>89.16</v>
      </c>
      <c r="SZ13" s="64">
        <v>87.29</v>
      </c>
      <c r="TA13" s="64">
        <v>89.16</v>
      </c>
      <c r="TB13" s="64">
        <v>84.79</v>
      </c>
      <c r="TC13" s="64">
        <v>87.217501921901558</v>
      </c>
      <c r="TD13" s="64">
        <v>87.531962009797979</v>
      </c>
      <c r="TE13" s="64">
        <v>87.363799937761357</v>
      </c>
      <c r="TF13" s="64">
        <v>87.409084501594791</v>
      </c>
      <c r="TG13" s="64">
        <v>86.939159765679477</v>
      </c>
      <c r="TH13" s="64">
        <v>87.29</v>
      </c>
      <c r="TI13" s="64">
        <v>87.75</v>
      </c>
      <c r="TJ13" s="64">
        <v>87.42</v>
      </c>
      <c r="TK13" s="64">
        <v>87.73</v>
      </c>
      <c r="TL13" s="64">
        <v>89.351165410146137</v>
      </c>
      <c r="TM13" s="64">
        <v>90.004102277294564</v>
      </c>
      <c r="TN13" s="64">
        <v>89.134243681398303</v>
      </c>
      <c r="TO13" s="64">
        <v>89.610028879482201</v>
      </c>
      <c r="TP13" s="64">
        <v>88.895920764147675</v>
      </c>
      <c r="TQ13" s="64">
        <v>89.972276507202565</v>
      </c>
      <c r="TR13" s="64">
        <v>88.774248723927613</v>
      </c>
      <c r="TS13" s="64">
        <v>89.80648183801884</v>
      </c>
      <c r="TT13" s="64">
        <v>89.997029837131606</v>
      </c>
      <c r="TU13" s="64">
        <v>88.35</v>
      </c>
      <c r="TV13" s="64">
        <v>88.28</v>
      </c>
      <c r="TW13" s="48">
        <v>87.98</v>
      </c>
      <c r="TX13" s="64">
        <v>88.07</v>
      </c>
      <c r="TY13" s="64">
        <v>87.85</v>
      </c>
      <c r="TZ13" s="64">
        <v>87.87</v>
      </c>
      <c r="UA13" s="64">
        <v>87.9</v>
      </c>
      <c r="UB13" s="48">
        <v>88</v>
      </c>
      <c r="UC13" s="48">
        <v>87.96</v>
      </c>
      <c r="UD13" s="48">
        <v>87.75</v>
      </c>
      <c r="UE13" s="48">
        <v>87.88</v>
      </c>
      <c r="UF13" s="48">
        <v>88.07</v>
      </c>
      <c r="UG13" s="48">
        <v>88.13</v>
      </c>
      <c r="UH13" s="48">
        <v>88.07</v>
      </c>
      <c r="UI13" s="48">
        <v>88.14</v>
      </c>
      <c r="UJ13" s="48">
        <v>87.35</v>
      </c>
      <c r="UK13" s="48">
        <v>87.57</v>
      </c>
      <c r="UL13" s="64">
        <v>88.17</v>
      </c>
      <c r="UM13" s="48">
        <v>88.23</v>
      </c>
      <c r="UN13" s="48">
        <v>88.25</v>
      </c>
      <c r="UO13" s="48">
        <v>88.25</v>
      </c>
      <c r="UP13" s="48">
        <v>87.64</v>
      </c>
      <c r="UQ13" s="48">
        <v>88.34</v>
      </c>
      <c r="UR13" s="48">
        <v>88.08</v>
      </c>
      <c r="US13" s="48">
        <v>88.17</v>
      </c>
      <c r="UT13" s="48">
        <v>88.18</v>
      </c>
      <c r="UU13" s="48">
        <v>88.23</v>
      </c>
      <c r="UV13" s="48">
        <v>88.23</v>
      </c>
      <c r="UW13" s="48">
        <v>88.28</v>
      </c>
      <c r="UX13" s="64">
        <v>88.23</v>
      </c>
      <c r="UY13" s="64">
        <v>88.16</v>
      </c>
      <c r="UZ13" s="64">
        <v>88.11</v>
      </c>
      <c r="VA13" s="64">
        <v>88.43</v>
      </c>
      <c r="VB13" s="67">
        <v>88.19</v>
      </c>
      <c r="VC13" s="64">
        <v>88.39</v>
      </c>
      <c r="VD13" s="64">
        <v>88.39</v>
      </c>
      <c r="VE13" s="48">
        <v>82.25</v>
      </c>
      <c r="VF13" s="48">
        <v>88.29</v>
      </c>
      <c r="VG13" s="48">
        <v>88.26</v>
      </c>
      <c r="VH13" s="71">
        <v>88.03</v>
      </c>
      <c r="VI13" s="64">
        <v>87.43</v>
      </c>
      <c r="VJ13" s="64">
        <v>87.88</v>
      </c>
      <c r="VK13" s="64">
        <v>88.09</v>
      </c>
      <c r="VL13" s="64">
        <v>88.2</v>
      </c>
      <c r="VM13" s="64">
        <v>88</v>
      </c>
      <c r="VN13" s="64">
        <v>88.08</v>
      </c>
      <c r="VO13" s="64">
        <v>88.27</v>
      </c>
      <c r="VP13" s="64">
        <v>88.06</v>
      </c>
      <c r="VQ13" s="64">
        <v>87.79</v>
      </c>
      <c r="VR13" s="48">
        <v>88.25</v>
      </c>
      <c r="VS13" s="183"/>
      <c r="VT13" s="2"/>
      <c r="VU13" s="2"/>
      <c r="VV13" s="2"/>
      <c r="VW13" s="2"/>
      <c r="VX13" s="64"/>
      <c r="VY13" s="2"/>
      <c r="VZ13" s="30"/>
      <c r="WA13" s="64"/>
      <c r="WB13" s="64"/>
      <c r="WC13" s="64"/>
      <c r="WD13" s="86"/>
      <c r="WE13" s="2"/>
      <c r="WF13" s="66"/>
      <c r="WG13" s="66"/>
      <c r="WH13" s="64"/>
      <c r="WI13" s="64"/>
      <c r="WJ13" s="72"/>
      <c r="WK13" s="2"/>
      <c r="WL13" s="2"/>
      <c r="WM13" s="2"/>
      <c r="WN13" s="2"/>
      <c r="WO13" s="2"/>
      <c r="WP13" s="2"/>
      <c r="WQ13" s="2"/>
      <c r="WR13" s="2"/>
      <c r="WS13" s="64"/>
      <c r="WT13" s="64"/>
      <c r="WU13" s="64"/>
      <c r="WV13" s="64"/>
      <c r="WW13" s="64"/>
      <c r="WX13" s="64"/>
      <c r="WY13" s="64"/>
      <c r="WZ13" s="64"/>
      <c r="XA13" s="64"/>
      <c r="XB13" s="64"/>
      <c r="XC13" s="64"/>
      <c r="XD13" s="64"/>
      <c r="XE13" s="64"/>
      <c r="XF13" s="64"/>
      <c r="XG13" s="64"/>
      <c r="XH13" s="64"/>
      <c r="XI13" s="64"/>
      <c r="XJ13" s="64"/>
      <c r="XK13" s="64"/>
      <c r="XL13" s="64"/>
      <c r="XM13" s="64"/>
      <c r="XN13" s="64"/>
      <c r="XO13" s="64"/>
      <c r="XP13" s="64"/>
      <c r="XQ13" s="64"/>
      <c r="XR13" s="64"/>
      <c r="XS13" s="64"/>
      <c r="XT13" s="64"/>
      <c r="XU13" s="64"/>
      <c r="XV13" s="64"/>
      <c r="XW13" s="64"/>
      <c r="XX13" s="64"/>
      <c r="XY13" s="64"/>
      <c r="XZ13" s="64"/>
      <c r="YA13" s="64"/>
      <c r="YB13" s="64"/>
      <c r="YC13" s="64"/>
      <c r="YD13" s="64"/>
      <c r="YE13" s="64"/>
      <c r="YF13" s="64"/>
      <c r="YG13" s="64"/>
      <c r="YH13" s="64"/>
      <c r="YI13" s="64"/>
      <c r="YJ13" s="64"/>
      <c r="YK13" s="64"/>
      <c r="YL13" s="64"/>
      <c r="YM13" s="64"/>
      <c r="YN13" s="64"/>
      <c r="YO13" s="64"/>
      <c r="YP13" s="64"/>
      <c r="YQ13" s="64"/>
      <c r="YR13" s="64"/>
      <c r="YS13" s="64"/>
      <c r="YT13" s="64"/>
      <c r="YU13" s="64"/>
      <c r="YV13" s="64"/>
      <c r="YW13" s="64"/>
      <c r="YX13" s="64"/>
      <c r="YY13" s="2"/>
      <c r="YZ13" s="64"/>
      <c r="ZA13" s="2"/>
      <c r="ZB13" s="2"/>
      <c r="ZC13" s="2"/>
      <c r="ZD13" s="2"/>
      <c r="ZE13" s="2"/>
      <c r="ZF13" s="2"/>
      <c r="ZG13" s="64"/>
      <c r="ZH13" s="64"/>
      <c r="ZI13" s="64"/>
      <c r="ZJ13" s="64"/>
      <c r="ZK13" s="64"/>
      <c r="ZL13" s="64"/>
      <c r="ZM13" s="64"/>
      <c r="ZN13" s="64"/>
      <c r="ZO13" s="2"/>
      <c r="ZP13" s="2"/>
      <c r="ZQ13" s="2"/>
      <c r="ZR13" s="2"/>
      <c r="ZS13" s="2"/>
      <c r="ZT13" s="2"/>
      <c r="ZU13" s="64"/>
      <c r="ZV13" s="64"/>
      <c r="ZW13" s="64"/>
      <c r="ZX13" s="64"/>
      <c r="ZY13" s="64"/>
      <c r="ZZ13" s="64"/>
      <c r="AAA13" s="72"/>
      <c r="AAB13" s="64"/>
      <c r="AAC13" s="64"/>
      <c r="AAD13" s="64"/>
      <c r="AAE13" s="64"/>
      <c r="AAF13" s="72"/>
      <c r="AAG13" s="64"/>
      <c r="AAH13" s="72"/>
      <c r="AAI13" s="64"/>
      <c r="AAJ13" s="64"/>
      <c r="AAK13" s="64"/>
      <c r="AAL13" s="64"/>
      <c r="AAM13" s="64"/>
      <c r="AAN13" s="64"/>
      <c r="AAO13" s="64"/>
      <c r="AAP13" s="64"/>
      <c r="AAQ13" s="64"/>
      <c r="AAR13" s="64"/>
      <c r="AAS13" s="64"/>
      <c r="AAT13" s="64"/>
      <c r="AAU13" s="64"/>
      <c r="AAV13" s="64"/>
      <c r="AAW13" s="64"/>
      <c r="AAX13" s="64"/>
      <c r="AAY13" s="64"/>
      <c r="AAZ13" s="64"/>
      <c r="ABA13" s="64"/>
      <c r="ABB13" s="64"/>
      <c r="ABC13" s="64"/>
      <c r="ABD13" s="64"/>
      <c r="ABE13" s="64"/>
      <c r="ABF13" s="64"/>
      <c r="ABG13" s="64"/>
      <c r="ABH13" s="64"/>
      <c r="ABI13" s="64"/>
      <c r="ABJ13" s="64"/>
      <c r="ABK13" s="64"/>
      <c r="ABL13" s="64"/>
      <c r="ABM13" s="64"/>
      <c r="ABN13" s="64"/>
      <c r="ABO13" s="64"/>
      <c r="ABP13" s="64"/>
      <c r="ABQ13" s="64"/>
      <c r="ABR13" s="64"/>
      <c r="ABS13" s="64"/>
      <c r="ABT13" s="64"/>
      <c r="ABU13" s="64"/>
      <c r="ABV13" s="64"/>
      <c r="ABW13" s="64"/>
      <c r="ABX13" s="64"/>
      <c r="ABY13" s="64"/>
      <c r="ABZ13" s="64"/>
      <c r="ACA13" s="64"/>
      <c r="ACB13" s="64"/>
      <c r="ACC13" s="64"/>
      <c r="ACD13" s="64"/>
      <c r="ACE13" s="64"/>
      <c r="ACF13" s="64"/>
      <c r="ACG13" s="64"/>
      <c r="ACH13" s="64"/>
      <c r="ACI13" s="64"/>
      <c r="ACJ13" s="64"/>
      <c r="ACK13" s="64"/>
      <c r="ACL13" s="64"/>
      <c r="ACM13" s="64"/>
      <c r="ACN13" s="64"/>
      <c r="ACO13" s="64"/>
      <c r="ACP13" s="64"/>
      <c r="ACQ13" s="64"/>
      <c r="ACR13" s="64"/>
      <c r="ACS13" s="64"/>
      <c r="ACT13" s="64"/>
      <c r="ACU13" s="64"/>
      <c r="ACV13" s="64"/>
      <c r="ACW13" s="64"/>
      <c r="ACX13" s="64"/>
      <c r="ACY13" s="64"/>
      <c r="ACZ13" s="64"/>
      <c r="ADA13" s="64"/>
      <c r="ADB13" s="64"/>
      <c r="ADC13" s="64"/>
      <c r="ADD13" s="64"/>
      <c r="ADE13" s="64"/>
      <c r="ADF13" s="64"/>
      <c r="ADG13" s="64"/>
      <c r="ADH13" s="64"/>
      <c r="ADI13" s="64"/>
      <c r="ADJ13" s="64"/>
      <c r="ADK13" s="64"/>
      <c r="ADL13" s="2"/>
      <c r="ADM13" s="2"/>
      <c r="ADN13" s="2"/>
      <c r="ADO13" s="64"/>
      <c r="ADP13" s="64"/>
      <c r="ADQ13" s="64"/>
      <c r="ADR13" s="72"/>
      <c r="ADS13" s="64"/>
      <c r="ADT13" s="64"/>
      <c r="ADU13" s="64"/>
      <c r="ADV13" s="64"/>
      <c r="ADW13" s="64"/>
      <c r="ADX13" s="64"/>
      <c r="ADY13" s="64"/>
      <c r="ADZ13" s="64"/>
      <c r="AEA13" s="64"/>
      <c r="AEB13" s="64"/>
      <c r="AEC13" s="64"/>
      <c r="AED13" s="64"/>
      <c r="AEE13" s="64"/>
      <c r="AEF13" s="64"/>
      <c r="AEG13" s="64"/>
      <c r="AEH13" s="64"/>
      <c r="AEI13" s="64"/>
      <c r="AEJ13" s="64"/>
      <c r="AEK13" s="64"/>
      <c r="AEL13" s="64"/>
      <c r="AEM13" s="64"/>
      <c r="AEN13" s="64"/>
      <c r="AEO13" s="64"/>
      <c r="AEP13" s="64"/>
      <c r="AEQ13" s="64"/>
      <c r="AER13" s="64"/>
      <c r="AES13" s="64"/>
      <c r="AET13" s="64"/>
      <c r="AEU13" s="64"/>
      <c r="AEV13" s="64"/>
      <c r="AEW13" s="64"/>
      <c r="AEX13" s="64"/>
      <c r="AEY13" s="64"/>
      <c r="AEZ13" s="64"/>
      <c r="AFA13" s="64"/>
      <c r="AFB13" s="64"/>
      <c r="AFC13" s="64"/>
      <c r="AFD13" s="64"/>
      <c r="AFE13" s="64"/>
      <c r="AFF13" s="64"/>
      <c r="AFG13" s="64"/>
      <c r="AFH13" s="64"/>
      <c r="AFI13" s="64"/>
      <c r="AFJ13" s="64"/>
      <c r="AFK13" s="64"/>
      <c r="AFL13" s="64"/>
      <c r="AFM13" s="64"/>
      <c r="AFN13" s="64"/>
      <c r="AFO13" s="64"/>
      <c r="AFP13" s="64"/>
      <c r="AFQ13" s="64"/>
      <c r="AFR13" s="64"/>
      <c r="AFS13" s="64"/>
      <c r="AFT13" s="64"/>
      <c r="AFU13" s="64"/>
      <c r="AFV13" s="64"/>
      <c r="AFW13" s="64"/>
      <c r="AFX13" s="64"/>
      <c r="AFY13" s="64"/>
      <c r="AFZ13" s="64"/>
      <c r="AGA13" s="64"/>
      <c r="AGB13" s="64"/>
      <c r="AGC13" s="64"/>
      <c r="AGD13" s="64"/>
      <c r="AGE13" s="64"/>
      <c r="AGF13" s="64"/>
      <c r="AGG13" s="64"/>
      <c r="AGH13" s="64"/>
      <c r="AGI13" s="64"/>
      <c r="AGJ13" s="64"/>
      <c r="AGK13" s="64"/>
      <c r="AGL13" s="64"/>
      <c r="AGM13" s="64"/>
      <c r="AGN13" s="64"/>
      <c r="AGO13" s="64"/>
      <c r="AGP13" s="64"/>
      <c r="AGQ13" s="64"/>
      <c r="AGR13" s="64"/>
      <c r="AGS13" s="64"/>
      <c r="AGT13" s="64"/>
      <c r="AGU13" s="64"/>
      <c r="AGV13" s="64"/>
      <c r="AGW13" s="64"/>
      <c r="AGX13" s="64"/>
      <c r="AGY13" s="64"/>
      <c r="AGZ13" s="64"/>
      <c r="AHA13" s="64"/>
      <c r="AHB13" s="64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47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47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47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47"/>
      <c r="ANO13" s="64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</row>
    <row r="14" spans="1:1082" ht="15.75" thickBot="1" x14ac:dyDescent="0.3">
      <c r="A14" s="45" t="s">
        <v>37</v>
      </c>
      <c r="B14" s="44" t="s">
        <v>32</v>
      </c>
      <c r="C14" s="2">
        <v>86.14</v>
      </c>
      <c r="D14" s="30">
        <v>85.88</v>
      </c>
      <c r="E14" s="30">
        <v>85.88</v>
      </c>
      <c r="F14" s="30">
        <v>85.92</v>
      </c>
      <c r="G14" s="2">
        <v>86.32</v>
      </c>
      <c r="H14" s="2">
        <v>86.33</v>
      </c>
      <c r="I14" s="2">
        <v>87.29</v>
      </c>
      <c r="J14" s="2">
        <v>86.51</v>
      </c>
      <c r="K14" s="2">
        <v>86.15</v>
      </c>
      <c r="L14" s="2">
        <v>85.37</v>
      </c>
      <c r="M14" s="2">
        <v>85.85</v>
      </c>
      <c r="N14" s="2">
        <v>86.42</v>
      </c>
      <c r="O14" s="2">
        <v>86.66</v>
      </c>
      <c r="P14" s="2">
        <v>87.18</v>
      </c>
      <c r="Q14" s="2">
        <v>86.44</v>
      </c>
      <c r="R14" s="2">
        <v>86.29</v>
      </c>
      <c r="S14" s="2">
        <v>85.97</v>
      </c>
      <c r="T14" s="2">
        <v>85.72</v>
      </c>
      <c r="U14" s="2"/>
      <c r="V14" s="2"/>
      <c r="W14" s="2"/>
      <c r="X14" s="2"/>
      <c r="Y14" s="2"/>
      <c r="Z14" s="2"/>
      <c r="AA14" s="2"/>
      <c r="AB14" s="2" t="s">
        <v>89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>
        <v>85.15</v>
      </c>
      <c r="CC14" s="2">
        <v>84.33</v>
      </c>
      <c r="CD14" s="2">
        <v>85.28</v>
      </c>
      <c r="CE14" s="2">
        <v>85.46</v>
      </c>
      <c r="CF14" s="2">
        <v>85.3</v>
      </c>
      <c r="CG14" s="2">
        <v>85.56</v>
      </c>
      <c r="CH14" s="2">
        <v>86.15</v>
      </c>
      <c r="CI14" s="2">
        <v>84.82</v>
      </c>
      <c r="CJ14" s="2">
        <v>84.77</v>
      </c>
      <c r="CK14" s="2">
        <v>85.18</v>
      </c>
      <c r="CL14" s="2">
        <v>84.3</v>
      </c>
      <c r="CM14" s="2">
        <v>84.67</v>
      </c>
      <c r="CN14" s="2">
        <v>85.3</v>
      </c>
      <c r="CO14" s="2">
        <v>86.53</v>
      </c>
      <c r="CP14" s="2">
        <v>84.02</v>
      </c>
      <c r="CQ14" s="2">
        <v>84.82</v>
      </c>
      <c r="CR14" s="2">
        <v>84.91</v>
      </c>
      <c r="CS14" s="2">
        <v>85.15</v>
      </c>
      <c r="CT14" s="2">
        <v>85.66</v>
      </c>
      <c r="CU14" s="2">
        <v>85.47</v>
      </c>
      <c r="CV14" s="2">
        <v>86.39</v>
      </c>
      <c r="CW14" s="2">
        <v>86.32</v>
      </c>
      <c r="CX14" s="2">
        <v>85.43</v>
      </c>
      <c r="CY14" s="2">
        <v>86.15</v>
      </c>
      <c r="CZ14" s="2">
        <v>85.62</v>
      </c>
      <c r="DA14" s="2"/>
      <c r="DB14" s="2"/>
      <c r="DC14" s="2"/>
      <c r="DD14" s="2"/>
      <c r="DE14" s="64"/>
      <c r="DF14" s="2"/>
      <c r="DG14" s="2"/>
      <c r="DH14" s="2"/>
      <c r="DI14" s="52"/>
      <c r="DJ14" s="54"/>
      <c r="DK14" s="49"/>
      <c r="DL14" s="55"/>
      <c r="DM14" s="54"/>
      <c r="DN14" s="54"/>
      <c r="DO14" s="49"/>
      <c r="DP14" s="53"/>
      <c r="DQ14" s="49"/>
      <c r="DR14" s="54"/>
      <c r="DS14" s="55"/>
      <c r="DT14" s="54"/>
      <c r="DU14" s="54"/>
      <c r="DV14" s="54"/>
      <c r="DW14" s="54"/>
      <c r="DX14" s="54"/>
      <c r="DY14" s="55"/>
      <c r="DZ14" s="104">
        <v>85.42</v>
      </c>
      <c r="EA14" s="104">
        <v>85.21</v>
      </c>
      <c r="EB14" s="104">
        <v>85.94</v>
      </c>
      <c r="EC14" s="104">
        <v>86.09</v>
      </c>
      <c r="ED14" s="104">
        <v>85.84</v>
      </c>
      <c r="EE14" s="104">
        <v>86.72</v>
      </c>
      <c r="EF14" s="104">
        <v>83.47</v>
      </c>
      <c r="EG14" s="104">
        <v>85.95</v>
      </c>
      <c r="EH14" s="104">
        <v>86.31</v>
      </c>
      <c r="EI14" s="104">
        <v>86.52</v>
      </c>
      <c r="EJ14" s="104">
        <v>86.19</v>
      </c>
      <c r="EK14" s="104">
        <v>86.55</v>
      </c>
      <c r="EL14" s="104">
        <v>87.01</v>
      </c>
      <c r="EM14" s="104">
        <v>85.58</v>
      </c>
      <c r="EN14" s="104">
        <v>86.14</v>
      </c>
      <c r="EO14" s="104">
        <v>86.01</v>
      </c>
      <c r="EP14" s="104">
        <v>86.26</v>
      </c>
      <c r="EQ14" s="104">
        <v>86.34</v>
      </c>
      <c r="ER14" s="104">
        <v>86.54</v>
      </c>
      <c r="ES14" s="104">
        <v>86.96</v>
      </c>
      <c r="ET14" s="104">
        <v>85.95</v>
      </c>
      <c r="EU14" s="104">
        <v>86.38</v>
      </c>
      <c r="EV14" s="104">
        <v>86.35</v>
      </c>
      <c r="EW14" s="104">
        <v>82.67</v>
      </c>
      <c r="EX14" s="104">
        <v>81.25</v>
      </c>
      <c r="EY14" s="104">
        <v>80.5</v>
      </c>
      <c r="EZ14" s="104">
        <v>85.15</v>
      </c>
      <c r="FA14" s="104">
        <v>85.9</v>
      </c>
      <c r="FB14" s="104">
        <v>85.15</v>
      </c>
      <c r="FC14" s="104">
        <v>85.25</v>
      </c>
      <c r="FD14" s="104">
        <v>85.52</v>
      </c>
      <c r="FE14" s="104">
        <v>85.53</v>
      </c>
      <c r="FF14" s="104">
        <v>85.51</v>
      </c>
      <c r="FG14" s="104">
        <v>85.6</v>
      </c>
      <c r="FH14" s="104">
        <v>85.56</v>
      </c>
      <c r="FI14" s="104">
        <v>85.41</v>
      </c>
      <c r="FJ14" s="104">
        <v>85.37</v>
      </c>
      <c r="FK14" s="104">
        <v>82.56</v>
      </c>
      <c r="FL14" s="104">
        <v>82.02</v>
      </c>
      <c r="FM14" s="104">
        <v>86.44</v>
      </c>
      <c r="FN14" s="104">
        <v>86.91</v>
      </c>
      <c r="FO14" s="104">
        <v>86.77</v>
      </c>
      <c r="FP14" s="104">
        <v>86.57</v>
      </c>
      <c r="FQ14" s="104">
        <v>85.93</v>
      </c>
      <c r="FR14" s="104">
        <v>85.52</v>
      </c>
      <c r="FS14" s="104">
        <v>87.27</v>
      </c>
      <c r="FT14" s="104">
        <v>86.76</v>
      </c>
      <c r="FU14" s="104">
        <v>87.44</v>
      </c>
      <c r="FV14" s="104">
        <v>86.85</v>
      </c>
      <c r="FW14" s="104">
        <v>86.65</v>
      </c>
      <c r="FX14" s="104">
        <v>86.88</v>
      </c>
      <c r="FY14" s="104">
        <v>87.14</v>
      </c>
      <c r="FZ14" s="104">
        <v>87.03</v>
      </c>
      <c r="GA14" s="104">
        <v>86.84</v>
      </c>
      <c r="GB14" s="104">
        <v>87.14</v>
      </c>
      <c r="GC14" s="104">
        <v>85.9</v>
      </c>
      <c r="GD14" s="104">
        <v>86.27</v>
      </c>
      <c r="GE14" s="104">
        <v>85.79</v>
      </c>
      <c r="GF14" s="104">
        <v>86.38</v>
      </c>
      <c r="GG14" s="104">
        <v>86.14</v>
      </c>
      <c r="GH14" s="104">
        <v>86.8</v>
      </c>
      <c r="GI14" s="104">
        <v>86.4</v>
      </c>
      <c r="GJ14" s="104">
        <v>85.94</v>
      </c>
      <c r="GK14" s="104">
        <v>85.86</v>
      </c>
      <c r="GL14" s="104">
        <v>86</v>
      </c>
      <c r="GM14" s="104">
        <v>85.67</v>
      </c>
      <c r="GN14" s="104">
        <v>86.43</v>
      </c>
      <c r="GO14" s="104">
        <v>86.94</v>
      </c>
      <c r="GP14" s="104">
        <v>87.55</v>
      </c>
      <c r="GQ14" s="104">
        <v>86.49</v>
      </c>
      <c r="GR14" s="104">
        <v>86.83</v>
      </c>
      <c r="GS14" s="104">
        <v>86.69</v>
      </c>
      <c r="GT14" s="116">
        <v>86.73</v>
      </c>
      <c r="GU14" s="2">
        <v>86.66</v>
      </c>
      <c r="GV14" s="2">
        <v>86.87</v>
      </c>
      <c r="GW14" s="2">
        <v>87.35</v>
      </c>
      <c r="GX14" s="54">
        <v>86.57</v>
      </c>
      <c r="GY14" s="53">
        <v>86.91</v>
      </c>
      <c r="GZ14" s="53">
        <v>86.66</v>
      </c>
      <c r="HA14" s="53">
        <v>87</v>
      </c>
      <c r="HB14" s="53">
        <v>86.86</v>
      </c>
      <c r="HC14" s="53">
        <v>86.8</v>
      </c>
      <c r="HD14" s="53">
        <v>87.31</v>
      </c>
      <c r="HE14" s="55">
        <v>86.46</v>
      </c>
      <c r="HF14" s="55">
        <v>86.14</v>
      </c>
      <c r="HG14" s="55">
        <v>85.45</v>
      </c>
      <c r="HH14" s="55">
        <v>80.87</v>
      </c>
      <c r="HI14" s="55">
        <v>83.7</v>
      </c>
      <c r="HJ14" s="55">
        <v>87.7</v>
      </c>
      <c r="HK14" s="55">
        <v>88.33</v>
      </c>
      <c r="HL14" s="55">
        <v>87.12</v>
      </c>
      <c r="HM14" s="55">
        <v>86.8</v>
      </c>
      <c r="HN14" s="55">
        <v>86.65</v>
      </c>
      <c r="HO14" s="55">
        <v>86.74</v>
      </c>
      <c r="HP14" s="55">
        <v>86.9</v>
      </c>
      <c r="HQ14" s="55">
        <v>86.68</v>
      </c>
      <c r="HR14" s="55">
        <v>87.38</v>
      </c>
      <c r="HS14" s="55">
        <v>87.07</v>
      </c>
      <c r="HT14" s="55">
        <v>86.86</v>
      </c>
      <c r="HU14" s="55">
        <v>86.64</v>
      </c>
      <c r="HV14" s="55">
        <v>86.85</v>
      </c>
      <c r="HW14" s="55">
        <v>86.61</v>
      </c>
      <c r="HX14" s="55">
        <v>86.84</v>
      </c>
      <c r="HY14" s="55">
        <v>87.42</v>
      </c>
      <c r="HZ14" s="55">
        <v>86.54</v>
      </c>
      <c r="IA14" s="55">
        <v>86.37</v>
      </c>
      <c r="IB14" s="55">
        <v>86.56</v>
      </c>
      <c r="IC14" s="55">
        <v>86.15</v>
      </c>
      <c r="ID14" s="55">
        <v>86.56</v>
      </c>
      <c r="IE14" s="55">
        <v>86.55</v>
      </c>
      <c r="IF14" s="55">
        <v>87.23</v>
      </c>
      <c r="IG14" s="55">
        <v>86.18</v>
      </c>
      <c r="IH14" s="55">
        <v>86.52</v>
      </c>
      <c r="II14" s="55">
        <v>85.5</v>
      </c>
      <c r="IJ14" s="55">
        <v>86.26</v>
      </c>
      <c r="IK14" s="55">
        <v>86.3</v>
      </c>
      <c r="IL14" s="55">
        <v>86.28</v>
      </c>
      <c r="IM14" s="55">
        <v>87.28</v>
      </c>
      <c r="IN14" s="55">
        <v>85.92</v>
      </c>
      <c r="IO14" s="100">
        <v>85.99</v>
      </c>
      <c r="IP14" s="100">
        <v>85.8</v>
      </c>
      <c r="IQ14" s="100">
        <v>86.06</v>
      </c>
      <c r="IR14" s="100">
        <v>86.35</v>
      </c>
      <c r="IS14" s="100">
        <v>86.8</v>
      </c>
      <c r="IT14" s="100">
        <v>87.46</v>
      </c>
      <c r="IU14" s="100">
        <v>98.76</v>
      </c>
      <c r="IV14" s="100">
        <v>98.79</v>
      </c>
      <c r="IW14" s="100">
        <v>86.42</v>
      </c>
      <c r="IX14" s="118">
        <v>98.75</v>
      </c>
      <c r="IY14" s="143">
        <v>86.7</v>
      </c>
      <c r="IZ14" s="143">
        <v>86.74</v>
      </c>
      <c r="JA14" s="143">
        <v>87.48</v>
      </c>
      <c r="JB14" s="143">
        <v>86.73</v>
      </c>
      <c r="JC14" s="71">
        <v>98.788294467306812</v>
      </c>
      <c r="JD14" s="146">
        <v>98.764726066567533</v>
      </c>
      <c r="JE14" s="71">
        <v>98.697738176833468</v>
      </c>
      <c r="JF14" s="64">
        <v>98.781459970390614</v>
      </c>
      <c r="JG14" s="64">
        <v>98.39670178653229</v>
      </c>
      <c r="JH14" s="64">
        <v>98.626092880663123</v>
      </c>
      <c r="JI14" s="64">
        <v>98.706649879821441</v>
      </c>
      <c r="JJ14" s="64">
        <v>98.709603745574967</v>
      </c>
      <c r="JK14" s="64">
        <v>98.771610555050074</v>
      </c>
      <c r="JL14" s="64">
        <v>98.693110168519993</v>
      </c>
      <c r="JM14" s="64">
        <v>98.796147672552181</v>
      </c>
      <c r="JN14" s="72">
        <v>98.724664085629684</v>
      </c>
      <c r="JO14" s="71">
        <v>98.589960518894529</v>
      </c>
      <c r="JP14" s="71">
        <v>98.896678542696222</v>
      </c>
      <c r="JQ14" s="71">
        <v>98.496328243385037</v>
      </c>
      <c r="JR14" s="71">
        <v>98.83521754025351</v>
      </c>
      <c r="JS14" s="71">
        <v>98.820326678765909</v>
      </c>
      <c r="JT14" s="64">
        <v>98.948677368302071</v>
      </c>
      <c r="JU14" s="71">
        <v>98.67</v>
      </c>
      <c r="JV14" s="64">
        <v>98.923404732533342</v>
      </c>
      <c r="JW14" s="64">
        <v>98.815411155836699</v>
      </c>
      <c r="JX14" s="64">
        <v>98.898228078146275</v>
      </c>
      <c r="JY14" s="64">
        <v>98.856620169220207</v>
      </c>
      <c r="JZ14" s="72">
        <v>98.35084152264767</v>
      </c>
      <c r="KA14" s="48">
        <v>87.35</v>
      </c>
      <c r="KB14" s="48">
        <v>87.41</v>
      </c>
      <c r="KC14" s="158">
        <v>88.2</v>
      </c>
      <c r="KD14" s="64">
        <v>87.12</v>
      </c>
      <c r="KE14" s="48">
        <v>87.13</v>
      </c>
      <c r="KF14" s="48">
        <v>87.49</v>
      </c>
      <c r="KG14" s="48">
        <v>87.33</v>
      </c>
      <c r="KH14" s="64">
        <v>98.958451262311783</v>
      </c>
      <c r="KI14" s="64">
        <v>98.970588235294102</v>
      </c>
      <c r="KJ14" s="64">
        <v>98.928930045743613</v>
      </c>
      <c r="KK14" s="64">
        <v>98.917578080956147</v>
      </c>
      <c r="KL14" s="64">
        <v>98.926674951982832</v>
      </c>
      <c r="KM14" s="64">
        <v>98.957034349846978</v>
      </c>
      <c r="KN14" s="64">
        <v>98.926311030741402</v>
      </c>
      <c r="KO14" s="64">
        <v>87.58</v>
      </c>
      <c r="KP14" s="64">
        <v>87.83</v>
      </c>
      <c r="KQ14" s="64">
        <v>88.72</v>
      </c>
      <c r="KR14" s="48">
        <v>87.78</v>
      </c>
      <c r="KS14" s="48">
        <v>87.56</v>
      </c>
      <c r="KT14" s="104">
        <v>88.18</v>
      </c>
      <c r="KU14" s="104">
        <v>87.85</v>
      </c>
      <c r="KV14" s="104">
        <v>87.69</v>
      </c>
      <c r="KW14" s="104">
        <v>85.7</v>
      </c>
      <c r="KX14" s="104">
        <v>85.08</v>
      </c>
      <c r="KY14" s="104">
        <v>82.38</v>
      </c>
      <c r="KZ14" s="104">
        <v>87.45</v>
      </c>
      <c r="LA14" s="104">
        <v>87.42</v>
      </c>
      <c r="LB14" s="104">
        <v>87.98</v>
      </c>
      <c r="LC14" s="104">
        <v>87.01</v>
      </c>
      <c r="LD14" s="104">
        <v>87.97</v>
      </c>
      <c r="LE14" s="104">
        <v>88.47</v>
      </c>
      <c r="LF14" s="104">
        <v>87.23</v>
      </c>
      <c r="LG14" s="104">
        <v>87.62</v>
      </c>
      <c r="LH14" s="104">
        <v>88.21</v>
      </c>
      <c r="LI14" s="104">
        <v>87.73</v>
      </c>
      <c r="LJ14" s="104">
        <v>87.71</v>
      </c>
      <c r="LK14" s="104">
        <v>87.62</v>
      </c>
      <c r="LL14" s="104">
        <v>87.92</v>
      </c>
      <c r="LM14" s="104">
        <v>87.69</v>
      </c>
      <c r="LN14" s="104">
        <v>87.6</v>
      </c>
      <c r="LO14" s="104">
        <v>86.66</v>
      </c>
      <c r="LP14" s="104">
        <v>87.34</v>
      </c>
      <c r="LQ14" s="104">
        <v>87.75</v>
      </c>
      <c r="LR14" s="104">
        <v>87.9</v>
      </c>
      <c r="LS14" s="104">
        <v>88.19</v>
      </c>
      <c r="LT14" s="104">
        <v>87.59</v>
      </c>
      <c r="LU14" s="104">
        <v>87.51</v>
      </c>
      <c r="LV14" s="104">
        <v>87.55</v>
      </c>
      <c r="LW14" s="104">
        <v>87.4</v>
      </c>
      <c r="LX14" s="104">
        <v>87.33</v>
      </c>
      <c r="LY14" s="104">
        <v>87.56</v>
      </c>
      <c r="LZ14" s="104">
        <v>88.05</v>
      </c>
      <c r="MA14" s="104">
        <v>87.43</v>
      </c>
      <c r="MB14" s="104">
        <v>87.29</v>
      </c>
      <c r="MC14" s="104">
        <v>87.43</v>
      </c>
      <c r="MD14" s="104">
        <v>87.36</v>
      </c>
      <c r="ME14" s="104">
        <v>87.34</v>
      </c>
      <c r="MF14" s="114">
        <v>98.554459883460339</v>
      </c>
      <c r="MG14" s="114">
        <v>98.578145991939067</v>
      </c>
      <c r="MH14" s="114">
        <v>98.614215467143481</v>
      </c>
      <c r="MI14" s="114">
        <v>98.647893619398815</v>
      </c>
      <c r="MJ14" s="114">
        <v>98.775873581126206</v>
      </c>
      <c r="MK14" s="114">
        <v>98.552806009721593</v>
      </c>
      <c r="ML14" s="114">
        <v>98.671578477338699</v>
      </c>
      <c r="MM14" s="114">
        <v>98.718662952646241</v>
      </c>
      <c r="MN14" s="104">
        <v>88.67</v>
      </c>
      <c r="MO14" s="104">
        <v>87.92</v>
      </c>
      <c r="MP14" s="104">
        <v>87.91</v>
      </c>
      <c r="MQ14" s="104">
        <v>86.88</v>
      </c>
      <c r="MR14" s="104">
        <v>87.98</v>
      </c>
      <c r="MS14" s="101">
        <v>88.02</v>
      </c>
      <c r="MT14" s="101">
        <v>91.79</v>
      </c>
      <c r="MU14" s="101">
        <v>88.46</v>
      </c>
      <c r="MV14" s="101">
        <v>87.64</v>
      </c>
      <c r="MW14" s="101">
        <v>88.22</v>
      </c>
      <c r="MX14" s="101">
        <v>87.97</v>
      </c>
      <c r="MY14" s="104">
        <v>84.64</v>
      </c>
      <c r="MZ14" s="2"/>
      <c r="NA14" s="2"/>
      <c r="NB14" s="2"/>
      <c r="NC14">
        <v>84.89</v>
      </c>
      <c r="ND14">
        <v>87.92</v>
      </c>
      <c r="NE14">
        <v>87.97</v>
      </c>
      <c r="NF14">
        <v>86.39</v>
      </c>
      <c r="NG14">
        <v>88</v>
      </c>
      <c r="NH14">
        <v>88.07</v>
      </c>
      <c r="NI14">
        <v>88.63</v>
      </c>
      <c r="NJ14">
        <v>88.26</v>
      </c>
      <c r="NK14">
        <v>87.95</v>
      </c>
      <c r="NL14">
        <v>88.05</v>
      </c>
      <c r="NM14">
        <v>88.24</v>
      </c>
      <c r="NN14" s="48">
        <v>88.28</v>
      </c>
      <c r="NO14" s="48">
        <v>88.76</v>
      </c>
      <c r="NP14" s="48">
        <v>89.21</v>
      </c>
      <c r="NQ14" s="48">
        <v>88.39</v>
      </c>
      <c r="NR14" s="48">
        <v>88.6</v>
      </c>
      <c r="NS14" s="71">
        <v>88.51</v>
      </c>
      <c r="NT14" s="48">
        <v>88.73</v>
      </c>
      <c r="NU14" s="48">
        <v>88.48</v>
      </c>
      <c r="NV14" s="48">
        <v>88.76</v>
      </c>
      <c r="NW14" s="48">
        <v>89.81</v>
      </c>
      <c r="NX14" s="48">
        <v>88.44</v>
      </c>
      <c r="NY14" s="48">
        <v>88.1</v>
      </c>
      <c r="NZ14" s="48">
        <v>88.3</v>
      </c>
      <c r="OA14" s="64">
        <v>88.35</v>
      </c>
      <c r="OB14" s="64">
        <v>87.94</v>
      </c>
      <c r="OC14" s="64">
        <v>88.78</v>
      </c>
      <c r="OD14" s="64">
        <v>89.3</v>
      </c>
      <c r="OE14" s="48">
        <v>88.58</v>
      </c>
      <c r="OF14" s="48">
        <v>88.37</v>
      </c>
      <c r="OG14" s="48">
        <v>88.18</v>
      </c>
      <c r="OH14" s="48">
        <v>88.35</v>
      </c>
      <c r="OI14" s="48">
        <v>88.29</v>
      </c>
      <c r="OJ14" s="48">
        <v>88.54</v>
      </c>
      <c r="OK14" s="48">
        <v>89.03</v>
      </c>
      <c r="OL14" s="48">
        <v>88.45</v>
      </c>
      <c r="OM14" s="48">
        <v>88.58</v>
      </c>
      <c r="ON14" s="48">
        <v>89.04</v>
      </c>
      <c r="OO14" s="48">
        <v>88.88</v>
      </c>
      <c r="OP14" s="48">
        <v>88.8</v>
      </c>
      <c r="OQ14" s="48">
        <v>88.8</v>
      </c>
      <c r="OR14" s="48">
        <v>89.52</v>
      </c>
      <c r="OS14" s="48">
        <v>89.34</v>
      </c>
      <c r="OT14" s="48">
        <v>88.74</v>
      </c>
      <c r="OU14" s="48">
        <v>87.91</v>
      </c>
      <c r="OV14" s="64">
        <v>90.4</v>
      </c>
      <c r="OW14" s="2">
        <v>88.05</v>
      </c>
      <c r="OX14" s="2">
        <v>88.88</v>
      </c>
      <c r="OY14" s="2">
        <v>89.06</v>
      </c>
      <c r="OZ14" s="48">
        <v>88.79</v>
      </c>
      <c r="PA14" s="48">
        <v>88.28</v>
      </c>
      <c r="PB14" s="48">
        <v>88.22</v>
      </c>
      <c r="PC14" s="48">
        <v>88.58</v>
      </c>
      <c r="PD14" s="48">
        <v>88.24</v>
      </c>
      <c r="PE14" s="48">
        <v>88.76</v>
      </c>
      <c r="PF14" s="48">
        <v>89.2</v>
      </c>
      <c r="PG14" s="48">
        <v>88.26</v>
      </c>
      <c r="PH14" s="71">
        <v>88.54</v>
      </c>
      <c r="PI14" s="48">
        <v>88.76</v>
      </c>
      <c r="PJ14" s="48">
        <v>88.35</v>
      </c>
      <c r="PK14" s="48">
        <v>88.5</v>
      </c>
      <c r="PL14" s="48">
        <v>88.51</v>
      </c>
      <c r="PM14" s="48">
        <v>88.59</v>
      </c>
      <c r="PN14" s="48">
        <v>88.19</v>
      </c>
      <c r="PO14" s="48">
        <v>88</v>
      </c>
      <c r="PP14" s="64">
        <v>88.64</v>
      </c>
      <c r="PQ14" s="64">
        <v>88.71</v>
      </c>
      <c r="PR14" s="64">
        <v>90.4</v>
      </c>
      <c r="PS14" s="64">
        <v>88.65</v>
      </c>
      <c r="PT14" s="64">
        <v>90.07</v>
      </c>
      <c r="PU14" s="64">
        <v>88.66</v>
      </c>
      <c r="PV14" s="64">
        <v>88.42</v>
      </c>
      <c r="PW14" s="64">
        <v>88.83</v>
      </c>
      <c r="PX14" s="48">
        <v>90.03</v>
      </c>
      <c r="PY14" s="48">
        <v>89.05</v>
      </c>
      <c r="PZ14" s="48">
        <v>88.38</v>
      </c>
      <c r="QA14" s="48">
        <v>89.03</v>
      </c>
      <c r="QB14" s="48">
        <v>88.66</v>
      </c>
      <c r="QC14" s="71">
        <v>88.56</v>
      </c>
      <c r="QD14" s="48">
        <v>88.27</v>
      </c>
      <c r="QE14" s="64">
        <v>88.56</v>
      </c>
      <c r="QF14" s="64">
        <v>88.59</v>
      </c>
      <c r="QG14" s="64">
        <v>88.58</v>
      </c>
      <c r="QH14" s="71">
        <v>88.91</v>
      </c>
      <c r="QI14" s="71">
        <v>88.52</v>
      </c>
      <c r="QJ14" s="48">
        <v>88.45</v>
      </c>
      <c r="QK14" s="48">
        <v>88.37</v>
      </c>
      <c r="QL14" s="48">
        <v>88.47</v>
      </c>
      <c r="QM14" s="48">
        <v>88.05</v>
      </c>
      <c r="QN14" s="48">
        <v>88.01</v>
      </c>
      <c r="QO14" s="48">
        <v>88.11</v>
      </c>
      <c r="QP14" s="48">
        <v>88.17</v>
      </c>
      <c r="QQ14" s="48">
        <v>88.02</v>
      </c>
      <c r="QR14" s="48">
        <v>87.74</v>
      </c>
      <c r="QS14" s="48">
        <v>88.12</v>
      </c>
      <c r="QT14" s="64">
        <v>88.28</v>
      </c>
      <c r="QU14" s="64">
        <v>88.41</v>
      </c>
      <c r="QV14" s="64">
        <v>88.66</v>
      </c>
      <c r="QW14" s="48">
        <v>88.71</v>
      </c>
      <c r="QX14" s="48">
        <v>88.5</v>
      </c>
      <c r="QY14" s="48">
        <v>88.65</v>
      </c>
      <c r="QZ14" s="48">
        <v>88.7</v>
      </c>
      <c r="RA14" s="48">
        <v>88.81</v>
      </c>
      <c r="RB14" s="48">
        <v>88.86</v>
      </c>
      <c r="RC14" s="158">
        <v>89.03</v>
      </c>
      <c r="RD14" s="48">
        <v>88.92</v>
      </c>
      <c r="RE14" s="48">
        <v>88.81</v>
      </c>
      <c r="RF14" s="48">
        <v>88.88</v>
      </c>
      <c r="RG14" s="48">
        <v>88.7</v>
      </c>
      <c r="RH14" s="48">
        <v>88.86</v>
      </c>
      <c r="RI14" s="48">
        <v>88.94</v>
      </c>
      <c r="RJ14" s="48">
        <v>89.14</v>
      </c>
      <c r="RK14" s="48">
        <v>88.56</v>
      </c>
      <c r="RL14" s="48">
        <v>88.71</v>
      </c>
      <c r="RM14" s="48">
        <v>88.49</v>
      </c>
      <c r="RN14" s="48">
        <v>88.4</v>
      </c>
      <c r="RO14" s="48">
        <v>88.22</v>
      </c>
      <c r="RP14" s="48">
        <v>89.03</v>
      </c>
      <c r="RQ14" s="48">
        <v>88.84</v>
      </c>
      <c r="RR14" s="48">
        <v>88.88</v>
      </c>
      <c r="RS14" s="48">
        <v>88.57</v>
      </c>
      <c r="RT14" s="48">
        <v>88.92</v>
      </c>
      <c r="RU14" s="48">
        <v>88.86</v>
      </c>
      <c r="RV14" s="48">
        <v>89.03</v>
      </c>
      <c r="RW14" s="48">
        <v>89.1</v>
      </c>
      <c r="RX14" s="48">
        <v>89.4</v>
      </c>
      <c r="RY14" s="48">
        <v>89.11</v>
      </c>
      <c r="RZ14" s="48">
        <v>89.05</v>
      </c>
      <c r="SA14" s="183"/>
      <c r="SB14" s="64"/>
      <c r="SC14" s="64"/>
      <c r="SD14" s="64"/>
      <c r="SE14" s="64"/>
      <c r="SF14" s="72"/>
      <c r="SG14" s="48">
        <v>88.92</v>
      </c>
      <c r="SH14" s="48">
        <v>83.44</v>
      </c>
      <c r="SI14" s="48">
        <v>89.42</v>
      </c>
      <c r="SJ14" s="48">
        <v>88.22</v>
      </c>
      <c r="SK14" s="48">
        <v>86.61</v>
      </c>
      <c r="SL14" s="48">
        <v>88.92</v>
      </c>
      <c r="SM14" s="48">
        <v>89.06</v>
      </c>
      <c r="SN14" s="64">
        <v>91.4</v>
      </c>
      <c r="SO14" s="64">
        <v>90.86</v>
      </c>
      <c r="SP14" s="48">
        <v>88.4</v>
      </c>
      <c r="SQ14" s="64">
        <v>91.899077768583169</v>
      </c>
      <c r="SR14" s="64">
        <v>91.581896224080765</v>
      </c>
      <c r="SS14" s="48">
        <v>91.06</v>
      </c>
      <c r="ST14" s="48">
        <v>89.05</v>
      </c>
      <c r="SU14" s="64">
        <v>89.96</v>
      </c>
      <c r="SV14" s="64">
        <v>89.39</v>
      </c>
      <c r="SW14" s="64">
        <v>90.13</v>
      </c>
      <c r="SX14" s="64">
        <v>91.06</v>
      </c>
      <c r="SY14" s="64">
        <v>91.4</v>
      </c>
      <c r="SZ14" s="64">
        <v>89.32</v>
      </c>
      <c r="TA14" s="64">
        <v>91.4</v>
      </c>
      <c r="TB14" s="64">
        <v>86.63</v>
      </c>
      <c r="TC14" s="64">
        <v>89.089971320665228</v>
      </c>
      <c r="TD14" s="64">
        <v>89.403840585163962</v>
      </c>
      <c r="TE14" s="64">
        <v>89.203910386426742</v>
      </c>
      <c r="TF14" s="64">
        <v>89.266768444120373</v>
      </c>
      <c r="TG14" s="64">
        <v>88.783289791577772</v>
      </c>
      <c r="TH14" s="64">
        <v>89.32</v>
      </c>
      <c r="TI14" s="64">
        <v>89.96</v>
      </c>
      <c r="TJ14" s="64">
        <v>89.39</v>
      </c>
      <c r="TK14" s="64">
        <v>90.13</v>
      </c>
      <c r="TL14" s="64">
        <v>91.347118041009296</v>
      </c>
      <c r="TM14" s="64">
        <v>91.927101799285168</v>
      </c>
      <c r="TN14" s="64">
        <v>91.198701380660609</v>
      </c>
      <c r="TO14" s="64">
        <v>91.596359926517138</v>
      </c>
      <c r="TP14" s="64">
        <v>90.894180600651737</v>
      </c>
      <c r="TQ14" s="64">
        <v>91.924752551822635</v>
      </c>
      <c r="TR14" s="64">
        <v>90.880378956109652</v>
      </c>
      <c r="TS14" s="64">
        <v>91.763781493404963</v>
      </c>
      <c r="TT14" s="64">
        <v>91.900362989093111</v>
      </c>
      <c r="TU14" s="64">
        <v>90.19</v>
      </c>
      <c r="TV14" s="64">
        <v>90.14</v>
      </c>
      <c r="TW14" s="48">
        <v>89.87</v>
      </c>
      <c r="TX14" s="64">
        <v>89.94</v>
      </c>
      <c r="TY14" s="64">
        <v>89.75</v>
      </c>
      <c r="TZ14" s="64">
        <v>89.75</v>
      </c>
      <c r="UA14" s="64">
        <v>89.75</v>
      </c>
      <c r="UB14" s="48">
        <v>89.87</v>
      </c>
      <c r="UC14" s="48">
        <v>89.85</v>
      </c>
      <c r="UD14" s="48">
        <v>89.65</v>
      </c>
      <c r="UE14" s="48">
        <v>89.76</v>
      </c>
      <c r="UF14" s="48">
        <v>89.93</v>
      </c>
      <c r="UG14" s="48">
        <v>89.97</v>
      </c>
      <c r="UH14" s="48">
        <v>89.92</v>
      </c>
      <c r="UI14" s="48">
        <v>89.99</v>
      </c>
      <c r="UJ14" s="48">
        <v>89.17</v>
      </c>
      <c r="UK14" s="48">
        <v>89.41</v>
      </c>
      <c r="UL14" s="64">
        <v>90.02</v>
      </c>
      <c r="UM14" s="48">
        <v>90.06</v>
      </c>
      <c r="UN14" s="48">
        <v>90.08</v>
      </c>
      <c r="UO14" s="48">
        <v>90.07</v>
      </c>
      <c r="UP14" s="48">
        <v>89.48</v>
      </c>
      <c r="UQ14" s="48">
        <v>90.15</v>
      </c>
      <c r="UR14" s="48">
        <v>90</v>
      </c>
      <c r="US14" s="48">
        <v>90.02</v>
      </c>
      <c r="UT14" s="48">
        <v>90.03</v>
      </c>
      <c r="UU14" s="48">
        <v>90.06</v>
      </c>
      <c r="UV14" s="48">
        <v>90.07</v>
      </c>
      <c r="UW14" s="48">
        <v>90.11</v>
      </c>
      <c r="UX14" s="64">
        <v>90.07</v>
      </c>
      <c r="UY14" s="64">
        <v>90.01</v>
      </c>
      <c r="UZ14" s="64">
        <v>89.96</v>
      </c>
      <c r="VA14" s="64">
        <v>90.25</v>
      </c>
      <c r="VB14" s="64">
        <v>90.08</v>
      </c>
      <c r="VC14" s="64">
        <v>90.19</v>
      </c>
      <c r="VD14" s="64">
        <v>90.2</v>
      </c>
      <c r="VE14" s="48">
        <v>83.94</v>
      </c>
      <c r="VF14" s="48">
        <v>90.13</v>
      </c>
      <c r="VG14" s="48">
        <v>90.11</v>
      </c>
      <c r="VH14" s="71">
        <v>89.88</v>
      </c>
      <c r="VI14" s="64">
        <v>89.32</v>
      </c>
      <c r="VJ14" s="64">
        <v>89.73</v>
      </c>
      <c r="VK14" s="64">
        <v>89.91</v>
      </c>
      <c r="VL14" s="64">
        <v>90</v>
      </c>
      <c r="VM14" s="64">
        <v>89.83</v>
      </c>
      <c r="VN14" s="64">
        <v>89.95</v>
      </c>
      <c r="VO14" s="64">
        <v>90.1</v>
      </c>
      <c r="VP14" s="64">
        <v>89.86</v>
      </c>
      <c r="VQ14" s="64">
        <v>89.59</v>
      </c>
      <c r="VR14" s="48">
        <v>90.08</v>
      </c>
      <c r="VS14" s="183"/>
      <c r="VT14" s="2"/>
      <c r="VU14" s="2"/>
      <c r="VV14" s="2"/>
      <c r="VW14" s="2"/>
      <c r="VX14" s="64"/>
      <c r="VY14" s="2"/>
      <c r="VZ14" s="30"/>
      <c r="WA14" s="64"/>
      <c r="WB14" s="64"/>
      <c r="WC14" s="64"/>
      <c r="WD14" s="86"/>
      <c r="WE14" s="2"/>
      <c r="WF14" s="66"/>
      <c r="WG14" s="66"/>
      <c r="WH14" s="64"/>
      <c r="WI14" s="64"/>
      <c r="WJ14" s="72"/>
      <c r="WK14" s="2"/>
      <c r="WL14" s="2"/>
      <c r="WM14" s="2"/>
      <c r="WN14" s="2"/>
      <c r="WO14" s="2"/>
      <c r="WP14" s="2"/>
      <c r="WQ14" s="2"/>
      <c r="WR14" s="2"/>
      <c r="WS14" s="64"/>
      <c r="WT14" s="64"/>
      <c r="WU14" s="64"/>
      <c r="WV14" s="64"/>
      <c r="WW14" s="64"/>
      <c r="WX14" s="64"/>
      <c r="WY14" s="64"/>
      <c r="WZ14" s="64"/>
      <c r="XA14" s="64"/>
      <c r="XB14" s="64"/>
      <c r="XC14" s="64"/>
      <c r="XD14" s="64"/>
      <c r="XE14" s="64"/>
      <c r="XF14" s="64"/>
      <c r="XG14" s="64"/>
      <c r="XH14" s="64"/>
      <c r="XI14" s="64"/>
      <c r="XJ14" s="64"/>
      <c r="XK14" s="64"/>
      <c r="XL14" s="64"/>
      <c r="XM14" s="64"/>
      <c r="XN14" s="64"/>
      <c r="XO14" s="64"/>
      <c r="XP14" s="64"/>
      <c r="XQ14" s="64"/>
      <c r="XR14" s="64"/>
      <c r="XS14" s="64"/>
      <c r="XT14" s="64"/>
      <c r="XU14" s="64"/>
      <c r="XV14" s="64"/>
      <c r="XW14" s="64"/>
      <c r="XX14" s="64"/>
      <c r="XY14" s="64"/>
      <c r="XZ14" s="64"/>
      <c r="YA14" s="64"/>
      <c r="YB14" s="64"/>
      <c r="YC14" s="64"/>
      <c r="YD14" s="64"/>
      <c r="YE14" s="64"/>
      <c r="YF14" s="64"/>
      <c r="YG14" s="64"/>
      <c r="YH14" s="64"/>
      <c r="YI14" s="64"/>
      <c r="YJ14" s="64"/>
      <c r="YK14" s="64"/>
      <c r="YL14" s="64"/>
      <c r="YM14" s="64"/>
      <c r="YN14" s="64"/>
      <c r="YO14" s="64"/>
      <c r="YP14" s="64"/>
      <c r="YQ14" s="64"/>
      <c r="YR14" s="64"/>
      <c r="YS14" s="64"/>
      <c r="YT14" s="64"/>
      <c r="YU14" s="64"/>
      <c r="YV14" s="64"/>
      <c r="YW14" s="64"/>
      <c r="YX14" s="64"/>
      <c r="YY14" s="2"/>
      <c r="YZ14" s="64"/>
      <c r="ZA14" s="2"/>
      <c r="ZB14" s="2"/>
      <c r="ZC14" s="2"/>
      <c r="ZD14" s="2"/>
      <c r="ZE14" s="2"/>
      <c r="ZF14" s="2"/>
      <c r="ZG14" s="64"/>
      <c r="ZH14" s="64"/>
      <c r="ZI14" s="64"/>
      <c r="ZJ14" s="64"/>
      <c r="ZK14" s="64"/>
      <c r="ZL14" s="64"/>
      <c r="ZM14" s="64"/>
      <c r="ZN14" s="64"/>
      <c r="ZO14" s="2"/>
      <c r="ZP14" s="2"/>
      <c r="ZQ14" s="2"/>
      <c r="ZR14" s="2"/>
      <c r="ZS14" s="2"/>
      <c r="ZT14" s="2"/>
      <c r="ZU14" s="64"/>
      <c r="ZV14" s="64"/>
      <c r="ZW14" s="64"/>
      <c r="ZX14" s="64"/>
      <c r="ZY14" s="64"/>
      <c r="ZZ14" s="64"/>
      <c r="AAA14" s="72"/>
      <c r="AAB14" s="64"/>
      <c r="AAC14" s="64"/>
      <c r="AAD14" s="64"/>
      <c r="AAE14" s="64"/>
      <c r="AAF14" s="72"/>
      <c r="AAG14" s="64"/>
      <c r="AAH14" s="72"/>
      <c r="AAI14" s="64"/>
      <c r="AAJ14" s="64"/>
      <c r="AAK14" s="64"/>
      <c r="AAL14" s="64"/>
      <c r="AAM14" s="64"/>
      <c r="AAN14" s="64"/>
      <c r="AAO14" s="64"/>
      <c r="AAP14" s="64"/>
      <c r="AAQ14" s="64"/>
      <c r="AAR14" s="64"/>
      <c r="AAS14" s="64"/>
      <c r="AAT14" s="64"/>
      <c r="AAU14" s="64"/>
      <c r="AAV14" s="64"/>
      <c r="AAW14" s="64"/>
      <c r="AAX14" s="64"/>
      <c r="AAY14" s="64"/>
      <c r="AAZ14" s="64"/>
      <c r="ABA14" s="64"/>
      <c r="ABB14" s="64"/>
      <c r="ABC14" s="64"/>
      <c r="ABD14" s="64"/>
      <c r="ABE14" s="64"/>
      <c r="ABF14" s="64"/>
      <c r="ABG14" s="64"/>
      <c r="ABH14" s="64"/>
      <c r="ABI14" s="64"/>
      <c r="ABJ14" s="64"/>
      <c r="ABK14" s="64"/>
      <c r="ABL14" s="64"/>
      <c r="ABM14" s="64"/>
      <c r="ABN14" s="64"/>
      <c r="ABO14" s="64"/>
      <c r="ABP14" s="64"/>
      <c r="ABQ14" s="64"/>
      <c r="ABR14" s="64"/>
      <c r="ABS14" s="64"/>
      <c r="ABT14" s="64"/>
      <c r="ABU14" s="64"/>
      <c r="ABV14" s="64"/>
      <c r="ABW14" s="64"/>
      <c r="ABX14" s="64"/>
      <c r="ABY14" s="64"/>
      <c r="ABZ14" s="64"/>
      <c r="ACA14" s="64"/>
      <c r="ACB14" s="64"/>
      <c r="ACC14" s="64"/>
      <c r="ACD14" s="64"/>
      <c r="ACE14" s="64"/>
      <c r="ACF14" s="64"/>
      <c r="ACG14" s="64"/>
      <c r="ACH14" s="64"/>
      <c r="ACI14" s="64"/>
      <c r="ACJ14" s="64"/>
      <c r="ACK14" s="64"/>
      <c r="ACL14" s="64"/>
      <c r="ACM14" s="64"/>
      <c r="ACN14" s="64"/>
      <c r="ACO14" s="64"/>
      <c r="ACP14" s="64"/>
      <c r="ACQ14" s="64"/>
      <c r="ACR14" s="64"/>
      <c r="ACS14" s="64"/>
      <c r="ACT14" s="64"/>
      <c r="ACU14" s="64"/>
      <c r="ACV14" s="64"/>
      <c r="ACW14" s="64"/>
      <c r="ACX14" s="64"/>
      <c r="ACY14" s="64"/>
      <c r="ACZ14" s="64"/>
      <c r="ADA14" s="64"/>
      <c r="ADB14" s="64"/>
      <c r="ADC14" s="64"/>
      <c r="ADD14" s="64"/>
      <c r="ADE14" s="64"/>
      <c r="ADF14" s="64"/>
      <c r="ADG14" s="64"/>
      <c r="ADH14" s="64"/>
      <c r="ADI14" s="64"/>
      <c r="ADJ14" s="64"/>
      <c r="ADK14" s="64"/>
      <c r="ADL14" s="2"/>
      <c r="ADM14" s="2"/>
      <c r="ADN14" s="2"/>
      <c r="ADO14" s="64"/>
      <c r="ADP14" s="64"/>
      <c r="ADQ14" s="64"/>
      <c r="ADR14" s="72"/>
      <c r="ADS14" s="64"/>
      <c r="ADT14" s="64"/>
      <c r="ADU14" s="64"/>
      <c r="ADV14" s="64"/>
      <c r="ADW14" s="64"/>
      <c r="ADX14" s="64"/>
      <c r="ADY14" s="64"/>
      <c r="ADZ14" s="64"/>
      <c r="AEA14" s="64"/>
      <c r="AEB14" s="64"/>
      <c r="AEC14" s="64"/>
      <c r="AED14" s="64"/>
      <c r="AEE14" s="64"/>
      <c r="AEF14" s="64"/>
      <c r="AEG14" s="64"/>
      <c r="AEH14" s="64"/>
      <c r="AEI14" s="64"/>
      <c r="AEJ14" s="64"/>
      <c r="AEK14" s="64"/>
      <c r="AEL14" s="64"/>
      <c r="AEM14" s="64"/>
      <c r="AEN14" s="64"/>
      <c r="AEO14" s="64"/>
      <c r="AEP14" s="64"/>
      <c r="AEQ14" s="64"/>
      <c r="AER14" s="64"/>
      <c r="AES14" s="64"/>
      <c r="AET14" s="64"/>
      <c r="AEU14" s="64"/>
      <c r="AEV14" s="64"/>
      <c r="AEW14" s="64"/>
      <c r="AEX14" s="64"/>
      <c r="AEY14" s="64"/>
      <c r="AEZ14" s="64"/>
      <c r="AFA14" s="64"/>
      <c r="AFB14" s="64"/>
      <c r="AFC14" s="64"/>
      <c r="AFD14" s="64"/>
      <c r="AFE14" s="64"/>
      <c r="AFF14" s="64"/>
      <c r="AFG14" s="64"/>
      <c r="AFH14" s="64"/>
      <c r="AFI14" s="64"/>
      <c r="AFJ14" s="64"/>
      <c r="AFK14" s="64"/>
      <c r="AFL14" s="64"/>
      <c r="AFM14" s="64"/>
      <c r="AFN14" s="64"/>
      <c r="AFO14" s="64"/>
      <c r="AFP14" s="64"/>
      <c r="AFQ14" s="64"/>
      <c r="AFR14" s="64"/>
      <c r="AFS14" s="64"/>
      <c r="AFT14" s="64"/>
      <c r="AFU14" s="64"/>
      <c r="AFV14" s="64"/>
      <c r="AFW14" s="64"/>
      <c r="AFX14" s="64"/>
      <c r="AFY14" s="64"/>
      <c r="AFZ14" s="64"/>
      <c r="AGA14" s="64"/>
      <c r="AGB14" s="64"/>
      <c r="AGC14" s="64"/>
      <c r="AGD14" s="64"/>
      <c r="AGE14" s="64"/>
      <c r="AGF14" s="64"/>
      <c r="AGG14" s="64"/>
      <c r="AGH14" s="64"/>
      <c r="AGI14" s="64"/>
      <c r="AGJ14" s="64"/>
      <c r="AGK14" s="64"/>
      <c r="AGL14" s="64"/>
      <c r="AGM14" s="64"/>
      <c r="AGN14" s="64"/>
      <c r="AGO14" s="64"/>
      <c r="AGP14" s="64"/>
      <c r="AGQ14" s="64"/>
      <c r="AGR14" s="64"/>
      <c r="AGS14" s="64"/>
      <c r="AGT14" s="64"/>
      <c r="AGU14" s="64"/>
      <c r="AGV14" s="64"/>
      <c r="AGW14" s="64"/>
      <c r="AGX14" s="64"/>
      <c r="AGY14" s="64"/>
      <c r="AGZ14" s="64"/>
      <c r="AHA14" s="64"/>
      <c r="AHB14" s="64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47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47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47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47"/>
      <c r="ANO14" s="64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</row>
    <row r="15" spans="1:1082" ht="15.75" thickBot="1" x14ac:dyDescent="0.3">
      <c r="A15" s="45" t="s">
        <v>38</v>
      </c>
      <c r="B15" s="44" t="s">
        <v>32</v>
      </c>
      <c r="C15" s="2">
        <v>87.39</v>
      </c>
      <c r="D15" s="30">
        <v>87.03</v>
      </c>
      <c r="E15" s="30">
        <v>86.97</v>
      </c>
      <c r="F15" s="30">
        <v>86.92</v>
      </c>
      <c r="G15" s="2">
        <v>87.32</v>
      </c>
      <c r="H15" s="2">
        <v>87.32</v>
      </c>
      <c r="I15" s="2">
        <v>88.27</v>
      </c>
      <c r="J15" s="2">
        <v>87.56</v>
      </c>
      <c r="K15" s="2">
        <v>87.25</v>
      </c>
      <c r="L15" s="2">
        <v>86.78</v>
      </c>
      <c r="M15" s="2">
        <v>87.02</v>
      </c>
      <c r="N15" s="2">
        <v>87.49</v>
      </c>
      <c r="O15" s="2">
        <v>87.69</v>
      </c>
      <c r="P15" s="2">
        <v>88.25</v>
      </c>
      <c r="Q15" s="2">
        <v>87.51</v>
      </c>
      <c r="R15" s="2">
        <v>87.39</v>
      </c>
      <c r="S15" s="2">
        <v>87.08</v>
      </c>
      <c r="T15" s="2">
        <v>86.82</v>
      </c>
      <c r="U15" s="2"/>
      <c r="V15" s="2"/>
      <c r="W15" s="2"/>
      <c r="X15" s="2"/>
      <c r="Y15" s="2"/>
      <c r="Z15" s="2"/>
      <c r="AA15" s="2"/>
      <c r="AB15" s="2" t="s">
        <v>89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>
        <v>86.12</v>
      </c>
      <c r="CC15" s="2">
        <v>85.25</v>
      </c>
      <c r="CD15" s="2">
        <v>86.35</v>
      </c>
      <c r="CE15" s="2">
        <v>86.5</v>
      </c>
      <c r="CF15" s="2">
        <v>86.33</v>
      </c>
      <c r="CG15" s="2">
        <v>86.54</v>
      </c>
      <c r="CH15" s="2">
        <v>87.3</v>
      </c>
      <c r="CI15" s="2">
        <v>85.85</v>
      </c>
      <c r="CJ15" s="2">
        <v>85.8</v>
      </c>
      <c r="CK15" s="2">
        <v>86.18</v>
      </c>
      <c r="CL15" s="2">
        <v>85.29</v>
      </c>
      <c r="CM15" s="2">
        <v>85.65</v>
      </c>
      <c r="CN15" s="2">
        <v>86.33</v>
      </c>
      <c r="CO15" s="2">
        <v>87.55</v>
      </c>
      <c r="CP15" s="2">
        <v>85.02</v>
      </c>
      <c r="CQ15" s="2">
        <v>85.86</v>
      </c>
      <c r="CR15" s="2">
        <v>85.93</v>
      </c>
      <c r="CS15" s="2">
        <v>86.19</v>
      </c>
      <c r="CT15" s="2">
        <v>86.65</v>
      </c>
      <c r="CU15" s="2">
        <v>86.45</v>
      </c>
      <c r="CV15" s="2">
        <v>87.45</v>
      </c>
      <c r="CW15" s="2">
        <v>87.46</v>
      </c>
      <c r="CX15" s="2">
        <v>86.42</v>
      </c>
      <c r="CY15" s="2">
        <v>87.12</v>
      </c>
      <c r="CZ15" s="2">
        <v>86.67</v>
      </c>
      <c r="DA15" s="2"/>
      <c r="DB15" s="2"/>
      <c r="DC15" s="2"/>
      <c r="DD15" s="2"/>
      <c r="DE15" s="64"/>
      <c r="DF15" s="2"/>
      <c r="DG15" s="2"/>
      <c r="DH15" s="2"/>
      <c r="DI15" s="52"/>
      <c r="DJ15" s="54"/>
      <c r="DK15" s="49"/>
      <c r="DL15" s="55"/>
      <c r="DM15" s="54"/>
      <c r="DN15" s="54"/>
      <c r="DO15" s="49"/>
      <c r="DP15" s="53"/>
      <c r="DQ15" s="49"/>
      <c r="DR15" s="54"/>
      <c r="DS15" s="55"/>
      <c r="DT15" s="54"/>
      <c r="DU15" s="54"/>
      <c r="DV15" s="54"/>
      <c r="DW15" s="54"/>
      <c r="DX15" s="54"/>
      <c r="DY15" s="55"/>
      <c r="DZ15" s="104">
        <v>86.52</v>
      </c>
      <c r="EA15" s="104">
        <v>86.28</v>
      </c>
      <c r="EB15" s="104">
        <v>87.05</v>
      </c>
      <c r="EC15" s="104">
        <v>87.17</v>
      </c>
      <c r="ED15" s="104">
        <v>86.9</v>
      </c>
      <c r="EE15" s="104">
        <v>87.98</v>
      </c>
      <c r="EF15" s="104">
        <v>84.48</v>
      </c>
      <c r="EG15" s="104">
        <v>87.05</v>
      </c>
      <c r="EH15" s="104">
        <v>87.37</v>
      </c>
      <c r="EI15" s="104">
        <v>87.61</v>
      </c>
      <c r="EJ15" s="104">
        <v>87.26</v>
      </c>
      <c r="EK15" s="104">
        <v>87.59</v>
      </c>
      <c r="EL15" s="104">
        <v>88.2</v>
      </c>
      <c r="EM15" s="104">
        <v>86.83</v>
      </c>
      <c r="EN15" s="104">
        <v>87.25</v>
      </c>
      <c r="EO15" s="104">
        <v>87.08</v>
      </c>
      <c r="EP15" s="104">
        <v>87.34</v>
      </c>
      <c r="EQ15" s="104">
        <v>87.33</v>
      </c>
      <c r="ER15" s="104">
        <v>87.52</v>
      </c>
      <c r="ES15" s="104">
        <v>88.02</v>
      </c>
      <c r="ET15" s="104">
        <v>87.24</v>
      </c>
      <c r="EU15" s="104">
        <v>87.38</v>
      </c>
      <c r="EV15" s="104">
        <v>87.37</v>
      </c>
      <c r="EW15" s="104">
        <v>83.78</v>
      </c>
      <c r="EX15" s="104">
        <v>82.28</v>
      </c>
      <c r="EY15" s="104">
        <v>81.5</v>
      </c>
      <c r="EZ15" s="104">
        <v>86.46</v>
      </c>
      <c r="FA15" s="104">
        <v>86.96</v>
      </c>
      <c r="FB15" s="104">
        <v>86.28</v>
      </c>
      <c r="FC15" s="104">
        <v>86.31</v>
      </c>
      <c r="FD15" s="104">
        <v>86.62</v>
      </c>
      <c r="FE15" s="104">
        <v>86.62</v>
      </c>
      <c r="FF15" s="104">
        <v>86.6</v>
      </c>
      <c r="FG15" s="104">
        <v>86.91</v>
      </c>
      <c r="FH15" s="104">
        <v>86.74</v>
      </c>
      <c r="FI15" s="104">
        <v>86.75</v>
      </c>
      <c r="FJ15" s="104">
        <v>86.76</v>
      </c>
      <c r="FK15" s="104">
        <v>83.72</v>
      </c>
      <c r="FL15" s="104">
        <v>83.02</v>
      </c>
      <c r="FM15" s="104">
        <v>87.4</v>
      </c>
      <c r="FN15" s="104">
        <v>88</v>
      </c>
      <c r="FO15" s="104">
        <v>87.77</v>
      </c>
      <c r="FP15" s="104">
        <v>87.53</v>
      </c>
      <c r="FQ15" s="104">
        <v>86.99</v>
      </c>
      <c r="FR15" s="104">
        <v>86.45</v>
      </c>
      <c r="FS15" s="104">
        <v>88.2</v>
      </c>
      <c r="FT15" s="104">
        <v>87.72</v>
      </c>
      <c r="FU15" s="104">
        <v>88.45</v>
      </c>
      <c r="FV15" s="104">
        <v>87.76</v>
      </c>
      <c r="FW15" s="104">
        <v>87.53</v>
      </c>
      <c r="FX15" s="104">
        <v>87.92</v>
      </c>
      <c r="FY15" s="104">
        <v>88.1</v>
      </c>
      <c r="FZ15" s="104">
        <v>87.95</v>
      </c>
      <c r="GA15" s="104">
        <v>87.78</v>
      </c>
      <c r="GB15" s="104">
        <v>88.15</v>
      </c>
      <c r="GC15" s="104">
        <v>86.98</v>
      </c>
      <c r="GD15" s="104">
        <v>87.22</v>
      </c>
      <c r="GE15" s="104">
        <v>86.81</v>
      </c>
      <c r="GF15" s="104">
        <v>87.32</v>
      </c>
      <c r="GG15" s="104">
        <v>87.05</v>
      </c>
      <c r="GH15" s="104">
        <v>87.67</v>
      </c>
      <c r="GI15" s="104">
        <v>87.29</v>
      </c>
      <c r="GJ15" s="104">
        <v>86.85</v>
      </c>
      <c r="GK15" s="104">
        <v>86.75</v>
      </c>
      <c r="GL15" s="104">
        <v>86.92</v>
      </c>
      <c r="GM15" s="104">
        <v>86.62</v>
      </c>
      <c r="GN15" s="104">
        <v>87.39</v>
      </c>
      <c r="GO15" s="104">
        <v>87.8</v>
      </c>
      <c r="GP15" s="104">
        <v>88.44</v>
      </c>
      <c r="GQ15" s="104">
        <v>87.41</v>
      </c>
      <c r="GR15" s="104">
        <v>87.69</v>
      </c>
      <c r="GS15" s="104">
        <v>87.56</v>
      </c>
      <c r="GT15" s="116">
        <v>87.6</v>
      </c>
      <c r="GU15" s="2">
        <v>87.61</v>
      </c>
      <c r="GV15" s="2">
        <v>87.78</v>
      </c>
      <c r="GW15" s="2">
        <v>88.23</v>
      </c>
      <c r="GX15" s="54">
        <v>87.51</v>
      </c>
      <c r="GY15" s="53">
        <v>87.89</v>
      </c>
      <c r="GZ15" s="53">
        <v>87.84</v>
      </c>
      <c r="HA15" s="53">
        <v>88.04</v>
      </c>
      <c r="HB15" s="53">
        <v>87.93</v>
      </c>
      <c r="HC15" s="53">
        <v>87.79</v>
      </c>
      <c r="HD15" s="53">
        <v>88.33</v>
      </c>
      <c r="HE15" s="55">
        <v>87.46</v>
      </c>
      <c r="HF15" s="55">
        <v>87.21</v>
      </c>
      <c r="HG15" s="55">
        <v>86.64</v>
      </c>
      <c r="HH15" s="55">
        <v>81.95</v>
      </c>
      <c r="HI15" s="55">
        <v>83.79</v>
      </c>
      <c r="HJ15" s="55">
        <v>87.78</v>
      </c>
      <c r="HK15" s="55">
        <v>88.5</v>
      </c>
      <c r="HL15" s="55">
        <v>88.06</v>
      </c>
      <c r="HM15" s="55">
        <v>87.74</v>
      </c>
      <c r="HN15" s="55">
        <v>87.6</v>
      </c>
      <c r="HO15" s="55">
        <v>87.61</v>
      </c>
      <c r="HP15" s="55">
        <v>87.78</v>
      </c>
      <c r="HQ15" s="55">
        <v>87.53</v>
      </c>
      <c r="HR15" s="55">
        <v>88.22</v>
      </c>
      <c r="HS15" s="55">
        <v>87.95</v>
      </c>
      <c r="HT15" s="55">
        <v>87.74</v>
      </c>
      <c r="HU15" s="55">
        <v>87.51</v>
      </c>
      <c r="HV15" s="55">
        <v>87.71</v>
      </c>
      <c r="HW15" s="55">
        <v>87.5</v>
      </c>
      <c r="HX15" s="55">
        <v>87.69</v>
      </c>
      <c r="HY15" s="55">
        <v>88.25</v>
      </c>
      <c r="HZ15" s="55">
        <v>87.43</v>
      </c>
      <c r="IA15" s="55">
        <v>87.27</v>
      </c>
      <c r="IB15" s="55">
        <v>87.45</v>
      </c>
      <c r="IC15" s="55">
        <v>87.07</v>
      </c>
      <c r="ID15" s="55">
        <v>87.46</v>
      </c>
      <c r="IE15" s="55">
        <v>87.45</v>
      </c>
      <c r="IF15" s="55">
        <v>88.16</v>
      </c>
      <c r="IG15" s="55">
        <v>87.24</v>
      </c>
      <c r="IH15" s="55">
        <v>87.48</v>
      </c>
      <c r="II15" s="55">
        <v>86.44</v>
      </c>
      <c r="IJ15" s="55">
        <v>87.21</v>
      </c>
      <c r="IK15" s="55">
        <v>87.27</v>
      </c>
      <c r="IL15" s="55">
        <v>87.29</v>
      </c>
      <c r="IM15" s="55">
        <v>88.32</v>
      </c>
      <c r="IN15" s="55">
        <v>86.88</v>
      </c>
      <c r="IO15" s="100">
        <v>86.93</v>
      </c>
      <c r="IP15" s="100">
        <v>86.73</v>
      </c>
      <c r="IQ15" s="100">
        <v>87.07</v>
      </c>
      <c r="IR15" s="100">
        <v>87.33</v>
      </c>
      <c r="IS15" s="100">
        <v>87.83</v>
      </c>
      <c r="IT15" s="100">
        <v>88.57</v>
      </c>
      <c r="IU15" s="100">
        <v>99.89</v>
      </c>
      <c r="IV15" s="100">
        <v>99.89</v>
      </c>
      <c r="IW15" s="100">
        <v>87.43</v>
      </c>
      <c r="IX15" s="118">
        <v>99.87</v>
      </c>
      <c r="IY15" s="143">
        <v>87.7</v>
      </c>
      <c r="IZ15" s="143">
        <v>87.78</v>
      </c>
      <c r="JA15" s="143">
        <v>88.59</v>
      </c>
      <c r="JB15" s="143">
        <v>87.67</v>
      </c>
      <c r="JC15" s="71">
        <v>99.862825788751707</v>
      </c>
      <c r="JD15" s="146">
        <v>99.885622783941429</v>
      </c>
      <c r="JE15" s="71">
        <v>99.885766506739785</v>
      </c>
      <c r="JF15" s="64">
        <v>99.874729529666325</v>
      </c>
      <c r="JG15" s="64">
        <v>99.839670178653236</v>
      </c>
      <c r="JH15" s="64">
        <v>99.875099352787572</v>
      </c>
      <c r="JI15" s="64">
        <v>99.896989813437116</v>
      </c>
      <c r="JJ15" s="64">
        <v>99.88580564120133</v>
      </c>
      <c r="JK15" s="64">
        <v>99.886260236578721</v>
      </c>
      <c r="JL15" s="64">
        <v>99.83950475753754</v>
      </c>
      <c r="JM15" s="64">
        <v>99.885347397385928</v>
      </c>
      <c r="JN15" s="72">
        <v>99.897517649738091</v>
      </c>
      <c r="JO15" s="71">
        <v>99.898477157360404</v>
      </c>
      <c r="JP15" s="71">
        <v>99.896563613377751</v>
      </c>
      <c r="JQ15" s="71">
        <v>99.48711971092203</v>
      </c>
      <c r="JR15" s="71">
        <v>99.862966769441584</v>
      </c>
      <c r="JS15" s="71">
        <v>99.875226860254102</v>
      </c>
      <c r="JT15" s="64">
        <v>99.920868189011983</v>
      </c>
      <c r="JU15" s="71">
        <v>99.48711971092203</v>
      </c>
      <c r="JV15" s="64">
        <v>99.876640125602776</v>
      </c>
      <c r="JW15" s="64">
        <v>99.781483611270858</v>
      </c>
      <c r="JX15" s="64">
        <v>99.840981372103585</v>
      </c>
      <c r="JY15" s="64">
        <v>99.794191630459636</v>
      </c>
      <c r="JZ15" s="72">
        <v>99.84186151587032</v>
      </c>
      <c r="KA15" s="48">
        <v>88.14</v>
      </c>
      <c r="KB15" s="48">
        <v>88.21</v>
      </c>
      <c r="KC15" s="158">
        <v>89.03</v>
      </c>
      <c r="KD15" s="64">
        <v>87.92</v>
      </c>
      <c r="KE15" s="48">
        <v>87.93</v>
      </c>
      <c r="KF15" s="48">
        <v>88.3</v>
      </c>
      <c r="KG15" s="48">
        <v>88.21</v>
      </c>
      <c r="KH15" s="64">
        <v>99.864145816823267</v>
      </c>
      <c r="KI15" s="64">
        <v>99.864253393665152</v>
      </c>
      <c r="KJ15" s="64">
        <v>99.877273234408122</v>
      </c>
      <c r="KK15" s="64">
        <v>99.853422031796143</v>
      </c>
      <c r="KL15" s="64">
        <v>99.841825782397478</v>
      </c>
      <c r="KM15" s="64">
        <v>99.852624419000122</v>
      </c>
      <c r="KN15" s="64">
        <v>99.864376130198906</v>
      </c>
      <c r="KO15" s="64">
        <v>88.4</v>
      </c>
      <c r="KP15" s="64">
        <v>88.62</v>
      </c>
      <c r="KQ15" s="64">
        <v>89.55</v>
      </c>
      <c r="KR15" s="48">
        <v>88.61</v>
      </c>
      <c r="KS15" s="48">
        <v>88.38</v>
      </c>
      <c r="KT15" s="104">
        <v>89</v>
      </c>
      <c r="KU15" s="104">
        <v>88.66</v>
      </c>
      <c r="KV15" s="104">
        <v>88.5</v>
      </c>
      <c r="KW15" s="104">
        <v>86.47</v>
      </c>
      <c r="KX15" s="104">
        <v>85.98</v>
      </c>
      <c r="KY15" s="104">
        <v>83.35</v>
      </c>
      <c r="KZ15" s="104">
        <v>88.32</v>
      </c>
      <c r="LA15" s="104">
        <v>88.27</v>
      </c>
      <c r="LB15" s="104">
        <v>88.82</v>
      </c>
      <c r="LC15" s="104">
        <v>87.9</v>
      </c>
      <c r="LD15" s="104">
        <v>88.74</v>
      </c>
      <c r="LE15" s="104">
        <v>89.28</v>
      </c>
      <c r="LF15" s="104">
        <v>88.3</v>
      </c>
      <c r="LG15" s="104">
        <v>88.48</v>
      </c>
      <c r="LH15" s="104">
        <v>89.06</v>
      </c>
      <c r="LI15" s="104">
        <v>88.57</v>
      </c>
      <c r="LJ15" s="104">
        <v>88.5</v>
      </c>
      <c r="LK15" s="104">
        <v>88.48</v>
      </c>
      <c r="LL15" s="104">
        <v>88.99</v>
      </c>
      <c r="LM15" s="104">
        <v>88.57</v>
      </c>
      <c r="LN15" s="104">
        <v>88.5</v>
      </c>
      <c r="LO15" s="104">
        <v>87.71</v>
      </c>
      <c r="LP15" s="104">
        <v>88.32</v>
      </c>
      <c r="LQ15" s="104">
        <v>88.73</v>
      </c>
      <c r="LR15" s="104">
        <v>88.8</v>
      </c>
      <c r="LS15" s="104">
        <v>89.3</v>
      </c>
      <c r="LT15" s="104">
        <v>88.48</v>
      </c>
      <c r="LU15" s="104">
        <v>88.36</v>
      </c>
      <c r="LV15" s="104">
        <v>88.48</v>
      </c>
      <c r="LW15" s="104">
        <v>88.28</v>
      </c>
      <c r="LX15" s="104">
        <v>88.21</v>
      </c>
      <c r="LY15" s="104">
        <v>88.51</v>
      </c>
      <c r="LZ15" s="104">
        <v>89.16</v>
      </c>
      <c r="MA15" s="104">
        <v>88.38</v>
      </c>
      <c r="MB15" s="104">
        <v>88.27</v>
      </c>
      <c r="MC15" s="104">
        <v>88.5</v>
      </c>
      <c r="MD15" s="104">
        <v>88.29</v>
      </c>
      <c r="ME15" s="104">
        <v>88.22</v>
      </c>
      <c r="MF15" s="114">
        <v>99.686239354549542</v>
      </c>
      <c r="MG15" s="114">
        <v>99.686520376175537</v>
      </c>
      <c r="MH15" s="114">
        <v>99.687080911935624</v>
      </c>
      <c r="MI15" s="114">
        <v>99.698290311766684</v>
      </c>
      <c r="MJ15" s="114">
        <v>99.699532606276449</v>
      </c>
      <c r="MK15" s="114">
        <v>99.72381794078656</v>
      </c>
      <c r="ML15" s="114">
        <v>99.698593436034841</v>
      </c>
      <c r="MM15" s="114">
        <v>99.710306406685234</v>
      </c>
      <c r="MN15" s="104">
        <v>89.54</v>
      </c>
      <c r="MO15" s="104">
        <v>88.83</v>
      </c>
      <c r="MP15" s="104">
        <v>88.75</v>
      </c>
      <c r="MQ15" s="104">
        <v>87.9</v>
      </c>
      <c r="MR15" s="104">
        <v>88.81</v>
      </c>
      <c r="MS15" s="101">
        <v>88.84</v>
      </c>
      <c r="MT15" s="101">
        <v>92.63</v>
      </c>
      <c r="MU15" s="101">
        <v>89.47</v>
      </c>
      <c r="MV15" s="101">
        <v>88.81</v>
      </c>
      <c r="MW15" s="101">
        <v>89.11</v>
      </c>
      <c r="MX15" s="101">
        <v>88.83</v>
      </c>
      <c r="MY15" s="104">
        <v>85.9</v>
      </c>
      <c r="MZ15" s="2"/>
      <c r="NA15" s="2"/>
      <c r="NB15" s="2"/>
      <c r="NC15">
        <v>86.42</v>
      </c>
      <c r="ND15">
        <v>88.91</v>
      </c>
      <c r="NE15">
        <v>88.93</v>
      </c>
      <c r="NF15">
        <v>87.4</v>
      </c>
      <c r="NG15">
        <v>88.97</v>
      </c>
      <c r="NH15">
        <v>89.11</v>
      </c>
      <c r="NI15">
        <v>89.76</v>
      </c>
      <c r="NJ15">
        <v>89.22</v>
      </c>
      <c r="NK15">
        <v>88.96</v>
      </c>
      <c r="NL15">
        <v>89.04</v>
      </c>
      <c r="NM15">
        <v>89.2</v>
      </c>
      <c r="NN15" s="48">
        <v>89.22</v>
      </c>
      <c r="NO15" s="48">
        <v>89.59</v>
      </c>
      <c r="NP15" s="48">
        <v>90.27</v>
      </c>
      <c r="NQ15" s="48">
        <v>89.31</v>
      </c>
      <c r="NR15" s="48">
        <v>89.49</v>
      </c>
      <c r="NS15" s="71">
        <v>89.48</v>
      </c>
      <c r="NT15" s="48">
        <v>89.66</v>
      </c>
      <c r="NU15" s="48">
        <v>89.45</v>
      </c>
      <c r="NV15" s="48">
        <v>89.77</v>
      </c>
      <c r="NW15" s="48">
        <v>90.17</v>
      </c>
      <c r="NX15" s="48">
        <v>89.32</v>
      </c>
      <c r="NY15" s="48">
        <v>89.15</v>
      </c>
      <c r="NZ15" s="48">
        <v>89.27</v>
      </c>
      <c r="OA15" s="64">
        <v>89.35</v>
      </c>
      <c r="OB15" s="64">
        <v>88.84</v>
      </c>
      <c r="OC15" s="64">
        <v>89.78</v>
      </c>
      <c r="OD15" s="64">
        <v>90.35</v>
      </c>
      <c r="OE15" s="48">
        <v>89.42</v>
      </c>
      <c r="OF15" s="48">
        <v>89.39</v>
      </c>
      <c r="OG15" s="48">
        <v>89.13</v>
      </c>
      <c r="OH15" s="48">
        <v>89.4</v>
      </c>
      <c r="OI15" s="48">
        <v>89.21</v>
      </c>
      <c r="OJ15" s="48">
        <v>89.4</v>
      </c>
      <c r="OK15" s="48">
        <v>90.13</v>
      </c>
      <c r="OL15" s="48">
        <v>89.41</v>
      </c>
      <c r="OM15" s="48">
        <v>89.58</v>
      </c>
      <c r="ON15" s="48">
        <v>89.93</v>
      </c>
      <c r="OO15" s="48">
        <v>89.9</v>
      </c>
      <c r="OP15" s="48">
        <v>89.68</v>
      </c>
      <c r="OQ15" s="48">
        <v>89.72</v>
      </c>
      <c r="OR15" s="48">
        <v>90.52</v>
      </c>
      <c r="OS15" s="48">
        <v>90.31</v>
      </c>
      <c r="OT15" s="48">
        <v>89.72</v>
      </c>
      <c r="OU15" s="48">
        <v>89.14</v>
      </c>
      <c r="OV15" s="64">
        <v>91.6</v>
      </c>
      <c r="OW15" s="2">
        <v>89.36</v>
      </c>
      <c r="OX15" s="2">
        <v>90.23</v>
      </c>
      <c r="OY15" s="2">
        <v>90.52</v>
      </c>
      <c r="OZ15" s="48">
        <v>90.1</v>
      </c>
      <c r="PA15" s="48">
        <v>89.61</v>
      </c>
      <c r="PB15" s="48">
        <v>89.6</v>
      </c>
      <c r="PC15" s="48">
        <v>89.92</v>
      </c>
      <c r="PD15" s="48">
        <v>89.52</v>
      </c>
      <c r="PE15" s="48">
        <v>90.12</v>
      </c>
      <c r="PF15" s="48">
        <v>90.62</v>
      </c>
      <c r="PG15" s="48">
        <v>89.64</v>
      </c>
      <c r="PH15" s="71">
        <v>89.87</v>
      </c>
      <c r="PI15" s="48">
        <v>90.09</v>
      </c>
      <c r="PJ15" s="48">
        <v>89.68</v>
      </c>
      <c r="PK15" s="48">
        <v>89.79</v>
      </c>
      <c r="PL15" s="48">
        <v>89.91</v>
      </c>
      <c r="PM15" s="48">
        <v>90.12</v>
      </c>
      <c r="PN15" s="48">
        <v>89.13</v>
      </c>
      <c r="PO15" s="48">
        <v>89</v>
      </c>
      <c r="PP15" s="64">
        <v>89.64</v>
      </c>
      <c r="PQ15" s="64">
        <v>89.63</v>
      </c>
      <c r="PR15" s="64">
        <v>91.6</v>
      </c>
      <c r="PS15" s="64">
        <v>89.51</v>
      </c>
      <c r="PT15" s="64">
        <v>90.89</v>
      </c>
      <c r="PU15" s="64">
        <v>89.82</v>
      </c>
      <c r="PV15" s="64">
        <v>89.6</v>
      </c>
      <c r="PW15" s="64">
        <v>89.94</v>
      </c>
      <c r="PX15" s="48">
        <v>90.78</v>
      </c>
      <c r="PY15" s="48">
        <v>90.21</v>
      </c>
      <c r="PZ15" s="48">
        <v>89.62</v>
      </c>
      <c r="QA15" s="48">
        <v>90.33</v>
      </c>
      <c r="QB15" s="48">
        <v>89.84</v>
      </c>
      <c r="QC15" s="71">
        <v>89.68</v>
      </c>
      <c r="QD15" s="48">
        <v>89.46</v>
      </c>
      <c r="QE15" s="64">
        <v>89.68</v>
      </c>
      <c r="QF15" s="64">
        <v>89.34</v>
      </c>
      <c r="QG15" s="64">
        <v>89.35</v>
      </c>
      <c r="QH15" s="71">
        <v>90.11</v>
      </c>
      <c r="QI15" s="71">
        <v>89.73</v>
      </c>
      <c r="QJ15" s="48">
        <v>89.4</v>
      </c>
      <c r="QK15" s="48">
        <v>89.18</v>
      </c>
      <c r="QL15" s="48">
        <v>89.35</v>
      </c>
      <c r="QM15" s="48">
        <v>88.89</v>
      </c>
      <c r="QN15" s="48">
        <v>89.17</v>
      </c>
      <c r="QO15" s="48">
        <v>89.32</v>
      </c>
      <c r="QP15" s="48">
        <v>89.35</v>
      </c>
      <c r="QQ15" s="48">
        <v>89.22</v>
      </c>
      <c r="QR15" s="48">
        <v>88.92</v>
      </c>
      <c r="QS15" s="48">
        <v>89.3</v>
      </c>
      <c r="QT15" s="64">
        <v>89.44</v>
      </c>
      <c r="QU15" s="64">
        <v>89.59</v>
      </c>
      <c r="QV15" s="64">
        <v>89.91</v>
      </c>
      <c r="QW15" s="48">
        <v>89.86</v>
      </c>
      <c r="QX15" s="48">
        <v>89.66</v>
      </c>
      <c r="QY15" s="48">
        <v>89.93</v>
      </c>
      <c r="QZ15" s="48">
        <v>89.93</v>
      </c>
      <c r="RA15" s="48">
        <v>90.06</v>
      </c>
      <c r="RB15" s="48">
        <v>90.09</v>
      </c>
      <c r="RC15" s="158">
        <v>90.34</v>
      </c>
      <c r="RD15" s="48">
        <v>90.17</v>
      </c>
      <c r="RE15" s="48">
        <v>90.03</v>
      </c>
      <c r="RF15" s="48">
        <v>90.06</v>
      </c>
      <c r="RG15" s="48">
        <v>90.03</v>
      </c>
      <c r="RH15" s="48">
        <v>90.06</v>
      </c>
      <c r="RI15" s="48">
        <v>90.15</v>
      </c>
      <c r="RJ15" s="48">
        <v>90.44</v>
      </c>
      <c r="RK15" s="48">
        <v>89.85</v>
      </c>
      <c r="RL15" s="48">
        <v>90.03</v>
      </c>
      <c r="RM15" s="48">
        <v>89.88</v>
      </c>
      <c r="RN15" s="48">
        <v>89.79</v>
      </c>
      <c r="RO15" s="48">
        <v>89.71</v>
      </c>
      <c r="RP15" s="48">
        <v>90.33</v>
      </c>
      <c r="RQ15" s="48">
        <v>90.37</v>
      </c>
      <c r="RR15" s="48">
        <v>90.21</v>
      </c>
      <c r="RS15" s="48">
        <v>90.04</v>
      </c>
      <c r="RT15" s="48">
        <v>90.28</v>
      </c>
      <c r="RU15" s="48">
        <v>90.18</v>
      </c>
      <c r="RV15" s="48">
        <v>90.3</v>
      </c>
      <c r="RW15" s="48">
        <v>90.4</v>
      </c>
      <c r="RX15" s="48">
        <v>90.78</v>
      </c>
      <c r="RY15" s="48">
        <v>90.43</v>
      </c>
      <c r="RZ15" s="48">
        <v>90.33</v>
      </c>
      <c r="SA15" s="183"/>
      <c r="SB15" s="64"/>
      <c r="SC15" s="64"/>
      <c r="SD15" s="64"/>
      <c r="SE15" s="64"/>
      <c r="SF15" s="72"/>
      <c r="SG15" s="48">
        <v>90.28</v>
      </c>
      <c r="SH15" s="48">
        <v>85.11</v>
      </c>
      <c r="SI15" s="48">
        <v>90.51</v>
      </c>
      <c r="SJ15" s="48">
        <v>89.71</v>
      </c>
      <c r="SK15" s="48">
        <v>88.11</v>
      </c>
      <c r="SL15" s="48">
        <v>90.4</v>
      </c>
      <c r="SM15" s="48">
        <v>90.38</v>
      </c>
      <c r="SN15" s="64">
        <v>92.81</v>
      </c>
      <c r="SO15" s="64">
        <v>92.33</v>
      </c>
      <c r="SP15" s="48">
        <v>89.73</v>
      </c>
      <c r="SQ15" s="64">
        <v>93.19593169148996</v>
      </c>
      <c r="SR15" s="64">
        <v>92.971974078711867</v>
      </c>
      <c r="SS15" s="48">
        <v>90.38</v>
      </c>
      <c r="ST15" s="48">
        <v>90.33</v>
      </c>
      <c r="SU15" s="64">
        <v>91.581896224080765</v>
      </c>
      <c r="SV15" s="64">
        <v>90.84</v>
      </c>
      <c r="SW15" s="64">
        <v>92.19</v>
      </c>
      <c r="SX15" s="64">
        <v>90.38</v>
      </c>
      <c r="SY15" s="64">
        <v>92.81</v>
      </c>
      <c r="SZ15" s="64">
        <v>91.58</v>
      </c>
      <c r="TA15" s="64">
        <v>92.81</v>
      </c>
      <c r="TB15" s="64">
        <v>87.85</v>
      </c>
      <c r="TC15" s="64">
        <v>90.239840834177443</v>
      </c>
      <c r="TD15" s="64">
        <v>90.49557643430937</v>
      </c>
      <c r="TE15" s="64">
        <v>90.305836246462448</v>
      </c>
      <c r="TF15" s="64">
        <v>89.266768444120373</v>
      </c>
      <c r="TG15" s="64">
        <v>90.096255119289793</v>
      </c>
      <c r="TH15" s="64">
        <v>91.58</v>
      </c>
      <c r="TI15" s="64">
        <v>91.581896224080765</v>
      </c>
      <c r="TJ15" s="64">
        <v>90.84</v>
      </c>
      <c r="TK15" s="64">
        <v>92.19</v>
      </c>
      <c r="TL15" s="64">
        <v>92.648761757516553</v>
      </c>
      <c r="TM15" s="64">
        <v>93.150022398198175</v>
      </c>
      <c r="TN15" s="64">
        <v>92.680936668889814</v>
      </c>
      <c r="TO15" s="64">
        <v>92.91930639436319</v>
      </c>
      <c r="TP15" s="64">
        <v>92.212124054914881</v>
      </c>
      <c r="TQ15" s="64">
        <v>93.111493963956548</v>
      </c>
      <c r="TR15" s="64">
        <v>92.413858447550879</v>
      </c>
      <c r="TS15" s="64">
        <v>93.049888826251802</v>
      </c>
      <c r="TT15" s="64">
        <v>93.172450467561589</v>
      </c>
      <c r="TU15" s="64">
        <v>91.47</v>
      </c>
      <c r="TV15" s="64">
        <v>91.33</v>
      </c>
      <c r="TW15" s="48">
        <v>91.08</v>
      </c>
      <c r="TX15" s="64">
        <v>91.08</v>
      </c>
      <c r="TY15" s="64">
        <v>90.91</v>
      </c>
      <c r="TZ15" s="64">
        <v>90.5</v>
      </c>
      <c r="UA15" s="64">
        <v>90.51</v>
      </c>
      <c r="UB15" s="48">
        <v>91.16</v>
      </c>
      <c r="UC15" s="48">
        <v>91.01</v>
      </c>
      <c r="UD15" s="48">
        <v>90.89</v>
      </c>
      <c r="UE15" s="48">
        <v>91.04</v>
      </c>
      <c r="UF15" s="48">
        <v>91.1</v>
      </c>
      <c r="UG15" s="48">
        <v>91.1</v>
      </c>
      <c r="UH15" s="48">
        <v>91.07</v>
      </c>
      <c r="UI15" s="48">
        <v>91.27</v>
      </c>
      <c r="UJ15" s="48">
        <v>90.42</v>
      </c>
      <c r="UK15" s="48">
        <v>90.59</v>
      </c>
      <c r="UL15" s="64">
        <v>91.16</v>
      </c>
      <c r="UM15" s="48">
        <v>91.24</v>
      </c>
      <c r="UN15" s="48">
        <v>91.28</v>
      </c>
      <c r="UO15" s="48">
        <v>91.19</v>
      </c>
      <c r="UP15" s="48">
        <v>90.74</v>
      </c>
      <c r="UQ15" s="48">
        <v>91.29</v>
      </c>
      <c r="UR15" s="48">
        <v>91.23</v>
      </c>
      <c r="US15" s="48">
        <v>91.18</v>
      </c>
      <c r="UT15" s="48">
        <v>91.19</v>
      </c>
      <c r="UU15" s="48">
        <v>91.24</v>
      </c>
      <c r="UV15" s="48">
        <v>91.19</v>
      </c>
      <c r="UW15" s="48">
        <v>91.35</v>
      </c>
      <c r="UX15" s="64">
        <v>91.2</v>
      </c>
      <c r="UY15" s="64">
        <v>91.16</v>
      </c>
      <c r="UZ15" s="64">
        <v>91.14</v>
      </c>
      <c r="VA15" s="64">
        <v>91.34</v>
      </c>
      <c r="VB15" s="64">
        <v>91.38</v>
      </c>
      <c r="VC15" s="64">
        <v>91.29</v>
      </c>
      <c r="VD15" s="64">
        <v>91.48</v>
      </c>
      <c r="VE15" s="48">
        <v>84.96</v>
      </c>
      <c r="VF15" s="48">
        <v>91.3</v>
      </c>
      <c r="VG15" s="48">
        <v>91.28</v>
      </c>
      <c r="VH15" s="71">
        <v>91.06</v>
      </c>
      <c r="VI15" s="64">
        <v>90.57</v>
      </c>
      <c r="VJ15" s="64">
        <v>90.94</v>
      </c>
      <c r="VK15" s="64">
        <v>91.27</v>
      </c>
      <c r="VL15" s="64">
        <v>91.19</v>
      </c>
      <c r="VM15" s="64">
        <v>91.01</v>
      </c>
      <c r="VN15" s="64">
        <v>91.13</v>
      </c>
      <c r="VO15" s="64">
        <v>91.25</v>
      </c>
      <c r="VP15" s="64">
        <v>91.05</v>
      </c>
      <c r="VQ15" s="64">
        <v>90.75</v>
      </c>
      <c r="VR15" s="48">
        <v>91.41</v>
      </c>
      <c r="VS15" s="183"/>
      <c r="VT15" s="2"/>
      <c r="VU15" s="2"/>
      <c r="VV15" s="2"/>
      <c r="VW15" s="2"/>
      <c r="VX15" s="64"/>
      <c r="VY15" s="2"/>
      <c r="VZ15" s="30"/>
      <c r="WA15" s="64"/>
      <c r="WB15" s="64"/>
      <c r="WC15" s="64"/>
      <c r="WD15" s="86"/>
      <c r="WE15" s="2"/>
      <c r="WF15" s="66"/>
      <c r="WG15" s="66"/>
      <c r="WH15" s="64"/>
      <c r="WI15" s="64"/>
      <c r="WJ15" s="72"/>
      <c r="WK15" s="2"/>
      <c r="WL15" s="2"/>
      <c r="WM15" s="2"/>
      <c r="WN15" s="2"/>
      <c r="WO15" s="2"/>
      <c r="WP15" s="2"/>
      <c r="WQ15" s="2"/>
      <c r="WR15" s="2"/>
      <c r="WS15" s="64"/>
      <c r="WT15" s="64"/>
      <c r="WU15" s="64"/>
      <c r="WV15" s="64"/>
      <c r="WW15" s="64"/>
      <c r="WX15" s="64"/>
      <c r="WY15" s="64"/>
      <c r="WZ15" s="64"/>
      <c r="XA15" s="64"/>
      <c r="XB15" s="64"/>
      <c r="XC15" s="64"/>
      <c r="XD15" s="64"/>
      <c r="XE15" s="64"/>
      <c r="XF15" s="64"/>
      <c r="XG15" s="64"/>
      <c r="XH15" s="64"/>
      <c r="XI15" s="64"/>
      <c r="XJ15" s="64"/>
      <c r="XK15" s="64"/>
      <c r="XL15" s="64"/>
      <c r="XM15" s="64"/>
      <c r="XN15" s="64"/>
      <c r="XO15" s="64"/>
      <c r="XP15" s="64"/>
      <c r="XQ15" s="64"/>
      <c r="XR15" s="64"/>
      <c r="XS15" s="64"/>
      <c r="XT15" s="64"/>
      <c r="XU15" s="64"/>
      <c r="XV15" s="64"/>
      <c r="XW15" s="64"/>
      <c r="XX15" s="64"/>
      <c r="XY15" s="64"/>
      <c r="XZ15" s="64"/>
      <c r="YA15" s="64"/>
      <c r="YB15" s="64"/>
      <c r="YC15" s="64"/>
      <c r="YD15" s="64"/>
      <c r="YE15" s="64"/>
      <c r="YF15" s="64"/>
      <c r="YG15" s="64"/>
      <c r="YH15" s="64"/>
      <c r="YI15" s="64"/>
      <c r="YJ15" s="64"/>
      <c r="YK15" s="64"/>
      <c r="YL15" s="64"/>
      <c r="YM15" s="64"/>
      <c r="YN15" s="64"/>
      <c r="YO15" s="64"/>
      <c r="YP15" s="64"/>
      <c r="YQ15" s="64"/>
      <c r="YR15" s="64"/>
      <c r="YS15" s="64"/>
      <c r="YT15" s="64"/>
      <c r="YU15" s="64"/>
      <c r="YV15" s="64"/>
      <c r="YW15" s="64"/>
      <c r="YX15" s="64"/>
      <c r="YY15" s="2"/>
      <c r="YZ15" s="64"/>
      <c r="ZA15" s="2"/>
      <c r="ZB15" s="2"/>
      <c r="ZC15" s="2"/>
      <c r="ZD15" s="2"/>
      <c r="ZE15" s="2"/>
      <c r="ZF15" s="2"/>
      <c r="ZG15" s="64"/>
      <c r="ZH15" s="64"/>
      <c r="ZI15" s="64"/>
      <c r="ZJ15" s="64"/>
      <c r="ZK15" s="64"/>
      <c r="ZL15" s="64"/>
      <c r="ZM15" s="64"/>
      <c r="ZN15" s="64"/>
      <c r="ZO15" s="2"/>
      <c r="ZP15" s="2"/>
      <c r="ZQ15" s="2"/>
      <c r="ZR15" s="2"/>
      <c r="ZS15" s="2"/>
      <c r="ZT15" s="2"/>
      <c r="ZU15" s="64"/>
      <c r="ZV15" s="64"/>
      <c r="ZW15" s="64"/>
      <c r="ZX15" s="64"/>
      <c r="ZY15" s="64"/>
      <c r="ZZ15" s="64"/>
      <c r="AAA15" s="72"/>
      <c r="AAB15" s="64"/>
      <c r="AAC15" s="64"/>
      <c r="AAD15" s="64"/>
      <c r="AAE15" s="64"/>
      <c r="AAF15" s="72"/>
      <c r="AAG15" s="64"/>
      <c r="AAH15" s="72"/>
      <c r="AAI15" s="64"/>
      <c r="AAJ15" s="64"/>
      <c r="AAK15" s="64"/>
      <c r="AAL15" s="64"/>
      <c r="AAM15" s="64"/>
      <c r="AAN15" s="64"/>
      <c r="AAO15" s="64"/>
      <c r="AAP15" s="64"/>
      <c r="AAQ15" s="64"/>
      <c r="AAR15" s="64"/>
      <c r="AAS15" s="64"/>
      <c r="AAT15" s="64"/>
      <c r="AAU15" s="64"/>
      <c r="AAV15" s="64"/>
      <c r="AAW15" s="64"/>
      <c r="AAX15" s="64"/>
      <c r="AAY15" s="64"/>
      <c r="AAZ15" s="64"/>
      <c r="ABA15" s="64"/>
      <c r="ABB15" s="64"/>
      <c r="ABC15" s="64"/>
      <c r="ABD15" s="64"/>
      <c r="ABE15" s="64"/>
      <c r="ABF15" s="64"/>
      <c r="ABG15" s="64"/>
      <c r="ABH15" s="64"/>
      <c r="ABI15" s="64"/>
      <c r="ABJ15" s="64"/>
      <c r="ABK15" s="64"/>
      <c r="ABL15" s="64"/>
      <c r="ABM15" s="64"/>
      <c r="ABN15" s="64"/>
      <c r="ABO15" s="64"/>
      <c r="ABP15" s="64"/>
      <c r="ABQ15" s="64"/>
      <c r="ABR15" s="64"/>
      <c r="ABS15" s="64"/>
      <c r="ABT15" s="64"/>
      <c r="ABU15" s="64"/>
      <c r="ABV15" s="64"/>
      <c r="ABW15" s="64"/>
      <c r="ABX15" s="64"/>
      <c r="ABY15" s="64"/>
      <c r="ABZ15" s="64"/>
      <c r="ACA15" s="64"/>
      <c r="ACB15" s="64"/>
      <c r="ACC15" s="64"/>
      <c r="ACD15" s="64"/>
      <c r="ACE15" s="64"/>
      <c r="ACF15" s="64"/>
      <c r="ACG15" s="64"/>
      <c r="ACH15" s="64"/>
      <c r="ACI15" s="64"/>
      <c r="ACJ15" s="64"/>
      <c r="ACK15" s="64"/>
      <c r="ACL15" s="64"/>
      <c r="ACM15" s="64"/>
      <c r="ACN15" s="64"/>
      <c r="ACO15" s="64"/>
      <c r="ACP15" s="64"/>
      <c r="ACQ15" s="64"/>
      <c r="ACR15" s="64"/>
      <c r="ACS15" s="64"/>
      <c r="ACT15" s="64"/>
      <c r="ACU15" s="64"/>
      <c r="ACV15" s="64"/>
      <c r="ACW15" s="64"/>
      <c r="ACX15" s="64"/>
      <c r="ACY15" s="64"/>
      <c r="ACZ15" s="64"/>
      <c r="ADA15" s="64"/>
      <c r="ADB15" s="64"/>
      <c r="ADC15" s="64"/>
      <c r="ADD15" s="64"/>
      <c r="ADE15" s="64"/>
      <c r="ADF15" s="64"/>
      <c r="ADG15" s="64"/>
      <c r="ADH15" s="64"/>
      <c r="ADI15" s="64"/>
      <c r="ADJ15" s="64"/>
      <c r="ADK15" s="64"/>
      <c r="ADL15" s="2"/>
      <c r="ADM15" s="2"/>
      <c r="ADN15" s="2"/>
      <c r="ADO15" s="64"/>
      <c r="ADP15" s="64"/>
      <c r="ADQ15" s="64"/>
      <c r="ADR15" s="72"/>
      <c r="ADS15" s="64"/>
      <c r="ADT15" s="64"/>
      <c r="ADU15" s="64"/>
      <c r="ADV15" s="64"/>
      <c r="ADW15" s="64"/>
      <c r="ADX15" s="64"/>
      <c r="ADY15" s="64"/>
      <c r="ADZ15" s="64"/>
      <c r="AEA15" s="64"/>
      <c r="AEB15" s="64"/>
      <c r="AEC15" s="64"/>
      <c r="AED15" s="64"/>
      <c r="AEE15" s="64"/>
      <c r="AEF15" s="64"/>
      <c r="AEG15" s="64"/>
      <c r="AEH15" s="64"/>
      <c r="AEI15" s="64"/>
      <c r="AEJ15" s="64"/>
      <c r="AEK15" s="64"/>
      <c r="AEL15" s="64"/>
      <c r="AEM15" s="64"/>
      <c r="AEN15" s="64"/>
      <c r="AEO15" s="64"/>
      <c r="AEP15" s="64"/>
      <c r="AEQ15" s="64"/>
      <c r="AER15" s="64"/>
      <c r="AES15" s="64"/>
      <c r="AET15" s="64"/>
      <c r="AEU15" s="64"/>
      <c r="AEV15" s="64"/>
      <c r="AEW15" s="64"/>
      <c r="AEX15" s="64"/>
      <c r="AEY15" s="64"/>
      <c r="AEZ15" s="64"/>
      <c r="AFA15" s="64"/>
      <c r="AFB15" s="64"/>
      <c r="AFC15" s="64"/>
      <c r="AFD15" s="64"/>
      <c r="AFE15" s="64"/>
      <c r="AFF15" s="64"/>
      <c r="AFG15" s="64"/>
      <c r="AFH15" s="64"/>
      <c r="AFI15" s="64"/>
      <c r="AFJ15" s="64"/>
      <c r="AFK15" s="64"/>
      <c r="AFL15" s="64"/>
      <c r="AFM15" s="64"/>
      <c r="AFN15" s="64"/>
      <c r="AFO15" s="64"/>
      <c r="AFP15" s="64"/>
      <c r="AFQ15" s="64"/>
      <c r="AFR15" s="64"/>
      <c r="AFS15" s="64"/>
      <c r="AFT15" s="64"/>
      <c r="AFU15" s="64"/>
      <c r="AFV15" s="64"/>
      <c r="AFW15" s="64"/>
      <c r="AFX15" s="64"/>
      <c r="AFY15" s="64"/>
      <c r="AFZ15" s="64"/>
      <c r="AGA15" s="64"/>
      <c r="AGB15" s="64"/>
      <c r="AGC15" s="64"/>
      <c r="AGD15" s="64"/>
      <c r="AGE15" s="64"/>
      <c r="AGF15" s="64"/>
      <c r="AGG15" s="64"/>
      <c r="AGH15" s="64"/>
      <c r="AGI15" s="64"/>
      <c r="AGJ15" s="64"/>
      <c r="AGK15" s="64"/>
      <c r="AGL15" s="64"/>
      <c r="AGM15" s="64"/>
      <c r="AGN15" s="64"/>
      <c r="AGO15" s="64"/>
      <c r="AGP15" s="64"/>
      <c r="AGQ15" s="64"/>
      <c r="AGR15" s="64"/>
      <c r="AGS15" s="64"/>
      <c r="AGT15" s="64"/>
      <c r="AGU15" s="64"/>
      <c r="AGV15" s="64"/>
      <c r="AGW15" s="64"/>
      <c r="AGX15" s="64"/>
      <c r="AGY15" s="64"/>
      <c r="AGZ15" s="64"/>
      <c r="AHA15" s="64"/>
      <c r="AHB15" s="64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47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47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47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47"/>
      <c r="ANO15" s="64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</row>
    <row r="16" spans="1:1082" ht="15.75" thickBot="1" x14ac:dyDescent="0.3">
      <c r="A16" s="45" t="s">
        <v>39</v>
      </c>
      <c r="B16" s="44" t="s">
        <v>32</v>
      </c>
      <c r="C16" s="2">
        <v>88.13</v>
      </c>
      <c r="D16" s="30">
        <v>87.34</v>
      </c>
      <c r="E16" s="30">
        <v>87.26</v>
      </c>
      <c r="F16" s="30">
        <v>87.05</v>
      </c>
      <c r="G16" s="2">
        <v>87.51</v>
      </c>
      <c r="H16" s="2">
        <v>87.51</v>
      </c>
      <c r="I16" s="2">
        <v>88.52</v>
      </c>
      <c r="J16" s="2">
        <v>87.91</v>
      </c>
      <c r="K16" s="2">
        <v>87.45</v>
      </c>
      <c r="L16" s="2">
        <v>87.16</v>
      </c>
      <c r="M16" s="2">
        <v>87.22</v>
      </c>
      <c r="N16" s="2">
        <v>87.73</v>
      </c>
      <c r="O16" s="2">
        <v>87.94</v>
      </c>
      <c r="P16" s="2">
        <v>88.51</v>
      </c>
      <c r="Q16" s="2">
        <v>87.67</v>
      </c>
      <c r="R16" s="2">
        <v>87.58</v>
      </c>
      <c r="S16" s="2">
        <v>87.28</v>
      </c>
      <c r="T16" s="2">
        <v>86.99</v>
      </c>
      <c r="U16" s="2"/>
      <c r="V16" s="2"/>
      <c r="W16" s="2"/>
      <c r="X16" s="2"/>
      <c r="Y16" s="2"/>
      <c r="Z16" s="2"/>
      <c r="AA16" s="2"/>
      <c r="AB16" s="2" t="s">
        <v>89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>
        <v>86.29</v>
      </c>
      <c r="CC16" s="2">
        <v>85.33</v>
      </c>
      <c r="CD16" s="2">
        <v>86.56</v>
      </c>
      <c r="CE16" s="2">
        <v>86.66</v>
      </c>
      <c r="CF16" s="2">
        <v>86.6</v>
      </c>
      <c r="CG16" s="2">
        <v>86.76</v>
      </c>
      <c r="CH16" s="2">
        <v>87.55</v>
      </c>
      <c r="CI16" s="2">
        <v>86.12</v>
      </c>
      <c r="CJ16" s="2">
        <v>85.94</v>
      </c>
      <c r="CK16" s="2">
        <v>86.35</v>
      </c>
      <c r="CL16" s="2">
        <v>85.42</v>
      </c>
      <c r="CM16" s="2">
        <v>85.8</v>
      </c>
      <c r="CN16" s="2">
        <v>86.47</v>
      </c>
      <c r="CO16" s="2">
        <v>87.9</v>
      </c>
      <c r="CP16" s="2">
        <v>85.28</v>
      </c>
      <c r="CQ16" s="2">
        <v>86.13</v>
      </c>
      <c r="CR16" s="2">
        <v>86.2</v>
      </c>
      <c r="CS16" s="2">
        <v>86.74</v>
      </c>
      <c r="CT16" s="2">
        <v>87.05</v>
      </c>
      <c r="CU16" s="2">
        <v>86.86</v>
      </c>
      <c r="CV16" s="2">
        <v>88.03</v>
      </c>
      <c r="CW16" s="2">
        <v>88.42</v>
      </c>
      <c r="CX16" s="2">
        <v>86.8</v>
      </c>
      <c r="CY16" s="2">
        <v>87.4</v>
      </c>
      <c r="CZ16" s="2">
        <v>87.29</v>
      </c>
      <c r="DA16" s="2"/>
      <c r="DB16" s="2"/>
      <c r="DC16" s="2"/>
      <c r="DD16" s="2"/>
      <c r="DE16" s="64"/>
      <c r="DF16" s="2"/>
      <c r="DG16" s="2"/>
      <c r="DH16" s="2"/>
      <c r="DI16" s="52"/>
      <c r="DJ16" s="54"/>
      <c r="DK16" s="49"/>
      <c r="DL16" s="55"/>
      <c r="DM16" s="54"/>
      <c r="DN16" s="54"/>
      <c r="DO16" s="49"/>
      <c r="DP16" s="53"/>
      <c r="DQ16" s="49"/>
      <c r="DR16" s="54"/>
      <c r="DS16" s="55"/>
      <c r="DT16" s="54"/>
      <c r="DU16" s="54"/>
      <c r="DV16" s="54"/>
      <c r="DW16" s="54"/>
      <c r="DX16" s="54"/>
      <c r="DY16" s="55"/>
      <c r="DZ16" s="104">
        <v>86.68</v>
      </c>
      <c r="EA16" s="104">
        <v>86.41</v>
      </c>
      <c r="EB16" s="104">
        <v>87.18</v>
      </c>
      <c r="EC16" s="104">
        <v>87.27</v>
      </c>
      <c r="ED16" s="104">
        <v>87</v>
      </c>
      <c r="EE16" s="104">
        <v>88.82</v>
      </c>
      <c r="EF16" s="104">
        <v>84.77</v>
      </c>
      <c r="EG16" s="104">
        <v>87.22</v>
      </c>
      <c r="EH16" s="104">
        <v>87.49</v>
      </c>
      <c r="EI16" s="104">
        <v>87.82</v>
      </c>
      <c r="EJ16" s="104">
        <v>87.4</v>
      </c>
      <c r="EK16" s="104">
        <v>87.82</v>
      </c>
      <c r="EL16" s="104">
        <v>88.95</v>
      </c>
      <c r="EM16" s="104">
        <v>87.07</v>
      </c>
      <c r="EN16" s="104">
        <v>87.39</v>
      </c>
      <c r="EO16" s="104">
        <v>87.2</v>
      </c>
      <c r="EP16" s="104">
        <v>87.55</v>
      </c>
      <c r="EQ16" s="104">
        <v>87.45</v>
      </c>
      <c r="ER16" s="104">
        <v>87.66</v>
      </c>
      <c r="ES16" s="104">
        <v>88.5</v>
      </c>
      <c r="ET16" s="104">
        <v>87.43</v>
      </c>
      <c r="EU16" s="104">
        <v>87.53</v>
      </c>
      <c r="EV16" s="104">
        <v>87.52</v>
      </c>
      <c r="EW16" s="104">
        <v>84.01</v>
      </c>
      <c r="EX16" s="104">
        <v>82.47</v>
      </c>
      <c r="EY16" s="104">
        <v>81.66</v>
      </c>
      <c r="EZ16" s="104">
        <v>86.87</v>
      </c>
      <c r="FA16" s="104">
        <v>87.16</v>
      </c>
      <c r="FB16" s="104">
        <v>86.45</v>
      </c>
      <c r="FC16" s="104">
        <v>86.44</v>
      </c>
      <c r="FD16" s="104">
        <v>86.87</v>
      </c>
      <c r="FE16" s="104">
        <v>86.84</v>
      </c>
      <c r="FF16" s="104">
        <v>86.85</v>
      </c>
      <c r="FG16" s="104">
        <v>87.76</v>
      </c>
      <c r="FH16" s="104">
        <v>87.05</v>
      </c>
      <c r="FI16" s="104">
        <v>86.92</v>
      </c>
      <c r="FJ16" s="104">
        <v>86.95</v>
      </c>
      <c r="FK16" s="104">
        <v>84.01</v>
      </c>
      <c r="FL16" s="104">
        <v>83.18</v>
      </c>
      <c r="FM16" s="104">
        <v>87.56</v>
      </c>
      <c r="FN16" s="104">
        <v>88.22</v>
      </c>
      <c r="FO16" s="104">
        <v>87.95</v>
      </c>
      <c r="FP16" s="104">
        <v>87.62</v>
      </c>
      <c r="FQ16" s="104">
        <v>87.08</v>
      </c>
      <c r="FR16" s="104">
        <v>86.55</v>
      </c>
      <c r="FS16" s="104">
        <v>88.32</v>
      </c>
      <c r="FT16" s="104">
        <v>87.88</v>
      </c>
      <c r="FU16" s="104">
        <v>88.79</v>
      </c>
      <c r="FV16" s="104">
        <v>87.87</v>
      </c>
      <c r="FW16" s="104">
        <v>87.6</v>
      </c>
      <c r="FX16" s="104">
        <v>88.18</v>
      </c>
      <c r="FY16" s="104">
        <v>88.24</v>
      </c>
      <c r="FZ16" s="104">
        <v>88.08</v>
      </c>
      <c r="GA16" s="104">
        <v>87.92</v>
      </c>
      <c r="GB16" s="104">
        <v>88.44</v>
      </c>
      <c r="GC16" s="104">
        <v>87.25</v>
      </c>
      <c r="GD16" s="104">
        <v>87.37</v>
      </c>
      <c r="GE16" s="104">
        <v>86.96</v>
      </c>
      <c r="GF16" s="104">
        <v>87.42</v>
      </c>
      <c r="GG16" s="104">
        <v>87.14</v>
      </c>
      <c r="GH16" s="104">
        <v>87.76</v>
      </c>
      <c r="GI16" s="104">
        <v>87.69</v>
      </c>
      <c r="GJ16" s="104">
        <v>87.12</v>
      </c>
      <c r="GK16" s="104">
        <v>86.98</v>
      </c>
      <c r="GL16" s="104">
        <v>87.26</v>
      </c>
      <c r="GM16" s="104">
        <v>86.93</v>
      </c>
      <c r="GN16" s="104">
        <v>87.7</v>
      </c>
      <c r="GO16" s="104">
        <v>88.04</v>
      </c>
      <c r="GP16" s="104">
        <v>88.88</v>
      </c>
      <c r="GQ16" s="104">
        <v>87.74</v>
      </c>
      <c r="GR16" s="104">
        <v>87.91</v>
      </c>
      <c r="GS16" s="104">
        <v>87.85</v>
      </c>
      <c r="GT16" s="116">
        <v>87.93</v>
      </c>
      <c r="GU16" s="2">
        <v>88.92</v>
      </c>
      <c r="GV16" s="2">
        <v>89.05</v>
      </c>
      <c r="GW16" s="2">
        <v>89.48</v>
      </c>
      <c r="GX16" s="54">
        <v>88.93</v>
      </c>
      <c r="GY16" s="53">
        <v>88.26</v>
      </c>
      <c r="GZ16" s="53">
        <v>88.55</v>
      </c>
      <c r="HA16" s="53">
        <v>88.65</v>
      </c>
      <c r="HB16" s="53">
        <v>89.48</v>
      </c>
      <c r="HC16" s="53">
        <v>89.15</v>
      </c>
      <c r="HD16" s="53">
        <v>89.87</v>
      </c>
      <c r="HE16" s="55">
        <v>87.75</v>
      </c>
      <c r="HF16" s="55">
        <v>87.44</v>
      </c>
      <c r="HG16" s="55">
        <v>86.93</v>
      </c>
      <c r="HH16" s="55">
        <v>82.17</v>
      </c>
      <c r="HI16" s="55">
        <v>83.98</v>
      </c>
      <c r="HJ16" s="55">
        <v>87.93</v>
      </c>
      <c r="HK16" s="55">
        <v>88.96</v>
      </c>
      <c r="HL16" s="55">
        <v>88.45</v>
      </c>
      <c r="HM16" s="55">
        <v>88.05</v>
      </c>
      <c r="HN16" s="55">
        <v>87.83</v>
      </c>
      <c r="HO16" s="55">
        <v>87.83</v>
      </c>
      <c r="HP16" s="55">
        <v>87.98</v>
      </c>
      <c r="HQ16" s="55">
        <v>87.66</v>
      </c>
      <c r="HR16" s="55">
        <v>88.41</v>
      </c>
      <c r="HS16" s="55">
        <v>88.18</v>
      </c>
      <c r="HT16" s="55">
        <v>87.95</v>
      </c>
      <c r="HU16" s="55">
        <v>87.66</v>
      </c>
      <c r="HV16" s="55">
        <v>87.88</v>
      </c>
      <c r="HW16" s="55">
        <v>87.72</v>
      </c>
      <c r="HX16" s="55">
        <v>87.84</v>
      </c>
      <c r="HY16" s="55">
        <v>88.41</v>
      </c>
      <c r="HZ16" s="55">
        <v>87.59</v>
      </c>
      <c r="IA16" s="55">
        <v>87.46</v>
      </c>
      <c r="IB16" s="55">
        <v>87.67</v>
      </c>
      <c r="IC16" s="126">
        <v>87.39</v>
      </c>
      <c r="ID16" s="126">
        <v>87.71</v>
      </c>
      <c r="IE16" s="126">
        <v>87.66</v>
      </c>
      <c r="IF16" s="126">
        <v>88.51</v>
      </c>
      <c r="IG16" s="126">
        <v>87.91</v>
      </c>
      <c r="IH16" s="55">
        <v>87.79</v>
      </c>
      <c r="II16" s="55">
        <v>86.7</v>
      </c>
      <c r="IJ16" s="55">
        <v>88.53</v>
      </c>
      <c r="IK16" s="55">
        <v>87.6</v>
      </c>
      <c r="IL16" s="55">
        <v>87.65</v>
      </c>
      <c r="IM16" s="55">
        <v>90</v>
      </c>
      <c r="IN16" s="55">
        <v>88.32</v>
      </c>
      <c r="IO16" s="100">
        <v>88.33</v>
      </c>
      <c r="IP16" s="100">
        <v>88.07</v>
      </c>
      <c r="IQ16" s="100">
        <v>88.58</v>
      </c>
      <c r="IR16" s="100">
        <v>88.78</v>
      </c>
      <c r="IS16" s="100">
        <v>89.46</v>
      </c>
      <c r="IT16" s="100">
        <v>90.41</v>
      </c>
      <c r="IU16" s="100">
        <v>99.99</v>
      </c>
      <c r="IV16" s="100">
        <v>99.99</v>
      </c>
      <c r="IW16" s="100">
        <v>88.95</v>
      </c>
      <c r="IX16" s="118">
        <v>99.99</v>
      </c>
      <c r="IY16" s="143">
        <v>89.24</v>
      </c>
      <c r="IZ16" s="143">
        <v>89.4</v>
      </c>
      <c r="JA16" s="143">
        <v>90.39</v>
      </c>
      <c r="JB16" s="143">
        <v>89.08</v>
      </c>
      <c r="JC16" s="71">
        <v>99.99</v>
      </c>
      <c r="JD16" s="146">
        <v>99.99</v>
      </c>
      <c r="JE16" s="71">
        <v>99.99</v>
      </c>
      <c r="JF16" s="64">
        <v>99.99</v>
      </c>
      <c r="JG16" s="64">
        <v>99.99</v>
      </c>
      <c r="JH16" s="64">
        <v>99.99</v>
      </c>
      <c r="JI16" s="64">
        <v>99.99</v>
      </c>
      <c r="JJ16" s="64">
        <v>99.99</v>
      </c>
      <c r="JK16" s="64">
        <v>99.99</v>
      </c>
      <c r="JL16" s="64">
        <v>99.99</v>
      </c>
      <c r="JM16" s="64">
        <v>99.99</v>
      </c>
      <c r="JN16" s="72">
        <v>99.99</v>
      </c>
      <c r="JO16" s="71">
        <v>99.99</v>
      </c>
      <c r="JP16" s="71">
        <v>99.99</v>
      </c>
      <c r="JQ16" s="71">
        <v>99.99</v>
      </c>
      <c r="JR16" s="71">
        <v>99.99</v>
      </c>
      <c r="JS16" s="71">
        <v>99.99</v>
      </c>
      <c r="JT16" s="64">
        <v>99.99</v>
      </c>
      <c r="JU16" s="71">
        <v>99.99</v>
      </c>
      <c r="JV16" s="64">
        <v>99.99</v>
      </c>
      <c r="JW16" s="64">
        <v>99.99</v>
      </c>
      <c r="JX16" s="64">
        <v>99.99</v>
      </c>
      <c r="JY16" s="64">
        <v>99.99</v>
      </c>
      <c r="JZ16" s="72">
        <v>99.99</v>
      </c>
      <c r="KA16" s="48">
        <v>89.31</v>
      </c>
      <c r="KB16" s="48">
        <v>89.4</v>
      </c>
      <c r="KC16" s="158">
        <v>90.28</v>
      </c>
      <c r="KD16" s="64">
        <v>89.1</v>
      </c>
      <c r="KE16" s="48">
        <v>89.11</v>
      </c>
      <c r="KF16" s="48">
        <v>89.51</v>
      </c>
      <c r="KG16" s="48">
        <v>89.53</v>
      </c>
      <c r="KH16" s="64">
        <v>99.99</v>
      </c>
      <c r="KI16" s="64">
        <v>99.99</v>
      </c>
      <c r="KJ16" s="64">
        <v>99.99</v>
      </c>
      <c r="KK16" s="64">
        <v>99.99</v>
      </c>
      <c r="KL16" s="64">
        <v>99.99</v>
      </c>
      <c r="KM16" s="64">
        <v>99.99</v>
      </c>
      <c r="KN16" s="64">
        <v>99.99</v>
      </c>
      <c r="KO16" s="64">
        <v>88.5</v>
      </c>
      <c r="KP16" s="64">
        <v>88.73</v>
      </c>
      <c r="KQ16" s="64">
        <v>89.86</v>
      </c>
      <c r="KR16" s="48">
        <v>89.85</v>
      </c>
      <c r="KS16" s="48">
        <v>89.6</v>
      </c>
      <c r="KT16" s="104">
        <v>89.17</v>
      </c>
      <c r="KU16" s="104">
        <v>88.8</v>
      </c>
      <c r="KV16" s="104">
        <v>88.6</v>
      </c>
      <c r="KW16" s="104">
        <v>86.59</v>
      </c>
      <c r="KX16" s="104">
        <v>86.53</v>
      </c>
      <c r="KY16" s="104">
        <v>83.7</v>
      </c>
      <c r="KZ16" s="104">
        <v>88.57</v>
      </c>
      <c r="LA16" s="104">
        <v>88.55</v>
      </c>
      <c r="LB16" s="104">
        <v>89.04</v>
      </c>
      <c r="LC16" s="104">
        <v>88.02</v>
      </c>
      <c r="LD16" s="104">
        <v>88.86</v>
      </c>
      <c r="LE16" s="104">
        <v>89.51</v>
      </c>
      <c r="LF16" s="104">
        <v>88.66</v>
      </c>
      <c r="LG16" s="104">
        <v>88.68</v>
      </c>
      <c r="LH16" s="104">
        <v>89.34</v>
      </c>
      <c r="LI16" s="104">
        <v>88.71</v>
      </c>
      <c r="LJ16" s="104">
        <v>88.67</v>
      </c>
      <c r="LK16" s="104">
        <v>88.76</v>
      </c>
      <c r="LL16" s="104">
        <v>89.9</v>
      </c>
      <c r="LM16" s="104">
        <v>88.89</v>
      </c>
      <c r="LN16" s="104">
        <v>88.91</v>
      </c>
      <c r="LO16" s="104">
        <v>88.13</v>
      </c>
      <c r="LP16" s="104">
        <v>88.95</v>
      </c>
      <c r="LQ16" s="104">
        <v>89.47</v>
      </c>
      <c r="LR16" s="104">
        <v>89.34</v>
      </c>
      <c r="LS16" s="104">
        <v>90.38</v>
      </c>
      <c r="LT16" s="104">
        <v>88.81</v>
      </c>
      <c r="LU16" s="104">
        <v>88.53</v>
      </c>
      <c r="LV16" s="104">
        <v>88.91</v>
      </c>
      <c r="LW16" s="104">
        <v>88.56</v>
      </c>
      <c r="LX16" s="104">
        <v>88.48</v>
      </c>
      <c r="LY16" s="104">
        <v>89.09</v>
      </c>
      <c r="LZ16" s="104">
        <v>90.24</v>
      </c>
      <c r="MA16" s="104">
        <v>88.76</v>
      </c>
      <c r="MB16" s="104">
        <v>88.62</v>
      </c>
      <c r="MC16" s="104">
        <v>89.33</v>
      </c>
      <c r="MD16" s="104">
        <v>88.6</v>
      </c>
      <c r="ME16" s="104">
        <v>88.44</v>
      </c>
      <c r="MF16" s="114">
        <v>99.99</v>
      </c>
      <c r="MG16" s="114">
        <v>99.99</v>
      </c>
      <c r="MH16" s="114">
        <v>99.99</v>
      </c>
      <c r="MI16" s="114">
        <v>99.99</v>
      </c>
      <c r="MJ16" s="114">
        <v>99.99</v>
      </c>
      <c r="MK16" s="114">
        <v>99.99</v>
      </c>
      <c r="ML16" s="114">
        <v>99.99</v>
      </c>
      <c r="MM16" s="114">
        <v>99.99</v>
      </c>
      <c r="MN16" s="104">
        <v>89.87</v>
      </c>
      <c r="MO16" s="104">
        <v>89.02</v>
      </c>
      <c r="MP16" s="104">
        <v>88.87</v>
      </c>
      <c r="MQ16" s="104">
        <v>88.01</v>
      </c>
      <c r="MR16" s="104">
        <v>88.93</v>
      </c>
      <c r="MS16" s="101">
        <v>88.98</v>
      </c>
      <c r="MT16" s="101">
        <v>92.73</v>
      </c>
      <c r="MU16" s="101">
        <v>90.34</v>
      </c>
      <c r="MV16" s="101">
        <v>89.83</v>
      </c>
      <c r="MW16" s="101">
        <v>89.4</v>
      </c>
      <c r="MX16" s="101">
        <v>89.02</v>
      </c>
      <c r="MY16" s="104">
        <v>86.12</v>
      </c>
      <c r="MZ16" s="2"/>
      <c r="NA16" s="2"/>
      <c r="NB16" s="2"/>
      <c r="NC16">
        <v>87.47</v>
      </c>
      <c r="ND16">
        <v>89.23</v>
      </c>
      <c r="NE16">
        <v>89.28</v>
      </c>
      <c r="NF16">
        <v>87.96</v>
      </c>
      <c r="NG16">
        <v>89.37</v>
      </c>
      <c r="NH16">
        <v>89.7</v>
      </c>
      <c r="NI16">
        <v>90.83</v>
      </c>
      <c r="NJ16">
        <v>89.66</v>
      </c>
      <c r="NK16">
        <v>89.53</v>
      </c>
      <c r="NL16">
        <v>89.61</v>
      </c>
      <c r="NM16">
        <v>89.7</v>
      </c>
      <c r="NN16" s="48">
        <v>90.66</v>
      </c>
      <c r="NO16" s="48">
        <v>90.91</v>
      </c>
      <c r="NP16" s="48">
        <v>91.96</v>
      </c>
      <c r="NQ16" s="48">
        <v>90.78</v>
      </c>
      <c r="NR16" s="48">
        <v>90.85</v>
      </c>
      <c r="NS16" s="71">
        <v>90.96</v>
      </c>
      <c r="NT16" s="48">
        <v>91.09</v>
      </c>
      <c r="NU16" s="48">
        <v>90.96</v>
      </c>
      <c r="NV16" s="48">
        <v>91.37</v>
      </c>
      <c r="NW16" s="48">
        <v>91.93</v>
      </c>
      <c r="NX16" s="48">
        <v>90.69</v>
      </c>
      <c r="NY16" s="48">
        <v>90.74</v>
      </c>
      <c r="NZ16" s="48">
        <v>90.71</v>
      </c>
      <c r="OA16" s="64">
        <v>90.85</v>
      </c>
      <c r="OB16" s="64">
        <v>90.33</v>
      </c>
      <c r="OC16" s="64">
        <v>91.35</v>
      </c>
      <c r="OD16" s="64">
        <v>92.07</v>
      </c>
      <c r="OE16" s="48">
        <v>90.77</v>
      </c>
      <c r="OF16" s="48">
        <v>90.91</v>
      </c>
      <c r="OG16" s="48">
        <v>90.58</v>
      </c>
      <c r="OH16" s="48">
        <v>90.99</v>
      </c>
      <c r="OI16" s="48">
        <v>90.66</v>
      </c>
      <c r="OJ16" s="48">
        <v>90.75</v>
      </c>
      <c r="OK16" s="48">
        <v>91.86</v>
      </c>
      <c r="OL16" s="48">
        <v>90.81</v>
      </c>
      <c r="OM16" s="48">
        <v>91.13</v>
      </c>
      <c r="ON16" s="48">
        <v>91.31</v>
      </c>
      <c r="OO16" s="48">
        <v>91.43</v>
      </c>
      <c r="OP16" s="48">
        <v>91.03</v>
      </c>
      <c r="OQ16" s="48">
        <v>91.14</v>
      </c>
      <c r="OR16" s="48">
        <v>92.19</v>
      </c>
      <c r="OS16" s="48">
        <v>91.82</v>
      </c>
      <c r="OT16" s="48">
        <v>91.21</v>
      </c>
      <c r="OU16" s="48">
        <v>90.71</v>
      </c>
      <c r="OV16" s="64">
        <v>92.58</v>
      </c>
      <c r="OW16" s="2">
        <v>90.34</v>
      </c>
      <c r="OX16" s="2">
        <v>91.37</v>
      </c>
      <c r="OY16" s="2">
        <v>91.88</v>
      </c>
      <c r="OZ16" s="48">
        <v>91.12</v>
      </c>
      <c r="PA16" s="48">
        <v>90.66</v>
      </c>
      <c r="PB16" s="48">
        <v>90.76</v>
      </c>
      <c r="PC16" s="48">
        <v>91.04</v>
      </c>
      <c r="PD16" s="48">
        <v>90.51</v>
      </c>
      <c r="PE16" s="48">
        <v>91.27</v>
      </c>
      <c r="PF16" s="48">
        <v>91.93</v>
      </c>
      <c r="PG16" s="48">
        <v>90.63</v>
      </c>
      <c r="PH16" s="71">
        <v>90.85</v>
      </c>
      <c r="PI16" s="48">
        <v>91.1</v>
      </c>
      <c r="PJ16" s="48">
        <v>90.62</v>
      </c>
      <c r="PK16" s="48">
        <v>90.73</v>
      </c>
      <c r="PL16" s="48">
        <v>91.08</v>
      </c>
      <c r="PM16" s="48">
        <v>91.55</v>
      </c>
      <c r="PN16" s="48">
        <v>90.41</v>
      </c>
      <c r="PO16" s="48">
        <v>90.48</v>
      </c>
      <c r="PP16" s="64">
        <v>91.1</v>
      </c>
      <c r="PQ16" s="64">
        <v>90.93</v>
      </c>
      <c r="PR16" s="64">
        <v>92.58</v>
      </c>
      <c r="PS16" s="64">
        <v>90.76</v>
      </c>
      <c r="PT16" s="64">
        <v>91.99</v>
      </c>
      <c r="PU16" s="64">
        <v>90.65</v>
      </c>
      <c r="PV16" s="64">
        <v>90.44</v>
      </c>
      <c r="PW16" s="64">
        <v>90.8</v>
      </c>
      <c r="PX16" s="48">
        <v>91.19</v>
      </c>
      <c r="PY16" s="48">
        <v>91.2</v>
      </c>
      <c r="PZ16" s="48">
        <v>90.59</v>
      </c>
      <c r="QA16" s="48">
        <v>91.54</v>
      </c>
      <c r="QB16" s="48">
        <v>90.78</v>
      </c>
      <c r="QC16" s="71">
        <v>90.64</v>
      </c>
      <c r="QD16" s="48">
        <v>90.37</v>
      </c>
      <c r="QE16" s="64">
        <v>90.51</v>
      </c>
      <c r="QF16" s="64">
        <v>89.52</v>
      </c>
      <c r="QG16" s="64">
        <v>89.61</v>
      </c>
      <c r="QH16" s="71">
        <v>91.14</v>
      </c>
      <c r="QI16" s="71">
        <v>90.72</v>
      </c>
      <c r="QJ16" s="48">
        <v>90.47</v>
      </c>
      <c r="QK16" s="48">
        <v>90.35</v>
      </c>
      <c r="QL16" s="48">
        <v>90.48</v>
      </c>
      <c r="QM16" s="48">
        <v>90.15</v>
      </c>
      <c r="QN16" s="48">
        <v>90.11</v>
      </c>
      <c r="QO16" s="48">
        <v>90.34</v>
      </c>
      <c r="QP16" s="48">
        <v>90.25</v>
      </c>
      <c r="QQ16" s="48">
        <v>90.15</v>
      </c>
      <c r="QR16" s="48">
        <v>89.84</v>
      </c>
      <c r="QS16" s="48">
        <v>90.2</v>
      </c>
      <c r="QT16" s="64">
        <v>90.31</v>
      </c>
      <c r="QU16" s="64">
        <v>90.48</v>
      </c>
      <c r="QV16" s="64">
        <v>90.96</v>
      </c>
      <c r="QW16" s="48">
        <v>90.73</v>
      </c>
      <c r="QX16" s="48">
        <v>90.55</v>
      </c>
      <c r="QY16" s="48">
        <v>90.87</v>
      </c>
      <c r="QZ16" s="48">
        <v>90.94</v>
      </c>
      <c r="RA16" s="48">
        <v>91.15</v>
      </c>
      <c r="RB16" s="48">
        <v>91.09</v>
      </c>
      <c r="RC16" s="158">
        <v>91.47</v>
      </c>
      <c r="RD16" s="48">
        <v>91.13</v>
      </c>
      <c r="RE16" s="48">
        <v>90.95</v>
      </c>
      <c r="RF16" s="48">
        <v>90.97</v>
      </c>
      <c r="RG16" s="48">
        <v>91.03</v>
      </c>
      <c r="RH16" s="48">
        <v>90.97</v>
      </c>
      <c r="RI16" s="48">
        <v>91.1</v>
      </c>
      <c r="RJ16" s="48">
        <v>91.51</v>
      </c>
      <c r="RK16" s="48">
        <v>90.85</v>
      </c>
      <c r="RL16" s="48">
        <v>91.06</v>
      </c>
      <c r="RM16" s="48">
        <v>90.94</v>
      </c>
      <c r="RN16" s="48">
        <v>90.78</v>
      </c>
      <c r="RO16" s="48">
        <v>90.72</v>
      </c>
      <c r="RP16" s="48">
        <v>91.37</v>
      </c>
      <c r="RQ16" s="48">
        <v>91.7</v>
      </c>
      <c r="RR16" s="48">
        <v>91.22</v>
      </c>
      <c r="RS16" s="48">
        <v>91.06</v>
      </c>
      <c r="RT16" s="48">
        <v>91.32</v>
      </c>
      <c r="RU16" s="48">
        <v>91.18</v>
      </c>
      <c r="RV16" s="48">
        <v>91.29</v>
      </c>
      <c r="RW16" s="48">
        <v>91.48</v>
      </c>
      <c r="RX16" s="48">
        <v>91.97</v>
      </c>
      <c r="RY16" s="48">
        <v>91.43</v>
      </c>
      <c r="RZ16" s="48">
        <v>91.35</v>
      </c>
      <c r="SA16" s="183"/>
      <c r="SB16" s="64"/>
      <c r="SC16" s="64"/>
      <c r="SD16" s="64"/>
      <c r="SE16" s="64"/>
      <c r="SF16" s="72"/>
      <c r="SG16" s="48">
        <v>91.32</v>
      </c>
      <c r="SH16" s="48">
        <v>87.9</v>
      </c>
      <c r="SI16" s="48">
        <v>91.44</v>
      </c>
      <c r="SJ16" s="48">
        <v>90.72</v>
      </c>
      <c r="SK16" s="48">
        <v>90.55</v>
      </c>
      <c r="SL16" s="48">
        <v>91.74</v>
      </c>
      <c r="SM16" s="48">
        <v>91.49</v>
      </c>
      <c r="SN16" s="64">
        <v>93.88</v>
      </c>
      <c r="SO16" s="64">
        <v>93.57</v>
      </c>
      <c r="SP16" s="48">
        <v>90.8</v>
      </c>
      <c r="SQ16" s="64">
        <v>94.288493420497872</v>
      </c>
      <c r="SR16" s="64">
        <v>94.188900971259585</v>
      </c>
      <c r="SS16" s="64">
        <v>93.67</v>
      </c>
      <c r="ST16" s="48">
        <v>91.35</v>
      </c>
      <c r="SU16" s="64">
        <v>93.57</v>
      </c>
      <c r="SV16" s="64">
        <v>91.95</v>
      </c>
      <c r="SW16" s="64">
        <v>93.76</v>
      </c>
      <c r="SX16" s="64">
        <v>93.67</v>
      </c>
      <c r="SY16" s="64">
        <v>93.88</v>
      </c>
      <c r="SZ16" s="64">
        <v>93.58</v>
      </c>
      <c r="TA16" s="64">
        <v>93.88</v>
      </c>
      <c r="TB16" s="64">
        <v>91.86</v>
      </c>
      <c r="TC16" s="64">
        <v>94.189665454565315</v>
      </c>
      <c r="TD16" s="64">
        <v>94.35180489385877</v>
      </c>
      <c r="TE16" s="64">
        <v>94.219375558076663</v>
      </c>
      <c r="TF16" s="64">
        <v>89.266768444120373</v>
      </c>
      <c r="TG16" s="64">
        <v>94.307356358500883</v>
      </c>
      <c r="TH16" s="64">
        <v>93.58</v>
      </c>
      <c r="TI16" s="64">
        <v>93.57</v>
      </c>
      <c r="TJ16" s="64">
        <v>91.95</v>
      </c>
      <c r="TK16" s="64">
        <v>93.76</v>
      </c>
      <c r="TL16" s="64">
        <v>93.76970122046886</v>
      </c>
      <c r="TM16" s="64">
        <v>94.222956848257425</v>
      </c>
      <c r="TN16" s="64">
        <v>94.065471790283169</v>
      </c>
      <c r="TO16" s="64">
        <v>94.106772639981571</v>
      </c>
      <c r="TP16" s="64">
        <v>93.282926787933249</v>
      </c>
      <c r="TQ16" s="64">
        <v>94.099703790513658</v>
      </c>
      <c r="TR16" s="64">
        <v>93.834631336056916</v>
      </c>
      <c r="TS16" s="64">
        <v>94.255521091552197</v>
      </c>
      <c r="TT16" s="64">
        <v>94.346166840340544</v>
      </c>
      <c r="TU16" s="64">
        <v>92.78</v>
      </c>
      <c r="TV16" s="64">
        <v>92.45</v>
      </c>
      <c r="TW16" s="48">
        <v>92.22</v>
      </c>
      <c r="TX16" s="64">
        <v>92.09</v>
      </c>
      <c r="TY16" s="64">
        <v>91.93</v>
      </c>
      <c r="TZ16" s="64">
        <v>90.73</v>
      </c>
      <c r="UA16" s="64">
        <v>90.83</v>
      </c>
      <c r="UB16" s="48">
        <v>92.44</v>
      </c>
      <c r="UC16" s="48">
        <v>92.02</v>
      </c>
      <c r="UD16" s="48">
        <v>92.04</v>
      </c>
      <c r="UE16" s="48">
        <v>92.26</v>
      </c>
      <c r="UF16" s="48">
        <v>92.14</v>
      </c>
      <c r="UG16" s="48">
        <v>92.12</v>
      </c>
      <c r="UH16" s="48">
        <v>92.06</v>
      </c>
      <c r="UI16" s="48">
        <v>92.53</v>
      </c>
      <c r="UJ16" s="48">
        <v>91.6</v>
      </c>
      <c r="UK16" s="48">
        <v>91.84</v>
      </c>
      <c r="UL16" s="64">
        <v>92.16</v>
      </c>
      <c r="UM16" s="48">
        <v>92.3</v>
      </c>
      <c r="UN16" s="48">
        <v>92.37</v>
      </c>
      <c r="UO16" s="48">
        <v>92.18</v>
      </c>
      <c r="UP16" s="48">
        <v>91.96</v>
      </c>
      <c r="UQ16" s="48">
        <v>92.3</v>
      </c>
      <c r="UR16" s="48">
        <v>92.37</v>
      </c>
      <c r="US16" s="48">
        <v>92.24</v>
      </c>
      <c r="UT16" s="48">
        <v>92.24</v>
      </c>
      <c r="UU16" s="48">
        <v>92.26</v>
      </c>
      <c r="UV16" s="48">
        <v>92.12</v>
      </c>
      <c r="UW16" s="48">
        <v>92.49</v>
      </c>
      <c r="UX16" s="64">
        <v>92.15</v>
      </c>
      <c r="UY16" s="64">
        <v>92.15</v>
      </c>
      <c r="UZ16" s="64">
        <v>92.17</v>
      </c>
      <c r="VA16" s="64">
        <v>92.25</v>
      </c>
      <c r="VB16" s="64">
        <v>92.42</v>
      </c>
      <c r="VC16" s="64">
        <v>92.23</v>
      </c>
      <c r="VD16" s="64">
        <v>92.76</v>
      </c>
      <c r="VE16" s="48">
        <v>86.07</v>
      </c>
      <c r="VF16" s="48">
        <v>92.33</v>
      </c>
      <c r="VG16" s="48">
        <v>92.31</v>
      </c>
      <c r="VH16" s="71">
        <v>92.09</v>
      </c>
      <c r="VI16" s="64">
        <v>91.76</v>
      </c>
      <c r="VJ16" s="64">
        <v>91.96</v>
      </c>
      <c r="VK16" s="64">
        <v>92.65</v>
      </c>
      <c r="VL16" s="64">
        <v>92.25</v>
      </c>
      <c r="VM16" s="64">
        <v>92.03</v>
      </c>
      <c r="VN16" s="64">
        <v>92.09</v>
      </c>
      <c r="VO16" s="64">
        <v>92.22</v>
      </c>
      <c r="VP16" s="64">
        <v>92.1</v>
      </c>
      <c r="VQ16" s="64">
        <v>91.74</v>
      </c>
      <c r="VR16" s="48">
        <v>92.69</v>
      </c>
      <c r="VS16" s="183"/>
      <c r="VT16" s="2"/>
      <c r="VU16" s="2"/>
      <c r="VV16" s="2"/>
      <c r="VW16" s="2"/>
      <c r="VX16" s="64"/>
      <c r="VY16" s="2"/>
      <c r="VZ16" s="30"/>
      <c r="WA16" s="64"/>
      <c r="WB16" s="64"/>
      <c r="WC16" s="64"/>
      <c r="WD16" s="86"/>
      <c r="WE16" s="2"/>
      <c r="WF16" s="66"/>
      <c r="WG16" s="66"/>
      <c r="WH16" s="64"/>
      <c r="WI16" s="64"/>
      <c r="WJ16" s="72"/>
      <c r="WK16" s="2"/>
      <c r="WL16" s="2"/>
      <c r="WM16" s="2"/>
      <c r="WN16" s="2"/>
      <c r="WO16" s="2"/>
      <c r="WP16" s="2"/>
      <c r="WQ16" s="2"/>
      <c r="WR16" s="2"/>
      <c r="WS16" s="64"/>
      <c r="WT16" s="64"/>
      <c r="WU16" s="64"/>
      <c r="WV16" s="64"/>
      <c r="WW16" s="64"/>
      <c r="WX16" s="64"/>
      <c r="WY16" s="64"/>
      <c r="WZ16" s="64"/>
      <c r="XA16" s="64"/>
      <c r="XB16" s="64"/>
      <c r="XC16" s="64"/>
      <c r="XD16" s="64"/>
      <c r="XE16" s="64"/>
      <c r="XF16" s="64"/>
      <c r="XG16" s="64"/>
      <c r="XH16" s="64"/>
      <c r="XI16" s="64"/>
      <c r="XJ16" s="64"/>
      <c r="XK16" s="64"/>
      <c r="XL16" s="64"/>
      <c r="XM16" s="64"/>
      <c r="XN16" s="64"/>
      <c r="XO16" s="64"/>
      <c r="XP16" s="64"/>
      <c r="XQ16" s="64"/>
      <c r="XR16" s="64"/>
      <c r="XS16" s="64"/>
      <c r="XT16" s="64"/>
      <c r="XU16" s="64"/>
      <c r="XV16" s="64"/>
      <c r="XW16" s="64"/>
      <c r="XX16" s="64"/>
      <c r="XY16" s="64"/>
      <c r="XZ16" s="64"/>
      <c r="YA16" s="64"/>
      <c r="YB16" s="64"/>
      <c r="YC16" s="64"/>
      <c r="YD16" s="64"/>
      <c r="YE16" s="64"/>
      <c r="YF16" s="64"/>
      <c r="YG16" s="64"/>
      <c r="YH16" s="64"/>
      <c r="YI16" s="64"/>
      <c r="YJ16" s="64"/>
      <c r="YK16" s="64"/>
      <c r="YL16" s="64"/>
      <c r="YM16" s="64"/>
      <c r="YN16" s="64"/>
      <c r="YO16" s="64"/>
      <c r="YP16" s="64"/>
      <c r="YQ16" s="64"/>
      <c r="YR16" s="64"/>
      <c r="YS16" s="64"/>
      <c r="YT16" s="64"/>
      <c r="YU16" s="64"/>
      <c r="YV16" s="64"/>
      <c r="YW16" s="64"/>
      <c r="YX16" s="64"/>
      <c r="YY16" s="2"/>
      <c r="YZ16" s="64"/>
      <c r="ZA16" s="2"/>
      <c r="ZB16" s="2"/>
      <c r="ZC16" s="2"/>
      <c r="ZD16" s="2"/>
      <c r="ZE16" s="2"/>
      <c r="ZF16" s="2"/>
      <c r="ZG16" s="64"/>
      <c r="ZH16" s="64"/>
      <c r="ZI16" s="64"/>
      <c r="ZJ16" s="64"/>
      <c r="ZK16" s="64"/>
      <c r="ZL16" s="64"/>
      <c r="ZM16" s="64"/>
      <c r="ZN16" s="64"/>
      <c r="ZO16" s="2"/>
      <c r="ZP16" s="2"/>
      <c r="ZQ16" s="2"/>
      <c r="ZR16" s="2"/>
      <c r="ZS16" s="2"/>
      <c r="ZT16" s="2"/>
      <c r="ZU16" s="64"/>
      <c r="ZV16" s="64"/>
      <c r="ZW16" s="64"/>
      <c r="ZX16" s="64"/>
      <c r="ZY16" s="64"/>
      <c r="ZZ16" s="64"/>
      <c r="AAA16" s="72"/>
      <c r="AAB16" s="64"/>
      <c r="AAC16" s="64"/>
      <c r="AAD16" s="64"/>
      <c r="AAE16" s="64"/>
      <c r="AAF16" s="72"/>
      <c r="AAG16" s="64"/>
      <c r="AAH16" s="72"/>
      <c r="AAI16" s="64"/>
      <c r="AAJ16" s="64"/>
      <c r="AAK16" s="64"/>
      <c r="AAL16" s="64"/>
      <c r="AAM16" s="64"/>
      <c r="AAN16" s="64"/>
      <c r="AAO16" s="64"/>
      <c r="AAP16" s="64"/>
      <c r="AAQ16" s="64"/>
      <c r="AAR16" s="64"/>
      <c r="AAS16" s="64"/>
      <c r="AAT16" s="64"/>
      <c r="AAU16" s="64"/>
      <c r="AAV16" s="64"/>
      <c r="AAW16" s="64"/>
      <c r="AAX16" s="64"/>
      <c r="AAY16" s="64"/>
      <c r="AAZ16" s="64"/>
      <c r="ABA16" s="64"/>
      <c r="ABB16" s="64"/>
      <c r="ABC16" s="64"/>
      <c r="ABD16" s="64"/>
      <c r="ABE16" s="64"/>
      <c r="ABF16" s="64"/>
      <c r="ABG16" s="64"/>
      <c r="ABH16" s="64"/>
      <c r="ABI16" s="64"/>
      <c r="ABJ16" s="64"/>
      <c r="ABK16" s="64"/>
      <c r="ABL16" s="64"/>
      <c r="ABM16" s="64"/>
      <c r="ABN16" s="64"/>
      <c r="ABO16" s="64"/>
      <c r="ABP16" s="64"/>
      <c r="ABQ16" s="64"/>
      <c r="ABR16" s="64"/>
      <c r="ABS16" s="64"/>
      <c r="ABT16" s="64"/>
      <c r="ABU16" s="64"/>
      <c r="ABV16" s="64"/>
      <c r="ABW16" s="64"/>
      <c r="ABX16" s="64"/>
      <c r="ABY16" s="64"/>
      <c r="ABZ16" s="64"/>
      <c r="ACA16" s="64"/>
      <c r="ACB16" s="64"/>
      <c r="ACC16" s="64"/>
      <c r="ACD16" s="64"/>
      <c r="ACE16" s="64"/>
      <c r="ACF16" s="64"/>
      <c r="ACG16" s="64"/>
      <c r="ACH16" s="64"/>
      <c r="ACI16" s="64"/>
      <c r="ACJ16" s="64"/>
      <c r="ACK16" s="64"/>
      <c r="ACL16" s="64"/>
      <c r="ACM16" s="64"/>
      <c r="ACN16" s="64"/>
      <c r="ACO16" s="64"/>
      <c r="ACP16" s="64"/>
      <c r="ACQ16" s="64"/>
      <c r="ACR16" s="64"/>
      <c r="ACS16" s="64"/>
      <c r="ACT16" s="64"/>
      <c r="ACU16" s="64"/>
      <c r="ACV16" s="64"/>
      <c r="ACW16" s="64"/>
      <c r="ACX16" s="64"/>
      <c r="ACY16" s="64"/>
      <c r="ACZ16" s="64"/>
      <c r="ADA16" s="64"/>
      <c r="ADB16" s="64"/>
      <c r="ADC16" s="64"/>
      <c r="ADD16" s="64"/>
      <c r="ADE16" s="64"/>
      <c r="ADF16" s="64"/>
      <c r="ADG16" s="64"/>
      <c r="ADH16" s="64"/>
      <c r="ADI16" s="64"/>
      <c r="ADJ16" s="64"/>
      <c r="ADK16" s="64"/>
      <c r="ADL16" s="2"/>
      <c r="ADM16" s="2"/>
      <c r="ADN16" s="2"/>
      <c r="ADO16" s="64"/>
      <c r="ADP16" s="64"/>
      <c r="ADQ16" s="64"/>
      <c r="ADR16" s="72"/>
      <c r="ADS16" s="64"/>
      <c r="ADT16" s="64"/>
      <c r="ADU16" s="64"/>
      <c r="ADV16" s="64"/>
      <c r="ADW16" s="64"/>
      <c r="ADX16" s="64"/>
      <c r="ADY16" s="64"/>
      <c r="ADZ16" s="64"/>
      <c r="AEA16" s="64"/>
      <c r="AEB16" s="64"/>
      <c r="AEC16" s="64"/>
      <c r="AED16" s="64"/>
      <c r="AEE16" s="64"/>
      <c r="AEF16" s="64"/>
      <c r="AEG16" s="64"/>
      <c r="AEH16" s="64"/>
      <c r="AEI16" s="64"/>
      <c r="AEJ16" s="64"/>
      <c r="AEK16" s="64"/>
      <c r="AEL16" s="64"/>
      <c r="AEM16" s="64"/>
      <c r="AEN16" s="64"/>
      <c r="AEO16" s="64"/>
      <c r="AEP16" s="64"/>
      <c r="AEQ16" s="64"/>
      <c r="AER16" s="64"/>
      <c r="AES16" s="64"/>
      <c r="AET16" s="64"/>
      <c r="AEU16" s="64"/>
      <c r="AEV16" s="64"/>
      <c r="AEW16" s="64"/>
      <c r="AEX16" s="64"/>
      <c r="AEY16" s="64"/>
      <c r="AEZ16" s="64"/>
      <c r="AFA16" s="64"/>
      <c r="AFB16" s="64"/>
      <c r="AFC16" s="64"/>
      <c r="AFD16" s="64"/>
      <c r="AFE16" s="64"/>
      <c r="AFF16" s="64"/>
      <c r="AFG16" s="64"/>
      <c r="AFH16" s="64"/>
      <c r="AFI16" s="64"/>
      <c r="AFJ16" s="64"/>
      <c r="AFK16" s="64"/>
      <c r="AFL16" s="64"/>
      <c r="AFM16" s="64"/>
      <c r="AFN16" s="64"/>
      <c r="AFO16" s="64"/>
      <c r="AFP16" s="64"/>
      <c r="AFQ16" s="64"/>
      <c r="AFR16" s="64"/>
      <c r="AFS16" s="64"/>
      <c r="AFT16" s="64"/>
      <c r="AFU16" s="64"/>
      <c r="AFV16" s="64"/>
      <c r="AFW16" s="64"/>
      <c r="AFX16" s="64"/>
      <c r="AFY16" s="64"/>
      <c r="AFZ16" s="64"/>
      <c r="AGA16" s="64"/>
      <c r="AGB16" s="64"/>
      <c r="AGC16" s="64"/>
      <c r="AGD16" s="64"/>
      <c r="AGE16" s="64"/>
      <c r="AGF16" s="64"/>
      <c r="AGG16" s="64"/>
      <c r="AGH16" s="64"/>
      <c r="AGI16" s="64"/>
      <c r="AGJ16" s="64"/>
      <c r="AGK16" s="64"/>
      <c r="AGL16" s="64"/>
      <c r="AGM16" s="64"/>
      <c r="AGN16" s="64"/>
      <c r="AGO16" s="64"/>
      <c r="AGP16" s="64"/>
      <c r="AGQ16" s="64"/>
      <c r="AGR16" s="64"/>
      <c r="AGS16" s="64"/>
      <c r="AGT16" s="64"/>
      <c r="AGU16" s="64"/>
      <c r="AGV16" s="64"/>
      <c r="AGW16" s="64"/>
      <c r="AGX16" s="64"/>
      <c r="AGY16" s="64"/>
      <c r="AGZ16" s="64"/>
      <c r="AHA16" s="64"/>
      <c r="AHB16" s="64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47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47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47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33"/>
      <c r="ANP16" s="11"/>
      <c r="ANQ16" s="11"/>
      <c r="ANR16" s="11"/>
      <c r="ANS16" s="11"/>
      <c r="ANT16" s="11"/>
      <c r="ANU16" s="11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</row>
    <row r="17" spans="1:998" ht="15.75" thickBot="1" x14ac:dyDescent="0.3">
      <c r="A17" s="377" t="s">
        <v>34</v>
      </c>
      <c r="B17" s="124" t="s">
        <v>120</v>
      </c>
      <c r="CM17" s="60"/>
      <c r="CN17" s="60"/>
      <c r="CO17" s="60"/>
      <c r="CP17" s="60"/>
      <c r="CQ17" s="60"/>
      <c r="CR17" s="60"/>
      <c r="CS17" s="60"/>
      <c r="GB17" s="60"/>
      <c r="IC17" s="55">
        <v>96.325329699999998</v>
      </c>
      <c r="ID17" s="55">
        <v>96.302374599999993</v>
      </c>
      <c r="IE17" s="55">
        <v>96.3331254</v>
      </c>
      <c r="IF17" s="55">
        <v>96.350371199999998</v>
      </c>
      <c r="IG17" s="55">
        <v>97.201773200000005</v>
      </c>
      <c r="IH17" s="55">
        <v>96.41</v>
      </c>
      <c r="II17" s="55">
        <v>96.29</v>
      </c>
      <c r="IJ17" s="55">
        <v>96.1</v>
      </c>
      <c r="IK17" s="55">
        <v>96.15</v>
      </c>
      <c r="IL17" s="55">
        <v>96.18</v>
      </c>
      <c r="IM17" s="55">
        <v>96.61</v>
      </c>
      <c r="IN17" s="55">
        <v>97.259570400000001</v>
      </c>
      <c r="IO17" s="55">
        <v>95.79</v>
      </c>
      <c r="IP17" s="100">
        <v>95.62</v>
      </c>
      <c r="IQ17" s="100">
        <v>95.64</v>
      </c>
      <c r="IR17" s="100">
        <v>96.12</v>
      </c>
      <c r="IS17" s="100">
        <v>96.32</v>
      </c>
      <c r="IT17" s="100">
        <v>96.88</v>
      </c>
      <c r="IU17" s="100">
        <v>97.5</v>
      </c>
      <c r="IV17" s="100">
        <v>96.3</v>
      </c>
      <c r="IW17" s="100">
        <v>96.48</v>
      </c>
      <c r="IX17" s="118">
        <v>96.73</v>
      </c>
      <c r="IY17" s="143">
        <v>96.49</v>
      </c>
      <c r="IZ17" s="46">
        <v>96.55</v>
      </c>
      <c r="JA17" s="46">
        <v>96.8</v>
      </c>
      <c r="JB17" s="46">
        <v>97.45</v>
      </c>
      <c r="JC17" s="71">
        <v>96.38</v>
      </c>
      <c r="JD17" s="146">
        <v>96.36</v>
      </c>
      <c r="JE17" s="71">
        <v>96.49</v>
      </c>
      <c r="JF17" s="71">
        <v>96.45</v>
      </c>
      <c r="JG17" s="64">
        <v>96.39</v>
      </c>
      <c r="JH17" s="64">
        <v>96.73</v>
      </c>
      <c r="JI17" s="64">
        <v>96.846999999999994</v>
      </c>
      <c r="JJ17" s="64">
        <v>96.16</v>
      </c>
      <c r="JK17" s="64">
        <v>96.45</v>
      </c>
      <c r="JL17" s="64">
        <v>96.39</v>
      </c>
      <c r="JM17" s="64">
        <v>95.96</v>
      </c>
      <c r="JN17" s="72">
        <v>96.15</v>
      </c>
      <c r="JO17" s="64">
        <v>96.68</v>
      </c>
      <c r="JP17" s="64">
        <v>97.1</v>
      </c>
      <c r="JQ17" s="64">
        <v>95.49</v>
      </c>
      <c r="JR17" s="64">
        <v>96.15</v>
      </c>
      <c r="JS17" s="64">
        <v>96.27</v>
      </c>
      <c r="JT17" s="64">
        <v>99.64</v>
      </c>
      <c r="JU17" s="64">
        <v>96.91</v>
      </c>
      <c r="JV17" s="64">
        <v>96.71</v>
      </c>
      <c r="JW17" s="64">
        <v>97</v>
      </c>
      <c r="JX17" s="64">
        <v>96.23</v>
      </c>
      <c r="JY17" s="64">
        <v>96.51</v>
      </c>
      <c r="JZ17" s="72">
        <v>95.86</v>
      </c>
      <c r="KA17" s="64">
        <v>96.12</v>
      </c>
      <c r="KB17" s="64">
        <v>96.37</v>
      </c>
      <c r="KC17" s="72">
        <v>96.6</v>
      </c>
      <c r="KD17" s="64">
        <v>97.46</v>
      </c>
      <c r="KE17" s="64">
        <v>96.22</v>
      </c>
      <c r="KF17" s="64">
        <v>96.41</v>
      </c>
      <c r="KG17" s="64">
        <v>96.54</v>
      </c>
      <c r="KH17" s="64">
        <v>96.82</v>
      </c>
      <c r="KI17" s="64">
        <v>96.93</v>
      </c>
      <c r="KJ17" s="64">
        <v>96.94</v>
      </c>
      <c r="KK17" s="64">
        <v>97.73</v>
      </c>
      <c r="KL17" s="64">
        <v>96.79</v>
      </c>
      <c r="KM17" s="64">
        <v>96.54</v>
      </c>
      <c r="KN17" s="64">
        <v>96.42</v>
      </c>
      <c r="KO17" s="64">
        <v>96.85</v>
      </c>
      <c r="KP17" s="64">
        <v>96.9</v>
      </c>
      <c r="KQ17" s="64">
        <v>96.91</v>
      </c>
      <c r="KR17" s="64">
        <v>97.66</v>
      </c>
      <c r="KS17" s="64">
        <v>96.9</v>
      </c>
      <c r="KT17" s="104">
        <v>96.92</v>
      </c>
      <c r="KU17" s="104">
        <v>97.42</v>
      </c>
      <c r="KV17" s="104">
        <v>96.88</v>
      </c>
      <c r="KW17" s="104">
        <v>96.49</v>
      </c>
      <c r="KX17" s="104">
        <v>96.54</v>
      </c>
      <c r="KY17" s="104">
        <v>96.9</v>
      </c>
      <c r="KZ17" s="104">
        <v>97.1</v>
      </c>
      <c r="LA17" s="104">
        <v>97.06</v>
      </c>
      <c r="LB17" s="104">
        <v>97.14</v>
      </c>
      <c r="LC17" s="104">
        <v>97.16</v>
      </c>
      <c r="LD17" s="104">
        <v>97.31</v>
      </c>
      <c r="LE17" s="104">
        <v>97.29</v>
      </c>
      <c r="LF17" s="104">
        <v>97.84</v>
      </c>
      <c r="LG17" s="104">
        <v>97.48</v>
      </c>
      <c r="LH17" s="104">
        <v>97.27</v>
      </c>
      <c r="LI17" s="104">
        <v>97.39</v>
      </c>
      <c r="LJ17" s="104">
        <v>96.97</v>
      </c>
      <c r="LK17" s="104">
        <v>97.37</v>
      </c>
      <c r="LL17" s="104">
        <v>97.52</v>
      </c>
      <c r="LM17" s="104">
        <v>97.8</v>
      </c>
      <c r="LN17" s="104">
        <v>97.22</v>
      </c>
      <c r="LO17" s="104">
        <v>97.17</v>
      </c>
      <c r="LP17" s="104">
        <v>97.16</v>
      </c>
      <c r="LQ17" s="104">
        <v>97.41</v>
      </c>
      <c r="LR17" s="104">
        <v>97.58</v>
      </c>
      <c r="LS17" s="104">
        <v>97.55</v>
      </c>
      <c r="LT17" s="104">
        <v>97.93</v>
      </c>
      <c r="LU17" s="104">
        <v>97.1</v>
      </c>
      <c r="LV17" s="104">
        <v>97.14</v>
      </c>
      <c r="LW17" s="104">
        <v>97.24</v>
      </c>
      <c r="LX17" s="104">
        <v>97.23</v>
      </c>
      <c r="LY17" s="104">
        <v>97.26</v>
      </c>
      <c r="LZ17" s="104">
        <v>97.57</v>
      </c>
      <c r="MA17" s="104">
        <v>97.81</v>
      </c>
      <c r="MB17" s="104">
        <v>97.19</v>
      </c>
      <c r="MC17" s="104">
        <v>97.24</v>
      </c>
      <c r="MD17" s="104">
        <v>97.28</v>
      </c>
      <c r="ME17" s="104">
        <v>97.13</v>
      </c>
      <c r="MF17" s="104">
        <v>97.09</v>
      </c>
      <c r="MG17" s="104">
        <v>99.66</v>
      </c>
      <c r="MH17" s="104">
        <v>97.81</v>
      </c>
      <c r="MI17" s="104">
        <v>96.78</v>
      </c>
      <c r="MJ17" s="104">
        <v>96.76</v>
      </c>
      <c r="MK17" s="104">
        <v>96.91</v>
      </c>
      <c r="ML17" s="104">
        <v>97.23</v>
      </c>
      <c r="MM17" s="104">
        <v>97.06</v>
      </c>
      <c r="MN17" s="104">
        <v>97.31</v>
      </c>
      <c r="MO17" s="104">
        <v>97.69</v>
      </c>
      <c r="MP17" s="104">
        <v>96.97</v>
      </c>
      <c r="MQ17" s="104">
        <v>96.84</v>
      </c>
      <c r="MR17" s="104">
        <v>97.07</v>
      </c>
      <c r="MS17" s="101">
        <v>97.08</v>
      </c>
      <c r="MT17" s="101">
        <v>97.13</v>
      </c>
      <c r="MU17" s="101">
        <v>97.34</v>
      </c>
      <c r="MV17" s="101">
        <v>98.19</v>
      </c>
      <c r="MW17" s="101">
        <v>97.56</v>
      </c>
      <c r="MX17" s="101">
        <v>97.6</v>
      </c>
      <c r="MY17" s="104">
        <v>95.1</v>
      </c>
      <c r="NC17" s="171">
        <v>98.28</v>
      </c>
      <c r="ND17" s="171">
        <v>96.16</v>
      </c>
      <c r="NE17" s="171">
        <v>97.68</v>
      </c>
      <c r="NF17" s="171">
        <v>97.47</v>
      </c>
      <c r="NG17" s="171">
        <v>97.56</v>
      </c>
      <c r="NH17" s="171">
        <v>97.5</v>
      </c>
      <c r="NI17" s="171">
        <v>97.9</v>
      </c>
      <c r="NJ17" s="171">
        <v>98.1</v>
      </c>
      <c r="NK17" s="171">
        <v>97.39</v>
      </c>
      <c r="NL17" s="171">
        <v>97.46</v>
      </c>
      <c r="NM17" s="171">
        <v>97.44</v>
      </c>
      <c r="NN17" s="104">
        <v>97.55</v>
      </c>
      <c r="NO17" s="48">
        <v>97.26</v>
      </c>
      <c r="NP17" s="48">
        <v>98</v>
      </c>
      <c r="NQ17" s="48">
        <v>98.1</v>
      </c>
      <c r="NR17" s="48">
        <v>97.64</v>
      </c>
      <c r="NS17" s="71">
        <v>97.61</v>
      </c>
      <c r="NT17" s="48">
        <v>97.65</v>
      </c>
      <c r="NU17" s="48">
        <v>97.54</v>
      </c>
      <c r="NV17" s="48">
        <v>97.44</v>
      </c>
      <c r="NW17" s="48">
        <v>97.77</v>
      </c>
      <c r="NX17" s="48">
        <v>97.9</v>
      </c>
      <c r="NY17" s="48">
        <v>97.14</v>
      </c>
      <c r="NZ17" s="48">
        <v>97.23</v>
      </c>
      <c r="OA17" s="48">
        <v>97.36</v>
      </c>
      <c r="OB17" s="48">
        <v>97.3</v>
      </c>
      <c r="OC17" s="48">
        <v>97.23</v>
      </c>
      <c r="OD17" s="71">
        <v>97.761303499999997</v>
      </c>
      <c r="OE17" s="48">
        <v>97.76</v>
      </c>
      <c r="OF17" s="48">
        <v>97.51</v>
      </c>
      <c r="OG17" s="48">
        <v>97.41</v>
      </c>
      <c r="OH17" s="48">
        <v>97.21</v>
      </c>
      <c r="OI17" s="48">
        <v>97.32</v>
      </c>
      <c r="OJ17" s="48">
        <v>96.86</v>
      </c>
      <c r="OK17" s="48">
        <v>97.9</v>
      </c>
      <c r="OL17" s="48">
        <v>98.14</v>
      </c>
      <c r="OM17" s="48">
        <v>97.46</v>
      </c>
      <c r="ON17" s="48">
        <v>97.19</v>
      </c>
      <c r="OO17" s="48">
        <v>97.86</v>
      </c>
      <c r="OP17" s="48">
        <v>97.67</v>
      </c>
      <c r="OQ17" s="48">
        <v>97.55</v>
      </c>
      <c r="OR17" s="48">
        <v>97.15</v>
      </c>
      <c r="OS17" s="48">
        <v>98.66</v>
      </c>
      <c r="OT17" s="48">
        <v>98.02</v>
      </c>
      <c r="OU17" s="48">
        <v>97.89</v>
      </c>
      <c r="OV17" s="48">
        <v>97.01</v>
      </c>
      <c r="OW17" s="48">
        <v>97.53</v>
      </c>
      <c r="OX17" s="48">
        <v>97.53</v>
      </c>
      <c r="OY17" s="48">
        <v>97.9</v>
      </c>
      <c r="OZ17" s="48">
        <v>97.96</v>
      </c>
      <c r="PA17" s="48">
        <v>97.43</v>
      </c>
      <c r="PB17" s="48">
        <v>97.2</v>
      </c>
      <c r="PC17" s="64">
        <v>97.04</v>
      </c>
      <c r="PD17" s="48">
        <v>97.54</v>
      </c>
      <c r="PE17" s="48">
        <v>97.24</v>
      </c>
      <c r="PF17" s="48">
        <v>97.73</v>
      </c>
      <c r="PG17" s="48">
        <v>97.94</v>
      </c>
      <c r="PH17" s="71">
        <v>97.27</v>
      </c>
      <c r="PI17" s="48">
        <v>97.78</v>
      </c>
      <c r="PJ17" s="48">
        <v>97.57</v>
      </c>
      <c r="PK17" s="48">
        <v>97.66</v>
      </c>
      <c r="PL17" s="48">
        <v>97.6</v>
      </c>
      <c r="PM17" s="48">
        <v>97.94</v>
      </c>
      <c r="PN17" s="48">
        <v>97.05</v>
      </c>
      <c r="PO17" s="48">
        <v>97.2</v>
      </c>
      <c r="PP17" s="48">
        <v>97.74</v>
      </c>
      <c r="PQ17" s="48">
        <v>97.74</v>
      </c>
      <c r="PR17" s="48">
        <v>97.7</v>
      </c>
      <c r="PS17" s="48">
        <v>97.59</v>
      </c>
      <c r="PT17" s="48">
        <v>99.77</v>
      </c>
      <c r="PU17" s="48">
        <v>97.91</v>
      </c>
      <c r="PV17" s="48">
        <v>97.37</v>
      </c>
      <c r="PW17" s="48">
        <v>97.51</v>
      </c>
      <c r="PX17" s="48">
        <v>98.03</v>
      </c>
      <c r="PY17" s="48">
        <v>97.7</v>
      </c>
      <c r="PZ17" s="48">
        <v>97.65</v>
      </c>
      <c r="QA17" s="48">
        <v>97.88</v>
      </c>
      <c r="QB17" s="48">
        <v>98.09</v>
      </c>
      <c r="QC17" s="71">
        <v>97.73</v>
      </c>
      <c r="QD17" s="48">
        <v>97.39</v>
      </c>
      <c r="QE17" s="48">
        <v>97.42</v>
      </c>
      <c r="QF17" s="64">
        <v>97.53</v>
      </c>
      <c r="QG17" s="64">
        <v>97.61</v>
      </c>
      <c r="QH17" s="71">
        <v>97.79</v>
      </c>
      <c r="QI17" s="71">
        <v>97.94</v>
      </c>
      <c r="QJ17" s="48">
        <v>97.6</v>
      </c>
      <c r="QK17" s="48">
        <v>97.64</v>
      </c>
      <c r="QL17" s="48">
        <v>97.61</v>
      </c>
      <c r="QM17" s="48">
        <v>97.5</v>
      </c>
      <c r="QN17" s="48">
        <v>97.46</v>
      </c>
      <c r="QO17" s="48">
        <v>97.56</v>
      </c>
      <c r="QP17" s="48">
        <v>97.78</v>
      </c>
      <c r="QQ17" s="48">
        <v>97.64</v>
      </c>
      <c r="QR17" s="48">
        <v>97.45</v>
      </c>
      <c r="QS17" s="48">
        <v>97.56</v>
      </c>
      <c r="QT17" s="48">
        <v>97.58</v>
      </c>
      <c r="QU17" s="48">
        <v>97.45</v>
      </c>
      <c r="QV17" s="48">
        <v>97.87</v>
      </c>
      <c r="QW17" s="48">
        <v>98.19</v>
      </c>
      <c r="QX17" s="48">
        <v>97.63</v>
      </c>
      <c r="QY17" s="48">
        <v>97.86</v>
      </c>
      <c r="QZ17" s="48">
        <v>97.74</v>
      </c>
      <c r="RA17" s="48">
        <v>98.07</v>
      </c>
      <c r="RB17" s="48">
        <v>97.85</v>
      </c>
      <c r="RC17" s="158">
        <v>97.96</v>
      </c>
      <c r="RD17" s="48">
        <v>98.21</v>
      </c>
      <c r="RE17" s="64">
        <v>97.87</v>
      </c>
      <c r="RF17" s="48">
        <v>97.71</v>
      </c>
      <c r="RG17" s="48">
        <v>97.94</v>
      </c>
      <c r="RH17" s="48">
        <v>98.04</v>
      </c>
      <c r="RI17" s="48">
        <v>97.74</v>
      </c>
      <c r="RJ17" s="48">
        <v>97.92</v>
      </c>
      <c r="RK17" s="48">
        <v>98.14</v>
      </c>
      <c r="RL17" s="48">
        <v>97.86</v>
      </c>
      <c r="RM17" s="48">
        <v>97.76</v>
      </c>
      <c r="RN17" s="48"/>
      <c r="RO17" s="48"/>
      <c r="RP17" s="48"/>
      <c r="RQ17" s="48"/>
      <c r="RR17" s="48"/>
      <c r="RS17" s="48">
        <v>97.94</v>
      </c>
      <c r="RT17" s="48">
        <v>98</v>
      </c>
      <c r="RU17" s="48">
        <v>97.89</v>
      </c>
      <c r="RV17" s="48">
        <v>97.98</v>
      </c>
      <c r="RW17" s="48">
        <v>97.92</v>
      </c>
      <c r="RX17" s="48">
        <v>98.17</v>
      </c>
      <c r="RY17" s="71">
        <v>98.37</v>
      </c>
      <c r="RZ17" s="48">
        <v>97.97</v>
      </c>
      <c r="SG17" s="104">
        <v>97.89</v>
      </c>
      <c r="SH17" s="104">
        <v>97</v>
      </c>
      <c r="SI17" s="104">
        <v>98.25</v>
      </c>
      <c r="SJ17" s="104">
        <v>98.01</v>
      </c>
      <c r="SK17" s="104">
        <v>98.17</v>
      </c>
      <c r="SL17" s="104">
        <v>98.26</v>
      </c>
      <c r="SM17" s="104">
        <v>98.38</v>
      </c>
      <c r="SN17" s="104">
        <v>98.2</v>
      </c>
      <c r="SO17" s="104">
        <v>97.47</v>
      </c>
      <c r="SP17" s="104">
        <v>96.74</v>
      </c>
      <c r="SQ17" s="104">
        <v>97.72</v>
      </c>
      <c r="SR17" s="104">
        <v>97.86</v>
      </c>
      <c r="SS17" s="48">
        <v>98.11</v>
      </c>
      <c r="ST17" s="48">
        <v>97.73</v>
      </c>
      <c r="SU17" s="48">
        <v>98.06</v>
      </c>
      <c r="SV17" s="48">
        <v>98.19</v>
      </c>
      <c r="SW17" s="48">
        <v>98.03</v>
      </c>
      <c r="SX17" s="48">
        <v>98.311999999999998</v>
      </c>
      <c r="SY17" s="48">
        <v>98.19</v>
      </c>
      <c r="SZ17" s="48">
        <v>98.47</v>
      </c>
      <c r="TA17" s="172">
        <v>98.48</v>
      </c>
      <c r="TB17" s="172">
        <v>98.22</v>
      </c>
      <c r="TC17" s="64">
        <v>98.21</v>
      </c>
      <c r="TD17" s="64">
        <v>98.23</v>
      </c>
      <c r="TE17" s="64">
        <v>98.14</v>
      </c>
      <c r="TF17" s="64">
        <v>94.214524058862864</v>
      </c>
      <c r="TG17" s="64">
        <v>98.29</v>
      </c>
      <c r="TH17" s="64">
        <v>98.59</v>
      </c>
      <c r="TI17" s="64">
        <v>98.13</v>
      </c>
      <c r="TJ17" s="64">
        <v>98.21</v>
      </c>
      <c r="TK17" s="104">
        <v>98.01</v>
      </c>
      <c r="TL17" s="64">
        <v>98.23</v>
      </c>
      <c r="TM17" s="64">
        <v>98.59</v>
      </c>
      <c r="TN17" s="64">
        <v>98.53</v>
      </c>
      <c r="TO17" s="64">
        <v>98.37</v>
      </c>
      <c r="TP17" s="64">
        <v>98.3</v>
      </c>
      <c r="TQ17" s="64">
        <v>98.06</v>
      </c>
      <c r="TR17" s="64">
        <v>98.19</v>
      </c>
      <c r="TS17" s="64">
        <v>98.49</v>
      </c>
      <c r="TT17" s="64">
        <v>98.52</v>
      </c>
      <c r="TU17" s="64">
        <v>98.68</v>
      </c>
      <c r="TV17" s="64">
        <v>98.8</v>
      </c>
      <c r="TW17" s="64">
        <v>98.56</v>
      </c>
      <c r="TX17" s="64">
        <v>98.48</v>
      </c>
      <c r="TY17" s="64">
        <v>98.37</v>
      </c>
      <c r="TZ17" s="64">
        <v>98.52</v>
      </c>
      <c r="UA17" s="64">
        <v>98.24</v>
      </c>
      <c r="UB17" s="48">
        <v>98.55</v>
      </c>
      <c r="UC17" s="48">
        <v>98.72</v>
      </c>
      <c r="UD17" s="48">
        <v>98.42</v>
      </c>
      <c r="UE17" s="48">
        <v>98.38</v>
      </c>
      <c r="UF17" s="48">
        <v>98.54</v>
      </c>
      <c r="UG17" s="48">
        <v>98.47</v>
      </c>
      <c r="UH17" s="48">
        <v>98.45</v>
      </c>
      <c r="UI17" s="48">
        <v>98.52</v>
      </c>
      <c r="UJ17" s="48">
        <v>98.82</v>
      </c>
      <c r="UK17" s="48">
        <v>98.47</v>
      </c>
      <c r="UL17" s="48">
        <v>98.45</v>
      </c>
      <c r="UM17" s="48">
        <v>98.55</v>
      </c>
      <c r="UN17" s="64">
        <v>98.9</v>
      </c>
      <c r="UO17" s="64">
        <v>98.52</v>
      </c>
      <c r="UP17" s="48">
        <v>98.61</v>
      </c>
      <c r="UQ17" s="48">
        <v>98.84</v>
      </c>
      <c r="UR17" s="48">
        <v>98.6</v>
      </c>
      <c r="US17" s="104">
        <v>98.61</v>
      </c>
      <c r="UT17" s="104">
        <v>98.56</v>
      </c>
      <c r="UU17" s="48">
        <v>98.58</v>
      </c>
      <c r="UV17" s="48">
        <v>98.6</v>
      </c>
      <c r="UW17" s="48">
        <v>98.55</v>
      </c>
      <c r="UX17" s="48">
        <v>98.64</v>
      </c>
      <c r="UY17" s="48">
        <v>98.49</v>
      </c>
      <c r="UZ17" s="48">
        <v>98.45</v>
      </c>
      <c r="VA17" s="48">
        <v>98.61</v>
      </c>
      <c r="VB17" s="48">
        <v>98.51</v>
      </c>
      <c r="VC17" s="48">
        <v>98.52</v>
      </c>
      <c r="VD17" s="48">
        <v>98.6</v>
      </c>
      <c r="VE17" s="48">
        <v>98.53</v>
      </c>
      <c r="VF17" s="48">
        <v>98.1</v>
      </c>
      <c r="VG17" s="48">
        <v>98.45</v>
      </c>
      <c r="VH17" s="71">
        <v>98.528999999999996</v>
      </c>
      <c r="VI17" s="64">
        <v>98.25</v>
      </c>
      <c r="VJ17" s="64">
        <v>98.47</v>
      </c>
      <c r="VK17" s="64">
        <v>98.45</v>
      </c>
      <c r="VL17" s="64">
        <v>98.66</v>
      </c>
      <c r="VM17" s="64">
        <v>98.51</v>
      </c>
      <c r="VN17" s="64">
        <v>98.41</v>
      </c>
      <c r="VO17" s="64">
        <v>98.47</v>
      </c>
      <c r="VP17" s="394">
        <v>98.54</v>
      </c>
      <c r="VQ17" s="394">
        <v>98.24</v>
      </c>
      <c r="VR17" s="394">
        <v>98.34</v>
      </c>
      <c r="WZ17" s="27"/>
      <c r="XA17" s="27"/>
      <c r="XB17" s="27"/>
      <c r="XI17" s="27"/>
      <c r="XJ17" s="27"/>
      <c r="XK17" s="27"/>
      <c r="ABV17" s="60"/>
    </row>
    <row r="18" spans="1:998" ht="15.75" thickBot="1" x14ac:dyDescent="0.3">
      <c r="A18" s="378"/>
      <c r="B18" s="124" t="s">
        <v>121</v>
      </c>
      <c r="DG18" s="57"/>
      <c r="DH18" s="57"/>
      <c r="DI18" s="57"/>
      <c r="FH18" s="27"/>
      <c r="FI18" s="27"/>
      <c r="FJ18" s="27"/>
      <c r="FK18" s="27"/>
      <c r="FP18" s="27"/>
      <c r="FQ18" s="27"/>
      <c r="FR18" s="27"/>
      <c r="FS18" s="27"/>
      <c r="FX18" s="27"/>
      <c r="FY18" s="27"/>
      <c r="FZ18" s="27"/>
      <c r="GD18" s="27"/>
      <c r="GE18" s="27"/>
      <c r="GF18" s="27"/>
      <c r="GG18" s="27"/>
      <c r="GL18" s="27"/>
      <c r="GM18" s="27"/>
      <c r="GN18" s="27"/>
      <c r="GS18" s="27"/>
      <c r="GT18" s="27"/>
      <c r="GU18" s="27"/>
      <c r="GV18" s="27"/>
      <c r="HA18" s="27"/>
      <c r="HB18" s="27"/>
      <c r="HC18" s="27"/>
      <c r="HH18" s="27"/>
      <c r="HI18" s="27"/>
      <c r="HJ18" s="27"/>
      <c r="HO18" s="27"/>
      <c r="HP18" s="27"/>
      <c r="HQ18" s="27"/>
      <c r="HV18" s="27"/>
      <c r="HW18" s="27"/>
      <c r="HX18" s="27"/>
      <c r="IC18" s="55">
        <v>99.985428999999996</v>
      </c>
      <c r="ID18" s="55">
        <v>99.989651100000003</v>
      </c>
      <c r="IE18" s="55">
        <v>99.986088699999996</v>
      </c>
      <c r="IF18" s="55">
        <v>99.984628799999996</v>
      </c>
      <c r="IG18" s="55">
        <v>99.987809600000006</v>
      </c>
      <c r="IH18" s="55">
        <v>99.98</v>
      </c>
      <c r="II18" s="55">
        <v>99.98</v>
      </c>
      <c r="IJ18" s="55">
        <v>99.98</v>
      </c>
      <c r="IK18" s="55">
        <v>99.98</v>
      </c>
      <c r="IL18" s="55">
        <v>99.98</v>
      </c>
      <c r="IM18" s="55">
        <v>99.98</v>
      </c>
      <c r="IN18" s="55">
        <v>99.989000000000004</v>
      </c>
      <c r="IO18" s="55">
        <v>99.98</v>
      </c>
      <c r="IP18" s="100">
        <v>99.98</v>
      </c>
      <c r="IQ18" s="100">
        <v>99.98</v>
      </c>
      <c r="IR18" s="100">
        <v>99.98</v>
      </c>
      <c r="IS18" s="100">
        <v>99.98</v>
      </c>
      <c r="IT18" s="100">
        <v>99.98</v>
      </c>
      <c r="IU18" s="100">
        <v>99.99</v>
      </c>
      <c r="IV18" s="100">
        <v>99.98</v>
      </c>
      <c r="IW18" s="100">
        <v>99.98</v>
      </c>
      <c r="IX18" s="118">
        <v>99.97</v>
      </c>
      <c r="IY18" s="141">
        <v>99.98</v>
      </c>
      <c r="IZ18" s="141">
        <v>99.98</v>
      </c>
      <c r="JA18" s="141">
        <v>99.98</v>
      </c>
      <c r="JB18" s="46">
        <v>99.99</v>
      </c>
      <c r="JC18" s="69">
        <v>99.98</v>
      </c>
      <c r="JD18" s="147">
        <v>99.98</v>
      </c>
      <c r="JE18" s="69">
        <v>99.98</v>
      </c>
      <c r="JF18" s="71">
        <v>99.98</v>
      </c>
      <c r="JG18" s="71">
        <v>99.98</v>
      </c>
      <c r="JH18" s="64">
        <v>99.98</v>
      </c>
      <c r="JI18" s="64">
        <v>99.98</v>
      </c>
      <c r="JJ18" s="64">
        <v>99.98</v>
      </c>
      <c r="JK18" s="64">
        <v>99.98</v>
      </c>
      <c r="JL18" s="64">
        <v>99.98</v>
      </c>
      <c r="JM18" s="64">
        <v>99.98</v>
      </c>
      <c r="JN18" s="72">
        <v>99.98</v>
      </c>
      <c r="JO18" s="67">
        <v>99.98</v>
      </c>
      <c r="JP18" s="64">
        <v>99.98</v>
      </c>
      <c r="JQ18" s="64">
        <v>99.97</v>
      </c>
      <c r="JR18" s="64">
        <v>99.98</v>
      </c>
      <c r="JS18" s="64">
        <v>99.98</v>
      </c>
      <c r="JT18" s="64">
        <v>99.99</v>
      </c>
      <c r="JU18" s="64">
        <v>99.99</v>
      </c>
      <c r="JV18" s="64">
        <v>99.98</v>
      </c>
      <c r="JW18" s="64">
        <v>99.92</v>
      </c>
      <c r="JX18" s="64">
        <v>99.96</v>
      </c>
      <c r="JY18" s="64">
        <v>99.95</v>
      </c>
      <c r="JZ18" s="72">
        <v>99.95</v>
      </c>
      <c r="KA18" s="69">
        <v>99.96</v>
      </c>
      <c r="KB18" s="67">
        <v>99.97</v>
      </c>
      <c r="KC18" s="92">
        <v>99.97</v>
      </c>
      <c r="KD18" s="64">
        <v>99.98</v>
      </c>
      <c r="KE18" s="48">
        <v>99.97</v>
      </c>
      <c r="KF18" s="48">
        <v>99.97</v>
      </c>
      <c r="KG18" s="48">
        <v>99.97</v>
      </c>
      <c r="KH18" s="64">
        <v>99.97</v>
      </c>
      <c r="KI18" s="64">
        <v>99.98</v>
      </c>
      <c r="KJ18" s="64">
        <v>99.98</v>
      </c>
      <c r="KK18" s="64">
        <v>99.98</v>
      </c>
      <c r="KL18" s="64">
        <v>99.98</v>
      </c>
      <c r="KM18" s="64">
        <v>99.98</v>
      </c>
      <c r="KN18" s="64">
        <v>99.98</v>
      </c>
      <c r="KO18" s="64">
        <v>99.98</v>
      </c>
      <c r="KP18" s="64">
        <v>99.98</v>
      </c>
      <c r="KQ18" s="64">
        <v>99.97</v>
      </c>
      <c r="KR18" s="64">
        <v>99.98</v>
      </c>
      <c r="KS18" s="64">
        <v>99.97</v>
      </c>
      <c r="KT18" s="104">
        <v>99.97</v>
      </c>
      <c r="KU18" s="104">
        <v>99.98</v>
      </c>
      <c r="KV18" s="104">
        <v>99.96</v>
      </c>
      <c r="KW18" s="104">
        <v>99.97</v>
      </c>
      <c r="KX18" s="104">
        <v>99.96</v>
      </c>
      <c r="KY18" s="104">
        <v>99.98</v>
      </c>
      <c r="KZ18" s="104">
        <v>99.97</v>
      </c>
      <c r="LA18" s="104">
        <v>99.96</v>
      </c>
      <c r="LB18" s="104">
        <v>99.98</v>
      </c>
      <c r="LC18" s="104">
        <v>99.97</v>
      </c>
      <c r="LD18" s="104">
        <v>99.98</v>
      </c>
      <c r="LE18" s="104">
        <v>99.98</v>
      </c>
      <c r="LF18" s="104">
        <v>99.98</v>
      </c>
      <c r="LG18" s="104">
        <v>99.98</v>
      </c>
      <c r="LH18" s="104">
        <v>99.98</v>
      </c>
      <c r="LI18" s="104">
        <v>99.98</v>
      </c>
      <c r="LJ18" s="104">
        <v>99.98</v>
      </c>
      <c r="LK18" s="104">
        <v>99.98</v>
      </c>
      <c r="LL18" s="104">
        <v>99.98</v>
      </c>
      <c r="LM18" s="104">
        <v>99.99</v>
      </c>
      <c r="LN18" s="104">
        <v>99.98</v>
      </c>
      <c r="LO18" s="104">
        <v>99.98</v>
      </c>
      <c r="LP18" s="104">
        <v>99.98</v>
      </c>
      <c r="LQ18" s="104">
        <v>99.98</v>
      </c>
      <c r="LR18" s="104">
        <v>99.98</v>
      </c>
      <c r="LS18" s="104">
        <v>99.98</v>
      </c>
      <c r="LT18" s="104">
        <v>99.98</v>
      </c>
      <c r="LU18" s="104">
        <v>99.98</v>
      </c>
      <c r="LV18" s="104">
        <v>99.98</v>
      </c>
      <c r="LW18" s="104">
        <v>99.98</v>
      </c>
      <c r="LX18" s="104">
        <v>99.98</v>
      </c>
      <c r="LY18" s="104">
        <v>99.98</v>
      </c>
      <c r="LZ18" s="104">
        <v>99.99</v>
      </c>
      <c r="MA18" s="104">
        <v>99.99</v>
      </c>
      <c r="MB18" s="104">
        <v>99.98</v>
      </c>
      <c r="MC18" s="104">
        <v>99.98</v>
      </c>
      <c r="MD18" s="104">
        <v>99.98</v>
      </c>
      <c r="ME18" s="104">
        <v>99.98</v>
      </c>
      <c r="MF18" s="104">
        <v>99.98</v>
      </c>
      <c r="MG18" s="104">
        <v>99.99</v>
      </c>
      <c r="MH18" s="104">
        <v>99.98</v>
      </c>
      <c r="MI18" s="104">
        <v>99.96</v>
      </c>
      <c r="MJ18" s="104">
        <v>99.96</v>
      </c>
      <c r="MK18" s="104">
        <v>99.74</v>
      </c>
      <c r="ML18" s="104">
        <v>99.98</v>
      </c>
      <c r="MM18" s="104">
        <v>99.96</v>
      </c>
      <c r="MN18" s="104">
        <v>99.97</v>
      </c>
      <c r="MO18" s="104">
        <v>99.99</v>
      </c>
      <c r="MP18" s="104">
        <v>99.98</v>
      </c>
      <c r="MQ18" s="104">
        <v>99.98</v>
      </c>
      <c r="MR18" s="104">
        <v>99.98</v>
      </c>
      <c r="MS18" s="101">
        <v>99.98</v>
      </c>
      <c r="MT18" s="101">
        <v>99.98</v>
      </c>
      <c r="MU18" s="101">
        <v>99.98</v>
      </c>
      <c r="MV18" s="101">
        <v>99.99</v>
      </c>
      <c r="MW18" s="101">
        <v>99.98</v>
      </c>
      <c r="MX18" s="101">
        <v>99.98</v>
      </c>
      <c r="MY18" s="104">
        <v>99.97</v>
      </c>
      <c r="MZ18" s="27"/>
      <c r="NA18" s="27"/>
      <c r="NB18" s="27"/>
      <c r="NC18" s="171">
        <v>99.99</v>
      </c>
      <c r="ND18" s="171">
        <v>99.98</v>
      </c>
      <c r="NE18" s="171">
        <v>99.98</v>
      </c>
      <c r="NF18" s="171">
        <v>99.98</v>
      </c>
      <c r="NG18" s="171">
        <v>99.98</v>
      </c>
      <c r="NH18" s="171">
        <v>99.98</v>
      </c>
      <c r="NI18" s="171">
        <v>99.99</v>
      </c>
      <c r="NJ18" s="171">
        <v>99.99</v>
      </c>
      <c r="NK18" s="171">
        <v>99.98</v>
      </c>
      <c r="NL18" s="171">
        <v>99.98</v>
      </c>
      <c r="NM18" s="171">
        <v>99.98</v>
      </c>
      <c r="NN18" s="48">
        <v>99.98</v>
      </c>
      <c r="NO18" s="48">
        <v>99.98</v>
      </c>
      <c r="NP18" s="48">
        <v>99.99</v>
      </c>
      <c r="NQ18" s="48">
        <v>99.99</v>
      </c>
      <c r="NR18" s="48">
        <v>99.99</v>
      </c>
      <c r="NS18" s="71">
        <v>99.99</v>
      </c>
      <c r="NT18" s="48">
        <v>99.99</v>
      </c>
      <c r="NU18" s="67">
        <v>99.98</v>
      </c>
      <c r="NV18" s="67">
        <v>99.98</v>
      </c>
      <c r="NW18" s="67">
        <v>99.99</v>
      </c>
      <c r="NX18" s="48">
        <v>99.99</v>
      </c>
      <c r="NY18" s="67">
        <v>99.98</v>
      </c>
      <c r="NZ18" s="67">
        <v>99.98</v>
      </c>
      <c r="OA18" s="67">
        <v>99.98</v>
      </c>
      <c r="OB18" s="67">
        <v>99.98</v>
      </c>
      <c r="OC18" s="67">
        <v>99.98</v>
      </c>
      <c r="OD18" s="67">
        <v>99.98</v>
      </c>
      <c r="OE18" s="48">
        <v>99.99</v>
      </c>
      <c r="OF18" s="48">
        <v>99.99</v>
      </c>
      <c r="OG18" s="71">
        <v>99.989000000000004</v>
      </c>
      <c r="OH18" s="71">
        <v>99.989000000000004</v>
      </c>
      <c r="OI18" s="67">
        <v>99.98</v>
      </c>
      <c r="OJ18" s="67">
        <v>99.98</v>
      </c>
      <c r="OK18" s="67">
        <v>99.99</v>
      </c>
      <c r="OL18" s="67">
        <v>99.99</v>
      </c>
      <c r="OM18" s="67">
        <v>99.98</v>
      </c>
      <c r="ON18" s="67">
        <v>99.98</v>
      </c>
      <c r="OO18" s="48">
        <v>99.99</v>
      </c>
      <c r="OP18" s="48">
        <v>99.99</v>
      </c>
      <c r="OQ18" s="48">
        <v>99.99</v>
      </c>
      <c r="OR18" s="48">
        <v>99.99</v>
      </c>
      <c r="OS18" s="48">
        <v>99.99</v>
      </c>
      <c r="OT18" s="48">
        <v>99.99</v>
      </c>
      <c r="OU18" s="48">
        <v>99.99</v>
      </c>
      <c r="OV18" s="48">
        <v>99.94</v>
      </c>
      <c r="OW18" s="67">
        <v>99.98</v>
      </c>
      <c r="OX18" s="67">
        <v>99.98</v>
      </c>
      <c r="OY18" s="67">
        <v>99.98</v>
      </c>
      <c r="OZ18" s="67">
        <v>99.99</v>
      </c>
      <c r="PA18" s="67">
        <v>99.98</v>
      </c>
      <c r="PB18" s="67">
        <v>99.98</v>
      </c>
      <c r="PC18" s="64">
        <v>99.98</v>
      </c>
      <c r="PD18" s="67">
        <v>99.99</v>
      </c>
      <c r="PE18" s="48">
        <v>99.98</v>
      </c>
      <c r="PF18" s="67">
        <v>99.99</v>
      </c>
      <c r="PG18" s="48">
        <v>99.99</v>
      </c>
      <c r="PH18" s="71">
        <v>99.99</v>
      </c>
      <c r="PI18" s="71">
        <v>99.99</v>
      </c>
      <c r="PJ18" s="71">
        <v>99.99</v>
      </c>
      <c r="PK18" s="71">
        <v>99.98</v>
      </c>
      <c r="PL18" s="71">
        <v>99.98</v>
      </c>
      <c r="PM18" s="67">
        <v>99.99</v>
      </c>
      <c r="PN18" s="67">
        <v>99.99</v>
      </c>
      <c r="PO18" s="67">
        <v>99.98</v>
      </c>
      <c r="PP18" s="67">
        <v>99.98</v>
      </c>
      <c r="PQ18" s="67">
        <v>99.98</v>
      </c>
      <c r="PR18" s="67">
        <v>99.99</v>
      </c>
      <c r="PS18" s="67">
        <v>99.98</v>
      </c>
      <c r="PT18" s="67">
        <v>99.99</v>
      </c>
      <c r="PU18" s="67">
        <v>99.99</v>
      </c>
      <c r="PV18" s="67">
        <v>99.98</v>
      </c>
      <c r="PW18" s="67">
        <v>99.98</v>
      </c>
      <c r="PX18" s="48">
        <v>99.99</v>
      </c>
      <c r="PY18" s="48">
        <v>99.99</v>
      </c>
      <c r="PZ18" s="67">
        <v>99.99</v>
      </c>
      <c r="QA18" s="48">
        <v>99.99</v>
      </c>
      <c r="QB18" s="48">
        <v>99.99</v>
      </c>
      <c r="QC18" s="71">
        <v>99.989000000000004</v>
      </c>
      <c r="QD18" s="71">
        <v>99.989000000000004</v>
      </c>
      <c r="QE18" s="48">
        <v>99.98</v>
      </c>
      <c r="QF18" s="64">
        <v>99.98</v>
      </c>
      <c r="QG18" s="64">
        <v>99.98</v>
      </c>
      <c r="QH18" s="64">
        <v>99.99</v>
      </c>
      <c r="QI18" s="71">
        <v>99.99</v>
      </c>
      <c r="QJ18" s="48">
        <v>99.99</v>
      </c>
      <c r="QK18" s="48">
        <v>99.99</v>
      </c>
      <c r="QL18" s="48">
        <v>99.99</v>
      </c>
      <c r="QM18" s="48">
        <v>99.98</v>
      </c>
      <c r="QN18" s="48">
        <v>99.98</v>
      </c>
      <c r="QO18" s="48">
        <v>99.98</v>
      </c>
      <c r="QP18" s="67">
        <v>99.98</v>
      </c>
      <c r="QQ18" s="67">
        <v>99.98</v>
      </c>
      <c r="QR18" s="67">
        <v>99.98</v>
      </c>
      <c r="QS18" s="67">
        <v>99.98</v>
      </c>
      <c r="QT18" s="48">
        <v>99.99</v>
      </c>
      <c r="QU18" s="48">
        <v>99.99</v>
      </c>
      <c r="QV18" s="48">
        <v>99.99</v>
      </c>
      <c r="QW18" s="48">
        <v>99.99</v>
      </c>
      <c r="QX18" s="48">
        <v>98.99</v>
      </c>
      <c r="QY18" s="48">
        <v>99.99</v>
      </c>
      <c r="QZ18" s="48">
        <v>99.99</v>
      </c>
      <c r="RA18" s="48">
        <v>99.98</v>
      </c>
      <c r="RB18" s="48">
        <v>99.99</v>
      </c>
      <c r="RC18" s="158">
        <v>99.99</v>
      </c>
      <c r="RD18" s="67">
        <v>99.99</v>
      </c>
      <c r="RE18" s="64">
        <v>99.98</v>
      </c>
      <c r="RF18" s="67">
        <v>99.98</v>
      </c>
      <c r="RG18" s="48">
        <v>99.99</v>
      </c>
      <c r="RH18" s="67">
        <v>99.99</v>
      </c>
      <c r="RI18" s="67">
        <v>99.99</v>
      </c>
      <c r="RJ18" s="67">
        <v>99.99</v>
      </c>
      <c r="RK18" s="67">
        <v>99.99</v>
      </c>
      <c r="RL18" s="67">
        <v>99.99</v>
      </c>
      <c r="RM18" s="67">
        <v>99.99</v>
      </c>
      <c r="RN18" s="48"/>
      <c r="RO18" s="48"/>
      <c r="RP18" s="48"/>
      <c r="RQ18" s="48"/>
      <c r="RR18" s="67"/>
      <c r="RS18" s="67">
        <v>99.98</v>
      </c>
      <c r="RT18" s="67">
        <v>99.98</v>
      </c>
      <c r="RU18" s="48">
        <v>99.98</v>
      </c>
      <c r="RV18" s="67">
        <v>99.99</v>
      </c>
      <c r="RW18" s="67">
        <v>99.98</v>
      </c>
      <c r="RX18" s="48">
        <v>99.99</v>
      </c>
      <c r="RY18" s="69">
        <v>99.99</v>
      </c>
      <c r="RZ18" s="67">
        <v>99.99</v>
      </c>
      <c r="SA18" s="27"/>
      <c r="SF18" s="27"/>
      <c r="SG18" s="64">
        <v>99.99</v>
      </c>
      <c r="SH18" s="64">
        <v>99.99</v>
      </c>
      <c r="SI18" s="64">
        <v>99.99</v>
      </c>
      <c r="SJ18" s="64">
        <v>99.99</v>
      </c>
      <c r="SK18" s="64">
        <v>99.98</v>
      </c>
      <c r="SL18" s="64">
        <v>99.99</v>
      </c>
      <c r="SM18" s="67">
        <v>99.99</v>
      </c>
      <c r="SN18" s="67">
        <v>99.99</v>
      </c>
      <c r="SO18" s="67">
        <v>99.98</v>
      </c>
      <c r="SP18" s="67">
        <v>99.98</v>
      </c>
      <c r="SQ18" s="104">
        <v>99.98</v>
      </c>
      <c r="SR18" s="104">
        <v>99.98</v>
      </c>
      <c r="SS18" s="104">
        <v>99.99</v>
      </c>
      <c r="ST18" s="48">
        <v>99.98</v>
      </c>
      <c r="SU18" s="104">
        <v>99.99</v>
      </c>
      <c r="SV18" s="104">
        <v>99.99</v>
      </c>
      <c r="SW18" s="104">
        <v>99.99</v>
      </c>
      <c r="SX18" s="104">
        <v>99.99</v>
      </c>
      <c r="SY18" s="104">
        <v>99.99</v>
      </c>
      <c r="SZ18" s="104">
        <v>99.99</v>
      </c>
      <c r="TA18" s="172">
        <v>99.99</v>
      </c>
      <c r="TB18" s="172">
        <v>99.99</v>
      </c>
      <c r="TC18" s="64">
        <v>99.98</v>
      </c>
      <c r="TD18" s="64">
        <v>99.98</v>
      </c>
      <c r="TE18" s="64">
        <v>99.98</v>
      </c>
      <c r="TF18" s="64">
        <v>99.98</v>
      </c>
      <c r="TG18" s="64">
        <v>99.98</v>
      </c>
      <c r="TH18" s="64">
        <v>99.99</v>
      </c>
      <c r="TI18" s="64">
        <v>99.98</v>
      </c>
      <c r="TJ18" s="67">
        <v>99.99</v>
      </c>
      <c r="TK18" s="2">
        <v>99.93</v>
      </c>
      <c r="TL18" s="64">
        <v>99.98</v>
      </c>
      <c r="TM18" s="64">
        <v>99.99</v>
      </c>
      <c r="TN18" s="64">
        <v>99.99</v>
      </c>
      <c r="TO18" s="64">
        <v>99.99</v>
      </c>
      <c r="TP18" s="64">
        <v>99.99</v>
      </c>
      <c r="TQ18" s="64">
        <v>99.98</v>
      </c>
      <c r="TR18" s="64">
        <v>99.97</v>
      </c>
      <c r="TS18" s="64">
        <v>99.99</v>
      </c>
      <c r="TT18" s="64">
        <v>99.99</v>
      </c>
      <c r="TU18" s="64">
        <v>99.99</v>
      </c>
      <c r="TV18" s="64">
        <v>99.99</v>
      </c>
      <c r="TW18" s="64">
        <v>99.99</v>
      </c>
      <c r="TX18" s="64">
        <v>99.99</v>
      </c>
      <c r="TY18" s="64">
        <v>99.99</v>
      </c>
      <c r="TZ18" s="64">
        <v>99.99</v>
      </c>
      <c r="UA18" s="64">
        <v>99.99</v>
      </c>
      <c r="UB18" s="48">
        <v>99.99</v>
      </c>
      <c r="UC18" s="48">
        <v>99.99</v>
      </c>
      <c r="UD18" s="48">
        <v>99.99</v>
      </c>
      <c r="UE18" s="48">
        <v>99.99</v>
      </c>
      <c r="UF18" s="48">
        <v>99.99</v>
      </c>
      <c r="UG18" s="48">
        <v>99.99</v>
      </c>
      <c r="UH18" s="48">
        <v>99.99</v>
      </c>
      <c r="UI18" s="48">
        <v>99.99</v>
      </c>
      <c r="UJ18" s="48">
        <v>99.99</v>
      </c>
      <c r="UK18" s="48">
        <v>99.99</v>
      </c>
      <c r="UL18" s="48">
        <v>99.99</v>
      </c>
      <c r="UM18" s="48">
        <v>99.99</v>
      </c>
      <c r="UN18" s="48">
        <v>99.99</v>
      </c>
      <c r="UO18" s="67">
        <v>99.99</v>
      </c>
      <c r="UP18" s="67">
        <v>99.99</v>
      </c>
      <c r="UQ18" s="48">
        <v>99.99</v>
      </c>
      <c r="UR18" s="48">
        <v>99.99</v>
      </c>
      <c r="US18" s="48">
        <v>99.99</v>
      </c>
      <c r="UT18" s="48">
        <v>99.99</v>
      </c>
      <c r="UU18" s="67">
        <v>99.99</v>
      </c>
      <c r="UV18" s="67">
        <v>99.99</v>
      </c>
      <c r="UW18" s="67">
        <v>99.99</v>
      </c>
      <c r="UX18" s="67">
        <v>99.99</v>
      </c>
      <c r="UY18" s="67">
        <v>99.99</v>
      </c>
      <c r="UZ18" s="67">
        <v>99.99</v>
      </c>
      <c r="VA18" s="48">
        <v>99.99</v>
      </c>
      <c r="VB18" s="48">
        <v>99.99</v>
      </c>
      <c r="VC18" s="48">
        <v>99.99</v>
      </c>
      <c r="VD18" s="48">
        <v>99.99</v>
      </c>
      <c r="VE18" s="48">
        <v>99.95</v>
      </c>
      <c r="VF18" s="48">
        <v>99.99</v>
      </c>
      <c r="VG18" s="48">
        <v>99.99</v>
      </c>
      <c r="VH18" s="71">
        <v>99.99</v>
      </c>
      <c r="VI18" s="67">
        <v>99.98</v>
      </c>
      <c r="VJ18" s="67">
        <v>99.99</v>
      </c>
      <c r="VK18" s="67">
        <v>99.99</v>
      </c>
      <c r="VL18" s="64">
        <v>99.99</v>
      </c>
      <c r="VM18" s="67">
        <v>99.99</v>
      </c>
      <c r="VN18" s="67">
        <v>99.99</v>
      </c>
      <c r="VO18" s="67">
        <v>99.99</v>
      </c>
      <c r="VP18" s="67">
        <v>99.99</v>
      </c>
      <c r="VQ18" s="67">
        <v>99.99</v>
      </c>
      <c r="VR18" s="67">
        <v>99.99</v>
      </c>
      <c r="WO18" s="27"/>
      <c r="WP18" s="27"/>
      <c r="WQ18" s="27"/>
      <c r="WZ18" s="75"/>
      <c r="XA18" s="74"/>
      <c r="XB18" s="74"/>
      <c r="XC18" s="74"/>
      <c r="XD18" s="74"/>
      <c r="XE18" s="74"/>
      <c r="XI18" s="75"/>
      <c r="XJ18" s="74"/>
      <c r="XK18" s="74"/>
      <c r="XL18" s="74"/>
      <c r="XM18" s="74"/>
      <c r="XN18" s="74"/>
      <c r="XR18" s="27"/>
      <c r="XS18" s="27"/>
      <c r="XT18" s="27"/>
      <c r="XZ18" s="27">
        <v>8988289</v>
      </c>
      <c r="YA18" s="27"/>
      <c r="YB18" s="27"/>
      <c r="YI18" s="27">
        <v>8988289</v>
      </c>
      <c r="YJ18" s="27">
        <v>12000</v>
      </c>
      <c r="YK18" s="27">
        <v>9000289</v>
      </c>
      <c r="YL18">
        <f>YI18/YK18%</f>
        <v>99.866670948010665</v>
      </c>
      <c r="YN18">
        <v>1364352</v>
      </c>
      <c r="YO18">
        <f>YI18+YN18</f>
        <v>10352641</v>
      </c>
      <c r="YQ18" s="70"/>
      <c r="YY18" s="70"/>
      <c r="YZ18" s="70"/>
      <c r="ZE18" s="70"/>
      <c r="ZG18" s="70"/>
      <c r="ZN18" s="70"/>
      <c r="ZU18" s="75"/>
      <c r="ZV18" s="74"/>
      <c r="ZW18" s="74"/>
      <c r="ZX18" s="74"/>
      <c r="ZY18" s="74"/>
      <c r="ZZ18" s="74"/>
      <c r="AAA18" s="74"/>
      <c r="AAB18" s="75"/>
      <c r="AAC18" s="75"/>
      <c r="AAD18" s="74"/>
      <c r="AAE18" s="74"/>
      <c r="AAF18" s="74"/>
      <c r="AAG18" s="74"/>
      <c r="AAH18" s="74"/>
      <c r="AAI18" s="27"/>
      <c r="AAJ18" s="27"/>
      <c r="AAK18" s="27"/>
      <c r="AAQ18" s="27"/>
      <c r="AAR18" s="27"/>
      <c r="AAS18" s="27"/>
      <c r="AAX18" s="27"/>
      <c r="AAY18" s="27"/>
      <c r="AAZ18" s="27"/>
      <c r="ABF18" s="27"/>
      <c r="ABG18" s="27"/>
      <c r="ABH18" s="27"/>
      <c r="ABO18" s="27"/>
      <c r="ABP18" s="27"/>
      <c r="ABQ18" s="27"/>
      <c r="ABW18" s="27"/>
      <c r="ABX18" s="27"/>
      <c r="ABY18" s="27"/>
      <c r="ACL18" s="27"/>
      <c r="ACM18" s="27"/>
      <c r="ACN18" s="27"/>
      <c r="ACS18" s="27"/>
      <c r="ACT18" s="27"/>
      <c r="ACU18" s="27"/>
      <c r="ADB18" s="27"/>
      <c r="ADC18" s="27"/>
      <c r="ADD18" s="27"/>
      <c r="ADH18" s="70"/>
      <c r="ADJ18" s="27"/>
      <c r="ADK18" s="27"/>
      <c r="ADL18" s="27"/>
      <c r="ADR18" s="27"/>
      <c r="ADS18" s="27"/>
      <c r="ADT18" s="27"/>
      <c r="ADY18" s="27"/>
      <c r="ADZ18" s="27"/>
      <c r="AEA18" s="27"/>
      <c r="AEG18" s="27">
        <v>79492641</v>
      </c>
      <c r="AEH18" s="27">
        <v>1248369</v>
      </c>
      <c r="AEI18" s="27">
        <v>80741010</v>
      </c>
      <c r="AEJ18">
        <f>AEG18/AEI18%</f>
        <v>98.453860064420795</v>
      </c>
      <c r="AEL18">
        <v>1364352</v>
      </c>
      <c r="AEM18">
        <f>AEG18+AEL18</f>
        <v>80856993</v>
      </c>
      <c r="AEQ18" s="70"/>
      <c r="AEX18" s="70"/>
      <c r="AEY18" s="70"/>
      <c r="AFE18" s="70"/>
      <c r="AFL18" s="70"/>
      <c r="AFS18" s="70"/>
      <c r="AGN18" s="70"/>
      <c r="AGO18" s="70"/>
      <c r="AHD18" s="70"/>
      <c r="AHQ18" s="70"/>
      <c r="AHS18" s="70"/>
      <c r="AIY18" s="70"/>
      <c r="AIZ18" s="70"/>
      <c r="AJL18" s="28"/>
      <c r="AJM18" s="27"/>
      <c r="AJN18" s="27"/>
      <c r="AJO18" s="27"/>
      <c r="AJP18" s="27"/>
      <c r="AJQ18" s="27"/>
      <c r="AKG18" s="70"/>
      <c r="AKO18" s="70"/>
      <c r="AKU18" s="70"/>
      <c r="ALC18" s="70"/>
      <c r="ALI18" s="70"/>
      <c r="ALJ18" s="70"/>
    </row>
    <row r="19" spans="1:998" ht="15.75" thickBot="1" x14ac:dyDescent="0.3">
      <c r="A19" s="377" t="s">
        <v>70</v>
      </c>
      <c r="B19" s="127" t="s">
        <v>120</v>
      </c>
      <c r="EO19" s="27"/>
      <c r="EP19" s="27"/>
      <c r="EQ19" s="27"/>
      <c r="ER19" s="27"/>
      <c r="EZ19" s="27"/>
      <c r="FA19" s="27"/>
      <c r="FB19" s="27"/>
      <c r="FC19" s="27"/>
      <c r="FI19" s="28"/>
      <c r="FJ19" s="27"/>
      <c r="FK19" s="27"/>
      <c r="FL19" s="27"/>
      <c r="FM19" s="27"/>
      <c r="FQ19" s="28"/>
      <c r="FR19" s="27"/>
      <c r="FS19" s="27"/>
      <c r="FT19" s="27"/>
      <c r="FU19" s="27"/>
      <c r="FX19" s="28"/>
      <c r="FY19" s="27"/>
      <c r="FZ19" s="27"/>
      <c r="GA19" s="27"/>
      <c r="GB19" s="27"/>
      <c r="GE19" s="28"/>
      <c r="GF19" s="27"/>
      <c r="GG19" s="27"/>
      <c r="GH19" s="27"/>
      <c r="GI19" s="27"/>
      <c r="GL19" s="28"/>
      <c r="GM19" s="27"/>
      <c r="GN19" s="27"/>
      <c r="GO19" s="27"/>
      <c r="GP19" s="27"/>
      <c r="GT19" s="28"/>
      <c r="GU19" s="27"/>
      <c r="GV19" s="27"/>
      <c r="GW19" s="27"/>
      <c r="GX19" s="27"/>
      <c r="HA19" s="28"/>
      <c r="HB19" s="27"/>
      <c r="HC19" s="27"/>
      <c r="HD19" s="27"/>
      <c r="HE19" s="27"/>
      <c r="HH19" s="28"/>
      <c r="HI19" s="27"/>
      <c r="HJ19" s="27"/>
      <c r="HK19" s="27"/>
      <c r="HL19" s="27"/>
      <c r="HO19" s="28"/>
      <c r="HP19" s="27"/>
      <c r="HQ19" s="27"/>
      <c r="HR19" s="27"/>
      <c r="HS19" s="27"/>
      <c r="HV19" s="28"/>
      <c r="HW19" s="27"/>
      <c r="HX19" s="27"/>
      <c r="HY19" s="27"/>
      <c r="HZ19" s="27"/>
      <c r="IC19" s="55">
        <v>69.161930499999997</v>
      </c>
      <c r="ID19" s="55">
        <v>68.147630800000002</v>
      </c>
      <c r="IE19" s="55">
        <v>70.097906600000002</v>
      </c>
      <c r="IF19" s="55">
        <v>70.217904599999997</v>
      </c>
      <c r="IG19" s="55">
        <v>76.099999999999994</v>
      </c>
      <c r="IH19" s="55">
        <v>73.260000000000005</v>
      </c>
      <c r="II19" s="55">
        <v>66.930000000000007</v>
      </c>
      <c r="IJ19" s="55">
        <v>70.59</v>
      </c>
      <c r="IK19" s="55">
        <v>72.95</v>
      </c>
      <c r="IL19" s="55">
        <v>70.319999999999993</v>
      </c>
      <c r="IM19" s="55">
        <v>74.56</v>
      </c>
      <c r="IN19" s="55">
        <v>72.570509200000004</v>
      </c>
      <c r="IO19" s="55">
        <v>72.400000000000006</v>
      </c>
      <c r="IP19" s="100">
        <v>68.959999999999994</v>
      </c>
      <c r="IQ19" s="100">
        <v>73.459999999999994</v>
      </c>
      <c r="IR19" s="100">
        <v>73.34</v>
      </c>
      <c r="IS19" s="100">
        <v>73.69</v>
      </c>
      <c r="IT19" s="100">
        <v>82.42</v>
      </c>
      <c r="IU19" s="100">
        <v>75</v>
      </c>
      <c r="IV19" s="100">
        <v>71.209999999999994</v>
      </c>
      <c r="IW19" s="100">
        <v>73.16</v>
      </c>
      <c r="IX19" s="118">
        <v>72.92</v>
      </c>
      <c r="IY19" s="141">
        <v>76.260000000000005</v>
      </c>
      <c r="IZ19" s="141">
        <v>77.94</v>
      </c>
      <c r="JA19" s="141">
        <v>83.98</v>
      </c>
      <c r="JB19" s="141">
        <v>77.03</v>
      </c>
      <c r="JC19" s="67">
        <v>75.430000000000007</v>
      </c>
      <c r="JD19" s="147">
        <v>72.650000000000006</v>
      </c>
      <c r="JE19" s="69">
        <v>76.08</v>
      </c>
      <c r="JF19" s="71">
        <v>74.75</v>
      </c>
      <c r="JG19" s="64">
        <v>76.25</v>
      </c>
      <c r="JH19" s="64">
        <v>85.66</v>
      </c>
      <c r="JI19" s="64">
        <v>77.989999999999995</v>
      </c>
      <c r="JJ19" s="64">
        <v>77.91</v>
      </c>
      <c r="JK19" s="64">
        <v>72.53</v>
      </c>
      <c r="JL19" s="64">
        <v>75.77</v>
      </c>
      <c r="JM19" s="64">
        <v>76.37</v>
      </c>
      <c r="JN19" s="72">
        <v>78.13</v>
      </c>
      <c r="JO19" s="67">
        <v>85.33</v>
      </c>
      <c r="JP19" s="67">
        <v>76.59</v>
      </c>
      <c r="JQ19" s="67">
        <v>73.92</v>
      </c>
      <c r="JR19" s="67">
        <v>76.14</v>
      </c>
      <c r="JS19" s="67">
        <v>75.349999999999994</v>
      </c>
      <c r="JT19" s="64">
        <v>73.180000000000007</v>
      </c>
      <c r="JU19" s="64">
        <v>71.180000000000007</v>
      </c>
      <c r="JV19" s="64">
        <v>73.510000000000005</v>
      </c>
      <c r="JW19" s="64">
        <v>70.8</v>
      </c>
      <c r="JX19" s="64">
        <v>68.790000000000006</v>
      </c>
      <c r="JY19" s="64">
        <v>69.64</v>
      </c>
      <c r="JZ19" s="72">
        <v>65.83</v>
      </c>
      <c r="KA19" s="69">
        <v>65.86</v>
      </c>
      <c r="KB19" s="67">
        <v>67.55</v>
      </c>
      <c r="KC19" s="92">
        <v>68.569999999999993</v>
      </c>
      <c r="KD19" s="67">
        <v>66.67</v>
      </c>
      <c r="KE19" s="67">
        <v>66.47</v>
      </c>
      <c r="KF19" s="67">
        <v>68.569999999999993</v>
      </c>
      <c r="KG19" s="67">
        <v>65</v>
      </c>
      <c r="KH19" s="64">
        <v>66.55</v>
      </c>
      <c r="KI19" s="64">
        <v>69.95</v>
      </c>
      <c r="KJ19" s="64">
        <v>73.430000000000007</v>
      </c>
      <c r="KK19" s="64">
        <v>70.510000000000005</v>
      </c>
      <c r="KL19" s="64">
        <v>69.55</v>
      </c>
      <c r="KM19" s="64">
        <v>67.88</v>
      </c>
      <c r="KN19" s="64">
        <v>73.48</v>
      </c>
      <c r="KO19" s="64">
        <v>66.069999999999993</v>
      </c>
      <c r="KP19" s="64">
        <v>68.19</v>
      </c>
      <c r="KQ19" s="64">
        <v>71.099999999999994</v>
      </c>
      <c r="KR19" s="64">
        <v>72.260000000000005</v>
      </c>
      <c r="KS19" s="64">
        <v>70.28</v>
      </c>
      <c r="KT19" s="104">
        <v>69.180000000000007</v>
      </c>
      <c r="KU19" s="104">
        <v>69.52</v>
      </c>
      <c r="KV19" s="104">
        <v>67.63</v>
      </c>
      <c r="KW19" s="104">
        <v>68.91</v>
      </c>
      <c r="KX19" s="104">
        <v>73.599999999999994</v>
      </c>
      <c r="KY19" s="104">
        <v>72.56</v>
      </c>
      <c r="KZ19" s="104">
        <v>69.17</v>
      </c>
      <c r="LA19" s="104">
        <v>72.900000000000006</v>
      </c>
      <c r="LB19" s="104">
        <v>72.930000000000007</v>
      </c>
      <c r="LC19" s="104">
        <v>68.19</v>
      </c>
      <c r="LD19" s="104">
        <v>68.069999999999993</v>
      </c>
      <c r="LE19" s="104">
        <v>72.11</v>
      </c>
      <c r="LF19" s="104">
        <v>68.739999999999995</v>
      </c>
      <c r="LG19" s="104">
        <v>67.349999999999994</v>
      </c>
      <c r="LH19" s="104">
        <v>72.39</v>
      </c>
      <c r="LI19" s="104">
        <v>69.12</v>
      </c>
      <c r="LJ19" s="104">
        <v>70.239999999999995</v>
      </c>
      <c r="LK19" s="104">
        <v>73.22</v>
      </c>
      <c r="LL19" s="104">
        <v>81.72</v>
      </c>
      <c r="LM19" s="104">
        <v>75.040000000000006</v>
      </c>
      <c r="LN19" s="104">
        <v>75.91</v>
      </c>
      <c r="LO19" s="104">
        <v>74.87</v>
      </c>
      <c r="LP19" s="104">
        <v>77.19</v>
      </c>
      <c r="LQ19" s="104">
        <v>80.28</v>
      </c>
      <c r="LR19" s="104">
        <v>76.680000000000007</v>
      </c>
      <c r="LS19" s="104">
        <v>84.2</v>
      </c>
      <c r="LT19" s="104">
        <v>74.98</v>
      </c>
      <c r="LU19" s="104">
        <v>72</v>
      </c>
      <c r="LV19" s="104">
        <v>74.44</v>
      </c>
      <c r="LW19" s="104">
        <v>73.05</v>
      </c>
      <c r="LX19" s="104">
        <v>73.540000000000006</v>
      </c>
      <c r="LY19" s="104">
        <v>77.06</v>
      </c>
      <c r="LZ19" s="104">
        <v>84.32</v>
      </c>
      <c r="MA19" s="104">
        <v>77.14</v>
      </c>
      <c r="MB19" s="104">
        <v>76.42</v>
      </c>
      <c r="MC19" s="104">
        <v>80.34</v>
      </c>
      <c r="MD19" s="104">
        <v>76.95</v>
      </c>
      <c r="ME19" s="104">
        <v>71.61</v>
      </c>
      <c r="MF19" s="104">
        <v>70.81</v>
      </c>
      <c r="MG19" s="104">
        <v>61.95</v>
      </c>
      <c r="MH19" s="104">
        <v>65.42</v>
      </c>
      <c r="MI19" s="104">
        <v>64.16</v>
      </c>
      <c r="MJ19" s="104">
        <v>66.38</v>
      </c>
      <c r="MK19" s="104">
        <v>68.64</v>
      </c>
      <c r="ML19" s="104">
        <v>68.87</v>
      </c>
      <c r="MM19" s="104">
        <v>70.150000000000006</v>
      </c>
      <c r="MN19" s="104">
        <v>70.34</v>
      </c>
      <c r="MO19" s="104">
        <v>68.8</v>
      </c>
      <c r="MP19" s="104">
        <v>69.97</v>
      </c>
      <c r="MQ19" s="104">
        <v>67.86</v>
      </c>
      <c r="MR19" s="104">
        <v>66.92</v>
      </c>
      <c r="MS19" s="101">
        <v>70.41</v>
      </c>
      <c r="MT19" s="101">
        <v>70.400000000000006</v>
      </c>
      <c r="MU19" s="101">
        <v>81.25</v>
      </c>
      <c r="MV19" s="101">
        <v>85.19</v>
      </c>
      <c r="MW19" s="101">
        <v>71.34</v>
      </c>
      <c r="MX19" s="101">
        <v>66.14</v>
      </c>
      <c r="MY19" s="104">
        <v>65.180000000000007</v>
      </c>
      <c r="MZ19" s="28"/>
      <c r="NA19" s="27"/>
      <c r="NB19" s="27"/>
      <c r="NC19" s="171">
        <v>86.77</v>
      </c>
      <c r="ND19" s="171">
        <v>69.97</v>
      </c>
      <c r="NE19" s="171">
        <v>73.64</v>
      </c>
      <c r="NF19" s="171">
        <v>75.16</v>
      </c>
      <c r="NG19" s="171">
        <v>75.25</v>
      </c>
      <c r="NH19" s="171">
        <v>74.63</v>
      </c>
      <c r="NI19" s="171">
        <v>86.5</v>
      </c>
      <c r="NJ19" s="171">
        <v>73.98</v>
      </c>
      <c r="NK19" s="171">
        <v>74.010000000000005</v>
      </c>
      <c r="NL19" s="171">
        <v>74.44</v>
      </c>
      <c r="NM19" s="171">
        <v>74.37</v>
      </c>
      <c r="NN19" s="48">
        <v>74.11</v>
      </c>
      <c r="NO19" s="48">
        <v>75.290000000000006</v>
      </c>
      <c r="NP19" s="104">
        <v>82.8</v>
      </c>
      <c r="NQ19" s="48">
        <v>73.459999999999994</v>
      </c>
      <c r="NR19" s="48">
        <v>73.5</v>
      </c>
      <c r="NS19" s="71">
        <v>72.78</v>
      </c>
      <c r="NT19" s="48">
        <v>72.510000000000005</v>
      </c>
      <c r="NU19" s="67">
        <v>75.77</v>
      </c>
      <c r="NV19" s="67">
        <v>79.61</v>
      </c>
      <c r="NW19" s="67">
        <v>86.91</v>
      </c>
      <c r="NX19" s="67">
        <v>72.930000000000007</v>
      </c>
      <c r="NY19" s="67">
        <v>77.44</v>
      </c>
      <c r="NZ19" s="67">
        <v>74.180000000000007</v>
      </c>
      <c r="OA19" s="67">
        <v>76.36</v>
      </c>
      <c r="OB19" s="67">
        <v>73.59</v>
      </c>
      <c r="OC19" s="67">
        <v>79.72</v>
      </c>
      <c r="OD19" s="67">
        <v>85.87</v>
      </c>
      <c r="OE19" s="48">
        <v>75.930000000000007</v>
      </c>
      <c r="OF19" s="48">
        <v>76.64</v>
      </c>
      <c r="OG19" s="48">
        <v>74.95</v>
      </c>
      <c r="OH19" s="48">
        <v>77.260000000000005</v>
      </c>
      <c r="OI19" s="67">
        <v>76.459999999999994</v>
      </c>
      <c r="OJ19" s="67">
        <v>76.010000000000005</v>
      </c>
      <c r="OK19" s="67">
        <v>85.74</v>
      </c>
      <c r="OL19" s="67">
        <v>76.37</v>
      </c>
      <c r="OM19" s="67">
        <v>76.819999999999993</v>
      </c>
      <c r="ON19" s="67">
        <v>77.59</v>
      </c>
      <c r="OO19" s="48">
        <v>78.98</v>
      </c>
      <c r="OP19" s="48">
        <v>76.25</v>
      </c>
      <c r="OQ19" s="48">
        <v>77.36</v>
      </c>
      <c r="OR19" s="48">
        <v>84.32</v>
      </c>
      <c r="OS19" s="48">
        <v>79.16</v>
      </c>
      <c r="OT19" s="48">
        <v>76.27</v>
      </c>
      <c r="OU19" s="48">
        <v>77.12</v>
      </c>
      <c r="OV19" s="48">
        <v>73.540000000000006</v>
      </c>
      <c r="OW19" s="67">
        <v>75.75</v>
      </c>
      <c r="OX19" s="67">
        <v>75.34</v>
      </c>
      <c r="OY19" s="67">
        <v>85.32</v>
      </c>
      <c r="OZ19" s="67">
        <v>74.98</v>
      </c>
      <c r="PA19" s="67">
        <v>72.33</v>
      </c>
      <c r="PB19" s="67">
        <v>76.459999999999994</v>
      </c>
      <c r="PC19" s="64">
        <v>74.150000000000006</v>
      </c>
      <c r="PD19" s="48">
        <v>75.28</v>
      </c>
      <c r="PE19" s="48">
        <v>77.459999999999994</v>
      </c>
      <c r="PF19" s="48">
        <v>86.46</v>
      </c>
      <c r="PG19" s="48">
        <v>75.61</v>
      </c>
      <c r="PH19" s="71">
        <v>73.819999999999993</v>
      </c>
      <c r="PI19" s="48">
        <v>74.45</v>
      </c>
      <c r="PJ19" s="48">
        <v>74.66</v>
      </c>
      <c r="PK19" s="48">
        <v>75.59</v>
      </c>
      <c r="PL19" s="48">
        <v>77.180000000000007</v>
      </c>
      <c r="PM19" s="48">
        <v>85.06</v>
      </c>
      <c r="PN19" s="67">
        <v>76.59</v>
      </c>
      <c r="PO19" s="67">
        <v>75.540000000000006</v>
      </c>
      <c r="PP19" s="67">
        <v>75.66</v>
      </c>
      <c r="PQ19" s="67">
        <v>73.47</v>
      </c>
      <c r="PR19" s="67">
        <v>72.849999999999994</v>
      </c>
      <c r="PS19" s="67">
        <v>69.42</v>
      </c>
      <c r="PT19" s="67">
        <v>75.09</v>
      </c>
      <c r="PU19" s="67">
        <v>70.260000000000005</v>
      </c>
      <c r="PV19" s="67">
        <v>70.73</v>
      </c>
      <c r="PW19" s="67">
        <v>71.66</v>
      </c>
      <c r="PX19" s="48">
        <v>70.92</v>
      </c>
      <c r="PY19" s="104">
        <v>76.8</v>
      </c>
      <c r="PZ19" s="48">
        <v>70.260000000000005</v>
      </c>
      <c r="QA19" s="191">
        <v>81.09</v>
      </c>
      <c r="QB19" s="48">
        <v>72.099999999999994</v>
      </c>
      <c r="QC19" s="71">
        <v>69.37</v>
      </c>
      <c r="QD19" s="48">
        <v>69.95</v>
      </c>
      <c r="QE19" s="67">
        <v>68.36</v>
      </c>
      <c r="QF19" s="64">
        <v>72.790000000000006</v>
      </c>
      <c r="QG19" s="64">
        <v>69.790000000000006</v>
      </c>
      <c r="QH19" s="71">
        <v>74.63</v>
      </c>
      <c r="QI19" s="71">
        <v>72.989999999999995</v>
      </c>
      <c r="QJ19" s="48">
        <v>72.02</v>
      </c>
      <c r="QK19" s="67">
        <v>70.540000000000006</v>
      </c>
      <c r="QL19" s="48">
        <v>68.42</v>
      </c>
      <c r="QM19" s="67">
        <v>74.23</v>
      </c>
      <c r="QN19" s="48">
        <v>71.95</v>
      </c>
      <c r="QO19" s="48">
        <v>74.400000000000006</v>
      </c>
      <c r="QP19" s="67">
        <v>70.3</v>
      </c>
      <c r="QQ19" s="67">
        <v>68.38</v>
      </c>
      <c r="QR19" s="67">
        <v>67.73</v>
      </c>
      <c r="QS19" s="67">
        <v>67.180000000000007</v>
      </c>
      <c r="QT19" s="48">
        <v>69.39</v>
      </c>
      <c r="QU19" s="48">
        <v>69.87</v>
      </c>
      <c r="QV19" s="48">
        <v>72.27</v>
      </c>
      <c r="QW19" s="48">
        <v>70.31</v>
      </c>
      <c r="QX19" s="48">
        <v>70.28</v>
      </c>
      <c r="QY19" s="48">
        <v>69.7</v>
      </c>
      <c r="QZ19" s="48">
        <v>68.84</v>
      </c>
      <c r="RA19" s="48">
        <v>68.78</v>
      </c>
      <c r="RB19" s="48">
        <v>68.44</v>
      </c>
      <c r="RC19" s="92">
        <v>68.83</v>
      </c>
      <c r="RD19" s="67">
        <v>65.11</v>
      </c>
      <c r="RE19" s="67">
        <v>64.930000000000007</v>
      </c>
      <c r="RF19" s="67">
        <v>63.74</v>
      </c>
      <c r="RG19" s="67">
        <v>65.63</v>
      </c>
      <c r="RH19" s="48">
        <v>64.540000000000006</v>
      </c>
      <c r="RI19" s="64">
        <v>65.45</v>
      </c>
      <c r="RJ19" s="48">
        <v>68.260000000000005</v>
      </c>
      <c r="RK19" s="48">
        <v>63.96</v>
      </c>
      <c r="RL19" s="48">
        <v>64.56</v>
      </c>
      <c r="RM19" s="67">
        <v>65.3</v>
      </c>
      <c r="RN19" s="67"/>
      <c r="RO19" s="67"/>
      <c r="RP19" s="67"/>
      <c r="RQ19" s="48"/>
      <c r="RR19" s="314"/>
      <c r="RS19" s="67">
        <v>69.790000000000006</v>
      </c>
      <c r="RT19" s="67">
        <v>68.28</v>
      </c>
      <c r="RU19" s="67">
        <v>66.62</v>
      </c>
      <c r="RV19" s="69">
        <v>72</v>
      </c>
      <c r="RW19" s="69">
        <v>69.62</v>
      </c>
      <c r="RX19" s="69">
        <v>72.959999999999994</v>
      </c>
      <c r="RY19" s="69">
        <v>67.86</v>
      </c>
      <c r="RZ19" s="67">
        <v>66.8</v>
      </c>
      <c r="SA19" s="27"/>
      <c r="SB19" s="27"/>
      <c r="SC19" s="27"/>
      <c r="SD19" s="27"/>
      <c r="SF19" s="321"/>
      <c r="SG19" s="104">
        <v>71.73</v>
      </c>
      <c r="SH19" s="104">
        <v>70.38</v>
      </c>
      <c r="SI19" s="104">
        <v>68.42</v>
      </c>
      <c r="SJ19" s="104">
        <v>73.61</v>
      </c>
      <c r="SK19" s="104">
        <v>72.78</v>
      </c>
      <c r="SL19" s="104">
        <v>76.19</v>
      </c>
      <c r="SM19" s="67">
        <v>71.599999999999994</v>
      </c>
      <c r="SN19" s="67">
        <v>72.010000000000005</v>
      </c>
      <c r="SO19" s="67">
        <v>72.58</v>
      </c>
      <c r="SP19" s="67">
        <v>68.77</v>
      </c>
      <c r="SQ19" s="104">
        <v>74.14</v>
      </c>
      <c r="SR19" s="104">
        <v>71.37</v>
      </c>
      <c r="SS19" s="48">
        <v>81.31</v>
      </c>
      <c r="ST19" s="48">
        <v>72.55</v>
      </c>
      <c r="SU19" s="67">
        <v>75.84</v>
      </c>
      <c r="SV19" s="48">
        <v>73.180000000000007</v>
      </c>
      <c r="SW19" s="67">
        <v>71.13</v>
      </c>
      <c r="SX19" s="48">
        <v>73.61</v>
      </c>
      <c r="SY19" s="48">
        <v>69.5</v>
      </c>
      <c r="SZ19" s="48">
        <v>74.14</v>
      </c>
      <c r="TA19" s="172">
        <v>72.040000000000006</v>
      </c>
      <c r="TB19" s="172">
        <v>75.760000000000005</v>
      </c>
      <c r="TC19" s="64">
        <v>65.459999999999994</v>
      </c>
      <c r="TD19" s="64">
        <v>65.010000000000005</v>
      </c>
      <c r="TE19" s="64">
        <v>75.63</v>
      </c>
      <c r="TF19" s="64">
        <v>67</v>
      </c>
      <c r="TG19" s="64">
        <v>75.400000000000006</v>
      </c>
      <c r="TH19" s="64">
        <v>69.459999999999994</v>
      </c>
      <c r="TI19" s="64">
        <v>74.31</v>
      </c>
      <c r="TJ19" s="67">
        <v>70.98</v>
      </c>
      <c r="TK19" s="104">
        <v>73.61</v>
      </c>
      <c r="TL19" s="64">
        <v>65.010000000000005</v>
      </c>
      <c r="TM19" s="64">
        <v>69.459999999999994</v>
      </c>
      <c r="TN19" s="64">
        <v>80.34</v>
      </c>
      <c r="TO19" s="64">
        <v>74.209999999999994</v>
      </c>
      <c r="TP19" s="64">
        <v>70.45</v>
      </c>
      <c r="TQ19" s="64">
        <v>68.58</v>
      </c>
      <c r="TR19" s="64">
        <v>66.349999999999994</v>
      </c>
      <c r="TS19" s="64">
        <v>75.349999999999994</v>
      </c>
      <c r="TT19" s="64">
        <v>68.45</v>
      </c>
      <c r="TU19" s="67">
        <v>77.39</v>
      </c>
      <c r="TV19" s="67">
        <v>73.62</v>
      </c>
      <c r="TW19" s="64">
        <v>71.83</v>
      </c>
      <c r="TX19" s="64">
        <v>67.3</v>
      </c>
      <c r="TY19" s="64">
        <v>67.98</v>
      </c>
      <c r="TZ19" s="64">
        <v>71.48</v>
      </c>
      <c r="UA19" s="64">
        <v>63.25</v>
      </c>
      <c r="UB19" s="67">
        <v>74.8</v>
      </c>
      <c r="UC19" s="48">
        <v>73.52</v>
      </c>
      <c r="UD19" s="48">
        <v>73.989999999999995</v>
      </c>
      <c r="UE19" s="48">
        <v>70.930000000000007</v>
      </c>
      <c r="UF19" s="48">
        <v>69.27</v>
      </c>
      <c r="UG19" s="48">
        <v>71.92</v>
      </c>
      <c r="UH19" s="48">
        <v>69.069999999999993</v>
      </c>
      <c r="UI19" s="48">
        <v>75.02</v>
      </c>
      <c r="UJ19" s="67">
        <v>75.52</v>
      </c>
      <c r="UK19" s="67">
        <v>72.19</v>
      </c>
      <c r="UL19" s="67">
        <v>68.86</v>
      </c>
      <c r="UM19" s="48">
        <v>69.86</v>
      </c>
      <c r="UN19" s="48">
        <v>74.03</v>
      </c>
      <c r="UO19" s="67">
        <v>68.540000000000006</v>
      </c>
      <c r="UP19" s="48">
        <v>72.64</v>
      </c>
      <c r="UQ19" s="48">
        <v>70.239999999999995</v>
      </c>
      <c r="UR19" s="48">
        <v>75.3</v>
      </c>
      <c r="US19" s="104">
        <v>69.8</v>
      </c>
      <c r="UT19" s="104">
        <v>71.569999999999993</v>
      </c>
      <c r="UU19" s="67">
        <v>71.510000000000005</v>
      </c>
      <c r="UV19" s="67">
        <v>66.11</v>
      </c>
      <c r="UW19" s="67">
        <v>72.099999999999994</v>
      </c>
      <c r="UX19" s="67">
        <v>70.59</v>
      </c>
      <c r="UY19" s="67">
        <v>73.63</v>
      </c>
      <c r="UZ19" s="67">
        <v>68.28</v>
      </c>
      <c r="VA19" s="48">
        <v>66.680000000000007</v>
      </c>
      <c r="VB19" s="48">
        <v>71.38</v>
      </c>
      <c r="VC19" s="64">
        <f>66.68</f>
        <v>66.680000000000007</v>
      </c>
      <c r="VD19" s="48">
        <v>75.17</v>
      </c>
      <c r="VE19" s="48">
        <v>67.87</v>
      </c>
      <c r="VF19" s="67">
        <v>71.45</v>
      </c>
      <c r="VG19" s="48">
        <v>68.319999999999993</v>
      </c>
      <c r="VH19" s="71">
        <v>72.400000000000006</v>
      </c>
      <c r="VI19" s="67">
        <v>71.989999999999995</v>
      </c>
      <c r="VJ19" s="67">
        <v>66.989999999999995</v>
      </c>
      <c r="VK19" s="67">
        <v>78.28</v>
      </c>
      <c r="VL19" s="67">
        <v>70.17</v>
      </c>
      <c r="VM19" s="67">
        <v>71.13</v>
      </c>
      <c r="VN19" s="67">
        <v>69.7</v>
      </c>
      <c r="VO19" s="67">
        <v>70.22</v>
      </c>
      <c r="VP19" s="395">
        <v>71.680000000000007</v>
      </c>
      <c r="VQ19" s="67">
        <v>67.92</v>
      </c>
      <c r="VR19" s="67">
        <v>74.37</v>
      </c>
      <c r="VS19" s="94"/>
      <c r="VT19" s="74"/>
      <c r="VU19" s="74"/>
      <c r="WO19" s="75"/>
      <c r="WP19" s="74"/>
      <c r="WQ19" s="74"/>
      <c r="WR19" s="74"/>
      <c r="WS19" s="74"/>
      <c r="WT19" s="74"/>
      <c r="WZ19" s="75"/>
      <c r="XA19" s="74"/>
      <c r="XB19" s="74"/>
      <c r="XC19" s="74"/>
      <c r="XD19" s="74"/>
      <c r="XE19" s="74"/>
      <c r="XI19" s="75"/>
      <c r="XJ19" s="74"/>
      <c r="XK19" s="74"/>
      <c r="XL19" s="74"/>
      <c r="XM19" s="74"/>
      <c r="XN19" s="74"/>
      <c r="XR19" s="75"/>
      <c r="XS19" s="74"/>
      <c r="XT19" s="74"/>
      <c r="XU19" s="74"/>
      <c r="XV19" s="74"/>
      <c r="XW19" s="74"/>
      <c r="XZ19" s="75"/>
      <c r="YA19" s="74"/>
      <c r="YB19" s="74"/>
      <c r="YC19" s="74"/>
      <c r="YD19" s="74"/>
      <c r="YE19" s="74"/>
      <c r="YI19" s="75"/>
      <c r="YJ19" s="74"/>
      <c r="YK19" s="74"/>
      <c r="YL19" s="74"/>
      <c r="YM19" s="74"/>
      <c r="YN19" s="74"/>
      <c r="YQ19" s="70"/>
      <c r="YS19" s="70"/>
      <c r="YY19" s="70"/>
      <c r="YZ19" s="70"/>
      <c r="ZA19" s="70"/>
      <c r="ZE19" s="70"/>
      <c r="ZG19" s="70"/>
      <c r="ZN19" s="70"/>
      <c r="ZU19" s="75"/>
      <c r="ZV19" s="74"/>
      <c r="ZW19" s="74"/>
      <c r="ZX19" s="74"/>
      <c r="ZY19" s="74"/>
      <c r="ZZ19" s="74"/>
      <c r="AAA19" s="74"/>
      <c r="AAB19" s="75"/>
      <c r="AAC19" s="75"/>
      <c r="AAD19" s="74"/>
      <c r="AAE19" s="74"/>
      <c r="AAF19" s="74"/>
      <c r="AAG19" s="74"/>
      <c r="AAH19" s="74"/>
      <c r="AAI19" s="28"/>
      <c r="AAJ19" s="27"/>
      <c r="AAK19" s="27"/>
      <c r="AAL19" s="27"/>
      <c r="AAM19" s="27"/>
      <c r="AAQ19" s="75"/>
      <c r="AAR19" s="74"/>
      <c r="AAS19" s="74"/>
      <c r="AAT19" s="74"/>
      <c r="AAU19" s="74"/>
      <c r="AAV19" s="74"/>
      <c r="AAX19" s="75"/>
      <c r="AAY19" s="74"/>
      <c r="AAZ19" s="74"/>
      <c r="ABA19" s="74"/>
      <c r="ABB19" s="74"/>
      <c r="ABC19" s="74"/>
      <c r="ABE19" s="70"/>
      <c r="ABF19" s="75"/>
      <c r="ABG19" s="74"/>
      <c r="ABH19" s="74"/>
      <c r="ABI19" s="74"/>
      <c r="ABJ19" s="74"/>
      <c r="ABK19" s="74"/>
      <c r="ABO19" s="75"/>
      <c r="ABP19" s="74"/>
      <c r="ABQ19" s="74"/>
      <c r="ABR19" s="74"/>
      <c r="ABS19" s="74"/>
      <c r="ABT19" s="74"/>
      <c r="ABW19" s="75"/>
      <c r="ABX19" s="74"/>
      <c r="ABY19" s="74"/>
      <c r="ABZ19" s="74"/>
      <c r="ACA19" s="74"/>
      <c r="ACB19" s="74"/>
      <c r="ACL19" s="75"/>
      <c r="ACM19" s="74"/>
      <c r="ACN19" s="74"/>
      <c r="ACO19" s="74"/>
      <c r="ACP19" s="74"/>
      <c r="ACQ19" s="74"/>
      <c r="ACS19" s="75"/>
      <c r="ACT19" s="74"/>
      <c r="ACU19" s="74"/>
      <c r="ACV19" s="74"/>
      <c r="ACW19" s="74"/>
      <c r="ACX19" s="74"/>
      <c r="ADB19" s="75"/>
      <c r="ADC19" s="74"/>
      <c r="ADD19" s="74"/>
      <c r="ADE19" s="74"/>
      <c r="ADF19" s="74"/>
      <c r="ADG19" s="74"/>
      <c r="ADH19" s="70"/>
      <c r="ADI19" s="28"/>
      <c r="ADJ19" s="27"/>
      <c r="ADK19" s="27"/>
      <c r="ADL19" s="27"/>
      <c r="ADM19" s="27"/>
      <c r="ADN19" s="27"/>
      <c r="ADO19" s="28"/>
      <c r="ADP19" s="27"/>
      <c r="ADQ19" s="94"/>
      <c r="ADR19" s="75"/>
      <c r="ADS19" s="74"/>
      <c r="ADT19" s="74"/>
      <c r="ADU19" s="74"/>
      <c r="ADV19" s="74"/>
      <c r="ADW19" s="74"/>
      <c r="ADY19" s="75"/>
      <c r="ADZ19" s="74"/>
      <c r="AEA19" s="74"/>
      <c r="AEB19" s="74"/>
      <c r="AEC19" s="74"/>
      <c r="AED19" s="74"/>
      <c r="AEG19" s="75">
        <v>44623</v>
      </c>
      <c r="AEH19" s="74" t="s">
        <v>62</v>
      </c>
      <c r="AEI19" s="74">
        <v>1507129</v>
      </c>
      <c r="AEJ19" s="74">
        <v>87049</v>
      </c>
      <c r="AEK19" s="74">
        <v>1594178</v>
      </c>
      <c r="AEL19" s="74" t="s">
        <v>78</v>
      </c>
      <c r="AEQ19" s="70"/>
      <c r="AEX19" s="70"/>
      <c r="AEY19" s="70"/>
      <c r="AFE19" s="70"/>
      <c r="AFL19" s="70"/>
      <c r="AFS19" s="70"/>
      <c r="AGN19" s="70"/>
      <c r="AGO19" s="70"/>
      <c r="AHD19" s="70"/>
      <c r="AHQ19" s="70"/>
      <c r="AHS19" s="70"/>
      <c r="AIY19" s="70"/>
      <c r="AIZ19" s="70"/>
      <c r="AJL19" s="28"/>
      <c r="AJM19" s="27"/>
      <c r="AJN19" s="27"/>
      <c r="AJO19" s="27"/>
      <c r="AJP19" s="27"/>
      <c r="AJQ19" s="27"/>
      <c r="AKG19" s="70"/>
      <c r="AKO19" s="70"/>
      <c r="AKU19" s="70"/>
      <c r="ALC19" s="70"/>
      <c r="ALI19" s="70"/>
      <c r="ALJ19" s="70"/>
    </row>
    <row r="20" spans="1:998" ht="15" customHeight="1" thickBot="1" x14ac:dyDescent="0.3">
      <c r="A20" s="378"/>
      <c r="B20" s="127" t="s">
        <v>121</v>
      </c>
      <c r="DF20" s="28"/>
      <c r="DG20" s="27"/>
      <c r="DH20" s="27"/>
      <c r="DI20" s="27"/>
      <c r="EP20" s="28"/>
      <c r="EQ20" s="27"/>
      <c r="ER20" s="27"/>
      <c r="ES20" s="27"/>
      <c r="ET20" s="27"/>
      <c r="FA20" s="28"/>
      <c r="FB20" s="27"/>
      <c r="FC20" s="27"/>
      <c r="FD20" s="27"/>
      <c r="FE20" s="27"/>
      <c r="FI20" s="28"/>
      <c r="FJ20" s="27"/>
      <c r="FK20" s="27"/>
      <c r="FL20" s="27"/>
      <c r="FM20" s="27"/>
      <c r="FQ20" s="28"/>
      <c r="FR20" s="27"/>
      <c r="FS20" s="27"/>
      <c r="FT20" s="27"/>
      <c r="FU20" s="27"/>
      <c r="FX20" s="28"/>
      <c r="FY20" s="27"/>
      <c r="FZ20" s="27"/>
      <c r="GA20" s="27"/>
      <c r="GB20" s="27"/>
      <c r="GE20" s="28"/>
      <c r="GF20" s="27"/>
      <c r="GG20" s="27"/>
      <c r="GH20" s="27"/>
      <c r="GI20" s="27"/>
      <c r="GL20" s="28"/>
      <c r="GM20" s="27"/>
      <c r="GN20" s="27"/>
      <c r="GO20" s="27"/>
      <c r="GP20" s="27"/>
      <c r="GT20" s="28"/>
      <c r="GU20" s="27"/>
      <c r="GV20" s="27"/>
      <c r="GW20" s="27"/>
      <c r="GX20" s="27"/>
      <c r="HA20" s="28"/>
      <c r="HB20" s="27"/>
      <c r="HC20" s="27"/>
      <c r="HD20" s="27"/>
      <c r="HE20" s="27"/>
      <c r="HH20" s="28"/>
      <c r="HI20" s="27"/>
      <c r="HJ20" s="27"/>
      <c r="HK20" s="27"/>
      <c r="HL20" s="27"/>
      <c r="HO20" s="28"/>
      <c r="HP20" s="27"/>
      <c r="HQ20" s="27"/>
      <c r="HR20" s="27"/>
      <c r="HS20" s="27"/>
      <c r="HV20" s="28"/>
      <c r="HW20" s="27"/>
      <c r="HX20" s="27"/>
      <c r="HY20" s="27"/>
      <c r="HZ20" s="27"/>
      <c r="IC20" s="55">
        <v>99.99</v>
      </c>
      <c r="ID20" s="55">
        <v>99.99</v>
      </c>
      <c r="IE20" s="55">
        <v>99.99</v>
      </c>
      <c r="IF20" s="55">
        <v>99.99</v>
      </c>
      <c r="IG20" s="55">
        <v>99.99</v>
      </c>
      <c r="IH20" s="55">
        <v>99.99</v>
      </c>
      <c r="II20" s="55">
        <v>99.99</v>
      </c>
      <c r="IJ20" s="55">
        <v>99.99</v>
      </c>
      <c r="IK20" s="55">
        <v>99.99</v>
      </c>
      <c r="IL20" s="55">
        <v>99.99</v>
      </c>
      <c r="IM20" s="55">
        <v>99.99</v>
      </c>
      <c r="IN20" s="55">
        <v>99.99</v>
      </c>
      <c r="IO20" s="55">
        <v>99.99</v>
      </c>
      <c r="IP20" s="100">
        <v>99.99</v>
      </c>
      <c r="IQ20" s="100">
        <v>99.99</v>
      </c>
      <c r="IR20" s="100">
        <v>100</v>
      </c>
      <c r="IS20" s="100">
        <v>99.99</v>
      </c>
      <c r="IT20" s="100">
        <v>99.99</v>
      </c>
      <c r="IU20" s="100">
        <v>99.99</v>
      </c>
      <c r="IV20" s="100">
        <v>99.99</v>
      </c>
      <c r="IW20" s="100">
        <v>99.99</v>
      </c>
      <c r="IX20" s="118">
        <v>100</v>
      </c>
      <c r="IY20" s="141">
        <v>99.99</v>
      </c>
      <c r="IZ20" s="141">
        <v>99.99</v>
      </c>
      <c r="JA20" s="141">
        <v>99.99</v>
      </c>
      <c r="JB20" s="141">
        <v>99.99</v>
      </c>
      <c r="JC20" s="67">
        <v>99.99</v>
      </c>
      <c r="JD20" s="147">
        <v>99.99</v>
      </c>
      <c r="JE20" s="69">
        <v>99.99</v>
      </c>
      <c r="JF20" s="71">
        <v>99.99</v>
      </c>
      <c r="JG20" s="71">
        <v>99.99</v>
      </c>
      <c r="JH20" s="64">
        <v>99.99</v>
      </c>
      <c r="JI20" s="64">
        <v>99.99</v>
      </c>
      <c r="JJ20" s="64">
        <v>99.99</v>
      </c>
      <c r="JK20" s="64">
        <v>99.99</v>
      </c>
      <c r="JL20" s="64">
        <v>99.92</v>
      </c>
      <c r="JM20" s="64">
        <v>99.99</v>
      </c>
      <c r="JN20" s="72">
        <v>99.99</v>
      </c>
      <c r="JO20" s="67">
        <v>99.99</v>
      </c>
      <c r="JP20" s="67">
        <v>99.99</v>
      </c>
      <c r="JQ20" s="67">
        <v>99.99</v>
      </c>
      <c r="JR20" s="64">
        <v>99.99</v>
      </c>
      <c r="JS20" s="67">
        <v>99.99</v>
      </c>
      <c r="JT20" s="64">
        <v>99.99</v>
      </c>
      <c r="JU20" s="64">
        <v>99.99</v>
      </c>
      <c r="JV20" s="64">
        <v>99.99</v>
      </c>
      <c r="JW20" s="64">
        <v>99.99</v>
      </c>
      <c r="JX20" s="64">
        <v>99.99</v>
      </c>
      <c r="JY20" s="64">
        <v>99.99</v>
      </c>
      <c r="JZ20" s="72">
        <v>99.99</v>
      </c>
      <c r="KA20" s="69">
        <v>99.99</v>
      </c>
      <c r="KB20" s="67">
        <v>99.99</v>
      </c>
      <c r="KC20" s="92">
        <v>99.99</v>
      </c>
      <c r="KD20" s="67">
        <v>99.99</v>
      </c>
      <c r="KE20" s="67">
        <v>99.99</v>
      </c>
      <c r="KF20" s="64">
        <v>99.99</v>
      </c>
      <c r="KG20" s="64">
        <v>99.99</v>
      </c>
      <c r="KH20" s="64">
        <v>99.99</v>
      </c>
      <c r="KI20" s="64">
        <v>99.99</v>
      </c>
      <c r="KJ20" s="64">
        <v>99.99</v>
      </c>
      <c r="KK20" s="64">
        <v>99.99</v>
      </c>
      <c r="KL20" s="64">
        <v>99.99</v>
      </c>
      <c r="KM20" s="64">
        <v>99.99</v>
      </c>
      <c r="KN20" s="64">
        <v>99.99</v>
      </c>
      <c r="KO20" s="64">
        <v>99.99</v>
      </c>
      <c r="KP20" s="64">
        <v>99.9</v>
      </c>
      <c r="KQ20" s="64">
        <v>99.99</v>
      </c>
      <c r="KR20" s="64">
        <v>99.99</v>
      </c>
      <c r="KS20" s="64">
        <v>99.98</v>
      </c>
      <c r="KT20" s="104">
        <v>99.99</v>
      </c>
      <c r="KU20" s="104">
        <v>99.99</v>
      </c>
      <c r="KV20" s="104">
        <v>99.99</v>
      </c>
      <c r="KW20" s="104">
        <v>100</v>
      </c>
      <c r="KX20" s="104">
        <v>100</v>
      </c>
      <c r="KY20" s="104">
        <v>99.99</v>
      </c>
      <c r="KZ20" s="104">
        <v>99.99</v>
      </c>
      <c r="LA20" s="104">
        <v>99.99</v>
      </c>
      <c r="LB20" s="104">
        <v>99.99</v>
      </c>
      <c r="LC20" s="104">
        <v>99.99</v>
      </c>
      <c r="LD20" s="104">
        <v>99.99</v>
      </c>
      <c r="LE20" s="104">
        <v>99.99</v>
      </c>
      <c r="LF20" s="104">
        <v>99.99</v>
      </c>
      <c r="LG20" s="104">
        <v>99.99</v>
      </c>
      <c r="LH20" s="104">
        <v>99.99</v>
      </c>
      <c r="LI20" s="104">
        <v>99.99</v>
      </c>
      <c r="LJ20" s="104">
        <v>99.99</v>
      </c>
      <c r="LK20" s="104">
        <v>99.99</v>
      </c>
      <c r="LL20" s="104">
        <v>99.99</v>
      </c>
      <c r="LM20" s="104">
        <v>99.99</v>
      </c>
      <c r="LN20" s="104">
        <v>99.99</v>
      </c>
      <c r="LO20" s="104">
        <v>99.99</v>
      </c>
      <c r="LP20" s="104">
        <v>99.99</v>
      </c>
      <c r="LQ20" s="104">
        <v>99.99</v>
      </c>
      <c r="LR20" s="104">
        <v>99.99</v>
      </c>
      <c r="LS20" s="104">
        <v>99.99</v>
      </c>
      <c r="LT20" s="104">
        <v>99.99</v>
      </c>
      <c r="LU20" s="104">
        <v>99.99</v>
      </c>
      <c r="LV20" s="104">
        <v>99.99</v>
      </c>
      <c r="LW20" s="104">
        <v>99.99</v>
      </c>
      <c r="LX20" s="104">
        <v>99.99</v>
      </c>
      <c r="LY20" s="104">
        <v>99.99</v>
      </c>
      <c r="LZ20" s="104">
        <v>99.99</v>
      </c>
      <c r="MA20" s="104">
        <v>99.99</v>
      </c>
      <c r="MB20" s="104">
        <v>99.99</v>
      </c>
      <c r="MC20" s="104">
        <v>99.99</v>
      </c>
      <c r="MD20" s="104">
        <v>99.99</v>
      </c>
      <c r="ME20" s="104">
        <v>99.99</v>
      </c>
      <c r="MF20" s="104">
        <v>99.99</v>
      </c>
      <c r="MG20" s="104">
        <v>99.99</v>
      </c>
      <c r="MH20" s="104">
        <v>99.99</v>
      </c>
      <c r="MI20" s="104">
        <v>99.99</v>
      </c>
      <c r="MJ20" s="104">
        <v>99.99</v>
      </c>
      <c r="MK20" s="104">
        <v>99.94</v>
      </c>
      <c r="ML20" s="104">
        <v>99.99</v>
      </c>
      <c r="MM20" s="104">
        <v>99.99</v>
      </c>
      <c r="MN20" s="104">
        <v>99.99</v>
      </c>
      <c r="MO20" s="104">
        <v>99.99</v>
      </c>
      <c r="MP20" s="104">
        <v>99.99</v>
      </c>
      <c r="MQ20" s="104">
        <v>99.99</v>
      </c>
      <c r="MR20" s="104">
        <v>99.99</v>
      </c>
      <c r="MS20" s="101">
        <v>99.99</v>
      </c>
      <c r="MT20" s="101">
        <v>99.99</v>
      </c>
      <c r="MU20" s="101">
        <v>99.99</v>
      </c>
      <c r="MV20" s="101">
        <v>99.99</v>
      </c>
      <c r="MW20" s="101">
        <v>99.99</v>
      </c>
      <c r="MX20" s="101">
        <v>99.99</v>
      </c>
      <c r="MY20" s="104">
        <v>99.99</v>
      </c>
      <c r="MZ20" s="28"/>
      <c r="NA20" s="27"/>
      <c r="NB20" s="27"/>
      <c r="NC20" s="171">
        <v>99.99</v>
      </c>
      <c r="ND20" s="171">
        <v>99.99</v>
      </c>
      <c r="NE20" s="171">
        <v>99.99</v>
      </c>
      <c r="NF20" s="171">
        <v>99.99</v>
      </c>
      <c r="NG20" s="171">
        <v>99.99</v>
      </c>
      <c r="NH20" s="171">
        <v>99.99</v>
      </c>
      <c r="NI20" s="171">
        <v>99.99</v>
      </c>
      <c r="NJ20" s="171">
        <v>99.99</v>
      </c>
      <c r="NK20" s="171">
        <v>99.99</v>
      </c>
      <c r="NL20" s="171">
        <v>99.99</v>
      </c>
      <c r="NM20" s="171">
        <v>99.99</v>
      </c>
      <c r="NN20" s="67">
        <v>99.99</v>
      </c>
      <c r="NO20" s="48">
        <v>99.99</v>
      </c>
      <c r="NP20" s="48">
        <v>99.99</v>
      </c>
      <c r="NQ20" s="48">
        <v>99.99</v>
      </c>
      <c r="NR20" s="48">
        <v>99.99</v>
      </c>
      <c r="NS20" s="71">
        <v>99.99</v>
      </c>
      <c r="NT20" s="48">
        <v>99.99</v>
      </c>
      <c r="NU20" s="67">
        <v>99.99</v>
      </c>
      <c r="NV20" s="67">
        <v>99.99</v>
      </c>
      <c r="NW20" s="67">
        <v>99.99</v>
      </c>
      <c r="NX20" s="67">
        <v>99.99</v>
      </c>
      <c r="NY20" s="67">
        <v>99.99</v>
      </c>
      <c r="NZ20" s="67">
        <v>99.99</v>
      </c>
      <c r="OA20" s="67">
        <v>99.99</v>
      </c>
      <c r="OB20" s="67">
        <v>99.99</v>
      </c>
      <c r="OC20" s="67">
        <v>100</v>
      </c>
      <c r="OD20" s="67">
        <v>99.99</v>
      </c>
      <c r="OE20" s="48">
        <v>99.99</v>
      </c>
      <c r="OF20" s="48">
        <v>99.99</v>
      </c>
      <c r="OG20" s="48">
        <v>99.99</v>
      </c>
      <c r="OH20" s="48">
        <v>99.99</v>
      </c>
      <c r="OI20" s="67">
        <v>99.99</v>
      </c>
      <c r="OJ20" s="67">
        <v>99.99</v>
      </c>
      <c r="OK20" s="67">
        <v>99.99</v>
      </c>
      <c r="OL20" s="67">
        <v>99.99</v>
      </c>
      <c r="OM20" s="67">
        <v>99.99</v>
      </c>
      <c r="ON20" s="67">
        <v>99.99</v>
      </c>
      <c r="OO20" s="48">
        <v>99.99</v>
      </c>
      <c r="OP20" s="48">
        <v>99.99</v>
      </c>
      <c r="OQ20" s="48">
        <v>99.99</v>
      </c>
      <c r="OR20" s="67">
        <v>100</v>
      </c>
      <c r="OS20" s="48">
        <v>99.99</v>
      </c>
      <c r="OT20" s="48">
        <v>99.99</v>
      </c>
      <c r="OU20" s="48">
        <v>99.99</v>
      </c>
      <c r="OV20" s="48">
        <v>99.96</v>
      </c>
      <c r="OW20" s="67">
        <v>99.99</v>
      </c>
      <c r="OX20" s="67">
        <v>99.99</v>
      </c>
      <c r="OY20" s="67">
        <v>99.99</v>
      </c>
      <c r="OZ20" s="67">
        <v>99.99</v>
      </c>
      <c r="PA20" s="67">
        <v>100</v>
      </c>
      <c r="PB20" s="67">
        <v>99.99</v>
      </c>
      <c r="PC20" s="64">
        <v>99.99</v>
      </c>
      <c r="PD20" s="67">
        <v>99.99</v>
      </c>
      <c r="PE20" s="48">
        <v>99.99</v>
      </c>
      <c r="PF20" s="48">
        <v>99.99</v>
      </c>
      <c r="PG20" s="48">
        <v>99.99</v>
      </c>
      <c r="PH20" s="71">
        <v>99.99</v>
      </c>
      <c r="PI20" s="71">
        <v>99.99</v>
      </c>
      <c r="PJ20" s="71">
        <v>99.99</v>
      </c>
      <c r="PK20" s="71">
        <v>99.99</v>
      </c>
      <c r="PL20" s="71">
        <v>99.99</v>
      </c>
      <c r="PM20" s="71">
        <v>100</v>
      </c>
      <c r="PN20" s="67">
        <v>99.99</v>
      </c>
      <c r="PO20" s="67">
        <v>99.99</v>
      </c>
      <c r="PP20" s="67">
        <v>99.99</v>
      </c>
      <c r="PQ20" s="67">
        <v>99.92</v>
      </c>
      <c r="PR20" s="67">
        <v>99.99</v>
      </c>
      <c r="PS20" s="67">
        <v>99.99</v>
      </c>
      <c r="PT20" s="69">
        <v>99.99</v>
      </c>
      <c r="PU20" s="69">
        <v>99.98</v>
      </c>
      <c r="PV20" s="69">
        <v>99.99</v>
      </c>
      <c r="PW20" s="69">
        <v>99.99</v>
      </c>
      <c r="PX20" s="48">
        <v>99.99</v>
      </c>
      <c r="PY20" s="48">
        <v>99.99</v>
      </c>
      <c r="PZ20" s="69">
        <v>99.99</v>
      </c>
      <c r="QA20" s="69">
        <v>99.99</v>
      </c>
      <c r="QB20" s="48">
        <v>99.99</v>
      </c>
      <c r="QC20" s="71">
        <v>99.99</v>
      </c>
      <c r="QD20" s="71">
        <v>99.99</v>
      </c>
      <c r="QE20" s="67">
        <v>99.99</v>
      </c>
      <c r="QF20" s="64">
        <v>99.99</v>
      </c>
      <c r="QG20" s="64">
        <v>99.99</v>
      </c>
      <c r="QH20" s="64">
        <v>99.99</v>
      </c>
      <c r="QI20" s="71">
        <v>99.99</v>
      </c>
      <c r="QJ20" s="48">
        <v>99.99</v>
      </c>
      <c r="QK20" s="67">
        <v>99.98</v>
      </c>
      <c r="QL20" s="48">
        <v>99.97</v>
      </c>
      <c r="QM20" s="67">
        <v>99.96</v>
      </c>
      <c r="QN20" s="48">
        <v>99.99</v>
      </c>
      <c r="QO20" s="48">
        <v>99.99</v>
      </c>
      <c r="QP20" s="67">
        <v>99.99</v>
      </c>
      <c r="QQ20" s="67">
        <v>99.99</v>
      </c>
      <c r="QR20" s="67">
        <v>99.99</v>
      </c>
      <c r="QS20" s="67">
        <v>99.99</v>
      </c>
      <c r="QT20" s="67">
        <v>99.99</v>
      </c>
      <c r="QU20" s="67">
        <v>99.99</v>
      </c>
      <c r="QV20" s="67">
        <v>99.99</v>
      </c>
      <c r="QW20" s="67">
        <v>99.99</v>
      </c>
      <c r="QX20" s="48">
        <v>99.99</v>
      </c>
      <c r="QY20" s="48">
        <v>99.99</v>
      </c>
      <c r="QZ20" s="67">
        <v>99.99</v>
      </c>
      <c r="RA20" s="48">
        <v>99.96</v>
      </c>
      <c r="RB20" s="48">
        <v>99.99</v>
      </c>
      <c r="RC20" s="92">
        <v>99.99</v>
      </c>
      <c r="RD20" s="67">
        <v>99.99</v>
      </c>
      <c r="RE20" s="67">
        <v>99.99</v>
      </c>
      <c r="RF20" s="67">
        <v>99.93</v>
      </c>
      <c r="RG20" s="67">
        <v>99.99</v>
      </c>
      <c r="RH20" s="67">
        <v>99.99</v>
      </c>
      <c r="RI20" s="67">
        <v>99.99</v>
      </c>
      <c r="RJ20" s="67">
        <v>99.99</v>
      </c>
      <c r="RK20" s="67">
        <v>99.99</v>
      </c>
      <c r="RL20" s="67">
        <v>99.99</v>
      </c>
      <c r="RM20" s="67">
        <v>99.99</v>
      </c>
      <c r="RN20" s="67"/>
      <c r="RO20" s="67"/>
      <c r="RP20" s="67"/>
      <c r="RQ20" s="48"/>
      <c r="RR20" s="314"/>
      <c r="RS20" s="67">
        <v>99.99</v>
      </c>
      <c r="RT20" s="67">
        <v>99.99</v>
      </c>
      <c r="RU20" s="67">
        <v>99.99</v>
      </c>
      <c r="RV20" s="69">
        <v>99.99</v>
      </c>
      <c r="RW20" s="69">
        <v>99.99</v>
      </c>
      <c r="RX20" s="69">
        <v>99.99</v>
      </c>
      <c r="RY20" s="69">
        <v>99.99</v>
      </c>
      <c r="RZ20" s="67">
        <v>99.99</v>
      </c>
      <c r="SA20" s="27"/>
      <c r="SB20" s="27"/>
      <c r="SC20" s="27"/>
      <c r="SD20" s="27"/>
      <c r="SF20" s="321"/>
      <c r="SG20" s="64">
        <v>99.99</v>
      </c>
      <c r="SH20" s="64">
        <v>99.99</v>
      </c>
      <c r="SI20" s="64">
        <v>99.99</v>
      </c>
      <c r="SJ20" s="64">
        <v>99.99</v>
      </c>
      <c r="SK20" s="64">
        <v>99.99</v>
      </c>
      <c r="SL20" s="64">
        <v>99.99</v>
      </c>
      <c r="SM20" s="67">
        <v>99.99</v>
      </c>
      <c r="SN20" s="67">
        <v>99.99</v>
      </c>
      <c r="SO20" s="67">
        <v>99.99</v>
      </c>
      <c r="SP20" s="67">
        <v>99.99</v>
      </c>
      <c r="SQ20" s="104">
        <v>99.99</v>
      </c>
      <c r="SR20" s="104">
        <v>99.99</v>
      </c>
      <c r="SS20" s="104">
        <v>99.99</v>
      </c>
      <c r="ST20" s="48">
        <v>99.99</v>
      </c>
      <c r="SU20" s="104">
        <v>99.99</v>
      </c>
      <c r="SV20" s="104">
        <v>99.99</v>
      </c>
      <c r="SW20" s="104">
        <v>99.99</v>
      </c>
      <c r="SX20" s="104">
        <v>99.99</v>
      </c>
      <c r="SY20" s="104">
        <v>99.99</v>
      </c>
      <c r="SZ20" s="104">
        <v>99.99</v>
      </c>
      <c r="TA20" s="172">
        <v>99.99</v>
      </c>
      <c r="TB20" s="172">
        <v>99.99</v>
      </c>
      <c r="TC20" s="64">
        <v>99.99</v>
      </c>
      <c r="TD20" s="64">
        <v>99.99</v>
      </c>
      <c r="TE20" s="64">
        <v>99.99</v>
      </c>
      <c r="TF20" s="64">
        <v>99.99</v>
      </c>
      <c r="TG20" s="64">
        <v>99.99</v>
      </c>
      <c r="TH20" s="64">
        <v>99.99</v>
      </c>
      <c r="TI20" s="64">
        <v>99.99</v>
      </c>
      <c r="TJ20" s="67">
        <v>99.99</v>
      </c>
      <c r="TK20" s="2">
        <v>99.83</v>
      </c>
      <c r="TL20" s="64">
        <v>99.99</v>
      </c>
      <c r="TM20" s="64">
        <v>99.99</v>
      </c>
      <c r="TN20" s="64">
        <v>99.99</v>
      </c>
      <c r="TO20" s="64">
        <v>99.99</v>
      </c>
      <c r="TP20" s="64">
        <v>99.99</v>
      </c>
      <c r="TQ20" s="64">
        <v>99.99</v>
      </c>
      <c r="TR20" s="64">
        <v>99.97</v>
      </c>
      <c r="TS20" s="64">
        <v>99.99</v>
      </c>
      <c r="TT20" s="64">
        <v>99.99</v>
      </c>
      <c r="TU20" s="67">
        <v>99.99</v>
      </c>
      <c r="TV20" s="67">
        <v>99.99</v>
      </c>
      <c r="TW20" s="2">
        <v>99.99</v>
      </c>
      <c r="TX20" s="64">
        <v>99.97</v>
      </c>
      <c r="TY20" s="64">
        <v>99.99</v>
      </c>
      <c r="TZ20" s="64">
        <v>99.99</v>
      </c>
      <c r="UA20" s="64">
        <v>99.99</v>
      </c>
      <c r="UB20" s="48">
        <v>99.99</v>
      </c>
      <c r="UC20" s="48">
        <v>99.99</v>
      </c>
      <c r="UD20" s="48">
        <v>99.99</v>
      </c>
      <c r="UE20" s="48">
        <v>99.99</v>
      </c>
      <c r="UF20" s="48">
        <v>99.99</v>
      </c>
      <c r="UG20" s="48">
        <v>99.99</v>
      </c>
      <c r="UH20" s="48">
        <v>99.99</v>
      </c>
      <c r="UI20" s="48">
        <v>99.99</v>
      </c>
      <c r="UJ20" s="67">
        <v>99.98</v>
      </c>
      <c r="UK20" s="67">
        <v>99.99</v>
      </c>
      <c r="UL20" s="67">
        <v>99.99</v>
      </c>
      <c r="UM20" s="48">
        <v>99.99</v>
      </c>
      <c r="UN20" s="67">
        <v>99.99</v>
      </c>
      <c r="UO20" s="67">
        <v>99.99</v>
      </c>
      <c r="UP20" s="67">
        <v>99.99</v>
      </c>
      <c r="UQ20" s="48">
        <v>99.99</v>
      </c>
      <c r="UR20" s="48">
        <v>99.99</v>
      </c>
      <c r="US20" s="48">
        <v>99.99</v>
      </c>
      <c r="UT20" s="48">
        <v>99.99</v>
      </c>
      <c r="UU20" s="67">
        <v>99.99</v>
      </c>
      <c r="UV20" s="67">
        <v>99.99</v>
      </c>
      <c r="UW20" s="67">
        <v>99.99</v>
      </c>
      <c r="UX20" s="67">
        <v>99.99</v>
      </c>
      <c r="UY20" s="67">
        <v>99.99</v>
      </c>
      <c r="UZ20" s="67">
        <v>99.99</v>
      </c>
      <c r="VA20" s="48">
        <v>99.99</v>
      </c>
      <c r="VB20" s="48">
        <v>99.99</v>
      </c>
      <c r="VC20" s="48">
        <v>99.99</v>
      </c>
      <c r="VD20" s="48">
        <v>99.99</v>
      </c>
      <c r="VE20" s="48">
        <v>99.96</v>
      </c>
      <c r="VF20" s="48">
        <v>99.99</v>
      </c>
      <c r="VG20" s="48">
        <v>99.99</v>
      </c>
      <c r="VH20" s="71">
        <v>99.99</v>
      </c>
      <c r="VI20" s="67">
        <v>99.99</v>
      </c>
      <c r="VJ20" s="67">
        <v>99.98</v>
      </c>
      <c r="VK20" s="67">
        <v>99.99</v>
      </c>
      <c r="VL20" s="67">
        <v>99.99</v>
      </c>
      <c r="VM20" s="67">
        <v>99.99</v>
      </c>
      <c r="VN20" s="67">
        <v>99.99</v>
      </c>
      <c r="VO20" s="64">
        <v>99.99</v>
      </c>
      <c r="VP20" s="395">
        <v>99.99</v>
      </c>
      <c r="VQ20" s="67">
        <v>99.99</v>
      </c>
      <c r="VR20" s="67">
        <v>99.99</v>
      </c>
      <c r="VS20" s="94"/>
      <c r="VT20" s="74"/>
      <c r="VU20" s="74"/>
      <c r="WO20" s="75"/>
      <c r="WP20" s="74"/>
      <c r="WQ20" s="74"/>
      <c r="WR20" s="74"/>
      <c r="WS20" s="74"/>
      <c r="WT20" s="74"/>
      <c r="WZ20" s="75"/>
      <c r="XA20" s="74"/>
      <c r="XB20" s="74"/>
      <c r="XC20" s="74"/>
      <c r="XD20" s="74"/>
      <c r="XE20" s="74"/>
      <c r="XF20" s="70"/>
      <c r="XI20" s="75"/>
      <c r="XJ20" s="74"/>
      <c r="XK20" s="74"/>
      <c r="XL20" s="74"/>
      <c r="XM20" s="74"/>
      <c r="XN20" s="74"/>
      <c r="XO20" s="70"/>
      <c r="XR20" s="75"/>
      <c r="XS20" s="74"/>
      <c r="XT20" s="74"/>
      <c r="XU20" s="74"/>
      <c r="XV20" s="74"/>
      <c r="XW20" s="74"/>
      <c r="XZ20" s="75"/>
      <c r="YA20" s="74"/>
      <c r="YB20" s="74"/>
      <c r="YC20" s="74"/>
      <c r="YD20" s="74"/>
      <c r="YE20" s="74"/>
      <c r="YI20" s="75"/>
      <c r="YJ20" s="74"/>
      <c r="YK20" s="74"/>
      <c r="YL20" s="74"/>
      <c r="YM20" s="74"/>
      <c r="YN20" s="74"/>
      <c r="YP20" s="70"/>
      <c r="YQ20" s="70"/>
      <c r="YS20" s="70"/>
      <c r="YY20" s="70"/>
      <c r="YZ20" s="70"/>
      <c r="ZA20" s="70"/>
      <c r="ZE20" s="70"/>
      <c r="ZG20" s="70"/>
      <c r="ZN20" s="70"/>
      <c r="ZU20" s="75"/>
      <c r="ZV20" s="74"/>
      <c r="ZW20" s="74"/>
      <c r="ZX20" s="74"/>
      <c r="ZY20" s="74"/>
      <c r="ZZ20" s="74"/>
      <c r="AAA20" s="74"/>
      <c r="AAB20" s="75"/>
      <c r="AAC20" s="75"/>
      <c r="AAD20" s="74"/>
      <c r="AAE20" s="74"/>
      <c r="AAF20" s="74"/>
      <c r="AAG20" s="74"/>
      <c r="AAH20" s="74"/>
      <c r="AAI20" s="28"/>
      <c r="AAJ20" s="27"/>
      <c r="AAK20" s="27"/>
      <c r="AAL20" s="27"/>
      <c r="AAM20" s="27"/>
      <c r="AAQ20" s="75"/>
      <c r="AAR20" s="74"/>
      <c r="AAS20" s="74"/>
      <c r="AAT20" s="74"/>
      <c r="AAU20" s="74"/>
      <c r="AAV20" s="74"/>
      <c r="AAX20" s="75"/>
      <c r="AAY20" s="74"/>
      <c r="AAZ20" s="74"/>
      <c r="ABA20" s="74"/>
      <c r="ABB20" s="74"/>
      <c r="ABC20" s="74"/>
      <c r="ABE20" s="70"/>
      <c r="ABF20" s="75"/>
      <c r="ABG20" s="74"/>
      <c r="ABH20" s="74"/>
      <c r="ABI20" s="74"/>
      <c r="ABJ20" s="74"/>
      <c r="ABK20" s="74"/>
      <c r="ABO20" s="75"/>
      <c r="ABP20" s="74"/>
      <c r="ABQ20" s="74"/>
      <c r="ABR20" s="74"/>
      <c r="ABS20" s="74"/>
      <c r="ABT20" s="74"/>
      <c r="ABW20" s="75"/>
      <c r="ABX20" s="74"/>
      <c r="ABY20" s="74"/>
      <c r="ABZ20" s="74"/>
      <c r="ACA20" s="74"/>
      <c r="ACB20" s="74"/>
      <c r="ACD20" s="70"/>
      <c r="ACL20" s="75"/>
      <c r="ACM20" s="74"/>
      <c r="ACN20" s="74"/>
      <c r="ACO20" s="74"/>
      <c r="ACP20" s="74"/>
      <c r="ACQ20" s="74"/>
      <c r="ACS20" s="75"/>
      <c r="ACT20" s="74"/>
      <c r="ACU20" s="74"/>
      <c r="ACV20" s="74"/>
      <c r="ACW20" s="74"/>
      <c r="ACX20" s="74"/>
      <c r="ADB20" s="75"/>
      <c r="ADC20" s="74"/>
      <c r="ADD20" s="74"/>
      <c r="ADE20" s="74"/>
      <c r="ADF20" s="74"/>
      <c r="ADG20" s="74"/>
      <c r="ADH20" s="70"/>
      <c r="ADI20" s="28"/>
      <c r="ADJ20" s="27"/>
      <c r="ADK20" s="27"/>
      <c r="ADL20" s="27"/>
      <c r="ADM20" s="27"/>
      <c r="ADN20" s="27"/>
      <c r="ADO20" s="28"/>
      <c r="ADP20" s="27"/>
      <c r="ADQ20" s="94"/>
      <c r="ADR20" s="75"/>
      <c r="ADS20" s="74"/>
      <c r="ADT20" s="74"/>
      <c r="ADU20" s="74"/>
      <c r="ADV20" s="74"/>
      <c r="ADW20" s="74"/>
      <c r="ADY20" s="75"/>
      <c r="ADZ20" s="74"/>
      <c r="AEA20" s="74"/>
      <c r="AEB20" s="74"/>
      <c r="AEC20" s="74"/>
      <c r="AED20" s="74"/>
      <c r="AEG20" s="75">
        <v>44623</v>
      </c>
      <c r="AEH20" s="74" t="s">
        <v>63</v>
      </c>
      <c r="AEI20" s="74">
        <v>1438693</v>
      </c>
      <c r="AEJ20" s="74">
        <v>75099</v>
      </c>
      <c r="AEK20" s="74">
        <v>1513792</v>
      </c>
      <c r="AEL20" s="74" t="s">
        <v>79</v>
      </c>
      <c r="AEQ20" s="70"/>
      <c r="AEX20" s="70"/>
      <c r="AEY20" s="70"/>
      <c r="AFE20" s="70"/>
      <c r="AFL20" s="70"/>
      <c r="AFS20" s="70"/>
      <c r="AGN20" s="70"/>
      <c r="AGO20" s="70"/>
      <c r="AHD20" s="70"/>
      <c r="AHQ20" s="70"/>
      <c r="AHS20" s="70"/>
      <c r="AIY20" s="70"/>
      <c r="AIZ20" s="70"/>
      <c r="AJL20" s="28"/>
      <c r="AJM20" s="27"/>
      <c r="AJN20" s="27"/>
      <c r="AJO20" s="27"/>
      <c r="AJP20" s="27"/>
      <c r="AJQ20" s="27"/>
      <c r="AKG20" s="70"/>
      <c r="AKO20" s="70"/>
      <c r="AKU20" s="70"/>
      <c r="ALC20" s="70"/>
      <c r="ALI20" s="70"/>
      <c r="ALJ20" s="70"/>
    </row>
    <row r="21" spans="1:998" ht="15.75" thickBot="1" x14ac:dyDescent="0.3">
      <c r="A21" s="377" t="s">
        <v>71</v>
      </c>
      <c r="B21" s="125" t="s">
        <v>120</v>
      </c>
      <c r="DF21" s="28"/>
      <c r="DG21" s="27"/>
      <c r="DH21" s="27"/>
      <c r="DI21" s="27"/>
      <c r="EP21" s="28"/>
      <c r="EQ21" s="27"/>
      <c r="ER21" s="27"/>
      <c r="ES21" s="27"/>
      <c r="ET21" s="27"/>
      <c r="FA21" s="28"/>
      <c r="FB21" s="27"/>
      <c r="FC21" s="27"/>
      <c r="FD21" s="27"/>
      <c r="FE21" s="27"/>
      <c r="FI21" s="28"/>
      <c r="FJ21" s="27"/>
      <c r="FK21" s="27"/>
      <c r="FL21" s="27"/>
      <c r="FM21" s="27"/>
      <c r="FQ21" s="28"/>
      <c r="FR21" s="27"/>
      <c r="FS21" s="27"/>
      <c r="FT21" s="27"/>
      <c r="FU21" s="27"/>
      <c r="FX21" s="28"/>
      <c r="FY21" s="27"/>
      <c r="FZ21" s="27"/>
      <c r="GA21" s="27"/>
      <c r="GB21" s="27"/>
      <c r="GE21" s="28"/>
      <c r="GF21" s="27"/>
      <c r="GG21" s="27"/>
      <c r="GH21" s="27"/>
      <c r="GI21" s="27"/>
      <c r="GL21" s="28"/>
      <c r="GM21" s="27"/>
      <c r="GN21" s="27"/>
      <c r="GO21" s="27"/>
      <c r="GP21" s="27"/>
      <c r="GT21" s="28"/>
      <c r="GU21" s="27"/>
      <c r="GV21" s="27"/>
      <c r="GW21" s="27"/>
      <c r="GX21" s="27"/>
      <c r="HA21" s="28"/>
      <c r="HB21" s="27"/>
      <c r="HC21" s="27"/>
      <c r="HD21" s="27"/>
      <c r="HE21" s="27"/>
      <c r="HH21" s="28"/>
      <c r="HI21" s="27"/>
      <c r="HJ21" s="27"/>
      <c r="HK21" s="27"/>
      <c r="HL21" s="27"/>
      <c r="HO21" s="28"/>
      <c r="HP21" s="27"/>
      <c r="HQ21" s="27"/>
      <c r="HR21" s="27"/>
      <c r="HS21" s="27"/>
      <c r="HV21" s="28"/>
      <c r="HW21" s="27"/>
      <c r="HX21" s="27"/>
      <c r="HY21" s="27"/>
      <c r="HZ21" s="27"/>
      <c r="IC21" s="55">
        <v>99.727797600000002</v>
      </c>
      <c r="ID21" s="55">
        <v>99.765949899999995</v>
      </c>
      <c r="IE21" s="55">
        <v>99.989898199999999</v>
      </c>
      <c r="IF21" s="55">
        <v>99.991486699999996</v>
      </c>
      <c r="IG21" s="55">
        <v>99.986009999999993</v>
      </c>
      <c r="IH21" s="55">
        <v>99.98</v>
      </c>
      <c r="II21" s="55">
        <v>99.777000000000001</v>
      </c>
      <c r="IJ21" s="55">
        <v>97.69</v>
      </c>
      <c r="IK21" s="55">
        <v>97.97</v>
      </c>
      <c r="IL21" s="55">
        <v>99.98</v>
      </c>
      <c r="IM21" s="55">
        <v>99.99</v>
      </c>
      <c r="IN21" s="55">
        <v>99.983535500000002</v>
      </c>
      <c r="IO21" s="55">
        <v>99.99</v>
      </c>
      <c r="IP21" s="100">
        <v>99.99</v>
      </c>
      <c r="IQ21" s="100">
        <v>99.98</v>
      </c>
      <c r="IR21" s="100">
        <v>99.99</v>
      </c>
      <c r="IS21" s="100">
        <v>99.99</v>
      </c>
      <c r="IT21" s="100">
        <v>99.99</v>
      </c>
      <c r="IU21" s="100">
        <v>99.99</v>
      </c>
      <c r="IV21" s="100">
        <v>99.99</v>
      </c>
      <c r="IW21" s="100">
        <v>99.99</v>
      </c>
      <c r="IX21" s="118">
        <v>99.99</v>
      </c>
      <c r="IY21" s="141">
        <v>98.76</v>
      </c>
      <c r="IZ21" s="141">
        <v>99.94</v>
      </c>
      <c r="JA21" s="141">
        <v>99.99</v>
      </c>
      <c r="JB21" s="141">
        <v>99.98</v>
      </c>
      <c r="JC21" s="67">
        <v>99.47</v>
      </c>
      <c r="JD21" s="147">
        <v>99.9</v>
      </c>
      <c r="JE21" s="69">
        <v>99.93</v>
      </c>
      <c r="JF21" s="71">
        <v>99.91</v>
      </c>
      <c r="JG21" s="64">
        <v>99.98</v>
      </c>
      <c r="JH21" s="64">
        <v>99.99</v>
      </c>
      <c r="JI21" s="64">
        <v>99.84</v>
      </c>
      <c r="JJ21" s="64">
        <v>99.93</v>
      </c>
      <c r="JK21" s="64">
        <v>99.95</v>
      </c>
      <c r="JL21" s="64">
        <v>99.95</v>
      </c>
      <c r="JM21" s="64">
        <v>99.99</v>
      </c>
      <c r="JN21" s="72">
        <v>99.99</v>
      </c>
      <c r="JO21" s="67">
        <v>99.76</v>
      </c>
      <c r="JP21" s="67">
        <v>99.93</v>
      </c>
      <c r="JQ21" s="67">
        <v>99.99</v>
      </c>
      <c r="JR21" s="67">
        <v>99.99</v>
      </c>
      <c r="JS21" s="67">
        <v>99.95</v>
      </c>
      <c r="JT21" s="64">
        <v>83.63</v>
      </c>
      <c r="JU21" s="64">
        <v>55.12</v>
      </c>
      <c r="JV21" s="64">
        <v>82.22</v>
      </c>
      <c r="JW21" s="64">
        <v>99.36</v>
      </c>
      <c r="JX21" s="64">
        <v>99.94</v>
      </c>
      <c r="JY21" s="64">
        <v>99.87</v>
      </c>
      <c r="JZ21" s="72">
        <v>99.96</v>
      </c>
      <c r="KA21" s="69">
        <v>99.99</v>
      </c>
      <c r="KB21" s="67">
        <v>99.99</v>
      </c>
      <c r="KC21" s="92">
        <v>99.99</v>
      </c>
      <c r="KD21" s="67">
        <v>99.93</v>
      </c>
      <c r="KE21" s="67">
        <v>99.98</v>
      </c>
      <c r="KF21" s="67">
        <v>99.98</v>
      </c>
      <c r="KG21" s="67">
        <v>99.91</v>
      </c>
      <c r="KH21" s="64">
        <v>99.47</v>
      </c>
      <c r="KI21" s="64">
        <v>99.99</v>
      </c>
      <c r="KJ21" s="64">
        <v>99.9</v>
      </c>
      <c r="KK21" s="64">
        <v>99.99</v>
      </c>
      <c r="KL21" s="64">
        <v>99.98</v>
      </c>
      <c r="KM21" s="64">
        <v>99.99</v>
      </c>
      <c r="KN21" s="64">
        <v>99.38</v>
      </c>
      <c r="KO21" s="64">
        <v>99.66</v>
      </c>
      <c r="KP21" s="64">
        <v>99.99</v>
      </c>
      <c r="KQ21" s="64">
        <v>99.98</v>
      </c>
      <c r="KR21" s="64">
        <v>99.94</v>
      </c>
      <c r="KS21" s="64">
        <v>99.97</v>
      </c>
      <c r="KT21" s="104">
        <v>99.98</v>
      </c>
      <c r="KU21" s="104">
        <v>99.98</v>
      </c>
      <c r="KV21" s="104">
        <v>99.98</v>
      </c>
      <c r="KW21" s="104">
        <v>99.98</v>
      </c>
      <c r="KX21" s="104">
        <v>99.98</v>
      </c>
      <c r="KY21" s="104">
        <v>99.62</v>
      </c>
      <c r="KZ21" s="104">
        <v>99.95</v>
      </c>
      <c r="LA21" s="104">
        <v>99.98</v>
      </c>
      <c r="LB21" s="104">
        <v>99.99</v>
      </c>
      <c r="LC21" s="104">
        <v>99.98</v>
      </c>
      <c r="LD21" s="104">
        <v>99.99</v>
      </c>
      <c r="LE21" s="104">
        <v>99.97</v>
      </c>
      <c r="LF21" s="104">
        <v>99.93</v>
      </c>
      <c r="LG21" s="104">
        <v>99.95</v>
      </c>
      <c r="LH21" s="104">
        <v>99.79</v>
      </c>
      <c r="LI21" s="104">
        <v>99.99</v>
      </c>
      <c r="LJ21" s="104">
        <v>99.99</v>
      </c>
      <c r="LK21" s="104">
        <v>99.99</v>
      </c>
      <c r="LL21" s="104">
        <v>99.98</v>
      </c>
      <c r="LM21" s="104">
        <v>99.71</v>
      </c>
      <c r="LN21" s="104">
        <v>99.99</v>
      </c>
      <c r="LO21" s="104">
        <v>99.98</v>
      </c>
      <c r="LP21" s="104">
        <v>99.95</v>
      </c>
      <c r="LQ21" s="104">
        <v>99.99</v>
      </c>
      <c r="LR21" s="104">
        <v>99.99</v>
      </c>
      <c r="LS21" s="104">
        <v>99.99</v>
      </c>
      <c r="LT21" s="104">
        <v>99.99</v>
      </c>
      <c r="LU21" s="104">
        <v>99.91</v>
      </c>
      <c r="LV21" s="104">
        <v>99.97</v>
      </c>
      <c r="LW21" s="104">
        <v>99.93</v>
      </c>
      <c r="LX21" s="104">
        <v>99.99</v>
      </c>
      <c r="LY21" s="104">
        <v>99.99</v>
      </c>
      <c r="LZ21" s="104">
        <v>99.99</v>
      </c>
      <c r="MA21" s="104">
        <v>99.99</v>
      </c>
      <c r="MB21" s="104">
        <v>99.96</v>
      </c>
      <c r="MC21" s="104">
        <v>99.99</v>
      </c>
      <c r="MD21" s="104">
        <v>99.99</v>
      </c>
      <c r="ME21" s="104">
        <v>99.99</v>
      </c>
      <c r="MF21" s="104">
        <v>99.99</v>
      </c>
      <c r="MG21" s="104">
        <v>99.99</v>
      </c>
      <c r="MH21" s="104">
        <v>99.88</v>
      </c>
      <c r="MI21" s="104">
        <v>99.57</v>
      </c>
      <c r="MJ21" s="104">
        <v>99.97</v>
      </c>
      <c r="MK21" s="104">
        <v>99.97</v>
      </c>
      <c r="ML21" s="104">
        <v>99.91</v>
      </c>
      <c r="MM21" s="104">
        <v>99.99</v>
      </c>
      <c r="MN21" s="104">
        <v>99.99</v>
      </c>
      <c r="MO21" s="104">
        <v>99.92</v>
      </c>
      <c r="MP21" s="104">
        <v>99.99</v>
      </c>
      <c r="MQ21" s="104">
        <v>99.99</v>
      </c>
      <c r="MR21" s="104">
        <v>99.99</v>
      </c>
      <c r="MS21" s="101">
        <v>99.99</v>
      </c>
      <c r="MT21" s="101">
        <v>99.98</v>
      </c>
      <c r="MU21" s="101">
        <v>99.99</v>
      </c>
      <c r="MV21" s="101">
        <v>99.99</v>
      </c>
      <c r="MW21" s="101">
        <v>99.99</v>
      </c>
      <c r="MX21" s="101">
        <v>99.99</v>
      </c>
      <c r="MY21" s="104">
        <v>99.99</v>
      </c>
      <c r="MZ21" s="28"/>
      <c r="NA21" s="27"/>
      <c r="NB21" s="27"/>
      <c r="NC21" s="171">
        <v>99.99</v>
      </c>
      <c r="ND21" s="171">
        <v>99.99</v>
      </c>
      <c r="NE21" s="171">
        <v>99.99</v>
      </c>
      <c r="NF21" s="171">
        <v>99.99</v>
      </c>
      <c r="NG21" s="171">
        <v>99.99</v>
      </c>
      <c r="NH21" s="171">
        <v>99.99</v>
      </c>
      <c r="NI21" s="171">
        <v>99.98</v>
      </c>
      <c r="NJ21" s="171">
        <v>99.94</v>
      </c>
      <c r="NK21" s="171">
        <v>99.99</v>
      </c>
      <c r="NL21" s="171">
        <v>98.55</v>
      </c>
      <c r="NM21" s="171">
        <v>96.2</v>
      </c>
      <c r="NN21" s="48">
        <v>98.23</v>
      </c>
      <c r="NO21" s="67">
        <v>99.99</v>
      </c>
      <c r="NP21" s="67">
        <v>99.99</v>
      </c>
      <c r="NQ21" s="172">
        <v>99.98</v>
      </c>
      <c r="NR21" s="48">
        <v>99.97</v>
      </c>
      <c r="NS21" s="71">
        <v>99.97</v>
      </c>
      <c r="NT21" s="48">
        <v>99.98</v>
      </c>
      <c r="NU21" s="67">
        <v>99.97</v>
      </c>
      <c r="NV21" s="67">
        <v>99.91</v>
      </c>
      <c r="NW21" s="67">
        <v>99.77</v>
      </c>
      <c r="NX21" s="67">
        <v>99.93</v>
      </c>
      <c r="NY21" s="67">
        <v>99.99</v>
      </c>
      <c r="NZ21" s="67">
        <v>99.99</v>
      </c>
      <c r="OA21" s="67">
        <v>99.99</v>
      </c>
      <c r="OB21" s="67">
        <v>99.97</v>
      </c>
      <c r="OC21" s="67">
        <v>99.99</v>
      </c>
      <c r="OD21" s="67">
        <v>99.99</v>
      </c>
      <c r="OE21" s="48">
        <v>99.99</v>
      </c>
      <c r="OF21" s="48">
        <v>99.96</v>
      </c>
      <c r="OG21" s="48">
        <v>99.77</v>
      </c>
      <c r="OH21" s="48">
        <v>94.63</v>
      </c>
      <c r="OI21" s="67">
        <v>90.76</v>
      </c>
      <c r="OJ21" s="67">
        <v>93.52</v>
      </c>
      <c r="OK21" s="67">
        <v>99.99</v>
      </c>
      <c r="OL21" s="67">
        <v>99.99</v>
      </c>
      <c r="OM21" s="67">
        <v>99.99</v>
      </c>
      <c r="ON21" s="67">
        <v>99.83</v>
      </c>
      <c r="OO21" s="48">
        <v>93.93</v>
      </c>
      <c r="OP21" s="48">
        <v>63.13</v>
      </c>
      <c r="OQ21" s="67">
        <v>99.97</v>
      </c>
      <c r="OR21" s="48">
        <v>99.86</v>
      </c>
      <c r="OS21" s="48">
        <v>99.48</v>
      </c>
      <c r="OT21" s="48">
        <v>99.86</v>
      </c>
      <c r="OU21" s="48">
        <v>99.9</v>
      </c>
      <c r="OV21" s="48">
        <v>99.79</v>
      </c>
      <c r="OW21" s="67">
        <v>99.73</v>
      </c>
      <c r="OX21" s="67">
        <v>99.9</v>
      </c>
      <c r="OY21" s="67">
        <v>84</v>
      </c>
      <c r="OZ21" s="67">
        <v>78.86</v>
      </c>
      <c r="PA21" s="67">
        <v>99.25</v>
      </c>
      <c r="PB21" s="67">
        <v>99.98</v>
      </c>
      <c r="PC21" s="183">
        <v>99.86</v>
      </c>
      <c r="PD21" s="48">
        <v>99.97</v>
      </c>
      <c r="PE21" s="67">
        <v>99.99</v>
      </c>
      <c r="PF21" s="48">
        <v>99.99</v>
      </c>
      <c r="PG21" s="67">
        <v>99.99</v>
      </c>
      <c r="PH21" s="71">
        <v>99.96</v>
      </c>
      <c r="PI21" s="48">
        <v>99.99</v>
      </c>
      <c r="PJ21" s="48">
        <v>99.96</v>
      </c>
      <c r="PK21" s="48">
        <v>99.99</v>
      </c>
      <c r="PL21" s="48">
        <v>99.99</v>
      </c>
      <c r="PM21" s="48">
        <v>92.81</v>
      </c>
      <c r="PN21" s="67">
        <v>97.95</v>
      </c>
      <c r="PO21" s="67">
        <v>99.91</v>
      </c>
      <c r="PP21" s="67">
        <v>99.93</v>
      </c>
      <c r="PQ21" s="67">
        <v>99.99</v>
      </c>
      <c r="PR21" s="67">
        <v>99.99</v>
      </c>
      <c r="PS21" s="67">
        <v>99.99</v>
      </c>
      <c r="PT21" s="71">
        <v>99.98</v>
      </c>
      <c r="PU21" s="69">
        <v>99.99</v>
      </c>
      <c r="PV21" s="69">
        <v>99.89</v>
      </c>
      <c r="PW21" s="69">
        <v>95.62</v>
      </c>
      <c r="PX21" s="48">
        <v>68.25</v>
      </c>
      <c r="PY21" s="48">
        <v>23.87</v>
      </c>
      <c r="PZ21" s="48">
        <v>77.02</v>
      </c>
      <c r="QA21" s="48">
        <v>39.479999999999997</v>
      </c>
      <c r="QB21" s="48">
        <v>90.39</v>
      </c>
      <c r="QC21" s="71">
        <v>71.88</v>
      </c>
      <c r="QD21" s="48">
        <v>99.74</v>
      </c>
      <c r="QE21" s="67">
        <v>99.8</v>
      </c>
      <c r="QF21" s="64">
        <v>99.9</v>
      </c>
      <c r="QG21" s="64">
        <v>99.94</v>
      </c>
      <c r="QH21" s="71">
        <v>99.95</v>
      </c>
      <c r="QI21" s="71">
        <v>99.99</v>
      </c>
      <c r="QJ21" s="48">
        <v>99.98</v>
      </c>
      <c r="QK21" s="48">
        <v>99.81</v>
      </c>
      <c r="QL21" s="48">
        <v>99.81</v>
      </c>
      <c r="QM21" s="67">
        <v>99.91</v>
      </c>
      <c r="QN21" s="48">
        <v>99.92</v>
      </c>
      <c r="QO21" s="48">
        <v>99.99</v>
      </c>
      <c r="QP21" s="67">
        <v>99.98</v>
      </c>
      <c r="QQ21" s="67">
        <v>99.99</v>
      </c>
      <c r="QR21" s="67">
        <v>99.99</v>
      </c>
      <c r="QS21" s="67">
        <v>99.89</v>
      </c>
      <c r="QT21" s="48">
        <v>99.99</v>
      </c>
      <c r="QU21" s="48">
        <v>99.99</v>
      </c>
      <c r="QV21" s="48">
        <v>99.99</v>
      </c>
      <c r="QW21" s="48">
        <v>99.99</v>
      </c>
      <c r="QX21" s="48">
        <v>99.99</v>
      </c>
      <c r="QY21" s="48">
        <v>99.99</v>
      </c>
      <c r="QZ21" s="48">
        <v>99.66</v>
      </c>
      <c r="RA21" s="48">
        <v>99.71</v>
      </c>
      <c r="RB21" s="48">
        <v>94.96</v>
      </c>
      <c r="RC21" s="92">
        <v>29.15</v>
      </c>
      <c r="RD21" s="67">
        <v>73.12</v>
      </c>
      <c r="RE21" s="67">
        <v>99.96</v>
      </c>
      <c r="RF21" s="67">
        <v>99.99</v>
      </c>
      <c r="RG21" s="67">
        <v>99.81</v>
      </c>
      <c r="RH21" s="48">
        <v>99.99</v>
      </c>
      <c r="RI21" s="48">
        <v>99.99</v>
      </c>
      <c r="RJ21" s="48">
        <v>99.99</v>
      </c>
      <c r="RK21" s="48">
        <v>99.98</v>
      </c>
      <c r="RL21" s="48">
        <v>99.99</v>
      </c>
      <c r="RM21" s="48">
        <v>99.99</v>
      </c>
      <c r="RN21" s="67"/>
      <c r="RO21" s="67"/>
      <c r="RP21" s="67"/>
      <c r="RQ21" s="315"/>
      <c r="RR21" s="314"/>
      <c r="RS21" s="67">
        <v>99.89</v>
      </c>
      <c r="RT21" s="67">
        <v>99.99</v>
      </c>
      <c r="RU21" s="67">
        <v>99.9</v>
      </c>
      <c r="RV21" s="69">
        <v>99.95</v>
      </c>
      <c r="RW21" s="69">
        <v>99.75</v>
      </c>
      <c r="RX21" s="71">
        <v>96.52</v>
      </c>
      <c r="RY21" s="69">
        <v>91.53</v>
      </c>
      <c r="RZ21" s="67">
        <v>93.08</v>
      </c>
      <c r="SA21" s="27"/>
      <c r="SB21" s="27"/>
      <c r="SC21" s="27"/>
      <c r="SD21" s="27"/>
      <c r="SE21" s="70"/>
      <c r="SF21" s="321"/>
      <c r="SG21" s="104">
        <v>98.6</v>
      </c>
      <c r="SH21" s="104">
        <v>97.69</v>
      </c>
      <c r="SI21" s="104">
        <v>99.37</v>
      </c>
      <c r="SJ21" s="104">
        <v>98.56</v>
      </c>
      <c r="SK21" s="104">
        <v>95.68</v>
      </c>
      <c r="SL21" s="104">
        <v>86.64</v>
      </c>
      <c r="SM21" s="67">
        <v>98.87</v>
      </c>
      <c r="SN21" s="67">
        <v>98.51</v>
      </c>
      <c r="SO21" s="67">
        <v>97.88</v>
      </c>
      <c r="SP21" s="67">
        <v>95.66</v>
      </c>
      <c r="SQ21" s="104">
        <v>98.38</v>
      </c>
      <c r="SR21" s="104">
        <v>99.31</v>
      </c>
      <c r="SS21" s="48">
        <v>98.22</v>
      </c>
      <c r="ST21" s="48">
        <v>98.76</v>
      </c>
      <c r="SU21" s="67">
        <v>98.35</v>
      </c>
      <c r="SV21" s="67">
        <v>98.65</v>
      </c>
      <c r="SW21" s="48">
        <v>98.29</v>
      </c>
      <c r="SX21" s="48">
        <v>98.35</v>
      </c>
      <c r="SY21" s="48">
        <v>98.03</v>
      </c>
      <c r="SZ21" s="48">
        <v>97.4</v>
      </c>
      <c r="TA21" s="172">
        <v>99.58</v>
      </c>
      <c r="TB21" s="172">
        <v>99.18</v>
      </c>
      <c r="TC21" s="64">
        <v>98.87</v>
      </c>
      <c r="TD21" s="64">
        <v>99.01</v>
      </c>
      <c r="TE21" s="64">
        <v>98.93</v>
      </c>
      <c r="TF21" s="64">
        <v>99.57</v>
      </c>
      <c r="TG21" s="64">
        <v>98.07</v>
      </c>
      <c r="TH21" s="64">
        <v>98.48</v>
      </c>
      <c r="TI21" s="64">
        <v>97.81</v>
      </c>
      <c r="TJ21" s="67">
        <v>99.09</v>
      </c>
      <c r="TK21" s="104">
        <v>98.56</v>
      </c>
      <c r="TL21" s="64">
        <v>99.01</v>
      </c>
      <c r="TM21" s="64">
        <v>98.48</v>
      </c>
      <c r="TN21" s="64">
        <v>98.71</v>
      </c>
      <c r="TO21" s="64">
        <v>98.57</v>
      </c>
      <c r="TP21" s="64">
        <v>99.38</v>
      </c>
      <c r="TQ21" s="64">
        <v>99.28</v>
      </c>
      <c r="TR21" s="64">
        <v>98.87</v>
      </c>
      <c r="TS21" s="64">
        <v>99.96</v>
      </c>
      <c r="TT21" s="64">
        <v>99.92</v>
      </c>
      <c r="TU21" s="67">
        <v>99.99</v>
      </c>
      <c r="TV21" s="67">
        <v>99.84</v>
      </c>
      <c r="TW21" s="48">
        <v>99.45</v>
      </c>
      <c r="TX21" s="48">
        <v>98.29</v>
      </c>
      <c r="TY21" s="64">
        <v>99.39</v>
      </c>
      <c r="TZ21" s="64">
        <v>99.5</v>
      </c>
      <c r="UA21" s="64">
        <v>98.6</v>
      </c>
      <c r="UB21" s="48">
        <v>98.22</v>
      </c>
      <c r="UC21" s="48">
        <v>98.98</v>
      </c>
      <c r="UD21" s="48">
        <v>99.56</v>
      </c>
      <c r="UE21" s="48">
        <v>99.96</v>
      </c>
      <c r="UF21" s="48">
        <v>99.98</v>
      </c>
      <c r="UG21" s="48">
        <v>99.89</v>
      </c>
      <c r="UH21" s="48">
        <v>99.04</v>
      </c>
      <c r="UI21" s="64">
        <v>97.84</v>
      </c>
      <c r="UJ21" s="67">
        <v>99.54</v>
      </c>
      <c r="UK21" s="67">
        <v>99.77</v>
      </c>
      <c r="UL21" s="67">
        <v>99.94</v>
      </c>
      <c r="UM21" s="323">
        <v>99.71</v>
      </c>
      <c r="UN21" s="48">
        <v>99.91</v>
      </c>
      <c r="UO21" s="48">
        <v>99.95</v>
      </c>
      <c r="UP21" s="48">
        <v>99.92</v>
      </c>
      <c r="UQ21" s="48">
        <v>99.97</v>
      </c>
      <c r="UR21" s="48">
        <v>99.94</v>
      </c>
      <c r="US21" s="104">
        <v>99.98</v>
      </c>
      <c r="UT21" s="104">
        <v>99.98</v>
      </c>
      <c r="UU21" s="67">
        <v>99.97</v>
      </c>
      <c r="UV21" s="67">
        <v>99.97</v>
      </c>
      <c r="UW21" s="67">
        <v>99.98</v>
      </c>
      <c r="UX21" s="67">
        <v>99.91</v>
      </c>
      <c r="UY21" s="67">
        <v>99.98</v>
      </c>
      <c r="UZ21" s="67">
        <v>99.87</v>
      </c>
      <c r="VA21" s="48">
        <v>99.93</v>
      </c>
      <c r="VB21" s="67">
        <v>99.86</v>
      </c>
      <c r="VC21" s="67">
        <v>99.98</v>
      </c>
      <c r="VD21" s="48">
        <v>99.97</v>
      </c>
      <c r="VE21" s="48">
        <v>99.98</v>
      </c>
      <c r="VF21" s="67">
        <v>99.93</v>
      </c>
      <c r="VG21" s="48">
        <v>99.89</v>
      </c>
      <c r="VH21" s="71">
        <v>99.911000000000001</v>
      </c>
      <c r="VI21" s="67">
        <v>99.91</v>
      </c>
      <c r="VJ21" s="67">
        <v>99.84</v>
      </c>
      <c r="VK21" s="67">
        <v>99.96</v>
      </c>
      <c r="VL21" s="67">
        <v>99.98</v>
      </c>
      <c r="VM21" s="67">
        <v>99.97</v>
      </c>
      <c r="VN21" s="67">
        <v>99.95</v>
      </c>
      <c r="VO21" s="48">
        <v>99.84</v>
      </c>
      <c r="VP21" s="395">
        <v>99.91</v>
      </c>
      <c r="VQ21" s="67">
        <v>99.98</v>
      </c>
      <c r="VR21" s="67">
        <v>99.97</v>
      </c>
      <c r="VS21" s="94"/>
      <c r="VT21" s="74"/>
      <c r="VU21" s="74"/>
      <c r="VV21" s="70"/>
      <c r="WO21" s="75"/>
      <c r="WP21" s="74"/>
      <c r="WQ21" s="74"/>
      <c r="WR21" s="74"/>
      <c r="WS21" s="74"/>
      <c r="WT21" s="74"/>
      <c r="WU21" s="70"/>
      <c r="WZ21" s="75"/>
      <c r="XA21" s="74"/>
      <c r="XB21" s="74"/>
      <c r="XC21" s="74"/>
      <c r="XD21" s="74"/>
      <c r="XE21" s="74"/>
      <c r="XF21" s="70"/>
      <c r="XI21" s="75"/>
      <c r="XJ21" s="74"/>
      <c r="XK21" s="74"/>
      <c r="XL21" s="74"/>
      <c r="XM21" s="74"/>
      <c r="XN21" s="74"/>
      <c r="XO21" s="70"/>
      <c r="XR21" s="75"/>
      <c r="XS21" s="74"/>
      <c r="XT21" s="74"/>
      <c r="XU21" s="74"/>
      <c r="XV21" s="74"/>
      <c r="XW21" s="74"/>
      <c r="XX21" s="70"/>
      <c r="XZ21" s="75"/>
      <c r="YA21" s="74"/>
      <c r="YB21" s="74"/>
      <c r="YC21" s="74"/>
      <c r="YD21" s="74"/>
      <c r="YE21" s="74"/>
      <c r="YF21" s="70"/>
      <c r="YI21" s="75"/>
      <c r="YJ21" s="74"/>
      <c r="YK21" s="74"/>
      <c r="YL21" s="74"/>
      <c r="YM21" s="74"/>
      <c r="YN21" s="74"/>
      <c r="YO21" s="70"/>
      <c r="YP21" s="70"/>
      <c r="YQ21" s="70"/>
      <c r="YS21" s="70"/>
      <c r="YY21" s="70"/>
      <c r="YZ21" s="70"/>
      <c r="ZA21" s="70"/>
      <c r="ZE21" s="70"/>
      <c r="ZG21" s="70"/>
      <c r="ZN21" s="70"/>
      <c r="ZU21" s="75"/>
      <c r="ZV21" s="74"/>
      <c r="ZW21" s="74"/>
      <c r="ZX21" s="74"/>
      <c r="ZY21" s="74"/>
      <c r="ZZ21" s="74"/>
      <c r="AAA21" s="74"/>
      <c r="AAB21" s="75"/>
      <c r="AAC21" s="75"/>
      <c r="AAD21" s="74"/>
      <c r="AAE21" s="74"/>
      <c r="AAF21" s="74"/>
      <c r="AAG21" s="74"/>
      <c r="AAH21" s="74"/>
      <c r="AAI21" s="28"/>
      <c r="AAJ21" s="27"/>
      <c r="AAK21" s="27"/>
      <c r="AAL21" s="27"/>
      <c r="AAM21" s="27"/>
      <c r="AAQ21" s="75"/>
      <c r="AAR21" s="74"/>
      <c r="AAS21" s="74"/>
      <c r="AAT21" s="74"/>
      <c r="AAU21" s="74"/>
      <c r="AAV21" s="74"/>
      <c r="AAX21" s="75"/>
      <c r="AAY21" s="74"/>
      <c r="AAZ21" s="74"/>
      <c r="ABA21" s="74"/>
      <c r="ABB21" s="74"/>
      <c r="ABC21" s="74"/>
      <c r="ABE21" s="70"/>
      <c r="ABF21" s="75"/>
      <c r="ABG21" s="74"/>
      <c r="ABH21" s="74"/>
      <c r="ABI21" s="74"/>
      <c r="ABJ21" s="74"/>
      <c r="ABK21" s="74"/>
      <c r="ABO21" s="75"/>
      <c r="ABP21" s="74"/>
      <c r="ABQ21" s="74"/>
      <c r="ABR21" s="74"/>
      <c r="ABS21" s="74"/>
      <c r="ABT21" s="74"/>
      <c r="ABW21" s="75"/>
      <c r="ABX21" s="74"/>
      <c r="ABY21" s="74"/>
      <c r="ABZ21" s="74"/>
      <c r="ACA21" s="74"/>
      <c r="ACB21" s="74"/>
      <c r="ACD21" s="70"/>
      <c r="ACL21" s="75"/>
      <c r="ACM21" s="74"/>
      <c r="ACN21" s="74"/>
      <c r="ACO21" s="74"/>
      <c r="ACP21" s="74"/>
      <c r="ACQ21" s="74"/>
      <c r="ACS21" s="75"/>
      <c r="ACT21" s="74"/>
      <c r="ACU21" s="74"/>
      <c r="ACV21" s="74"/>
      <c r="ACW21" s="74"/>
      <c r="ACX21" s="74"/>
      <c r="ADB21" s="75"/>
      <c r="ADC21" s="74"/>
      <c r="ADD21" s="74"/>
      <c r="ADE21" s="74"/>
      <c r="ADF21" s="74"/>
      <c r="ADG21" s="74"/>
      <c r="ADI21" s="28"/>
      <c r="ADJ21" s="27"/>
      <c r="ADK21" s="27"/>
      <c r="ADL21" s="27"/>
      <c r="ADM21" s="27"/>
      <c r="ADN21" s="27"/>
      <c r="ADO21" s="28"/>
      <c r="ADP21" s="27"/>
      <c r="ADQ21" s="94"/>
      <c r="ADR21" s="75"/>
      <c r="ADS21" s="74"/>
      <c r="ADT21" s="74"/>
      <c r="ADU21" s="74"/>
      <c r="ADV21" s="74"/>
      <c r="ADW21" s="74"/>
      <c r="ADY21" s="75"/>
      <c r="ADZ21" s="74"/>
      <c r="AEA21" s="74"/>
      <c r="AEB21" s="74"/>
      <c r="AEC21" s="74"/>
      <c r="AED21" s="74"/>
      <c r="AEG21" s="75">
        <v>44623</v>
      </c>
      <c r="AEH21" s="74" t="s">
        <v>64</v>
      </c>
      <c r="AEI21" s="74">
        <v>1450539</v>
      </c>
      <c r="AEJ21" s="74">
        <v>78339</v>
      </c>
      <c r="AEK21" s="74">
        <v>1528878</v>
      </c>
      <c r="AEL21" s="74" t="s">
        <v>80</v>
      </c>
      <c r="AEQ21" s="70"/>
      <c r="AEX21" s="70"/>
      <c r="AEY21" s="70"/>
      <c r="AFE21" s="70"/>
      <c r="AFL21" s="70"/>
      <c r="AFS21" s="70"/>
      <c r="AGN21" s="70"/>
      <c r="AGO21" s="70"/>
      <c r="AHD21" s="70"/>
      <c r="AHQ21" s="70"/>
      <c r="AHS21" s="70"/>
      <c r="AIY21" s="70"/>
      <c r="AIZ21" s="70"/>
      <c r="AJL21" s="28"/>
      <c r="AJM21" s="27"/>
      <c r="AJN21" s="27"/>
      <c r="AJO21" s="27"/>
      <c r="AJP21" s="27"/>
      <c r="AJQ21" s="27"/>
      <c r="AKG21" s="70"/>
      <c r="AKO21" s="70"/>
      <c r="AKU21" s="70"/>
      <c r="ALC21" s="70"/>
      <c r="ALI21" s="70"/>
      <c r="ALJ21" s="70"/>
    </row>
    <row r="22" spans="1:998" ht="15.75" thickBot="1" x14ac:dyDescent="0.3">
      <c r="A22" s="379"/>
      <c r="B22" s="125" t="s">
        <v>121</v>
      </c>
      <c r="DF22" s="28"/>
      <c r="DG22" s="27"/>
      <c r="DH22" s="27"/>
      <c r="DI22" s="27"/>
      <c r="EP22" s="28"/>
      <c r="EQ22" s="27"/>
      <c r="ER22" s="27"/>
      <c r="ES22" s="27"/>
      <c r="ET22" s="27"/>
      <c r="FA22" s="28"/>
      <c r="FB22" s="27"/>
      <c r="FC22" s="27"/>
      <c r="FD22" s="27"/>
      <c r="FE22" s="27"/>
      <c r="FI22" s="28"/>
      <c r="FJ22" s="27"/>
      <c r="FK22" s="27"/>
      <c r="FL22" s="27"/>
      <c r="FM22" s="27"/>
      <c r="FQ22" s="28"/>
      <c r="FR22" s="27"/>
      <c r="FS22" s="27"/>
      <c r="FT22" s="27"/>
      <c r="FU22" s="27"/>
      <c r="FX22" s="28"/>
      <c r="FY22" s="27"/>
      <c r="FZ22" s="27"/>
      <c r="GA22" s="27"/>
      <c r="GB22" s="27"/>
      <c r="GE22" s="28"/>
      <c r="GF22" s="27"/>
      <c r="GG22" s="27"/>
      <c r="GH22" s="27"/>
      <c r="GI22" s="27"/>
      <c r="GL22" s="28"/>
      <c r="GM22" s="27"/>
      <c r="GN22" s="27"/>
      <c r="GO22" s="27"/>
      <c r="GP22" s="27"/>
      <c r="GT22" s="28"/>
      <c r="GU22" s="27"/>
      <c r="GV22" s="27"/>
      <c r="GW22" s="27"/>
      <c r="GX22" s="27"/>
      <c r="HA22" s="28"/>
      <c r="HB22" s="27"/>
      <c r="HC22" s="27"/>
      <c r="HD22" s="27"/>
      <c r="HE22" s="27"/>
      <c r="HH22" s="28"/>
      <c r="HI22" s="27"/>
      <c r="HJ22" s="27"/>
      <c r="HK22" s="27"/>
      <c r="HL22" s="27"/>
      <c r="HO22" s="28"/>
      <c r="HP22" s="27"/>
      <c r="HQ22" s="27"/>
      <c r="HR22" s="27"/>
      <c r="HS22" s="27"/>
      <c r="HV22" s="28"/>
      <c r="HW22" s="27"/>
      <c r="HX22" s="27"/>
      <c r="HY22" s="27"/>
      <c r="HZ22" s="27"/>
      <c r="IC22" s="132">
        <v>100</v>
      </c>
      <c r="ID22" s="132">
        <v>100</v>
      </c>
      <c r="IE22" s="132">
        <v>100</v>
      </c>
      <c r="IF22" s="132">
        <v>100</v>
      </c>
      <c r="IG22" s="132">
        <v>100</v>
      </c>
      <c r="IH22" s="132">
        <v>100</v>
      </c>
      <c r="II22" s="132">
        <v>100</v>
      </c>
      <c r="IJ22" s="126">
        <v>100</v>
      </c>
      <c r="IK22" s="132">
        <v>100</v>
      </c>
      <c r="IL22" s="132">
        <v>100</v>
      </c>
      <c r="IM22" s="126">
        <v>100</v>
      </c>
      <c r="IN22" s="126">
        <v>100</v>
      </c>
      <c r="IO22" s="55">
        <v>100</v>
      </c>
      <c r="IP22" s="100">
        <v>100</v>
      </c>
      <c r="IQ22" s="100">
        <v>100</v>
      </c>
      <c r="IR22" s="100">
        <v>100</v>
      </c>
      <c r="IS22" s="100">
        <v>100</v>
      </c>
      <c r="IT22" s="100">
        <v>100</v>
      </c>
      <c r="IU22" s="100">
        <v>100</v>
      </c>
      <c r="IV22" s="100">
        <v>100</v>
      </c>
      <c r="IW22" s="100">
        <v>100</v>
      </c>
      <c r="IX22" s="118">
        <v>100</v>
      </c>
      <c r="IY22" s="141">
        <v>100</v>
      </c>
      <c r="IZ22" s="141">
        <v>100</v>
      </c>
      <c r="JA22" s="141">
        <v>100</v>
      </c>
      <c r="JB22" s="141">
        <v>100</v>
      </c>
      <c r="JC22" s="67">
        <v>99.99</v>
      </c>
      <c r="JD22" s="147">
        <v>100</v>
      </c>
      <c r="JE22" s="69">
        <v>100</v>
      </c>
      <c r="JF22" s="71">
        <v>100</v>
      </c>
      <c r="JG22" s="71">
        <v>100</v>
      </c>
      <c r="JH22" s="64">
        <v>100</v>
      </c>
      <c r="JI22" s="64">
        <v>100</v>
      </c>
      <c r="JJ22" s="64">
        <v>100</v>
      </c>
      <c r="JK22" s="64">
        <v>100</v>
      </c>
      <c r="JL22" s="64">
        <v>100</v>
      </c>
      <c r="JM22" s="64">
        <v>100</v>
      </c>
      <c r="JN22" s="72">
        <v>100</v>
      </c>
      <c r="JO22" s="67">
        <v>100</v>
      </c>
      <c r="JP22" s="67">
        <v>100</v>
      </c>
      <c r="JQ22" s="67">
        <v>100</v>
      </c>
      <c r="JR22" s="67">
        <v>100</v>
      </c>
      <c r="JS22" s="67">
        <v>100</v>
      </c>
      <c r="JT22" s="64">
        <v>100</v>
      </c>
      <c r="JU22" s="64">
        <v>100</v>
      </c>
      <c r="JV22" s="64">
        <v>100</v>
      </c>
      <c r="JW22" s="64">
        <v>100</v>
      </c>
      <c r="JX22" s="64">
        <v>100</v>
      </c>
      <c r="JY22" s="64">
        <v>99.99</v>
      </c>
      <c r="JZ22" s="72">
        <v>100</v>
      </c>
      <c r="KA22" s="69">
        <v>100</v>
      </c>
      <c r="KB22" s="67">
        <v>100</v>
      </c>
      <c r="KC22" s="92">
        <v>100</v>
      </c>
      <c r="KD22" s="67">
        <v>100</v>
      </c>
      <c r="KE22" s="67">
        <v>100</v>
      </c>
      <c r="KF22" s="67">
        <v>100</v>
      </c>
      <c r="KG22" s="67">
        <v>100</v>
      </c>
      <c r="KH22" s="64">
        <v>100</v>
      </c>
      <c r="KI22" s="64">
        <v>100</v>
      </c>
      <c r="KJ22" s="64">
        <v>99.99</v>
      </c>
      <c r="KK22" s="64">
        <v>100</v>
      </c>
      <c r="KL22" s="64">
        <v>100</v>
      </c>
      <c r="KM22" s="64">
        <v>100</v>
      </c>
      <c r="KN22" s="64">
        <v>100</v>
      </c>
      <c r="KO22" s="64">
        <v>100</v>
      </c>
      <c r="KP22" s="64">
        <v>100</v>
      </c>
      <c r="KQ22" s="64">
        <v>99.99</v>
      </c>
      <c r="KR22" s="64">
        <v>99.99</v>
      </c>
      <c r="KS22" s="64">
        <v>100</v>
      </c>
      <c r="KT22" s="104">
        <v>100</v>
      </c>
      <c r="KU22" s="104">
        <v>100</v>
      </c>
      <c r="KV22" s="104">
        <v>100</v>
      </c>
      <c r="KW22" s="104">
        <v>100</v>
      </c>
      <c r="KX22" s="104">
        <v>99.99</v>
      </c>
      <c r="KY22" s="104">
        <v>100</v>
      </c>
      <c r="KZ22" s="104">
        <v>100</v>
      </c>
      <c r="LA22" s="104">
        <v>100</v>
      </c>
      <c r="LB22" s="104">
        <v>100</v>
      </c>
      <c r="LC22" s="104">
        <v>100</v>
      </c>
      <c r="LD22" s="104">
        <v>100</v>
      </c>
      <c r="LE22" s="104">
        <v>100</v>
      </c>
      <c r="LF22" s="104">
        <v>100</v>
      </c>
      <c r="LG22" s="104">
        <v>100</v>
      </c>
      <c r="LH22" s="104">
        <v>100</v>
      </c>
      <c r="LI22" s="104">
        <v>100</v>
      </c>
      <c r="LJ22" s="104">
        <v>100</v>
      </c>
      <c r="LK22" s="104">
        <v>100</v>
      </c>
      <c r="LL22" s="104">
        <v>100</v>
      </c>
      <c r="LM22" s="104">
        <v>100</v>
      </c>
      <c r="LN22" s="104">
        <v>100</v>
      </c>
      <c r="LO22" s="104">
        <v>100</v>
      </c>
      <c r="LP22" s="104">
        <v>100</v>
      </c>
      <c r="LQ22" s="104">
        <v>100</v>
      </c>
      <c r="LR22" s="104">
        <v>100</v>
      </c>
      <c r="LS22" s="104">
        <v>100</v>
      </c>
      <c r="LT22" s="104">
        <v>100</v>
      </c>
      <c r="LU22" s="104">
        <v>100</v>
      </c>
      <c r="LV22" s="104">
        <v>100</v>
      </c>
      <c r="LW22" s="104">
        <v>100</v>
      </c>
      <c r="LX22" s="104">
        <v>100</v>
      </c>
      <c r="LY22" s="104">
        <v>100</v>
      </c>
      <c r="LZ22" s="104">
        <v>100</v>
      </c>
      <c r="MA22" s="104">
        <v>100</v>
      </c>
      <c r="MB22" s="104">
        <v>100</v>
      </c>
      <c r="MC22" s="104">
        <v>100</v>
      </c>
      <c r="MD22" s="104">
        <v>100</v>
      </c>
      <c r="ME22" s="104">
        <v>100</v>
      </c>
      <c r="MF22" s="104">
        <v>100</v>
      </c>
      <c r="MG22" s="104">
        <v>100</v>
      </c>
      <c r="MH22" s="104">
        <v>100</v>
      </c>
      <c r="MI22" s="104">
        <v>99.99</v>
      </c>
      <c r="MJ22" s="104">
        <v>100</v>
      </c>
      <c r="MK22" s="104">
        <v>100</v>
      </c>
      <c r="ML22" s="104">
        <v>99.99</v>
      </c>
      <c r="MM22" s="104">
        <v>100</v>
      </c>
      <c r="MN22" s="104">
        <v>100</v>
      </c>
      <c r="MO22" s="104">
        <v>100</v>
      </c>
      <c r="MP22" s="104">
        <v>100</v>
      </c>
      <c r="MQ22" s="104">
        <v>100</v>
      </c>
      <c r="MR22" s="104">
        <v>100</v>
      </c>
      <c r="MS22" s="101">
        <v>100</v>
      </c>
      <c r="MT22" s="101">
        <v>100</v>
      </c>
      <c r="MU22" s="101">
        <v>100</v>
      </c>
      <c r="MV22" s="101">
        <v>100</v>
      </c>
      <c r="MW22" s="101">
        <v>100</v>
      </c>
      <c r="MX22" s="101">
        <v>100</v>
      </c>
      <c r="MY22" s="104">
        <v>100</v>
      </c>
      <c r="MZ22" s="28"/>
      <c r="NA22" s="27"/>
      <c r="NB22" s="27"/>
      <c r="NC22" s="171">
        <v>100</v>
      </c>
      <c r="ND22" s="171">
        <v>100</v>
      </c>
      <c r="NE22" s="171">
        <v>100</v>
      </c>
      <c r="NF22" s="171">
        <v>100</v>
      </c>
      <c r="NG22" s="171">
        <v>100</v>
      </c>
      <c r="NH22" s="171">
        <v>100</v>
      </c>
      <c r="NI22" s="171">
        <v>100</v>
      </c>
      <c r="NJ22" s="171">
        <v>100</v>
      </c>
      <c r="NK22" s="171">
        <v>100</v>
      </c>
      <c r="NL22" s="171">
        <v>100</v>
      </c>
      <c r="NM22" s="171">
        <v>100</v>
      </c>
      <c r="NN22" s="48">
        <v>98.23</v>
      </c>
      <c r="NO22" s="48">
        <v>100</v>
      </c>
      <c r="NP22" s="67">
        <v>100</v>
      </c>
      <c r="NQ22" s="48">
        <v>99.99</v>
      </c>
      <c r="NR22" s="67">
        <v>100</v>
      </c>
      <c r="NS22" s="67">
        <v>100</v>
      </c>
      <c r="NT22" s="67">
        <v>100</v>
      </c>
      <c r="NU22" s="67">
        <v>100</v>
      </c>
      <c r="NV22" s="67">
        <v>100</v>
      </c>
      <c r="NW22" s="67">
        <v>100</v>
      </c>
      <c r="NX22" s="67">
        <v>100</v>
      </c>
      <c r="NY22" s="67">
        <v>100</v>
      </c>
      <c r="NZ22" s="67">
        <v>100</v>
      </c>
      <c r="OA22" s="67">
        <v>100</v>
      </c>
      <c r="OB22" s="67">
        <v>100</v>
      </c>
      <c r="OC22" s="67">
        <v>99.99</v>
      </c>
      <c r="OD22" s="67">
        <v>100</v>
      </c>
      <c r="OE22" s="48">
        <v>100</v>
      </c>
      <c r="OF22" s="48">
        <v>100</v>
      </c>
      <c r="OG22" s="48">
        <v>100</v>
      </c>
      <c r="OH22" s="48">
        <v>100</v>
      </c>
      <c r="OI22" s="67">
        <v>100</v>
      </c>
      <c r="OJ22" s="67">
        <v>100</v>
      </c>
      <c r="OK22" s="67">
        <v>100</v>
      </c>
      <c r="OL22" s="67">
        <v>100</v>
      </c>
      <c r="OM22" s="67">
        <v>100</v>
      </c>
      <c r="ON22" s="67">
        <v>100</v>
      </c>
      <c r="OO22" s="67">
        <v>100</v>
      </c>
      <c r="OP22" s="67">
        <v>100</v>
      </c>
      <c r="OQ22" s="67">
        <v>100</v>
      </c>
      <c r="OR22" s="67">
        <v>100</v>
      </c>
      <c r="OS22" s="67">
        <v>100</v>
      </c>
      <c r="OT22" s="67">
        <v>100</v>
      </c>
      <c r="OU22" s="48">
        <v>99.99</v>
      </c>
      <c r="OV22" s="48">
        <v>100</v>
      </c>
      <c r="OW22" s="67">
        <v>100</v>
      </c>
      <c r="OX22" s="67">
        <v>100</v>
      </c>
      <c r="OY22" s="67">
        <v>100</v>
      </c>
      <c r="OZ22" s="67">
        <v>100</v>
      </c>
      <c r="PA22" s="67">
        <v>100</v>
      </c>
      <c r="PB22" s="67">
        <v>100</v>
      </c>
      <c r="PC22" s="183">
        <v>100</v>
      </c>
      <c r="PD22" s="67">
        <v>100</v>
      </c>
      <c r="PE22" s="67">
        <v>100</v>
      </c>
      <c r="PF22" s="67">
        <v>100</v>
      </c>
      <c r="PG22" s="67">
        <v>100</v>
      </c>
      <c r="PH22" s="71">
        <v>100</v>
      </c>
      <c r="PI22" s="67">
        <v>100</v>
      </c>
      <c r="PJ22" s="67">
        <v>100</v>
      </c>
      <c r="PK22" s="48">
        <v>100</v>
      </c>
      <c r="PL22" s="67">
        <v>100</v>
      </c>
      <c r="PM22" s="48">
        <v>100</v>
      </c>
      <c r="PN22" s="67">
        <v>100</v>
      </c>
      <c r="PO22" s="67">
        <v>100</v>
      </c>
      <c r="PP22" s="67">
        <v>100</v>
      </c>
      <c r="PQ22" s="67">
        <v>100</v>
      </c>
      <c r="PR22" s="67">
        <v>100</v>
      </c>
      <c r="PS22" s="67">
        <v>100</v>
      </c>
      <c r="PT22" s="190">
        <v>100</v>
      </c>
      <c r="PU22" s="69">
        <v>100</v>
      </c>
      <c r="PV22" s="69">
        <v>100</v>
      </c>
      <c r="PW22" s="69">
        <v>100</v>
      </c>
      <c r="PX22" s="48">
        <v>99.99</v>
      </c>
      <c r="PY22" s="67">
        <v>100</v>
      </c>
      <c r="PZ22" s="69">
        <v>100</v>
      </c>
      <c r="QA22" s="48">
        <v>100</v>
      </c>
      <c r="QB22" s="48">
        <v>100</v>
      </c>
      <c r="QC22" s="71">
        <v>100</v>
      </c>
      <c r="QD22" s="71">
        <v>100</v>
      </c>
      <c r="QE22" s="67">
        <v>100</v>
      </c>
      <c r="QF22" s="64">
        <v>100</v>
      </c>
      <c r="QG22" s="64">
        <v>100</v>
      </c>
      <c r="QH22" s="67">
        <v>100</v>
      </c>
      <c r="QI22" s="67">
        <v>100</v>
      </c>
      <c r="QJ22" s="67">
        <v>100</v>
      </c>
      <c r="QK22" s="67">
        <v>100</v>
      </c>
      <c r="QL22" s="48">
        <v>100</v>
      </c>
      <c r="QM22" s="67">
        <v>100</v>
      </c>
      <c r="QN22" s="48">
        <v>100</v>
      </c>
      <c r="QO22" s="48">
        <v>100</v>
      </c>
      <c r="QP22" s="67">
        <v>100</v>
      </c>
      <c r="QQ22" s="67">
        <v>100</v>
      </c>
      <c r="QR22" s="67">
        <v>100</v>
      </c>
      <c r="QS22" s="67">
        <v>100</v>
      </c>
      <c r="QT22" s="67">
        <v>100</v>
      </c>
      <c r="QU22" s="67">
        <v>100</v>
      </c>
      <c r="QV22" s="67">
        <v>100</v>
      </c>
      <c r="QW22" s="67">
        <v>100</v>
      </c>
      <c r="QX22" s="67">
        <v>100</v>
      </c>
      <c r="QY22" s="67">
        <v>100</v>
      </c>
      <c r="QZ22" s="67">
        <v>100</v>
      </c>
      <c r="RA22" s="48">
        <v>100</v>
      </c>
      <c r="RB22" s="48">
        <v>100</v>
      </c>
      <c r="RC22" s="92">
        <v>100</v>
      </c>
      <c r="RD22" s="67">
        <v>100</v>
      </c>
      <c r="RE22" s="67">
        <v>100</v>
      </c>
      <c r="RF22" s="67">
        <v>100</v>
      </c>
      <c r="RG22" s="67">
        <v>100</v>
      </c>
      <c r="RH22" s="67">
        <v>100</v>
      </c>
      <c r="RI22" s="67">
        <v>100</v>
      </c>
      <c r="RJ22" s="67">
        <v>100</v>
      </c>
      <c r="RK22" s="67">
        <v>100</v>
      </c>
      <c r="RL22" s="67">
        <v>100</v>
      </c>
      <c r="RM22" s="67">
        <v>100</v>
      </c>
      <c r="RN22" s="67"/>
      <c r="RO22" s="67"/>
      <c r="RP22" s="67"/>
      <c r="RQ22" s="315"/>
      <c r="RR22" s="314"/>
      <c r="RS22" s="67">
        <v>100</v>
      </c>
      <c r="RT22" s="67">
        <v>100</v>
      </c>
      <c r="RU22" s="67">
        <v>100</v>
      </c>
      <c r="RV22" s="69">
        <v>100</v>
      </c>
      <c r="RW22" s="69">
        <v>100</v>
      </c>
      <c r="RX22" s="71">
        <v>100</v>
      </c>
      <c r="RY22" s="69">
        <v>100</v>
      </c>
      <c r="RZ22" s="67">
        <v>100</v>
      </c>
      <c r="SA22" s="27"/>
      <c r="SB22" s="27"/>
      <c r="SC22" s="27"/>
      <c r="SD22" s="27"/>
      <c r="SE22" s="70"/>
      <c r="SF22" s="321"/>
      <c r="SG22" s="67">
        <v>99.99</v>
      </c>
      <c r="SH22" s="67">
        <v>99.99</v>
      </c>
      <c r="SI22" s="67">
        <v>100</v>
      </c>
      <c r="SJ22" s="67">
        <v>99.98</v>
      </c>
      <c r="SK22" s="67">
        <v>99.98</v>
      </c>
      <c r="SL22" s="323">
        <v>100</v>
      </c>
      <c r="SM22" s="67">
        <v>100</v>
      </c>
      <c r="SN22" s="67">
        <v>99.99</v>
      </c>
      <c r="SO22" s="67">
        <v>99.99</v>
      </c>
      <c r="SP22" s="67">
        <v>100</v>
      </c>
      <c r="SQ22" s="104">
        <v>100</v>
      </c>
      <c r="SR22" s="104">
        <v>100</v>
      </c>
      <c r="SS22" s="48">
        <v>99.98</v>
      </c>
      <c r="ST22" s="48">
        <v>99.99</v>
      </c>
      <c r="SU22" s="104">
        <v>100</v>
      </c>
      <c r="SV22" s="67">
        <v>100</v>
      </c>
      <c r="SW22" s="67">
        <v>100</v>
      </c>
      <c r="SX22" s="104">
        <v>100</v>
      </c>
      <c r="SY22" s="104">
        <v>99.99</v>
      </c>
      <c r="SZ22" s="67">
        <v>100</v>
      </c>
      <c r="TA22" s="172">
        <v>100</v>
      </c>
      <c r="TB22" s="172">
        <v>100</v>
      </c>
      <c r="TC22" s="64">
        <v>100</v>
      </c>
      <c r="TD22" s="64">
        <v>100</v>
      </c>
      <c r="TE22" s="64">
        <v>100</v>
      </c>
      <c r="TF22" s="64">
        <v>99.99</v>
      </c>
      <c r="TG22" s="64">
        <v>100</v>
      </c>
      <c r="TH22" s="64">
        <v>100</v>
      </c>
      <c r="TI22" s="64">
        <v>99.99</v>
      </c>
      <c r="TJ22" s="67">
        <v>100</v>
      </c>
      <c r="TK22" s="2">
        <v>98.56</v>
      </c>
      <c r="TL22" s="64">
        <v>100</v>
      </c>
      <c r="TM22" s="64">
        <v>100</v>
      </c>
      <c r="TN22" s="64">
        <v>99.99</v>
      </c>
      <c r="TO22" s="64">
        <v>100</v>
      </c>
      <c r="TP22" s="64">
        <v>100</v>
      </c>
      <c r="TQ22" s="64">
        <v>99.99</v>
      </c>
      <c r="TR22" s="64">
        <v>100</v>
      </c>
      <c r="TS22" s="64">
        <v>100</v>
      </c>
      <c r="TT22" s="64">
        <v>100</v>
      </c>
      <c r="TU22" s="67">
        <v>100</v>
      </c>
      <c r="TV22" s="67">
        <v>100</v>
      </c>
      <c r="TW22" s="48">
        <v>100</v>
      </c>
      <c r="TX22" s="48">
        <v>100</v>
      </c>
      <c r="TY22" s="64">
        <v>99.99</v>
      </c>
      <c r="TZ22" s="64">
        <v>100</v>
      </c>
      <c r="UA22" s="64">
        <v>99.99</v>
      </c>
      <c r="UB22" s="64">
        <v>99.98</v>
      </c>
      <c r="UC22" s="64">
        <v>100</v>
      </c>
      <c r="UD22" s="64">
        <v>100</v>
      </c>
      <c r="UE22" s="64">
        <v>100</v>
      </c>
      <c r="UF22" s="64">
        <v>100</v>
      </c>
      <c r="UG22" s="64">
        <v>100</v>
      </c>
      <c r="UH22" s="64">
        <v>100</v>
      </c>
      <c r="UI22" s="48">
        <v>99.99</v>
      </c>
      <c r="UJ22" s="67">
        <v>99.99</v>
      </c>
      <c r="UK22" s="67">
        <v>100</v>
      </c>
      <c r="UL22" s="67">
        <v>100</v>
      </c>
      <c r="UM22" s="323">
        <v>100</v>
      </c>
      <c r="UN22" s="323">
        <v>100</v>
      </c>
      <c r="UO22" s="323">
        <v>100</v>
      </c>
      <c r="UP22" s="323">
        <v>100</v>
      </c>
      <c r="UQ22" s="323">
        <v>100</v>
      </c>
      <c r="UR22" s="48">
        <v>99.99</v>
      </c>
      <c r="US22" s="48">
        <v>99.99</v>
      </c>
      <c r="UT22" s="48">
        <v>99.99</v>
      </c>
      <c r="UU22" s="67">
        <v>100</v>
      </c>
      <c r="UV22" s="67">
        <v>100</v>
      </c>
      <c r="UW22" s="67">
        <v>100</v>
      </c>
      <c r="UX22" s="67">
        <v>100</v>
      </c>
      <c r="UY22" s="67">
        <v>99.99</v>
      </c>
      <c r="UZ22" s="67">
        <v>100</v>
      </c>
      <c r="VA22" s="48">
        <v>100</v>
      </c>
      <c r="VB22" s="48">
        <v>99.99</v>
      </c>
      <c r="VC22" s="48">
        <v>100</v>
      </c>
      <c r="VD22" s="48">
        <v>100</v>
      </c>
      <c r="VE22" s="48">
        <v>100</v>
      </c>
      <c r="VF22" s="48">
        <v>100</v>
      </c>
      <c r="VG22" s="48">
        <v>100</v>
      </c>
      <c r="VH22" s="71">
        <v>100</v>
      </c>
      <c r="VI22" s="67">
        <v>99.99</v>
      </c>
      <c r="VJ22" s="67">
        <v>100</v>
      </c>
      <c r="VK22" s="67">
        <v>100</v>
      </c>
      <c r="VL22" s="67">
        <v>99.99</v>
      </c>
      <c r="VM22" s="67">
        <v>100</v>
      </c>
      <c r="VN22" s="67">
        <v>100</v>
      </c>
      <c r="VO22" s="48">
        <v>99.99</v>
      </c>
      <c r="VP22" s="395">
        <v>100</v>
      </c>
      <c r="VQ22" s="67">
        <v>100</v>
      </c>
      <c r="VR22" s="67">
        <v>100</v>
      </c>
      <c r="VS22" s="94"/>
      <c r="VT22" s="74"/>
      <c r="VU22" s="74"/>
      <c r="VV22" s="70"/>
      <c r="WO22" s="75"/>
      <c r="WP22" s="74"/>
      <c r="WQ22" s="74"/>
      <c r="WR22" s="74"/>
      <c r="WS22" s="74"/>
      <c r="WT22" s="74"/>
      <c r="WU22" s="70"/>
      <c r="WZ22" s="75"/>
      <c r="XA22" s="74"/>
      <c r="XB22" s="74"/>
      <c r="XC22" s="74"/>
      <c r="XD22" s="74"/>
      <c r="XE22" s="74"/>
      <c r="XF22" s="70"/>
      <c r="XI22" s="75"/>
      <c r="XJ22" s="74"/>
      <c r="XK22" s="74"/>
      <c r="XL22" s="74"/>
      <c r="XM22" s="74"/>
      <c r="XN22" s="74"/>
      <c r="XO22" s="70"/>
      <c r="XR22" s="75"/>
      <c r="XS22" s="74"/>
      <c r="XT22" s="74"/>
      <c r="XU22" s="74"/>
      <c r="XV22" s="74"/>
      <c r="XW22" s="74"/>
      <c r="XX22" s="70"/>
      <c r="XZ22" s="75"/>
      <c r="YA22" s="74"/>
      <c r="YB22" s="74"/>
      <c r="YC22" s="74"/>
      <c r="YD22" s="74"/>
      <c r="YE22" s="74"/>
      <c r="YF22" s="70"/>
      <c r="YI22" s="75"/>
      <c r="YJ22" s="74"/>
      <c r="YK22" s="74"/>
      <c r="YL22" s="74"/>
      <c r="YM22" s="74"/>
      <c r="YN22" s="74"/>
      <c r="YO22" s="70"/>
      <c r="YP22" s="70"/>
      <c r="YQ22" s="70"/>
      <c r="YS22" s="70"/>
      <c r="YY22" s="70"/>
      <c r="YZ22" s="70"/>
      <c r="ZA22" s="70"/>
      <c r="ZE22" s="70"/>
      <c r="ZG22" s="70"/>
      <c r="ZN22" s="70"/>
      <c r="ZU22" s="75"/>
      <c r="ZV22" s="74"/>
      <c r="ZW22" s="74"/>
      <c r="ZX22" s="74"/>
      <c r="ZY22" s="74"/>
      <c r="ZZ22" s="74"/>
      <c r="AAA22" s="74"/>
      <c r="AAB22" s="75"/>
      <c r="AAC22" s="75"/>
      <c r="AAD22" s="74"/>
      <c r="AAE22" s="74"/>
      <c r="AAF22" s="74"/>
      <c r="AAG22" s="74"/>
      <c r="AAH22" s="74"/>
      <c r="AAI22" s="28"/>
      <c r="AAJ22" s="27"/>
      <c r="AAK22" s="27"/>
      <c r="AAL22" s="27"/>
      <c r="AAM22" s="27"/>
      <c r="AAQ22" s="75"/>
      <c r="AAR22" s="74"/>
      <c r="AAS22" s="74"/>
      <c r="AAT22" s="74"/>
      <c r="AAU22" s="74"/>
      <c r="AAV22" s="74"/>
      <c r="AAX22" s="75"/>
      <c r="AAY22" s="74"/>
      <c r="AAZ22" s="74"/>
      <c r="ABA22" s="74"/>
      <c r="ABB22" s="74"/>
      <c r="ABC22" s="74"/>
      <c r="ABF22" s="75"/>
      <c r="ABG22" s="74"/>
      <c r="ABH22" s="74"/>
      <c r="ABI22" s="74"/>
      <c r="ABJ22" s="74"/>
      <c r="ABK22" s="74"/>
      <c r="ABO22" s="75"/>
      <c r="ABP22" s="74"/>
      <c r="ABQ22" s="74"/>
      <c r="ABR22" s="74"/>
      <c r="ABS22" s="74"/>
      <c r="ABT22" s="74"/>
      <c r="ABW22" s="75"/>
      <c r="ABX22" s="74"/>
      <c r="ABY22" s="74"/>
      <c r="ABZ22" s="74"/>
      <c r="ACA22" s="74"/>
      <c r="ACB22" s="74"/>
      <c r="ACD22" s="70"/>
      <c r="ACL22" s="75"/>
      <c r="ACM22" s="74"/>
      <c r="ACN22" s="74"/>
      <c r="ACO22" s="74"/>
      <c r="ACP22" s="74"/>
      <c r="ACQ22" s="74"/>
      <c r="ACS22" s="75"/>
      <c r="ACT22" s="74"/>
      <c r="ACU22" s="74"/>
      <c r="ACV22" s="74"/>
      <c r="ACW22" s="74"/>
      <c r="ACX22" s="74"/>
      <c r="ADB22" s="75"/>
      <c r="ADC22" s="74"/>
      <c r="ADD22" s="74"/>
      <c r="ADE22" s="74"/>
      <c r="ADF22" s="74"/>
      <c r="ADG22" s="74"/>
      <c r="ADI22" s="28"/>
      <c r="ADJ22" s="27"/>
      <c r="ADK22" s="27"/>
      <c r="ADL22" s="27"/>
      <c r="ADM22" s="27"/>
      <c r="ADN22" s="27"/>
      <c r="ADO22" s="28"/>
      <c r="ADP22" s="27"/>
      <c r="ADQ22" s="94"/>
      <c r="ADR22" s="75"/>
      <c r="ADS22" s="74"/>
      <c r="ADT22" s="74"/>
      <c r="ADU22" s="74"/>
      <c r="ADV22" s="74"/>
      <c r="ADW22" s="74"/>
      <c r="ADY22" s="75"/>
      <c r="ADZ22" s="74"/>
      <c r="AEA22" s="74"/>
      <c r="AEB22" s="74"/>
      <c r="AEC22" s="74"/>
      <c r="AED22" s="74"/>
      <c r="AEG22" s="75">
        <v>44623</v>
      </c>
      <c r="AEH22" s="74" t="s">
        <v>65</v>
      </c>
      <c r="AEI22" s="74">
        <v>1509933</v>
      </c>
      <c r="AEJ22" s="74">
        <v>85122</v>
      </c>
      <c r="AEK22" s="74">
        <v>1595055</v>
      </c>
      <c r="AEL22" s="74" t="s">
        <v>81</v>
      </c>
      <c r="AEQ22" s="70"/>
      <c r="AEX22" s="70"/>
      <c r="AEY22" s="70"/>
      <c r="AFE22" s="70"/>
      <c r="AFL22" s="70"/>
      <c r="AFS22" s="70"/>
      <c r="AGN22" s="70"/>
      <c r="AGO22" s="70"/>
      <c r="AHD22" s="70"/>
      <c r="AHQ22" s="70"/>
      <c r="AHS22" s="70"/>
      <c r="AIY22" s="70"/>
      <c r="AIZ22" s="70"/>
      <c r="AJL22" s="28"/>
      <c r="AJM22" s="27"/>
      <c r="AJN22" s="27"/>
      <c r="AJO22" s="27"/>
      <c r="AJP22" s="27"/>
      <c r="AJQ22" s="27"/>
      <c r="AKG22" s="70"/>
      <c r="AKO22" s="70"/>
      <c r="AKU22" s="70"/>
      <c r="ALC22" s="70"/>
      <c r="ALI22" s="70"/>
      <c r="ALJ22" s="70"/>
    </row>
    <row r="23" spans="1:998" ht="15.75" customHeight="1" thickBot="1" x14ac:dyDescent="0.3">
      <c r="A23" s="376" t="s">
        <v>122</v>
      </c>
      <c r="B23" s="133" t="s">
        <v>120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34"/>
      <c r="EQ23" s="115"/>
      <c r="ER23" s="115"/>
      <c r="ES23" s="115"/>
      <c r="ET23" s="115"/>
      <c r="EU23" s="1"/>
      <c r="EV23" s="1"/>
      <c r="EW23" s="1"/>
      <c r="EX23" s="1"/>
      <c r="EY23" s="1"/>
      <c r="EZ23" s="1"/>
      <c r="FA23" s="134"/>
      <c r="FB23" s="115"/>
      <c r="FC23" s="115"/>
      <c r="FD23" s="115"/>
      <c r="FE23" s="115"/>
      <c r="FF23" s="1"/>
      <c r="FG23" s="1"/>
      <c r="FH23" s="1"/>
      <c r="FI23" s="134"/>
      <c r="FJ23" s="115"/>
      <c r="FK23" s="115"/>
      <c r="FL23" s="115"/>
      <c r="FM23" s="115"/>
      <c r="FN23" s="1"/>
      <c r="FO23" s="1"/>
      <c r="FP23" s="1"/>
      <c r="FQ23" s="134"/>
      <c r="FR23" s="115"/>
      <c r="FS23" s="115"/>
      <c r="FT23" s="115"/>
      <c r="FU23" s="115"/>
      <c r="FV23" s="1"/>
      <c r="FW23" s="1"/>
      <c r="FX23" s="134"/>
      <c r="FY23" s="115"/>
      <c r="FZ23" s="115"/>
      <c r="GA23" s="115"/>
      <c r="GB23" s="115"/>
      <c r="GC23" s="1"/>
      <c r="GD23" s="1"/>
      <c r="GE23" s="134"/>
      <c r="GF23" s="115"/>
      <c r="GG23" s="115"/>
      <c r="GH23" s="115"/>
      <c r="GI23" s="115"/>
      <c r="GJ23" s="1"/>
      <c r="GK23" s="1"/>
      <c r="GL23" s="134"/>
      <c r="GM23" s="115"/>
      <c r="GN23" s="115"/>
      <c r="GO23" s="115"/>
      <c r="GP23" s="115"/>
      <c r="GQ23" s="1"/>
      <c r="GR23" s="1"/>
      <c r="GS23" s="1"/>
      <c r="GT23" s="134"/>
      <c r="GU23" s="115"/>
      <c r="GV23" s="115"/>
      <c r="GW23" s="115"/>
      <c r="GX23" s="115"/>
      <c r="GY23" s="1"/>
      <c r="GZ23" s="1"/>
      <c r="HA23" s="134"/>
      <c r="HB23" s="115"/>
      <c r="HC23" s="115"/>
      <c r="HD23" s="115"/>
      <c r="HE23" s="115"/>
      <c r="HF23" s="1"/>
      <c r="HG23" s="1"/>
      <c r="HH23" s="134"/>
      <c r="HI23" s="115"/>
      <c r="HJ23" s="115"/>
      <c r="HK23" s="115"/>
      <c r="HL23" s="115"/>
      <c r="HM23" s="1"/>
      <c r="HN23" s="1"/>
      <c r="HO23" s="134"/>
      <c r="HP23" s="115"/>
      <c r="HQ23" s="115"/>
      <c r="HR23" s="115"/>
      <c r="HS23" s="115"/>
      <c r="HT23" s="1"/>
      <c r="HU23" s="1"/>
      <c r="HV23" s="134"/>
      <c r="HW23" s="115"/>
      <c r="HX23" s="115"/>
      <c r="HY23" s="115"/>
      <c r="HZ23" s="115"/>
      <c r="IA23" s="1"/>
      <c r="IB23" s="1"/>
      <c r="IC23" s="134"/>
      <c r="ID23" s="115"/>
      <c r="IE23" s="115"/>
      <c r="IF23" s="115"/>
      <c r="IG23" s="115"/>
      <c r="IH23" s="1"/>
      <c r="II23" s="1"/>
      <c r="IJ23" s="1"/>
      <c r="IK23" s="134"/>
      <c r="IL23" s="115"/>
      <c r="IM23" s="115"/>
      <c r="IN23" s="64">
        <v>99.19</v>
      </c>
      <c r="IO23" s="55">
        <v>99.16</v>
      </c>
      <c r="IP23" s="100">
        <v>99.11</v>
      </c>
      <c r="IQ23" s="100">
        <v>99.1</v>
      </c>
      <c r="IR23" s="100">
        <v>99.16</v>
      </c>
      <c r="IS23" s="100">
        <v>99.22</v>
      </c>
      <c r="IT23" s="100">
        <v>99.31</v>
      </c>
      <c r="IU23" s="100">
        <v>99.21</v>
      </c>
      <c r="IV23" s="100">
        <v>99.17</v>
      </c>
      <c r="IW23" s="100">
        <v>99.1</v>
      </c>
      <c r="IX23" s="118">
        <v>99.14</v>
      </c>
      <c r="IY23" s="141">
        <v>99.19</v>
      </c>
      <c r="IZ23" s="141">
        <v>99.29</v>
      </c>
      <c r="JA23" s="141">
        <v>99.28</v>
      </c>
      <c r="JB23" s="141">
        <v>99.21</v>
      </c>
      <c r="JC23" s="67">
        <v>99.19</v>
      </c>
      <c r="JD23" s="147">
        <v>99.16</v>
      </c>
      <c r="JE23" s="69">
        <v>99.28</v>
      </c>
      <c r="JF23" s="71">
        <v>99.21</v>
      </c>
      <c r="JG23" s="27"/>
      <c r="JH23" s="64">
        <v>99.31</v>
      </c>
      <c r="JI23" s="64">
        <v>99.23</v>
      </c>
      <c r="JJ23" s="64">
        <v>99.26</v>
      </c>
      <c r="JK23" s="64">
        <v>99.26</v>
      </c>
      <c r="JL23" s="64">
        <v>99.26</v>
      </c>
      <c r="JM23" s="64">
        <v>99.31</v>
      </c>
      <c r="JN23" s="72">
        <v>99.29</v>
      </c>
      <c r="JO23" s="67">
        <v>99.27</v>
      </c>
      <c r="JP23" s="67">
        <v>99.15</v>
      </c>
      <c r="JQ23" s="67">
        <v>99.22</v>
      </c>
      <c r="JR23" s="67">
        <v>99.24</v>
      </c>
      <c r="JS23" s="67">
        <v>99.26</v>
      </c>
      <c r="JT23" s="64">
        <v>99.25</v>
      </c>
      <c r="JU23" s="64">
        <v>99.34</v>
      </c>
      <c r="JV23" s="64">
        <v>99.38</v>
      </c>
      <c r="JW23" s="64">
        <v>99.09</v>
      </c>
      <c r="JX23" s="64">
        <v>99.2</v>
      </c>
      <c r="JY23" s="64">
        <v>99.22</v>
      </c>
      <c r="JZ23" s="72">
        <v>99.31</v>
      </c>
      <c r="KA23" s="69">
        <v>99.29</v>
      </c>
      <c r="KB23" s="67">
        <v>99.29</v>
      </c>
      <c r="KC23" s="92">
        <v>99.28</v>
      </c>
      <c r="KD23" s="67">
        <v>99.27</v>
      </c>
      <c r="KE23" s="67">
        <v>99.25</v>
      </c>
      <c r="KF23" s="67">
        <v>99.24</v>
      </c>
      <c r="KG23" s="67">
        <v>99.22</v>
      </c>
      <c r="KH23" s="64">
        <v>99.26</v>
      </c>
      <c r="KI23" s="64">
        <v>99.29</v>
      </c>
      <c r="KJ23" s="64">
        <v>99.33</v>
      </c>
      <c r="KK23" s="64">
        <v>99.29</v>
      </c>
      <c r="KL23" s="64">
        <v>99.3</v>
      </c>
      <c r="KM23" s="64">
        <v>99.28</v>
      </c>
      <c r="KN23" s="64">
        <v>99.3</v>
      </c>
      <c r="KO23" s="64">
        <v>99.27</v>
      </c>
      <c r="KP23" s="64">
        <v>99.26</v>
      </c>
      <c r="KQ23" s="64">
        <v>99.36</v>
      </c>
      <c r="KR23" s="64">
        <v>99.31</v>
      </c>
      <c r="KS23" s="64">
        <v>99.28</v>
      </c>
      <c r="KT23" s="104">
        <v>99.17</v>
      </c>
      <c r="KU23" s="104">
        <v>99.23</v>
      </c>
      <c r="KV23" s="104">
        <v>99.23</v>
      </c>
      <c r="KW23" s="104">
        <v>99.24</v>
      </c>
      <c r="KX23" s="104">
        <v>99.33</v>
      </c>
      <c r="KY23" s="104">
        <v>97.47</v>
      </c>
      <c r="KZ23" s="104">
        <v>98.69</v>
      </c>
      <c r="LA23" s="104">
        <v>99.36</v>
      </c>
      <c r="LB23" s="104">
        <v>99.3</v>
      </c>
      <c r="LC23" s="104">
        <v>99.19</v>
      </c>
      <c r="LD23" s="104">
        <v>99.29</v>
      </c>
      <c r="LE23" s="104">
        <v>99.32</v>
      </c>
      <c r="LF23" s="104">
        <v>99.32</v>
      </c>
      <c r="LG23" s="104">
        <v>99.33</v>
      </c>
      <c r="LH23" s="104">
        <v>99.32</v>
      </c>
      <c r="LI23" s="104">
        <v>99.31</v>
      </c>
      <c r="LJ23" s="104">
        <v>99.33</v>
      </c>
      <c r="LK23" s="104">
        <v>99.22</v>
      </c>
      <c r="LL23" s="104">
        <v>99.32</v>
      </c>
      <c r="LM23" s="104">
        <v>99.34</v>
      </c>
      <c r="LN23" s="104">
        <v>99.35</v>
      </c>
      <c r="LO23" s="104">
        <v>99.2</v>
      </c>
      <c r="LP23" s="104">
        <v>99.36</v>
      </c>
      <c r="LQ23" s="104">
        <v>99.39</v>
      </c>
      <c r="LR23" s="104">
        <v>99.41</v>
      </c>
      <c r="LS23" s="104">
        <v>99.47</v>
      </c>
      <c r="LT23" s="104">
        <v>99.41</v>
      </c>
      <c r="LU23" s="104">
        <v>99.39</v>
      </c>
      <c r="LV23" s="104">
        <v>99.35</v>
      </c>
      <c r="LW23" s="104">
        <v>99.34</v>
      </c>
      <c r="LX23" s="104">
        <v>99.27</v>
      </c>
      <c r="LY23" s="104">
        <v>99.33</v>
      </c>
      <c r="LZ23" s="104">
        <v>99.43</v>
      </c>
      <c r="MA23" s="104">
        <v>99.39</v>
      </c>
      <c r="MB23" s="104">
        <v>99.38</v>
      </c>
      <c r="MC23" s="104">
        <v>99.43</v>
      </c>
      <c r="MD23" s="104">
        <v>99.4</v>
      </c>
      <c r="ME23" s="104">
        <v>99.31</v>
      </c>
      <c r="MF23" s="104">
        <v>99.35</v>
      </c>
      <c r="MG23" s="104">
        <v>82.37</v>
      </c>
      <c r="MH23" s="104">
        <v>92.68</v>
      </c>
      <c r="MI23" s="104">
        <v>93.85</v>
      </c>
      <c r="MJ23" s="104">
        <v>96.71</v>
      </c>
      <c r="MK23" s="104">
        <v>98.22</v>
      </c>
      <c r="ML23" s="104">
        <v>98.64</v>
      </c>
      <c r="MM23" s="104">
        <v>98.54</v>
      </c>
      <c r="MN23" s="104">
        <v>98.71</v>
      </c>
      <c r="MO23" s="104">
        <v>98.61</v>
      </c>
      <c r="MP23" s="104">
        <v>98.69</v>
      </c>
      <c r="MQ23" s="104">
        <v>97.18</v>
      </c>
      <c r="MR23" s="104">
        <v>98.85</v>
      </c>
      <c r="MS23" s="101">
        <v>98.68</v>
      </c>
      <c r="MT23" s="101">
        <v>98.61</v>
      </c>
      <c r="MU23" s="101">
        <v>98.86</v>
      </c>
      <c r="MV23" s="101">
        <v>98.92</v>
      </c>
      <c r="MW23" s="101">
        <v>98.75</v>
      </c>
      <c r="MX23" s="101">
        <v>98.64</v>
      </c>
      <c r="MY23" s="104">
        <v>97.15</v>
      </c>
      <c r="MZ23" s="28"/>
      <c r="NA23" s="27"/>
      <c r="NB23" s="27"/>
      <c r="NC23" s="171">
        <v>98.89</v>
      </c>
      <c r="ND23" s="171">
        <v>98.76</v>
      </c>
      <c r="NE23" s="171">
        <v>98.66</v>
      </c>
      <c r="NF23" s="171">
        <v>98.73</v>
      </c>
      <c r="NG23" s="171">
        <v>98.7</v>
      </c>
      <c r="NH23" s="171">
        <v>98.76</v>
      </c>
      <c r="NI23" s="171">
        <v>98.93</v>
      </c>
      <c r="NJ23" s="171">
        <v>98.84</v>
      </c>
      <c r="NK23" s="171">
        <v>98.83</v>
      </c>
      <c r="NL23" s="171">
        <v>98.82</v>
      </c>
      <c r="NM23" s="171">
        <v>98.74</v>
      </c>
      <c r="NN23" s="48">
        <v>98.86</v>
      </c>
      <c r="NO23" s="48">
        <v>98.8</v>
      </c>
      <c r="NP23" s="48">
        <v>98.88</v>
      </c>
      <c r="NQ23" s="48">
        <v>98.81</v>
      </c>
      <c r="NR23" s="48">
        <v>98.84</v>
      </c>
      <c r="NS23" s="71">
        <v>98.82</v>
      </c>
      <c r="NT23" s="48">
        <v>98.84</v>
      </c>
      <c r="NU23" s="67">
        <v>98.91</v>
      </c>
      <c r="NV23" s="67">
        <v>98.86</v>
      </c>
      <c r="NW23" s="67">
        <v>98.91</v>
      </c>
      <c r="NX23" s="67">
        <v>98.8</v>
      </c>
      <c r="NY23" s="67">
        <v>98.86</v>
      </c>
      <c r="NZ23" s="67">
        <v>98.86</v>
      </c>
      <c r="OA23" s="67">
        <v>98.88</v>
      </c>
      <c r="OB23" s="67">
        <v>98.95</v>
      </c>
      <c r="OC23" s="67">
        <v>99</v>
      </c>
      <c r="OD23" s="67">
        <v>99.06</v>
      </c>
      <c r="OE23" s="48">
        <v>98.87</v>
      </c>
      <c r="OF23" s="48">
        <v>98.93</v>
      </c>
      <c r="OG23" s="48">
        <v>98.84</v>
      </c>
      <c r="OH23" s="48">
        <v>98.8</v>
      </c>
      <c r="OI23" s="67">
        <v>98.77</v>
      </c>
      <c r="OJ23" s="67">
        <v>98.78</v>
      </c>
      <c r="OK23" s="67">
        <v>98.88</v>
      </c>
      <c r="OL23" s="67">
        <v>98.79</v>
      </c>
      <c r="OM23" s="67">
        <v>98.87</v>
      </c>
      <c r="ON23" s="67">
        <v>98.84</v>
      </c>
      <c r="OO23" s="48">
        <v>98.84</v>
      </c>
      <c r="OP23" s="104">
        <v>98.82</v>
      </c>
      <c r="OQ23" s="104">
        <v>98.82</v>
      </c>
      <c r="OR23" s="48">
        <v>98.86</v>
      </c>
      <c r="OS23" s="48">
        <v>98.82</v>
      </c>
      <c r="OT23" s="48">
        <v>98.84</v>
      </c>
      <c r="OU23" s="48">
        <v>98.85</v>
      </c>
      <c r="OV23" s="48">
        <v>98.34</v>
      </c>
      <c r="OW23" s="67">
        <v>98.6</v>
      </c>
      <c r="OX23" s="67">
        <v>98.75</v>
      </c>
      <c r="OY23" s="67">
        <v>98.89</v>
      </c>
      <c r="OZ23" s="67">
        <v>98.79</v>
      </c>
      <c r="PA23" s="67">
        <v>98.72</v>
      </c>
      <c r="PB23" s="67">
        <v>98.65</v>
      </c>
      <c r="PC23" s="183">
        <v>98.68</v>
      </c>
      <c r="PD23" s="48">
        <v>98.57</v>
      </c>
      <c r="PE23" s="48">
        <v>98.62</v>
      </c>
      <c r="PF23" s="67">
        <v>98.73</v>
      </c>
      <c r="PG23" s="48">
        <v>98.46</v>
      </c>
      <c r="PH23" s="71">
        <v>98.59</v>
      </c>
      <c r="PI23" s="48">
        <v>98.95</v>
      </c>
      <c r="PJ23" s="48">
        <v>98.89</v>
      </c>
      <c r="PK23" s="48">
        <v>98.8</v>
      </c>
      <c r="PL23" s="48">
        <v>98.82</v>
      </c>
      <c r="PM23" s="48">
        <v>98.95</v>
      </c>
      <c r="PN23" s="67">
        <v>98.39</v>
      </c>
      <c r="PO23" s="67">
        <v>98.36</v>
      </c>
      <c r="PP23" s="67">
        <v>99.04</v>
      </c>
      <c r="PQ23" s="67">
        <v>98.99</v>
      </c>
      <c r="PR23" s="67">
        <v>98.97</v>
      </c>
      <c r="PS23" s="67">
        <v>98.94</v>
      </c>
      <c r="PT23" s="71">
        <v>97.57</v>
      </c>
      <c r="PU23" s="69">
        <v>98.91</v>
      </c>
      <c r="PV23" s="69">
        <v>98.91</v>
      </c>
      <c r="PW23" s="69">
        <v>98.85</v>
      </c>
      <c r="PX23" s="48">
        <v>99.15</v>
      </c>
      <c r="PY23" s="48">
        <v>99.26</v>
      </c>
      <c r="PZ23" s="48">
        <v>99.13</v>
      </c>
      <c r="QA23" s="48">
        <v>99.2</v>
      </c>
      <c r="QB23" s="48">
        <v>99.07</v>
      </c>
      <c r="QC23" s="71">
        <v>99.02</v>
      </c>
      <c r="QD23" s="67">
        <v>98.9</v>
      </c>
      <c r="QE23" s="67">
        <v>98.74</v>
      </c>
      <c r="QF23" s="64">
        <v>98.8</v>
      </c>
      <c r="QG23" s="64">
        <v>98.88</v>
      </c>
      <c r="QH23" s="71">
        <v>98.97</v>
      </c>
      <c r="QI23" s="71">
        <v>99.12</v>
      </c>
      <c r="QJ23" s="48">
        <v>99.09</v>
      </c>
      <c r="QK23" s="48">
        <v>98.95</v>
      </c>
      <c r="QL23" s="48">
        <v>98.88</v>
      </c>
      <c r="QM23" s="67">
        <v>98.96</v>
      </c>
      <c r="QN23" s="48">
        <v>98.87</v>
      </c>
      <c r="QO23" s="48">
        <v>98.91</v>
      </c>
      <c r="QP23" s="67">
        <v>98.87</v>
      </c>
      <c r="QQ23" s="67">
        <v>98.89</v>
      </c>
      <c r="QR23" s="67">
        <v>98.8</v>
      </c>
      <c r="QS23" s="67">
        <v>98.87</v>
      </c>
      <c r="QT23" s="104">
        <v>98.91</v>
      </c>
      <c r="QU23" s="104">
        <v>98.94</v>
      </c>
      <c r="QV23" s="104">
        <v>99.02</v>
      </c>
      <c r="QW23" s="48">
        <v>98.93</v>
      </c>
      <c r="QX23" s="48">
        <v>98.99</v>
      </c>
      <c r="QY23" s="48">
        <v>98.9</v>
      </c>
      <c r="QZ23" s="48">
        <v>98.95</v>
      </c>
      <c r="RA23" s="48">
        <v>99.03</v>
      </c>
      <c r="RB23" s="48">
        <v>98.98</v>
      </c>
      <c r="RC23" s="92">
        <v>98.98</v>
      </c>
      <c r="RD23" s="67">
        <v>98.93</v>
      </c>
      <c r="RE23" s="67">
        <v>98.87</v>
      </c>
      <c r="RF23" s="67">
        <v>98.87</v>
      </c>
      <c r="RG23" s="67">
        <v>98.89</v>
      </c>
      <c r="RH23" s="48">
        <v>98.87</v>
      </c>
      <c r="RI23" s="48">
        <v>98.85</v>
      </c>
      <c r="RJ23" s="48">
        <v>98.87</v>
      </c>
      <c r="RK23" s="48">
        <v>98.89</v>
      </c>
      <c r="RL23" s="48">
        <v>98.88</v>
      </c>
      <c r="RM23" s="48">
        <v>98.93</v>
      </c>
      <c r="RN23" s="67"/>
      <c r="RO23" s="67"/>
      <c r="RP23" s="67"/>
      <c r="RQ23" s="315"/>
      <c r="RR23" s="314"/>
      <c r="RS23" s="67">
        <v>98.98</v>
      </c>
      <c r="RT23" s="67">
        <v>99</v>
      </c>
      <c r="RU23" s="67">
        <v>99.02</v>
      </c>
      <c r="RV23" s="69">
        <v>98.97</v>
      </c>
      <c r="RW23" s="69">
        <v>99.01</v>
      </c>
      <c r="RX23" s="71">
        <v>99.03</v>
      </c>
      <c r="RY23" s="69">
        <v>98.96</v>
      </c>
      <c r="RZ23" s="67">
        <v>98.95</v>
      </c>
      <c r="SA23" s="27"/>
      <c r="SB23" s="27"/>
      <c r="SC23" s="27"/>
      <c r="SD23" s="27"/>
      <c r="SE23" s="70"/>
      <c r="SF23" s="321"/>
      <c r="SG23" s="67">
        <v>99.01</v>
      </c>
      <c r="SH23" s="67">
        <v>95.34</v>
      </c>
      <c r="SI23" s="64">
        <v>98.62</v>
      </c>
      <c r="SJ23" s="67">
        <v>99.02</v>
      </c>
      <c r="SK23" s="67">
        <v>98.98</v>
      </c>
      <c r="SL23" s="48">
        <v>99.07</v>
      </c>
      <c r="SM23" s="67">
        <v>98.91</v>
      </c>
      <c r="SN23" s="67">
        <v>99.01</v>
      </c>
      <c r="SO23" s="67">
        <v>99.09</v>
      </c>
      <c r="SP23" s="67">
        <v>99.11</v>
      </c>
      <c r="SQ23" s="104">
        <v>99.11</v>
      </c>
      <c r="SR23" s="104">
        <v>99.1</v>
      </c>
      <c r="SS23" s="48">
        <v>99.25</v>
      </c>
      <c r="ST23" s="48">
        <v>98.45</v>
      </c>
      <c r="SU23" s="48">
        <v>99.22</v>
      </c>
      <c r="SV23" s="48">
        <v>99.18</v>
      </c>
      <c r="SW23" s="48">
        <v>99.11</v>
      </c>
      <c r="SX23" s="48">
        <v>99.07</v>
      </c>
      <c r="SY23" s="48">
        <v>99.1</v>
      </c>
      <c r="SZ23" s="48">
        <v>99.17</v>
      </c>
      <c r="TA23" s="172">
        <v>98.98</v>
      </c>
      <c r="TB23" s="172">
        <v>98.77</v>
      </c>
      <c r="TC23" s="64">
        <v>98.92</v>
      </c>
      <c r="TD23" s="64">
        <v>98.7</v>
      </c>
      <c r="TE23" s="64">
        <v>98.63</v>
      </c>
      <c r="TF23" s="64">
        <v>98.74</v>
      </c>
      <c r="TG23" s="64">
        <v>99.01</v>
      </c>
      <c r="TH23" s="64">
        <v>98.87</v>
      </c>
      <c r="TI23" s="64">
        <v>99.03</v>
      </c>
      <c r="TJ23" s="67">
        <v>98.95</v>
      </c>
      <c r="TK23" s="64">
        <v>99.02</v>
      </c>
      <c r="TL23" s="64">
        <v>98.7</v>
      </c>
      <c r="TM23" s="64">
        <v>98.87</v>
      </c>
      <c r="TN23" s="64">
        <v>99.28</v>
      </c>
      <c r="TO23" s="64">
        <v>99.22</v>
      </c>
      <c r="TP23" s="64">
        <v>99.14</v>
      </c>
      <c r="TQ23" s="64">
        <v>99</v>
      </c>
      <c r="TR23" s="64">
        <v>99.12</v>
      </c>
      <c r="TS23" s="64">
        <v>99.22</v>
      </c>
      <c r="TT23" s="64">
        <v>99.1</v>
      </c>
      <c r="TU23" s="67">
        <v>99.17</v>
      </c>
      <c r="TV23" s="67">
        <v>99.11</v>
      </c>
      <c r="TW23" s="48">
        <v>99.18</v>
      </c>
      <c r="TX23" s="64">
        <v>99.11</v>
      </c>
      <c r="TY23" s="64">
        <v>99.05</v>
      </c>
      <c r="TZ23" s="64">
        <v>98.96</v>
      </c>
      <c r="UA23" s="64">
        <v>98.95</v>
      </c>
      <c r="UB23" s="64">
        <v>99.09</v>
      </c>
      <c r="UC23" s="67">
        <v>98.93</v>
      </c>
      <c r="UD23" s="48">
        <v>99.11</v>
      </c>
      <c r="UE23" s="48">
        <v>99.06</v>
      </c>
      <c r="UF23" s="48">
        <v>99.02</v>
      </c>
      <c r="UG23" s="48">
        <v>98.94</v>
      </c>
      <c r="UH23" s="48">
        <v>98.86</v>
      </c>
      <c r="UI23" s="48">
        <v>99.06</v>
      </c>
      <c r="UJ23" s="67">
        <v>98.92</v>
      </c>
      <c r="UK23" s="67">
        <v>98.98</v>
      </c>
      <c r="UL23" s="67">
        <v>98.94</v>
      </c>
      <c r="UM23" s="323" t="s">
        <v>295</v>
      </c>
      <c r="UN23" s="64">
        <v>98.92</v>
      </c>
      <c r="UO23" s="67">
        <v>98.85</v>
      </c>
      <c r="UP23" s="48">
        <v>98.95</v>
      </c>
      <c r="UQ23" s="48">
        <v>98.92</v>
      </c>
      <c r="UR23" s="48">
        <v>98.89</v>
      </c>
      <c r="US23" s="48">
        <v>98.87</v>
      </c>
      <c r="UT23" s="48">
        <v>98.88</v>
      </c>
      <c r="UU23" s="67">
        <v>98.97</v>
      </c>
      <c r="UV23" s="67">
        <v>98.86</v>
      </c>
      <c r="UW23" s="67">
        <v>98.91</v>
      </c>
      <c r="UX23" s="67">
        <v>98.79</v>
      </c>
      <c r="UY23" s="67">
        <v>98.85</v>
      </c>
      <c r="UZ23" s="67">
        <v>98.86</v>
      </c>
      <c r="VA23" s="48">
        <v>98.86</v>
      </c>
      <c r="VB23" s="48">
        <v>98.21</v>
      </c>
      <c r="VC23" s="48">
        <v>98.87</v>
      </c>
      <c r="VD23" s="67">
        <v>99.04</v>
      </c>
      <c r="VE23" s="48">
        <v>98.88</v>
      </c>
      <c r="VF23" s="48">
        <v>99.03</v>
      </c>
      <c r="VG23" s="48">
        <v>98.94</v>
      </c>
      <c r="VH23" s="71">
        <v>98.92</v>
      </c>
      <c r="VI23" s="67">
        <v>99</v>
      </c>
      <c r="VJ23" s="67">
        <v>98.91</v>
      </c>
      <c r="VK23" s="67">
        <v>99.06</v>
      </c>
      <c r="VL23" s="67">
        <v>99</v>
      </c>
      <c r="VM23" s="67">
        <v>98.7</v>
      </c>
      <c r="VN23" s="67">
        <v>98.94</v>
      </c>
      <c r="VO23" s="48">
        <v>98.86</v>
      </c>
      <c r="VP23" s="395">
        <v>98.96</v>
      </c>
      <c r="VQ23" s="67">
        <v>98.93</v>
      </c>
      <c r="VR23" s="67">
        <v>99.08</v>
      </c>
      <c r="VS23" s="94"/>
      <c r="VT23" s="74"/>
      <c r="VU23" s="74"/>
      <c r="VV23" s="70"/>
      <c r="WO23" s="75"/>
      <c r="WP23" s="74"/>
      <c r="WQ23" s="74"/>
      <c r="WR23" s="74"/>
      <c r="WS23" s="74"/>
      <c r="WT23" s="74"/>
      <c r="WU23" s="70"/>
      <c r="WZ23" s="75"/>
      <c r="XA23" s="74"/>
      <c r="XB23" s="74"/>
      <c r="XC23" s="74"/>
      <c r="XD23" s="74"/>
      <c r="XE23" s="74"/>
      <c r="XI23" s="75"/>
      <c r="XJ23" s="74"/>
      <c r="XK23" s="74"/>
      <c r="XL23" s="74"/>
      <c r="XM23" s="74"/>
      <c r="XN23" s="74"/>
      <c r="XR23" s="75"/>
      <c r="XS23" s="74"/>
      <c r="XT23" s="74"/>
      <c r="XU23" s="74"/>
      <c r="XV23" s="74"/>
      <c r="XW23" s="74"/>
      <c r="XX23" s="70"/>
      <c r="XZ23" s="75"/>
      <c r="YA23" s="74"/>
      <c r="YB23" s="74"/>
      <c r="YC23" s="74"/>
      <c r="YD23" s="74"/>
      <c r="YE23" s="74"/>
      <c r="YF23" s="70"/>
      <c r="YI23" s="75"/>
      <c r="YJ23" s="74"/>
      <c r="YK23" s="74"/>
      <c r="YL23" s="74"/>
      <c r="YM23" s="74"/>
      <c r="YN23" s="74"/>
      <c r="YO23" s="70"/>
      <c r="YP23" s="70"/>
      <c r="YQ23" s="70"/>
      <c r="YS23" s="70"/>
      <c r="YY23" s="70"/>
      <c r="YZ23" s="70"/>
      <c r="ZA23" s="70"/>
      <c r="ZE23" s="70"/>
      <c r="ZG23" s="70"/>
      <c r="ZN23" s="70"/>
      <c r="ZU23" s="75"/>
      <c r="ZV23" s="74"/>
      <c r="ZW23" s="74"/>
      <c r="ZX23" s="74"/>
      <c r="ZY23" s="74"/>
      <c r="ZZ23" s="74"/>
      <c r="AAA23" s="74"/>
      <c r="AAB23" s="74"/>
      <c r="AAC23" s="75"/>
      <c r="AAD23" s="74"/>
      <c r="AAE23" s="74"/>
      <c r="AAF23" s="74"/>
      <c r="AAG23" s="74"/>
      <c r="AAH23" s="74"/>
      <c r="AAI23" s="28"/>
      <c r="AAJ23" s="27"/>
      <c r="AAK23" s="27"/>
      <c r="AAL23" s="27"/>
      <c r="AAM23" s="27"/>
      <c r="AAQ23" s="75"/>
      <c r="AAR23" s="74"/>
      <c r="AAS23" s="74"/>
      <c r="AAT23" s="74"/>
      <c r="AAU23" s="74"/>
      <c r="AAV23" s="74"/>
      <c r="AAX23" s="75"/>
      <c r="AAY23" s="74"/>
      <c r="AAZ23" s="74"/>
      <c r="ABA23" s="74"/>
      <c r="ABB23" s="74"/>
      <c r="ABC23" s="74"/>
      <c r="ABF23" s="75"/>
      <c r="ABG23" s="74"/>
      <c r="ABH23" s="74"/>
      <c r="ABI23" s="74"/>
      <c r="ABJ23" s="74"/>
      <c r="ABK23" s="74"/>
      <c r="ABO23" s="75"/>
      <c r="ABP23" s="74"/>
      <c r="ABQ23" s="74"/>
      <c r="ABR23" s="74"/>
      <c r="ABS23" s="74"/>
      <c r="ABT23" s="74"/>
      <c r="ABW23" s="75"/>
      <c r="ABX23" s="74"/>
      <c r="ABY23" s="74"/>
      <c r="ABZ23" s="74"/>
      <c r="ACA23" s="74"/>
      <c r="ACB23" s="74"/>
      <c r="ACD23" s="70"/>
      <c r="ACL23" s="75"/>
      <c r="ACM23" s="74"/>
      <c r="ACN23" s="74"/>
      <c r="ACO23" s="74"/>
      <c r="ACP23" s="74"/>
      <c r="ACQ23" s="74"/>
      <c r="ACS23" s="75"/>
      <c r="ACT23" s="74"/>
      <c r="ACU23" s="74"/>
      <c r="ACV23" s="74"/>
      <c r="ACW23" s="74"/>
      <c r="ACX23" s="74"/>
      <c r="ADB23" s="75"/>
      <c r="ADC23" s="74"/>
      <c r="ADD23" s="74"/>
      <c r="ADE23" s="74"/>
      <c r="ADF23" s="74"/>
      <c r="ADG23" s="74"/>
      <c r="ADJ23" s="28"/>
      <c r="ADK23" s="27"/>
      <c r="ADL23" s="27"/>
      <c r="ADM23" s="27"/>
      <c r="ADN23" s="27"/>
      <c r="ADO23" s="28"/>
      <c r="ADQ23" s="70"/>
      <c r="ADR23" s="75"/>
      <c r="ADS23" s="74"/>
      <c r="ADT23" s="74"/>
      <c r="ADU23" s="74"/>
      <c r="ADV23" s="74"/>
      <c r="ADW23" s="74"/>
      <c r="ADY23" s="75"/>
      <c r="ADZ23" s="74"/>
      <c r="AEA23" s="74"/>
      <c r="AEB23" s="74"/>
      <c r="AEC23" s="74"/>
      <c r="AED23" s="74"/>
      <c r="AEG23" s="75">
        <v>44623</v>
      </c>
      <c r="AEH23" s="74" t="s">
        <v>66</v>
      </c>
      <c r="AEI23" s="74">
        <v>1510063</v>
      </c>
      <c r="AEJ23" s="74">
        <v>85497</v>
      </c>
      <c r="AEK23" s="74">
        <v>1595560</v>
      </c>
      <c r="AEL23" s="74" t="s">
        <v>82</v>
      </c>
      <c r="AEQ23" s="70"/>
      <c r="AEX23" s="70"/>
      <c r="AEY23" s="70"/>
      <c r="AFE23" s="70"/>
      <c r="AFL23" s="70"/>
      <c r="AFS23" s="70"/>
      <c r="AGN23" s="70"/>
      <c r="AGO23" s="70"/>
      <c r="AHD23" s="70"/>
      <c r="AHQ23" s="70"/>
      <c r="AHS23" s="70"/>
      <c r="AIY23" s="70"/>
      <c r="AIZ23" s="70"/>
      <c r="AJL23" s="28"/>
      <c r="AJM23" s="27"/>
      <c r="AJN23" s="27"/>
      <c r="AJO23" s="27"/>
      <c r="AJP23" s="27"/>
      <c r="AJQ23" s="27"/>
      <c r="AKG23" s="70"/>
      <c r="AKO23" s="70"/>
      <c r="AKU23" s="70"/>
      <c r="ALC23" s="70"/>
      <c r="ALI23" s="70"/>
      <c r="ALJ23" s="70"/>
    </row>
    <row r="24" spans="1:998" ht="15.75" thickBot="1" x14ac:dyDescent="0.3">
      <c r="A24" s="376"/>
      <c r="B24" s="133" t="s">
        <v>121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34"/>
      <c r="EQ24" s="115"/>
      <c r="ER24" s="115"/>
      <c r="ES24" s="115"/>
      <c r="ET24" s="115"/>
      <c r="EU24" s="1"/>
      <c r="EV24" s="1"/>
      <c r="EW24" s="1"/>
      <c r="EX24" s="1"/>
      <c r="EY24" s="1"/>
      <c r="EZ24" s="1"/>
      <c r="FA24" s="134"/>
      <c r="FB24" s="115"/>
      <c r="FC24" s="115"/>
      <c r="FD24" s="115"/>
      <c r="FE24" s="115"/>
      <c r="FF24" s="1"/>
      <c r="FG24" s="1"/>
      <c r="FH24" s="1"/>
      <c r="FI24" s="134"/>
      <c r="FJ24" s="115"/>
      <c r="FK24" s="115"/>
      <c r="FL24" s="115"/>
      <c r="FM24" s="115"/>
      <c r="FN24" s="1"/>
      <c r="FO24" s="1"/>
      <c r="FP24" s="1"/>
      <c r="FQ24" s="134"/>
      <c r="FR24" s="115"/>
      <c r="FS24" s="115"/>
      <c r="FT24" s="115"/>
      <c r="FU24" s="115"/>
      <c r="FV24" s="1"/>
      <c r="FW24" s="1"/>
      <c r="FX24" s="134"/>
      <c r="FY24" s="115"/>
      <c r="FZ24" s="115"/>
      <c r="GA24" s="115"/>
      <c r="GB24" s="115"/>
      <c r="GC24" s="1"/>
      <c r="GD24" s="1"/>
      <c r="GE24" s="134"/>
      <c r="GF24" s="115"/>
      <c r="GG24" s="115"/>
      <c r="GH24" s="115"/>
      <c r="GI24" s="115"/>
      <c r="GJ24" s="1"/>
      <c r="GK24" s="1"/>
      <c r="GL24" s="134"/>
      <c r="GM24" s="115"/>
      <c r="GN24" s="115"/>
      <c r="GO24" s="115"/>
      <c r="GP24" s="115"/>
      <c r="GQ24" s="1"/>
      <c r="GR24" s="1"/>
      <c r="GS24" s="1"/>
      <c r="GT24" s="134"/>
      <c r="GU24" s="115"/>
      <c r="GV24" s="115"/>
      <c r="GW24" s="115"/>
      <c r="GX24" s="115"/>
      <c r="GY24" s="1"/>
      <c r="GZ24" s="1"/>
      <c r="HA24" s="134"/>
      <c r="HB24" s="115"/>
      <c r="HC24" s="115"/>
      <c r="HD24" s="115"/>
      <c r="HE24" s="115"/>
      <c r="HF24" s="1"/>
      <c r="HG24" s="1"/>
      <c r="HH24" s="134"/>
      <c r="HI24" s="115"/>
      <c r="HJ24" s="115"/>
      <c r="HK24" s="115"/>
      <c r="HL24" s="115"/>
      <c r="HM24" s="1"/>
      <c r="HN24" s="1"/>
      <c r="HO24" s="134"/>
      <c r="HP24" s="115"/>
      <c r="HQ24" s="115"/>
      <c r="HR24" s="115"/>
      <c r="HS24" s="115"/>
      <c r="HT24" s="1"/>
      <c r="HU24" s="1"/>
      <c r="HV24" s="134"/>
      <c r="HW24" s="115"/>
      <c r="HX24" s="115"/>
      <c r="HY24" s="115"/>
      <c r="HZ24" s="115"/>
      <c r="IA24" s="1"/>
      <c r="IB24" s="1"/>
      <c r="IC24" s="134"/>
      <c r="ID24" s="115"/>
      <c r="IE24" s="115"/>
      <c r="IF24" s="115"/>
      <c r="IG24" s="115"/>
      <c r="IH24" s="1"/>
      <c r="II24" s="1"/>
      <c r="IJ24" s="1"/>
      <c r="IK24" s="134"/>
      <c r="IL24" s="115"/>
      <c r="IM24" s="115"/>
      <c r="IN24" s="64">
        <v>100</v>
      </c>
      <c r="IO24" s="55">
        <v>100</v>
      </c>
      <c r="IP24" s="100">
        <v>100</v>
      </c>
      <c r="IQ24" s="100">
        <v>99.99</v>
      </c>
      <c r="IR24" s="100">
        <v>99.99</v>
      </c>
      <c r="IS24" s="100">
        <v>99.99</v>
      </c>
      <c r="IT24" s="100">
        <v>99.99</v>
      </c>
      <c r="IU24" s="100">
        <v>99.99</v>
      </c>
      <c r="IV24" s="100">
        <v>100</v>
      </c>
      <c r="IW24" s="100">
        <v>100</v>
      </c>
      <c r="IX24" s="118">
        <v>99.99</v>
      </c>
      <c r="IY24" s="141">
        <v>100</v>
      </c>
      <c r="IZ24" s="141">
        <v>100</v>
      </c>
      <c r="JA24" s="141">
        <v>100</v>
      </c>
      <c r="JB24" s="141">
        <v>100</v>
      </c>
      <c r="JC24" s="67">
        <v>100</v>
      </c>
      <c r="JD24" s="147">
        <v>100</v>
      </c>
      <c r="JE24" s="69">
        <v>99.99</v>
      </c>
      <c r="JF24" s="71">
        <v>99.99</v>
      </c>
      <c r="JG24" s="27"/>
      <c r="JH24" s="64">
        <v>100</v>
      </c>
      <c r="JI24" s="64">
        <v>99.99</v>
      </c>
      <c r="JJ24" s="64">
        <v>100</v>
      </c>
      <c r="JK24" s="64">
        <v>99.99</v>
      </c>
      <c r="JL24" s="64">
        <v>100</v>
      </c>
      <c r="JM24" s="64">
        <v>99.99</v>
      </c>
      <c r="JN24" s="72">
        <v>100</v>
      </c>
      <c r="JO24" s="67">
        <v>99.99</v>
      </c>
      <c r="JP24" s="67">
        <v>99.99</v>
      </c>
      <c r="JQ24" s="67">
        <v>100</v>
      </c>
      <c r="JR24" s="67">
        <v>99.99</v>
      </c>
      <c r="JS24" s="67">
        <v>100</v>
      </c>
      <c r="JT24" s="64">
        <v>99.99</v>
      </c>
      <c r="JU24" s="64">
        <v>100</v>
      </c>
      <c r="JV24" s="64">
        <v>100</v>
      </c>
      <c r="JW24" s="64">
        <v>99.95</v>
      </c>
      <c r="JX24" s="64">
        <v>99.9</v>
      </c>
      <c r="JY24" s="64">
        <v>99.96</v>
      </c>
      <c r="JZ24" s="72">
        <v>99.97</v>
      </c>
      <c r="KA24" s="69">
        <v>99.99</v>
      </c>
      <c r="KB24" s="67">
        <v>99.99</v>
      </c>
      <c r="KC24" s="92">
        <v>99.99</v>
      </c>
      <c r="KD24" s="67">
        <v>99.99</v>
      </c>
      <c r="KE24" s="67">
        <v>99.99</v>
      </c>
      <c r="KF24" s="67">
        <v>99.99</v>
      </c>
      <c r="KG24" s="67">
        <v>99.99</v>
      </c>
      <c r="KH24" s="64">
        <v>99.99</v>
      </c>
      <c r="KI24" s="64">
        <v>99.99</v>
      </c>
      <c r="KJ24" s="64">
        <v>100</v>
      </c>
      <c r="KK24" s="64">
        <v>100</v>
      </c>
      <c r="KL24" s="64">
        <v>99.99</v>
      </c>
      <c r="KM24" s="64">
        <v>99.99</v>
      </c>
      <c r="KN24" s="64">
        <v>99.99</v>
      </c>
      <c r="KO24" s="64">
        <v>99.99</v>
      </c>
      <c r="KP24" s="64">
        <v>99.99</v>
      </c>
      <c r="KQ24" s="64">
        <v>99.99</v>
      </c>
      <c r="KR24" s="167">
        <v>100</v>
      </c>
      <c r="KS24" s="64">
        <v>100</v>
      </c>
      <c r="KT24" s="104">
        <v>99.99</v>
      </c>
      <c r="KU24" s="104">
        <v>100</v>
      </c>
      <c r="KV24" s="104">
        <v>100</v>
      </c>
      <c r="KW24" s="104">
        <v>100</v>
      </c>
      <c r="KX24" s="104">
        <v>99.99</v>
      </c>
      <c r="KY24" s="104">
        <v>99.99</v>
      </c>
      <c r="KZ24" s="104">
        <v>99.98</v>
      </c>
      <c r="LA24" s="104">
        <v>99.98</v>
      </c>
      <c r="LB24" s="104">
        <v>99.99</v>
      </c>
      <c r="LC24" s="104">
        <v>99.99</v>
      </c>
      <c r="LD24" s="104">
        <v>99.99</v>
      </c>
      <c r="LE24" s="104">
        <v>99.99</v>
      </c>
      <c r="LF24" s="104">
        <v>99.99</v>
      </c>
      <c r="LG24" s="104">
        <v>99.99</v>
      </c>
      <c r="LH24" s="104">
        <v>99.99</v>
      </c>
      <c r="LI24" s="104">
        <v>99.99</v>
      </c>
      <c r="LJ24" s="104">
        <v>99.99</v>
      </c>
      <c r="LK24" s="104">
        <v>99.99</v>
      </c>
      <c r="LL24" s="104">
        <v>100</v>
      </c>
      <c r="LM24" s="104">
        <v>100</v>
      </c>
      <c r="LN24" s="104">
        <v>99.99</v>
      </c>
      <c r="LO24" s="104">
        <v>100</v>
      </c>
      <c r="LP24" s="104">
        <v>99.99</v>
      </c>
      <c r="LQ24" s="104">
        <v>100</v>
      </c>
      <c r="LR24" s="104">
        <v>100</v>
      </c>
      <c r="LS24" s="104">
        <v>99.99</v>
      </c>
      <c r="LT24" s="104">
        <v>100</v>
      </c>
      <c r="LU24" s="104">
        <v>99.99</v>
      </c>
      <c r="LV24" s="104">
        <v>100</v>
      </c>
      <c r="LW24" s="104">
        <v>100</v>
      </c>
      <c r="LX24" s="104">
        <v>99.99</v>
      </c>
      <c r="LY24" s="104">
        <v>99.99</v>
      </c>
      <c r="LZ24" s="104">
        <v>100</v>
      </c>
      <c r="MA24" s="104">
        <v>100</v>
      </c>
      <c r="MB24" s="104">
        <v>99.99</v>
      </c>
      <c r="MC24" s="104">
        <v>99.99</v>
      </c>
      <c r="MD24" s="104">
        <v>100</v>
      </c>
      <c r="ME24" s="104">
        <v>99.99</v>
      </c>
      <c r="MF24" s="104">
        <v>99.99</v>
      </c>
      <c r="MG24" s="104">
        <v>99.95</v>
      </c>
      <c r="MH24" s="104">
        <v>99.94</v>
      </c>
      <c r="MI24" s="104">
        <v>99.99</v>
      </c>
      <c r="MJ24" s="104">
        <v>99.99</v>
      </c>
      <c r="MK24" s="104">
        <v>99.96</v>
      </c>
      <c r="ML24" s="104">
        <v>99.99</v>
      </c>
      <c r="MM24" s="104">
        <v>100</v>
      </c>
      <c r="MN24" s="104">
        <v>100</v>
      </c>
      <c r="MO24" s="104">
        <v>99.99</v>
      </c>
      <c r="MP24" s="104">
        <v>100</v>
      </c>
      <c r="MQ24" s="104">
        <v>99.99</v>
      </c>
      <c r="MR24" s="104">
        <v>100</v>
      </c>
      <c r="MS24" s="101">
        <v>100</v>
      </c>
      <c r="MT24" s="101">
        <v>100</v>
      </c>
      <c r="MU24" s="101">
        <v>100</v>
      </c>
      <c r="MV24" s="101">
        <v>100</v>
      </c>
      <c r="MW24" s="101">
        <v>100</v>
      </c>
      <c r="MX24" s="101">
        <v>99.99</v>
      </c>
      <c r="MY24" s="104">
        <v>99.99</v>
      </c>
      <c r="MZ24" s="28"/>
      <c r="NA24" s="27"/>
      <c r="NB24" s="27"/>
      <c r="NC24" s="171">
        <v>99.99</v>
      </c>
      <c r="ND24" s="171">
        <v>100</v>
      </c>
      <c r="NE24" s="171">
        <v>99.99</v>
      </c>
      <c r="NF24" s="171">
        <v>99.99</v>
      </c>
      <c r="NG24" s="171">
        <v>99.99</v>
      </c>
      <c r="NH24" s="171">
        <v>100</v>
      </c>
      <c r="NI24" s="171">
        <v>100</v>
      </c>
      <c r="NJ24" s="171">
        <v>99.99</v>
      </c>
      <c r="NK24" s="171">
        <v>99.99</v>
      </c>
      <c r="NL24" s="171">
        <v>99.99</v>
      </c>
      <c r="NM24" s="171">
        <v>100</v>
      </c>
      <c r="NN24" s="67">
        <v>99.99</v>
      </c>
      <c r="NO24" s="172">
        <v>100</v>
      </c>
      <c r="NP24" s="48">
        <v>99.99</v>
      </c>
      <c r="NQ24" s="67">
        <v>100</v>
      </c>
      <c r="NR24" s="67">
        <v>100</v>
      </c>
      <c r="NS24" s="67">
        <v>100</v>
      </c>
      <c r="NT24" s="67">
        <v>100</v>
      </c>
      <c r="NU24" s="67" t="s">
        <v>124</v>
      </c>
      <c r="NV24" s="67">
        <v>99.99</v>
      </c>
      <c r="NW24" s="67">
        <v>99.99</v>
      </c>
      <c r="NX24" s="67">
        <v>99.98</v>
      </c>
      <c r="NY24" s="67">
        <v>100</v>
      </c>
      <c r="NZ24" s="67">
        <v>100</v>
      </c>
      <c r="OA24" s="67">
        <v>99.99</v>
      </c>
      <c r="OB24" s="67">
        <v>100</v>
      </c>
      <c r="OC24" s="67">
        <v>99.98</v>
      </c>
      <c r="OD24" s="67">
        <v>100</v>
      </c>
      <c r="OE24" s="48">
        <v>99.99</v>
      </c>
      <c r="OF24" s="67">
        <v>100</v>
      </c>
      <c r="OG24" s="48">
        <v>99.99</v>
      </c>
      <c r="OH24" s="48">
        <v>99.99</v>
      </c>
      <c r="OI24" s="67">
        <v>99.99</v>
      </c>
      <c r="OJ24" s="67">
        <v>99.99</v>
      </c>
      <c r="OK24" s="67">
        <v>99.99</v>
      </c>
      <c r="OL24" s="67">
        <v>99.99</v>
      </c>
      <c r="OM24" s="67">
        <v>99.99</v>
      </c>
      <c r="ON24" s="67">
        <v>100</v>
      </c>
      <c r="OO24" s="48">
        <v>99.99</v>
      </c>
      <c r="OP24" s="48">
        <v>99.99</v>
      </c>
      <c r="OQ24" s="67">
        <v>100</v>
      </c>
      <c r="OR24" s="48">
        <v>99.99</v>
      </c>
      <c r="OS24" s="48">
        <v>99.99</v>
      </c>
      <c r="OT24" s="48">
        <v>99.99</v>
      </c>
      <c r="OU24" s="48">
        <v>99.99</v>
      </c>
      <c r="OV24" s="48">
        <v>99.78</v>
      </c>
      <c r="OW24" s="67">
        <v>99.99</v>
      </c>
      <c r="OX24" s="67">
        <v>99.99</v>
      </c>
      <c r="OY24" s="67">
        <v>99.99</v>
      </c>
      <c r="OZ24" s="67">
        <v>100</v>
      </c>
      <c r="PA24" s="67">
        <v>99.99</v>
      </c>
      <c r="PB24" s="67">
        <v>99.99</v>
      </c>
      <c r="PC24" s="183">
        <v>100</v>
      </c>
      <c r="PD24" s="67">
        <v>99.99</v>
      </c>
      <c r="PE24" s="67">
        <v>100</v>
      </c>
      <c r="PF24" s="48">
        <v>99.96</v>
      </c>
      <c r="PG24" s="67">
        <v>100</v>
      </c>
      <c r="PH24" s="71">
        <v>99.99</v>
      </c>
      <c r="PI24" s="67">
        <v>100</v>
      </c>
      <c r="PJ24" s="67">
        <v>100</v>
      </c>
      <c r="PK24" s="48">
        <v>99.99</v>
      </c>
      <c r="PL24" s="67">
        <v>100</v>
      </c>
      <c r="PM24" s="48">
        <v>99.98</v>
      </c>
      <c r="PN24" s="67">
        <v>99.98</v>
      </c>
      <c r="PO24" s="67">
        <v>99.99</v>
      </c>
      <c r="PP24" s="67">
        <v>99.99</v>
      </c>
      <c r="PQ24" s="67">
        <v>99.99</v>
      </c>
      <c r="PR24" s="67">
        <v>99.99</v>
      </c>
      <c r="PS24" s="67">
        <v>100</v>
      </c>
      <c r="PT24" s="71">
        <v>99.99</v>
      </c>
      <c r="PU24" s="69">
        <v>99.99</v>
      </c>
      <c r="PV24" s="69">
        <v>99.99</v>
      </c>
      <c r="PW24" s="69">
        <v>100</v>
      </c>
      <c r="PX24" s="48">
        <v>99.99</v>
      </c>
      <c r="PY24" s="48">
        <v>99.99</v>
      </c>
      <c r="PZ24" s="69">
        <v>99.99</v>
      </c>
      <c r="QA24" s="48">
        <v>100</v>
      </c>
      <c r="QB24" s="48">
        <v>99.99</v>
      </c>
      <c r="QC24" s="71">
        <v>99.99</v>
      </c>
      <c r="QD24" s="71">
        <v>100</v>
      </c>
      <c r="QE24" s="67">
        <v>99.99</v>
      </c>
      <c r="QF24" s="64">
        <v>99.99</v>
      </c>
      <c r="QG24" s="64">
        <v>99.99</v>
      </c>
      <c r="QH24" s="64">
        <v>99.99</v>
      </c>
      <c r="QI24" s="71">
        <v>99.99</v>
      </c>
      <c r="QJ24" s="48">
        <v>99.99</v>
      </c>
      <c r="QK24" s="67">
        <v>100</v>
      </c>
      <c r="QL24" s="48">
        <v>99.99</v>
      </c>
      <c r="QM24" s="67">
        <v>99.99</v>
      </c>
      <c r="QN24" s="48">
        <v>99.99</v>
      </c>
      <c r="QO24" s="48">
        <v>99.99</v>
      </c>
      <c r="QP24" s="67">
        <v>99.99</v>
      </c>
      <c r="QQ24" s="67">
        <v>99.99</v>
      </c>
      <c r="QR24" s="67">
        <v>100</v>
      </c>
      <c r="QS24" s="67">
        <v>99.98</v>
      </c>
      <c r="QT24" s="67">
        <v>99.99</v>
      </c>
      <c r="QU24" s="67">
        <v>99.99</v>
      </c>
      <c r="QV24" s="67">
        <v>99.99</v>
      </c>
      <c r="QW24" s="67">
        <v>99.99</v>
      </c>
      <c r="QX24" s="48">
        <v>98.99</v>
      </c>
      <c r="QY24" s="48">
        <v>99.99</v>
      </c>
      <c r="QZ24" s="67">
        <v>99.99</v>
      </c>
      <c r="RA24" s="48">
        <v>99.99</v>
      </c>
      <c r="RB24" s="48">
        <v>100</v>
      </c>
      <c r="RC24" s="92">
        <v>100</v>
      </c>
      <c r="RD24" s="67">
        <v>99.99</v>
      </c>
      <c r="RE24" s="67">
        <v>99.99</v>
      </c>
      <c r="RF24" s="67">
        <v>99.99</v>
      </c>
      <c r="RG24" s="67">
        <v>99.99</v>
      </c>
      <c r="RH24" s="67">
        <v>99.99</v>
      </c>
      <c r="RI24" s="67">
        <v>100</v>
      </c>
      <c r="RJ24" s="67">
        <v>99.99</v>
      </c>
      <c r="RK24" s="67">
        <v>99.99</v>
      </c>
      <c r="RL24" s="67">
        <v>99.99</v>
      </c>
      <c r="RM24" s="67">
        <v>99.99</v>
      </c>
      <c r="RN24" s="67"/>
      <c r="RO24" s="67"/>
      <c r="RP24" s="67"/>
      <c r="RQ24" s="48"/>
      <c r="RR24" s="314"/>
      <c r="RS24" s="67">
        <v>100</v>
      </c>
      <c r="RT24" s="67">
        <v>99.98</v>
      </c>
      <c r="RU24" s="67">
        <v>100</v>
      </c>
      <c r="RV24" s="69">
        <v>100</v>
      </c>
      <c r="RW24" s="69">
        <v>100</v>
      </c>
      <c r="RX24" s="71">
        <v>100</v>
      </c>
      <c r="RY24" s="69">
        <v>99.99</v>
      </c>
      <c r="RZ24" s="67">
        <v>99.98</v>
      </c>
      <c r="SA24" s="27"/>
      <c r="SB24" s="27"/>
      <c r="SC24" s="27"/>
      <c r="SD24" s="27"/>
      <c r="SF24" s="321"/>
      <c r="SG24" s="67">
        <v>99.99</v>
      </c>
      <c r="SH24" s="67">
        <v>99.97</v>
      </c>
      <c r="SI24" s="67">
        <v>99.99</v>
      </c>
      <c r="SJ24" s="67">
        <v>99.99</v>
      </c>
      <c r="SK24" s="67">
        <v>99.99</v>
      </c>
      <c r="SL24" s="48">
        <v>99.99</v>
      </c>
      <c r="SM24" s="67">
        <v>100</v>
      </c>
      <c r="SN24" s="67">
        <v>99.99</v>
      </c>
      <c r="SO24" s="67">
        <v>99.99</v>
      </c>
      <c r="SP24" s="67">
        <v>99.99</v>
      </c>
      <c r="SQ24" s="104">
        <v>100</v>
      </c>
      <c r="SR24" s="104">
        <v>99.99</v>
      </c>
      <c r="SS24" s="104">
        <v>99.99</v>
      </c>
      <c r="ST24" s="48">
        <v>99.99</v>
      </c>
      <c r="SU24" s="104">
        <v>100</v>
      </c>
      <c r="SV24" s="104">
        <v>99.99</v>
      </c>
      <c r="SW24" s="104">
        <v>99.99</v>
      </c>
      <c r="SX24" s="67">
        <v>100</v>
      </c>
      <c r="SY24" s="104">
        <v>99.99</v>
      </c>
      <c r="SZ24" s="104">
        <v>99.99</v>
      </c>
      <c r="TA24" s="172">
        <v>99.99</v>
      </c>
      <c r="TB24" s="172">
        <v>99.99</v>
      </c>
      <c r="TC24" s="64">
        <v>99.98</v>
      </c>
      <c r="TD24" s="64">
        <v>100</v>
      </c>
      <c r="TE24" s="64">
        <v>99.98</v>
      </c>
      <c r="TF24" s="64">
        <v>99.98</v>
      </c>
      <c r="TG24" s="64">
        <v>99.98</v>
      </c>
      <c r="TH24" s="64">
        <v>99.98</v>
      </c>
      <c r="TI24" s="64">
        <v>99.98</v>
      </c>
      <c r="TJ24" s="67">
        <v>99.99</v>
      </c>
      <c r="TK24" s="48">
        <v>99.93</v>
      </c>
      <c r="TL24" s="64">
        <v>100</v>
      </c>
      <c r="TM24" s="64">
        <v>99.98</v>
      </c>
      <c r="TN24" s="64">
        <v>100</v>
      </c>
      <c r="TO24" s="64">
        <v>99.98</v>
      </c>
      <c r="TP24" s="64">
        <v>99.99</v>
      </c>
      <c r="TQ24" s="64">
        <v>99.99</v>
      </c>
      <c r="TR24" s="64">
        <v>99.97</v>
      </c>
      <c r="TS24" s="64">
        <v>100</v>
      </c>
      <c r="TT24" s="64">
        <v>99.99</v>
      </c>
      <c r="TU24" s="67">
        <v>99.99</v>
      </c>
      <c r="TV24" s="67">
        <v>99.99</v>
      </c>
      <c r="TW24" s="48">
        <v>99.99</v>
      </c>
      <c r="TX24" s="64">
        <v>99.99</v>
      </c>
      <c r="TY24" s="64">
        <v>99.99</v>
      </c>
      <c r="TZ24" s="64">
        <v>100</v>
      </c>
      <c r="UA24" s="64">
        <v>100</v>
      </c>
      <c r="UB24" s="48">
        <v>99.99</v>
      </c>
      <c r="UC24" s="48">
        <v>99.99</v>
      </c>
      <c r="UD24" s="48">
        <v>99.99</v>
      </c>
      <c r="UE24" s="48">
        <v>99.99</v>
      </c>
      <c r="UF24" s="48">
        <v>99.99</v>
      </c>
      <c r="UG24" s="48">
        <v>99.99</v>
      </c>
      <c r="UH24" s="48">
        <v>99.99</v>
      </c>
      <c r="UI24" s="48">
        <v>99.99</v>
      </c>
      <c r="UJ24" s="67">
        <v>99.97</v>
      </c>
      <c r="UK24" s="67">
        <v>99.99</v>
      </c>
      <c r="UL24" s="67">
        <v>99.99</v>
      </c>
      <c r="UM24" s="323" t="s">
        <v>86</v>
      </c>
      <c r="UN24" s="48">
        <v>99.99</v>
      </c>
      <c r="UO24" s="323">
        <v>100</v>
      </c>
      <c r="UP24" s="323">
        <v>100</v>
      </c>
      <c r="UQ24" s="48">
        <v>100</v>
      </c>
      <c r="UR24" s="48">
        <v>99.99</v>
      </c>
      <c r="US24" s="48">
        <v>99.99</v>
      </c>
      <c r="UT24" s="48">
        <v>99.99</v>
      </c>
      <c r="UU24" s="67">
        <v>99.98</v>
      </c>
      <c r="UV24" s="67">
        <v>99.99</v>
      </c>
      <c r="UW24" s="67">
        <v>99.98</v>
      </c>
      <c r="UX24" s="67">
        <v>99.99</v>
      </c>
      <c r="UY24" s="67">
        <v>99.99</v>
      </c>
      <c r="UZ24" s="67">
        <v>99.99</v>
      </c>
      <c r="VA24" s="48">
        <v>99.99</v>
      </c>
      <c r="VB24" s="48">
        <v>99.99</v>
      </c>
      <c r="VC24" s="48">
        <v>99.99</v>
      </c>
      <c r="VD24" s="48">
        <v>99.99</v>
      </c>
      <c r="VE24" s="48">
        <v>99.99</v>
      </c>
      <c r="VF24" s="48">
        <v>99.99</v>
      </c>
      <c r="VG24" s="48">
        <v>100</v>
      </c>
      <c r="VH24" s="71">
        <v>100</v>
      </c>
      <c r="VI24" s="67">
        <v>99.99</v>
      </c>
      <c r="VJ24" s="67">
        <v>99.98</v>
      </c>
      <c r="VK24" s="67">
        <v>99.99</v>
      </c>
      <c r="VL24" s="67">
        <v>99.99</v>
      </c>
      <c r="VM24" s="67">
        <v>99.99</v>
      </c>
      <c r="VN24" s="67">
        <v>99.99</v>
      </c>
      <c r="VO24" s="48">
        <v>99.99</v>
      </c>
      <c r="VP24" s="395">
        <v>99.99</v>
      </c>
      <c r="VQ24" s="67">
        <v>99.99</v>
      </c>
      <c r="VR24" s="67">
        <v>99.99</v>
      </c>
      <c r="VS24" s="94"/>
      <c r="VT24" s="74"/>
      <c r="VU24" s="74"/>
      <c r="WO24" s="75"/>
      <c r="WP24" s="74"/>
      <c r="WQ24" s="74"/>
      <c r="WR24" s="74"/>
      <c r="WS24" s="74"/>
      <c r="WT24" s="74"/>
      <c r="WZ24" s="75"/>
      <c r="XA24" s="74"/>
      <c r="XB24" s="74"/>
      <c r="XC24" s="74"/>
      <c r="XD24" s="74"/>
      <c r="XE24" s="74"/>
      <c r="XI24" s="75"/>
      <c r="XJ24" s="74"/>
      <c r="XK24" s="74"/>
      <c r="XL24" s="74"/>
      <c r="XM24" s="74"/>
      <c r="XN24" s="74"/>
      <c r="XR24" s="75"/>
      <c r="XS24" s="74"/>
      <c r="XT24" s="74"/>
      <c r="XU24" s="74"/>
      <c r="XV24" s="74"/>
      <c r="XW24" s="74"/>
      <c r="XZ24" s="75"/>
      <c r="YA24" s="74"/>
      <c r="YB24" s="74"/>
      <c r="YC24" s="74"/>
      <c r="YD24" s="74"/>
      <c r="YE24" s="74"/>
      <c r="YI24" s="75"/>
      <c r="YJ24" s="74"/>
      <c r="YK24" s="74"/>
      <c r="YL24" s="74"/>
      <c r="YM24" s="74"/>
      <c r="YN24" s="74"/>
      <c r="YP24" s="70"/>
      <c r="YQ24" s="70"/>
      <c r="YS24" s="70"/>
      <c r="YY24" s="70"/>
      <c r="YZ24" s="70"/>
      <c r="ZA24" s="70"/>
      <c r="ZE24" s="70"/>
      <c r="ZG24" s="70"/>
      <c r="ZN24" s="70"/>
      <c r="ZU24" s="75"/>
      <c r="ZV24" s="74"/>
      <c r="ZW24" s="74"/>
      <c r="ZX24" s="74"/>
      <c r="ZY24" s="74"/>
      <c r="ZZ24" s="74"/>
      <c r="AAA24" s="74"/>
      <c r="AAB24" s="74"/>
      <c r="AAC24" s="74"/>
      <c r="AAI24" s="28"/>
      <c r="AAJ24" s="27"/>
      <c r="AAK24" s="27"/>
      <c r="AAL24" s="27"/>
      <c r="AAM24" s="27"/>
      <c r="AAQ24" s="75"/>
      <c r="AAR24" s="74"/>
      <c r="AAS24" s="74"/>
      <c r="AAT24" s="74"/>
      <c r="AAU24" s="74"/>
      <c r="AAV24" s="74"/>
      <c r="AAX24" s="75"/>
      <c r="AAY24" s="74"/>
      <c r="AAZ24" s="74"/>
      <c r="ABA24" s="74"/>
      <c r="ABB24" s="74"/>
      <c r="ABC24" s="74"/>
      <c r="ABF24" s="75"/>
      <c r="ABG24" s="74"/>
      <c r="ABH24" s="74"/>
      <c r="ABI24" s="74"/>
      <c r="ABJ24" s="74"/>
      <c r="ABK24" s="74"/>
      <c r="ABO24" s="75"/>
      <c r="ABP24" s="74"/>
      <c r="ABQ24" s="74"/>
      <c r="ABR24" s="74"/>
      <c r="ABS24" s="74"/>
      <c r="ABT24" s="74"/>
      <c r="ABW24" s="75"/>
      <c r="ABX24" s="74"/>
      <c r="ABY24" s="74"/>
      <c r="ABZ24" s="74"/>
      <c r="ACA24" s="74"/>
      <c r="ACB24" s="74"/>
      <c r="ACD24" s="70"/>
      <c r="ACL24" s="75"/>
      <c r="ACM24" s="74"/>
      <c r="ACN24" s="74"/>
      <c r="ACO24" s="74"/>
      <c r="ACP24" s="74"/>
      <c r="ACQ24" s="74"/>
      <c r="ACS24" s="75"/>
      <c r="ACT24" s="74"/>
      <c r="ACU24" s="74"/>
      <c r="ACV24" s="74"/>
      <c r="ACW24" s="74"/>
      <c r="ACX24" s="74"/>
      <c r="ADB24" s="75"/>
      <c r="ADC24" s="74"/>
      <c r="ADD24" s="74"/>
      <c r="ADE24" s="74"/>
      <c r="ADF24" s="74"/>
      <c r="ADG24" s="74"/>
      <c r="ADJ24" s="28"/>
      <c r="ADK24" s="27"/>
      <c r="ADL24" s="27"/>
      <c r="ADM24" s="27"/>
      <c r="ADN24" s="27"/>
      <c r="ADO24" s="28"/>
      <c r="ADQ24" s="70"/>
      <c r="ADR24" s="75"/>
      <c r="ADS24" s="74"/>
      <c r="ADT24" s="74"/>
      <c r="ADU24" s="74"/>
      <c r="ADV24" s="74"/>
      <c r="ADW24" s="74"/>
      <c r="ADY24" s="75"/>
      <c r="ADZ24" s="74"/>
      <c r="AEA24" s="74"/>
      <c r="AEB24" s="74"/>
      <c r="AEC24" s="74"/>
      <c r="AED24" s="74"/>
      <c r="AEG24" s="75">
        <v>44623</v>
      </c>
      <c r="AEH24" s="74" t="s">
        <v>67</v>
      </c>
      <c r="AEI24" s="74">
        <v>1508392</v>
      </c>
      <c r="AEJ24" s="74">
        <v>86989</v>
      </c>
      <c r="AEK24" s="74">
        <v>1595381</v>
      </c>
      <c r="AEL24" s="74" t="s">
        <v>83</v>
      </c>
      <c r="AEQ24" s="70"/>
      <c r="AEX24" s="70"/>
      <c r="AEY24" s="70"/>
      <c r="AFE24" s="70"/>
      <c r="AFL24" s="70"/>
      <c r="AFS24" s="70"/>
      <c r="AGN24" s="70"/>
      <c r="AGO24" s="70"/>
      <c r="AHD24" s="70"/>
      <c r="AHQ24" s="70"/>
      <c r="AHS24" s="70"/>
      <c r="AIY24" s="70"/>
      <c r="AIZ24" s="70"/>
      <c r="AJL24" s="28"/>
      <c r="AJM24" s="27"/>
      <c r="AJN24" s="27"/>
      <c r="AJO24" s="27"/>
      <c r="AJP24" s="27"/>
      <c r="AJQ24" s="27"/>
      <c r="AKG24" s="70"/>
      <c r="AKO24" s="70"/>
      <c r="AKU24" s="70"/>
      <c r="ALC24" s="70"/>
      <c r="ALI24" s="70"/>
      <c r="ALJ24" s="70"/>
    </row>
    <row r="25" spans="1:998" x14ac:dyDescent="0.25">
      <c r="EP25" s="28"/>
      <c r="EQ25" s="27"/>
      <c r="ER25" s="27"/>
      <c r="ES25" s="27"/>
      <c r="ET25" s="27"/>
      <c r="FA25" s="28"/>
      <c r="FB25" s="27"/>
      <c r="FC25" s="27"/>
      <c r="FD25" s="27"/>
      <c r="FE25" s="27"/>
      <c r="FI25" s="28"/>
      <c r="FJ25" s="27"/>
      <c r="FK25" s="27"/>
      <c r="FL25" s="27"/>
      <c r="FM25" s="27"/>
      <c r="FQ25" s="28"/>
      <c r="FR25" s="27"/>
      <c r="FS25" s="27"/>
      <c r="FT25" s="27"/>
      <c r="FU25" s="27"/>
      <c r="FX25" s="28"/>
      <c r="FY25" s="27"/>
      <c r="FZ25" s="27"/>
      <c r="GA25" s="27"/>
      <c r="GB25" s="27"/>
      <c r="GE25" s="28"/>
      <c r="GF25" s="27"/>
      <c r="GG25" s="27"/>
      <c r="GH25" s="27"/>
      <c r="GI25" s="27"/>
      <c r="GL25" s="28"/>
      <c r="GM25" s="27"/>
      <c r="GN25" s="27"/>
      <c r="GO25" s="27"/>
      <c r="GP25" s="27"/>
      <c r="GT25" s="28"/>
      <c r="GU25" s="27"/>
      <c r="GV25" s="27"/>
      <c r="GW25" s="27"/>
      <c r="GX25" s="27"/>
      <c r="HA25" s="28"/>
      <c r="HB25" s="27"/>
      <c r="HC25" s="27"/>
      <c r="HD25" s="27"/>
      <c r="HE25" s="27"/>
      <c r="HH25" s="28"/>
      <c r="HI25" s="27"/>
      <c r="HJ25" s="27"/>
      <c r="HK25" s="27"/>
      <c r="HL25" s="27"/>
      <c r="HO25" s="28"/>
      <c r="HP25" s="27"/>
      <c r="HQ25" s="27"/>
      <c r="HR25" s="27"/>
      <c r="HS25" s="27"/>
      <c r="HV25" s="28"/>
      <c r="HW25" s="27"/>
      <c r="HX25" s="27"/>
      <c r="HY25" s="27"/>
      <c r="HZ25" s="27"/>
      <c r="IC25" s="28"/>
      <c r="ID25" s="27"/>
      <c r="IE25" s="27"/>
      <c r="IF25" s="27"/>
      <c r="IG25" s="27"/>
      <c r="IK25" s="28"/>
      <c r="IL25" s="27"/>
      <c r="IM25" s="27"/>
      <c r="IN25" s="27"/>
      <c r="IO25" s="27"/>
      <c r="IR25" s="28"/>
      <c r="IS25" s="27"/>
      <c r="IT25" s="27"/>
      <c r="IU25" s="27"/>
      <c r="IV25" s="27"/>
      <c r="IY25" s="28"/>
      <c r="IZ25" s="27"/>
      <c r="JA25" s="27"/>
      <c r="JB25" s="27"/>
      <c r="JC25" s="27"/>
      <c r="JF25" s="28"/>
      <c r="JG25" s="27"/>
      <c r="JH25" s="27"/>
      <c r="JI25" s="27"/>
      <c r="JJ25" s="27"/>
      <c r="JM25" s="28"/>
      <c r="JN25" s="27"/>
      <c r="JO25" s="27"/>
      <c r="JP25" s="27"/>
      <c r="JQ25" s="27"/>
      <c r="JT25" s="28"/>
      <c r="JU25" s="27"/>
      <c r="JV25" s="27"/>
      <c r="JW25" s="27"/>
      <c r="JX25" s="27"/>
      <c r="KA25" s="28"/>
      <c r="KB25" s="27"/>
      <c r="KC25" s="27"/>
      <c r="KD25" s="27"/>
      <c r="KE25" s="27"/>
      <c r="KH25" s="28"/>
      <c r="KI25" s="27"/>
      <c r="KJ25" s="27"/>
      <c r="KK25" s="27"/>
      <c r="KL25" s="27"/>
      <c r="MD25" s="28"/>
      <c r="ME25" s="27"/>
      <c r="MF25" s="27"/>
      <c r="MG25" s="27"/>
      <c r="MH25" s="27"/>
      <c r="MK25" s="28"/>
      <c r="ML25" s="27"/>
      <c r="MM25" s="27"/>
      <c r="MN25" s="27"/>
      <c r="MO25" s="27"/>
      <c r="MR25" s="28"/>
      <c r="MS25" s="27"/>
      <c r="MT25" s="27"/>
      <c r="MU25" s="27"/>
      <c r="MV25" s="27"/>
      <c r="MZ25" s="28"/>
      <c r="NA25" s="27"/>
      <c r="NB25" s="27"/>
      <c r="NG25" s="28"/>
      <c r="NH25" s="27"/>
      <c r="NI25" s="27"/>
      <c r="NJ25" s="27"/>
      <c r="NK25" s="27"/>
      <c r="NN25" s="28"/>
      <c r="NO25" s="27"/>
      <c r="NP25" s="27"/>
      <c r="NQ25" s="27"/>
      <c r="NR25" s="27"/>
      <c r="NU25" s="27"/>
      <c r="NV25" s="27"/>
      <c r="NW25" s="27"/>
      <c r="NX25" s="27"/>
      <c r="NY25" s="27"/>
      <c r="OB25" s="28"/>
      <c r="OC25" s="27"/>
      <c r="OD25" s="27"/>
      <c r="OE25" s="27"/>
      <c r="OF25" s="27"/>
      <c r="OI25" s="28"/>
      <c r="OJ25" s="27"/>
      <c r="OK25" s="27"/>
      <c r="OL25" s="27"/>
      <c r="OM25" s="27"/>
      <c r="OP25" s="28"/>
      <c r="OQ25" s="27"/>
      <c r="OR25" s="27"/>
      <c r="OS25" s="27"/>
      <c r="OT25" s="27"/>
      <c r="OW25" s="27"/>
      <c r="OX25" s="27"/>
      <c r="OY25" s="27"/>
      <c r="OZ25" s="27"/>
      <c r="PA25" s="27"/>
      <c r="PD25" s="28"/>
      <c r="PE25" s="27"/>
      <c r="PF25" s="27"/>
      <c r="PG25" s="27"/>
      <c r="PH25" s="27"/>
      <c r="PN25" s="189"/>
      <c r="PO25" s="27"/>
      <c r="PP25" s="27"/>
      <c r="PQ25" s="27"/>
      <c r="PR25" s="27"/>
      <c r="PU25" s="28"/>
      <c r="PV25" s="27"/>
      <c r="PW25" s="27"/>
      <c r="PX25" s="27"/>
      <c r="PY25" s="27"/>
      <c r="QB25" s="28"/>
      <c r="QC25" s="27"/>
      <c r="QD25" s="27"/>
      <c r="QE25" s="27"/>
      <c r="QF25" s="27"/>
      <c r="QI25" s="28"/>
      <c r="QJ25" s="27"/>
      <c r="QK25" s="27"/>
      <c r="QL25" s="27"/>
      <c r="QM25" s="27"/>
      <c r="QP25" s="27"/>
      <c r="QQ25" s="27"/>
      <c r="QR25" s="27"/>
      <c r="QS25" s="27"/>
      <c r="QT25" s="27"/>
      <c r="QW25" s="28"/>
      <c r="QX25" s="27"/>
      <c r="QY25" s="27"/>
      <c r="QZ25" s="27"/>
      <c r="RA25" s="27"/>
      <c r="RD25" s="28"/>
      <c r="RE25" s="27"/>
      <c r="RF25" s="27"/>
      <c r="RG25" s="27"/>
      <c r="RH25" s="27"/>
      <c r="RK25" s="28"/>
      <c r="RL25" s="27"/>
      <c r="RM25" s="27"/>
      <c r="RN25" s="27"/>
      <c r="RO25" s="27"/>
      <c r="RP25" s="27"/>
      <c r="RR25" s="28"/>
      <c r="RS25" s="27"/>
      <c r="RT25" s="27"/>
      <c r="RU25" s="27"/>
      <c r="RV25" s="27"/>
      <c r="RW25" s="27"/>
      <c r="RY25" s="318"/>
      <c r="RZ25" s="27"/>
      <c r="SA25" s="27"/>
      <c r="SB25" s="27"/>
      <c r="SC25" s="27"/>
      <c r="SD25" s="27"/>
      <c r="SF25" s="75"/>
      <c r="SG25" s="322"/>
      <c r="SH25" s="322"/>
      <c r="SI25" s="322"/>
      <c r="SJ25" s="322"/>
      <c r="SK25" s="322"/>
      <c r="SM25" s="28"/>
      <c r="SN25" s="27"/>
      <c r="SO25" s="27"/>
      <c r="SP25" s="27"/>
      <c r="SQ25" s="27"/>
      <c r="SR25" s="27"/>
      <c r="ST25" s="28"/>
      <c r="SU25" s="27"/>
      <c r="SV25" s="27"/>
      <c r="SW25" s="27"/>
      <c r="SX25" s="27"/>
      <c r="SY25" s="27"/>
      <c r="TB25" s="28"/>
      <c r="TC25" s="27"/>
      <c r="TD25" s="27"/>
      <c r="TE25" s="27"/>
      <c r="TF25" s="27"/>
      <c r="TG25" s="27"/>
      <c r="TI25" s="28"/>
      <c r="TJ25" s="27"/>
      <c r="TK25" s="27"/>
      <c r="TL25" s="27"/>
      <c r="TM25" s="27"/>
      <c r="TN25" s="27"/>
      <c r="TY25" s="338"/>
      <c r="TZ25" s="322"/>
      <c r="UA25" s="322"/>
      <c r="UB25" s="322"/>
      <c r="UC25" s="322"/>
      <c r="UD25" s="322"/>
      <c r="UG25" s="338"/>
      <c r="UH25" s="322"/>
      <c r="UI25" s="322"/>
      <c r="UJ25" s="322"/>
      <c r="UK25" s="322"/>
      <c r="UL25" s="322"/>
      <c r="UN25" s="338"/>
      <c r="UO25" s="322"/>
      <c r="UP25" s="322"/>
      <c r="UQ25" s="341"/>
      <c r="UR25" s="27"/>
      <c r="US25" s="189"/>
      <c r="UU25" s="28"/>
      <c r="UV25" s="27"/>
      <c r="UW25" s="27"/>
      <c r="UX25" s="27"/>
      <c r="UY25" s="27"/>
      <c r="UZ25" s="27"/>
      <c r="VB25" s="338"/>
      <c r="VC25" s="322"/>
      <c r="VD25" s="322"/>
      <c r="VE25" s="322"/>
      <c r="VF25" s="322"/>
      <c r="VG25" s="322"/>
      <c r="VI25" s="338"/>
      <c r="VJ25" s="322"/>
      <c r="VK25" s="322"/>
      <c r="VL25" s="322"/>
      <c r="VM25" s="322"/>
      <c r="VN25" s="322"/>
      <c r="VP25" s="392"/>
      <c r="VQ25" s="393"/>
      <c r="VR25" s="393"/>
      <c r="VS25" s="74"/>
      <c r="VT25" s="74"/>
      <c r="VU25" s="74"/>
      <c r="WO25" s="75"/>
      <c r="WP25" s="74"/>
      <c r="WQ25" s="74"/>
      <c r="WR25" s="74"/>
      <c r="WS25" s="74"/>
      <c r="WT25" s="74"/>
      <c r="WZ25" s="75"/>
      <c r="XA25" s="74"/>
      <c r="XB25" s="74"/>
      <c r="XC25" s="74"/>
      <c r="XD25" s="74"/>
      <c r="XE25" s="74"/>
      <c r="XI25" s="75"/>
      <c r="XJ25" s="74"/>
      <c r="XK25" s="74"/>
      <c r="XL25" s="74"/>
      <c r="XM25" s="74"/>
      <c r="XN25" s="74"/>
      <c r="XR25" s="75"/>
      <c r="XS25" s="74"/>
      <c r="XT25" s="74"/>
      <c r="XU25" s="74"/>
      <c r="XV25" s="74"/>
      <c r="XW25" s="74"/>
      <c r="XZ25" s="75"/>
      <c r="YA25" s="74"/>
      <c r="YB25" s="74"/>
      <c r="YC25" s="74"/>
      <c r="YD25" s="74"/>
      <c r="YE25" s="74"/>
      <c r="YI25" s="75"/>
      <c r="YJ25" s="74"/>
      <c r="YK25" s="74"/>
      <c r="YL25" s="74"/>
      <c r="YM25" s="74"/>
      <c r="YN25" s="74"/>
      <c r="YP25" s="70"/>
      <c r="YS25" s="70"/>
      <c r="ZA25" s="70"/>
      <c r="ZN25" s="70"/>
      <c r="AAI25" s="28"/>
      <c r="AAJ25" s="27"/>
      <c r="AAK25" s="27"/>
      <c r="AAL25" s="27"/>
      <c r="AAM25" s="27"/>
      <c r="AAQ25" s="75"/>
      <c r="AAR25" s="74"/>
      <c r="AAS25" s="74"/>
      <c r="AAT25" s="74"/>
      <c r="AAU25" s="74"/>
      <c r="AAV25" s="74"/>
      <c r="AAX25" s="75"/>
      <c r="AAY25" s="74"/>
      <c r="AAZ25" s="74"/>
      <c r="ABA25" s="74"/>
      <c r="ABB25" s="74"/>
      <c r="ABC25" s="74"/>
      <c r="ABF25" s="75"/>
      <c r="ABG25" s="74"/>
      <c r="ABH25" s="74"/>
      <c r="ABI25" s="74"/>
      <c r="ABJ25" s="74"/>
      <c r="ABK25" s="74"/>
      <c r="ABO25" s="75"/>
      <c r="ABP25" s="74"/>
      <c r="ABQ25" s="74"/>
      <c r="ABR25" s="74"/>
      <c r="ABS25" s="74"/>
      <c r="ABT25" s="74"/>
      <c r="ABW25" s="75"/>
      <c r="ABX25" s="74"/>
      <c r="ABY25" s="74"/>
      <c r="ABZ25" s="74"/>
      <c r="ACA25" s="74"/>
      <c r="ACB25" s="74"/>
      <c r="ACD25" s="70"/>
      <c r="ACL25" s="75"/>
      <c r="ACM25" s="74"/>
      <c r="ACN25" s="74"/>
      <c r="ACO25" s="74"/>
      <c r="ACP25" s="74"/>
      <c r="ACQ25" s="74"/>
      <c r="ACS25" s="75"/>
      <c r="ACT25" s="74"/>
      <c r="ACU25" s="74"/>
      <c r="ACV25" s="74"/>
      <c r="ACW25" s="74"/>
      <c r="ACX25" s="74"/>
      <c r="ADB25" s="75"/>
      <c r="ADC25" s="74"/>
      <c r="ADD25" s="74"/>
      <c r="ADE25" s="74"/>
      <c r="ADF25" s="74"/>
      <c r="ADG25" s="74"/>
      <c r="ADJ25" s="28"/>
      <c r="ADK25" s="27"/>
      <c r="ADL25" s="27"/>
      <c r="ADM25" s="27"/>
      <c r="ADN25" s="27"/>
      <c r="ADO25" s="28"/>
      <c r="ADQ25" s="70"/>
      <c r="ADR25" s="75"/>
      <c r="ADS25" s="74"/>
      <c r="ADT25" s="74"/>
      <c r="ADU25" s="74"/>
      <c r="ADV25" s="74"/>
      <c r="ADW25" s="74"/>
      <c r="ADY25" s="75"/>
      <c r="ADZ25" s="74"/>
      <c r="AEA25" s="74"/>
      <c r="AEB25" s="74"/>
      <c r="AEC25" s="74"/>
      <c r="AED25" s="74"/>
      <c r="AEG25" s="75">
        <v>44623</v>
      </c>
      <c r="AEH25" s="74" t="s">
        <v>68</v>
      </c>
      <c r="AEI25" s="74">
        <v>1523416</v>
      </c>
      <c r="AEJ25" s="74">
        <v>82187</v>
      </c>
      <c r="AEK25" s="74">
        <v>1605603</v>
      </c>
      <c r="AEL25" s="74" t="s">
        <v>80</v>
      </c>
      <c r="AGN25" s="70"/>
      <c r="AGO25" s="70"/>
      <c r="AHD25" s="70"/>
      <c r="AHQ25" s="70"/>
      <c r="AHS25" s="70"/>
      <c r="AIY25" s="70"/>
      <c r="AIZ25" s="70"/>
    </row>
    <row r="26" spans="1:998" ht="15" customHeight="1" x14ac:dyDescent="0.25">
      <c r="EP26" s="28"/>
      <c r="EQ26" s="27"/>
      <c r="ER26" s="27"/>
      <c r="ES26" s="27"/>
      <c r="ET26" s="27"/>
      <c r="FA26" s="28"/>
      <c r="FB26" s="27"/>
      <c r="FC26" s="27"/>
      <c r="FD26" s="27"/>
      <c r="FE26" s="27"/>
      <c r="FI26" s="28"/>
      <c r="FJ26" s="27"/>
      <c r="FK26" s="27"/>
      <c r="FL26" s="27"/>
      <c r="FM26" s="27"/>
      <c r="FQ26" s="28"/>
      <c r="FR26" s="27"/>
      <c r="FS26" s="27"/>
      <c r="FT26" s="27"/>
      <c r="FU26" s="27"/>
      <c r="FX26" s="28"/>
      <c r="FY26" s="27"/>
      <c r="FZ26" s="27"/>
      <c r="GA26" s="27"/>
      <c r="GB26" s="27"/>
      <c r="GE26" s="28"/>
      <c r="GF26" s="27"/>
      <c r="GG26" s="27"/>
      <c r="GH26" s="27"/>
      <c r="GI26" s="27"/>
      <c r="GL26" s="28"/>
      <c r="GM26" s="27"/>
      <c r="GN26" s="27"/>
      <c r="GO26" s="27"/>
      <c r="GP26" s="27"/>
      <c r="GT26" s="28"/>
      <c r="GU26" s="27"/>
      <c r="GV26" s="27"/>
      <c r="GW26" s="27"/>
      <c r="GX26" s="27"/>
      <c r="HA26" s="28"/>
      <c r="HB26" s="27"/>
      <c r="HC26" s="27"/>
      <c r="HD26" s="27"/>
      <c r="HE26" s="27"/>
      <c r="HH26" s="28"/>
      <c r="HI26" s="27"/>
      <c r="HJ26" s="27"/>
      <c r="HK26" s="27"/>
      <c r="HL26" s="27"/>
      <c r="HO26" s="28"/>
      <c r="HP26" s="27"/>
      <c r="HQ26" s="27"/>
      <c r="HR26" s="27"/>
      <c r="HS26" s="27"/>
      <c r="HV26" s="28"/>
      <c r="HW26" s="27"/>
      <c r="HX26" s="27"/>
      <c r="HY26" s="27"/>
      <c r="HZ26" s="27"/>
      <c r="IC26" s="28"/>
      <c r="ID26" s="27"/>
      <c r="IE26" s="27"/>
      <c r="IF26" s="27"/>
      <c r="IG26" s="27"/>
      <c r="IK26" s="28"/>
      <c r="IL26" s="27"/>
      <c r="IM26" s="27"/>
      <c r="IN26" s="27"/>
      <c r="IO26" s="27"/>
      <c r="IR26" s="28"/>
      <c r="IS26" s="27"/>
      <c r="IT26" s="27"/>
      <c r="IU26" s="27"/>
      <c r="IV26" s="27"/>
      <c r="IY26" s="28"/>
      <c r="IZ26" s="27"/>
      <c r="JA26" s="27"/>
      <c r="JB26" s="27"/>
      <c r="JC26" s="27"/>
      <c r="JF26" s="28"/>
      <c r="JG26" s="27"/>
      <c r="JH26" s="27"/>
      <c r="JI26" s="27"/>
      <c r="JJ26" s="27"/>
      <c r="JM26" s="28"/>
      <c r="JN26" s="27"/>
      <c r="JO26" s="27"/>
      <c r="JP26" s="27"/>
      <c r="JQ26" s="27"/>
      <c r="JT26" s="28"/>
      <c r="JU26" s="27"/>
      <c r="JV26" s="27"/>
      <c r="JW26" s="27"/>
      <c r="JX26" s="27"/>
      <c r="KA26" s="28"/>
      <c r="KB26" s="27"/>
      <c r="KC26" s="27"/>
      <c r="KD26" s="27"/>
      <c r="KE26" s="27"/>
      <c r="KH26" s="28"/>
      <c r="KI26" s="27"/>
      <c r="KJ26" s="27"/>
      <c r="KK26" s="27"/>
      <c r="KL26" s="27"/>
      <c r="MD26" s="28"/>
      <c r="ME26" s="27"/>
      <c r="MF26" s="27"/>
      <c r="MG26" s="27"/>
      <c r="MH26" s="27"/>
      <c r="MK26" s="28"/>
      <c r="ML26" s="27"/>
      <c r="MM26" s="27"/>
      <c r="MN26" s="27"/>
      <c r="MO26" s="27"/>
      <c r="MR26" s="28"/>
      <c r="MS26" s="27"/>
      <c r="MT26" s="27"/>
      <c r="MU26" s="27"/>
      <c r="MV26" s="27"/>
      <c r="MZ26" s="28"/>
      <c r="NA26" s="27"/>
      <c r="NB26" s="27"/>
      <c r="NG26" s="28"/>
      <c r="NH26" s="27"/>
      <c r="NI26" s="27"/>
      <c r="NJ26" s="27"/>
      <c r="NK26" s="27"/>
      <c r="NN26" s="28"/>
      <c r="NO26" s="27"/>
      <c r="NP26" s="27"/>
      <c r="NQ26" s="27"/>
      <c r="NR26" s="27"/>
      <c r="NU26" s="28"/>
      <c r="NV26" s="27"/>
      <c r="NW26" s="27"/>
      <c r="NX26" s="27"/>
      <c r="NY26" s="27"/>
      <c r="OB26" s="28"/>
      <c r="OC26" s="27"/>
      <c r="OD26" s="27"/>
      <c r="OE26" s="27"/>
      <c r="OF26" s="27"/>
      <c r="OI26" s="28"/>
      <c r="OJ26" s="27"/>
      <c r="OK26" s="27"/>
      <c r="OL26" s="27"/>
      <c r="OM26" s="27"/>
      <c r="OP26" s="28"/>
      <c r="OQ26" s="27"/>
      <c r="OR26" s="27"/>
      <c r="OS26" s="27"/>
      <c r="OT26" s="27"/>
      <c r="OW26" s="27"/>
      <c r="OX26" s="27"/>
      <c r="OY26" s="27"/>
      <c r="OZ26" s="27"/>
      <c r="PA26" s="27"/>
      <c r="PD26" s="28"/>
      <c r="PE26" s="27"/>
      <c r="PF26" s="27"/>
      <c r="PG26" s="27"/>
      <c r="PH26" s="27"/>
      <c r="PN26" s="189"/>
      <c r="PO26" s="27"/>
      <c r="PP26" s="27"/>
      <c r="PQ26" s="27"/>
      <c r="PR26" s="27"/>
      <c r="PU26" s="28"/>
      <c r="PV26" s="27"/>
      <c r="PW26" s="27"/>
      <c r="PX26" s="27"/>
      <c r="PY26" s="27"/>
      <c r="QB26" s="28"/>
      <c r="QC26" s="27"/>
      <c r="QD26" s="27"/>
      <c r="QE26" s="27"/>
      <c r="QF26" s="27"/>
      <c r="QI26" s="28"/>
      <c r="QJ26" s="27"/>
      <c r="QK26" s="27"/>
      <c r="QL26" s="27"/>
      <c r="QM26" s="27"/>
      <c r="QP26" s="27"/>
      <c r="QQ26" s="27"/>
      <c r="QR26" s="27"/>
      <c r="QS26" s="27"/>
      <c r="QT26" s="27"/>
      <c r="QW26" s="28"/>
      <c r="QX26" s="27"/>
      <c r="QY26" s="27"/>
      <c r="QZ26" s="27"/>
      <c r="RA26" s="27"/>
      <c r="RD26" s="28"/>
      <c r="RE26" s="27"/>
      <c r="RF26" s="27"/>
      <c r="RG26" s="27"/>
      <c r="RH26" s="27"/>
      <c r="RK26" s="28"/>
      <c r="RL26" s="27"/>
      <c r="RM26" s="27"/>
      <c r="RN26" s="27"/>
      <c r="RO26" s="27"/>
      <c r="RP26" s="27"/>
      <c r="RR26" s="28"/>
      <c r="RS26" s="27"/>
      <c r="RT26" s="27"/>
      <c r="RU26" s="27"/>
      <c r="RV26" s="27"/>
      <c r="RW26" s="27"/>
      <c r="RY26" s="318"/>
      <c r="RZ26" s="27"/>
      <c r="SA26" s="27"/>
      <c r="SB26" s="27"/>
      <c r="SC26" s="27"/>
      <c r="SD26" s="27"/>
      <c r="SF26" s="75"/>
      <c r="SG26" s="74"/>
      <c r="SH26" s="74"/>
      <c r="SI26" s="74"/>
      <c r="SJ26" s="74"/>
      <c r="SK26" s="74"/>
      <c r="SM26" s="28"/>
      <c r="SN26" s="27"/>
      <c r="SO26" s="27"/>
      <c r="SP26" s="27"/>
      <c r="SQ26" s="27"/>
      <c r="SR26" s="27"/>
      <c r="ST26" s="28"/>
      <c r="SU26" s="27"/>
      <c r="SV26" s="27"/>
      <c r="SW26" s="27"/>
      <c r="SX26" s="27"/>
      <c r="SY26" s="27"/>
      <c r="TB26" s="28"/>
      <c r="TC26" s="27"/>
      <c r="TD26" s="27"/>
      <c r="TE26" s="27"/>
      <c r="TF26" s="27"/>
      <c r="TG26" s="27"/>
      <c r="TI26" s="28"/>
      <c r="TJ26" s="27"/>
      <c r="TK26" s="27"/>
      <c r="TL26" s="27"/>
      <c r="TM26" s="27"/>
      <c r="TN26" s="27"/>
      <c r="TY26" s="75"/>
      <c r="TZ26" s="74"/>
      <c r="UA26" s="74"/>
      <c r="UB26" s="74"/>
      <c r="UC26" s="74"/>
      <c r="UD26" s="74"/>
      <c r="UG26" s="75"/>
      <c r="UH26" s="74"/>
      <c r="UI26" s="74"/>
      <c r="UJ26" s="74"/>
      <c r="UK26" s="74"/>
      <c r="UL26" s="74"/>
      <c r="UN26" s="75"/>
      <c r="UO26" s="74"/>
      <c r="UP26" s="74"/>
      <c r="UQ26" s="276"/>
      <c r="UR26" s="27"/>
      <c r="US26" s="189"/>
      <c r="UU26" s="28"/>
      <c r="UV26" s="27"/>
      <c r="UW26" s="27"/>
      <c r="UX26" s="27"/>
      <c r="UY26" s="27"/>
      <c r="UZ26" s="27"/>
      <c r="VB26" s="75"/>
      <c r="VC26" s="74"/>
      <c r="VD26" s="74"/>
      <c r="VE26" s="74"/>
      <c r="VF26" s="74"/>
      <c r="VG26" s="74"/>
      <c r="VI26" s="75"/>
      <c r="VJ26" s="74"/>
      <c r="VK26" s="74"/>
      <c r="VL26" s="74"/>
      <c r="VM26" s="74"/>
      <c r="VN26" s="74"/>
      <c r="VP26" s="388"/>
      <c r="VQ26" s="87"/>
      <c r="VR26" s="87"/>
      <c r="VS26" s="74"/>
      <c r="VT26" s="74"/>
      <c r="VU26" s="74"/>
      <c r="WO26" s="75"/>
      <c r="WP26" s="74"/>
      <c r="WQ26" s="74"/>
      <c r="WR26" s="74"/>
      <c r="WS26" s="74"/>
      <c r="WT26" s="74"/>
      <c r="XE26" s="58"/>
      <c r="XN26" s="58"/>
      <c r="XR26" s="75"/>
      <c r="XS26" s="74"/>
      <c r="XT26" s="74"/>
      <c r="XU26" s="74"/>
      <c r="XV26" s="74"/>
      <c r="XW26" s="74"/>
      <c r="XZ26" s="75"/>
      <c r="YA26" s="74"/>
      <c r="YB26" s="74"/>
      <c r="YC26" s="74"/>
      <c r="YD26" s="74"/>
      <c r="YE26" s="74"/>
      <c r="YI26" s="75"/>
      <c r="YJ26" s="74"/>
      <c r="YK26" s="74"/>
      <c r="YL26" s="74"/>
      <c r="YM26" s="74"/>
      <c r="YN26" s="74"/>
      <c r="YP26" s="70"/>
      <c r="YS26" s="70"/>
      <c r="ZG26" s="70"/>
      <c r="AAI26" s="28"/>
      <c r="AAJ26" s="27"/>
      <c r="AAK26" s="27"/>
      <c r="AAL26" s="27"/>
      <c r="AAM26" s="27"/>
      <c r="AAQ26" s="75"/>
      <c r="AAR26" s="74"/>
      <c r="AAS26" s="74"/>
      <c r="AAT26" s="74"/>
      <c r="AAU26" s="74"/>
      <c r="AAV26" s="74"/>
      <c r="AAX26" s="75"/>
      <c r="AAY26" s="74"/>
      <c r="AAZ26" s="74"/>
      <c r="ABA26" s="74"/>
      <c r="ABB26" s="74"/>
      <c r="ABC26" s="74"/>
      <c r="ABF26" s="75"/>
      <c r="ABG26" s="74"/>
      <c r="ABH26" s="74"/>
      <c r="ABI26" s="74"/>
      <c r="ABJ26" s="74"/>
      <c r="ABK26" s="74"/>
      <c r="ABO26" s="75"/>
      <c r="ABP26" s="74"/>
      <c r="ABQ26" s="74"/>
      <c r="ABR26" s="74"/>
      <c r="ABS26" s="74"/>
      <c r="ABT26" s="74"/>
      <c r="ABW26" s="75"/>
      <c r="ABX26" s="74"/>
      <c r="ABY26" s="74"/>
      <c r="ABZ26" s="74"/>
      <c r="ACA26" s="74"/>
      <c r="ACB26" s="74"/>
      <c r="ACD26" s="70"/>
      <c r="ACL26" s="75"/>
      <c r="ACM26" s="74"/>
      <c r="ACN26" s="74"/>
      <c r="ACO26" s="74"/>
      <c r="ACP26" s="74"/>
      <c r="ACQ26" s="74"/>
      <c r="ACS26" s="75"/>
      <c r="ACT26" s="74"/>
      <c r="ACU26" s="74"/>
      <c r="ACV26" s="74"/>
      <c r="ACW26" s="74"/>
      <c r="ACX26" s="74"/>
      <c r="ADB26" s="75"/>
      <c r="ADC26" s="74"/>
      <c r="ADD26" s="74"/>
      <c r="ADE26" s="74"/>
      <c r="ADF26" s="74"/>
      <c r="ADG26" s="74"/>
      <c r="ADJ26" s="28"/>
      <c r="ADK26" s="27"/>
      <c r="ADL26" s="27"/>
      <c r="ADM26" s="27"/>
      <c r="ADN26" s="27"/>
      <c r="ADO26" s="27"/>
      <c r="ADR26" s="75"/>
      <c r="ADS26" s="74"/>
      <c r="ADT26" s="74"/>
      <c r="ADU26" s="74"/>
      <c r="ADV26" s="74"/>
      <c r="ADW26" s="74"/>
      <c r="ADY26" s="75"/>
      <c r="ADZ26" s="74"/>
      <c r="AEA26" s="74"/>
      <c r="AEB26" s="74"/>
      <c r="AEC26" s="74"/>
      <c r="AED26" s="74"/>
      <c r="AEG26" s="75">
        <v>44623</v>
      </c>
      <c r="AEH26" s="74" t="s">
        <v>69</v>
      </c>
      <c r="AEI26" s="74">
        <v>1975291</v>
      </c>
      <c r="AEJ26" s="74">
        <v>135634</v>
      </c>
      <c r="AEK26" s="74">
        <v>2110925</v>
      </c>
      <c r="AEL26" s="74" t="s">
        <v>84</v>
      </c>
      <c r="AGN26" s="70"/>
      <c r="AGO26" s="70"/>
      <c r="AHD26" s="70"/>
      <c r="AHQ26" s="70"/>
      <c r="AHS26" s="70"/>
      <c r="AIY26" s="70"/>
      <c r="AIZ26" s="70"/>
    </row>
    <row r="27" spans="1:998" ht="15" customHeight="1" x14ac:dyDescent="0.25">
      <c r="EP27" s="28"/>
      <c r="EQ27" s="27"/>
      <c r="ER27" s="27"/>
      <c r="ES27" s="27"/>
      <c r="ET27" s="27"/>
      <c r="FA27" s="28"/>
      <c r="FB27" s="27"/>
      <c r="FC27" s="27"/>
      <c r="FD27" s="27"/>
      <c r="FE27" s="27"/>
      <c r="FN27" s="58"/>
      <c r="FV27" s="58"/>
      <c r="GC27" s="58"/>
      <c r="GJ27" s="58"/>
      <c r="GQ27" s="58"/>
      <c r="GY27" s="58"/>
      <c r="HF27" s="58"/>
      <c r="HM27" s="58"/>
      <c r="HT27" s="58"/>
      <c r="IA27" s="58"/>
      <c r="IH27" s="58"/>
      <c r="IP27" s="58"/>
      <c r="IW27" s="58"/>
      <c r="JD27" s="58"/>
      <c r="JK27" s="58"/>
      <c r="JR27" s="58"/>
      <c r="JY27" s="58"/>
      <c r="KF27" s="58"/>
      <c r="KM27" s="58"/>
      <c r="MI27" s="58"/>
      <c r="MP27" s="58"/>
      <c r="MW27" s="58"/>
      <c r="NH27" s="27"/>
      <c r="NL27" s="58"/>
      <c r="NS27" s="58"/>
      <c r="NZ27" s="58"/>
      <c r="OG27" s="58"/>
      <c r="ON27" s="58"/>
      <c r="OU27" s="58"/>
      <c r="PB27" s="58"/>
      <c r="PI27" s="58"/>
      <c r="PS27" s="58"/>
      <c r="PZ27" s="58"/>
      <c r="QG27" s="58"/>
      <c r="QN27" s="58"/>
      <c r="QU27" s="58"/>
      <c r="RB27" s="58"/>
      <c r="RI27" s="58"/>
      <c r="RP27" s="58"/>
      <c r="RW27" s="58"/>
      <c r="SD27" s="58"/>
      <c r="SK27" s="58"/>
      <c r="SR27" s="58"/>
      <c r="SY27" s="58"/>
      <c r="TG27" s="58"/>
      <c r="TN27" s="58"/>
      <c r="TV27" s="58"/>
      <c r="UD27" s="58"/>
      <c r="UL27" s="58"/>
      <c r="US27" s="178"/>
      <c r="UZ27" s="58"/>
      <c r="VG27" s="58"/>
      <c r="VN27" s="58"/>
      <c r="VU27" s="58"/>
      <c r="WT27" s="58"/>
      <c r="XW27" s="58"/>
      <c r="YE27" s="58"/>
      <c r="YK27">
        <f>SUM(YK19:YK26)</f>
        <v>0</v>
      </c>
      <c r="YL27">
        <f>SUM(YL19:YL26)</f>
        <v>0</v>
      </c>
      <c r="YM27">
        <f>SUM(YM19:YM26)</f>
        <v>0</v>
      </c>
      <c r="YN27" s="58" t="e">
        <f>YK27/YM27%</f>
        <v>#DIV/0!</v>
      </c>
      <c r="ZG27" s="70"/>
      <c r="AAN27" s="58"/>
      <c r="AAV27" s="58"/>
      <c r="ABC27" s="58"/>
      <c r="ABK27" s="58"/>
      <c r="ABT27" s="58"/>
      <c r="ACB27" s="58"/>
      <c r="ACD27" s="70"/>
      <c r="ACQ27" s="58"/>
      <c r="ACX27" s="58"/>
      <c r="ADG27" s="58"/>
      <c r="ADO27" s="58"/>
      <c r="ADW27" s="58"/>
      <c r="AED27" s="58"/>
      <c r="AEI27">
        <f>SUM(AEI19:AEI26)</f>
        <v>12423456</v>
      </c>
      <c r="AEJ27">
        <f>SUM(AEJ19:AEJ26)</f>
        <v>715916</v>
      </c>
      <c r="AEK27">
        <f>SUM(AEK19:AEK26)</f>
        <v>13139372</v>
      </c>
      <c r="AEL27" s="58">
        <f>AEI27/AEK27%</f>
        <v>94.551368208465362</v>
      </c>
      <c r="AGN27" s="70"/>
      <c r="AGO27" s="70"/>
      <c r="AHQ27" s="70"/>
      <c r="AHS27" s="70"/>
      <c r="AIY27" s="70"/>
      <c r="AIZ27" s="70"/>
    </row>
    <row r="28" spans="1:998" x14ac:dyDescent="0.25">
      <c r="EU28" s="58"/>
      <c r="FF28" s="58"/>
      <c r="NH28" s="27"/>
      <c r="QQ28" s="70"/>
      <c r="US28" s="57"/>
      <c r="ZG28" s="70"/>
      <c r="ACD28" s="70"/>
      <c r="AGN28" s="70"/>
      <c r="AGO28" s="70"/>
      <c r="AHQ28" s="70"/>
      <c r="AHS28" s="70"/>
      <c r="AIY28" s="70"/>
      <c r="AIZ28" s="70"/>
    </row>
    <row r="29" spans="1:998" x14ac:dyDescent="0.25">
      <c r="F29" s="28"/>
      <c r="G29" s="27"/>
      <c r="H29" s="27"/>
      <c r="I29" s="27"/>
      <c r="J29" s="27"/>
      <c r="BY29" s="28"/>
      <c r="BZ29" s="27"/>
      <c r="CA29" s="27"/>
      <c r="CB29" s="27"/>
      <c r="CC29" s="27"/>
      <c r="CD29" s="27"/>
      <c r="CE29" s="27"/>
      <c r="CF29" s="27"/>
      <c r="QQ29" s="70"/>
      <c r="US29" s="57"/>
      <c r="ZG29" s="70"/>
      <c r="ACD29" s="70"/>
      <c r="AGN29" s="70"/>
      <c r="AGO29" s="70"/>
      <c r="AHQ29" s="70"/>
      <c r="AHS29" s="70"/>
    </row>
    <row r="30" spans="1:998" x14ac:dyDescent="0.25">
      <c r="F30" s="28"/>
      <c r="G30" s="27"/>
      <c r="H30" s="27"/>
      <c r="I30" s="27"/>
      <c r="J30" s="27"/>
      <c r="BY30" s="28"/>
      <c r="BZ30" s="27"/>
      <c r="CA30" s="27"/>
      <c r="CB30" s="27"/>
      <c r="CC30" s="27"/>
      <c r="CD30" s="27"/>
      <c r="CE30" s="27"/>
      <c r="CF30" s="27"/>
      <c r="QQ30" s="70"/>
      <c r="US30" s="57"/>
      <c r="ZG30" s="70"/>
      <c r="ACD30" s="70"/>
      <c r="AGN30" s="70"/>
      <c r="AGO30" s="70"/>
    </row>
    <row r="31" spans="1:998" x14ac:dyDescent="0.25">
      <c r="F31" s="28"/>
      <c r="G31" s="27"/>
      <c r="H31" s="27"/>
      <c r="I31" s="27"/>
      <c r="J31" s="27"/>
      <c r="BY31" s="28"/>
      <c r="BZ31" s="27"/>
      <c r="CA31" s="27"/>
      <c r="CB31" s="27"/>
      <c r="CC31" s="27"/>
      <c r="CD31" s="27"/>
      <c r="CE31" s="27"/>
      <c r="CF31" s="27"/>
      <c r="QQ31" s="70"/>
      <c r="US31" s="191"/>
      <c r="ZG31" s="70"/>
      <c r="ACD31" s="70"/>
      <c r="AGN31" s="70"/>
      <c r="AGO31" s="70"/>
    </row>
    <row r="32" spans="1:998" x14ac:dyDescent="0.25">
      <c r="F32" s="28"/>
      <c r="G32" s="27"/>
      <c r="H32" s="27"/>
      <c r="I32" s="27"/>
      <c r="J32" s="27"/>
      <c r="BY32" s="28"/>
      <c r="BZ32" s="27"/>
      <c r="CA32" s="27"/>
      <c r="CB32" s="27"/>
      <c r="CC32" s="27"/>
      <c r="CD32" s="27"/>
      <c r="CE32" s="27"/>
      <c r="CF32" s="27"/>
      <c r="QQ32" s="70"/>
      <c r="ZG32" s="70"/>
      <c r="ACD32" s="70"/>
      <c r="AGO32" s="70"/>
    </row>
    <row r="33" spans="6:758" x14ac:dyDescent="0.25">
      <c r="F33" s="28"/>
      <c r="G33" s="27"/>
      <c r="H33" s="27"/>
      <c r="I33" s="27"/>
      <c r="J33" s="27"/>
      <c r="BY33" s="28"/>
      <c r="BZ33" s="27"/>
      <c r="CA33" s="27"/>
      <c r="CB33" s="27"/>
      <c r="CC33" s="27"/>
      <c r="CD33" s="27"/>
      <c r="CE33" s="27"/>
      <c r="CF33" s="27"/>
      <c r="QQ33" s="70"/>
      <c r="ACD33" s="70"/>
    </row>
    <row r="34" spans="6:758" x14ac:dyDescent="0.25">
      <c r="F34" s="28"/>
      <c r="G34" s="27"/>
      <c r="H34" s="27"/>
      <c r="I34" s="27"/>
      <c r="J34" s="27"/>
      <c r="BY34" s="28"/>
      <c r="BZ34" s="27"/>
      <c r="CA34" s="27"/>
      <c r="CB34" s="27"/>
      <c r="CC34" s="27"/>
      <c r="CD34" s="27"/>
      <c r="CE34" s="27"/>
      <c r="CF34" s="27"/>
    </row>
    <row r="35" spans="6:758" x14ac:dyDescent="0.25">
      <c r="F35" s="28"/>
      <c r="G35" s="27"/>
      <c r="H35" s="27"/>
      <c r="I35" s="27"/>
      <c r="J35" s="27"/>
      <c r="BY35" s="28"/>
      <c r="BZ35" s="27"/>
      <c r="CA35" s="27"/>
      <c r="CB35" s="27"/>
      <c r="CC35" s="27"/>
      <c r="CD35" s="27"/>
      <c r="CE35" s="27"/>
      <c r="CF35" s="27"/>
    </row>
    <row r="36" spans="6:758" x14ac:dyDescent="0.25">
      <c r="F36" s="28"/>
      <c r="G36" s="27"/>
      <c r="H36" s="27"/>
      <c r="I36" s="27"/>
      <c r="J36" s="27"/>
    </row>
    <row r="37" spans="6:758" x14ac:dyDescent="0.25">
      <c r="F37" s="28"/>
      <c r="G37" s="27"/>
      <c r="H37" s="27"/>
      <c r="I37" s="27"/>
      <c r="J37" s="27"/>
    </row>
    <row r="38" spans="6:758" x14ac:dyDescent="0.25">
      <c r="F38" s="28"/>
      <c r="G38" s="27"/>
      <c r="H38" s="27"/>
      <c r="I38" s="27"/>
      <c r="J38" s="27"/>
    </row>
    <row r="39" spans="6:758" x14ac:dyDescent="0.25">
      <c r="F39" s="28"/>
      <c r="G39" s="27"/>
      <c r="H39" s="27"/>
      <c r="I39" s="27"/>
      <c r="J39" s="27"/>
    </row>
    <row r="40" spans="6:758" x14ac:dyDescent="0.25">
      <c r="F40" s="28"/>
      <c r="G40" s="27"/>
      <c r="H40" s="27"/>
      <c r="I40" s="27"/>
      <c r="J40" s="27"/>
    </row>
    <row r="41" spans="6:758" x14ac:dyDescent="0.25">
      <c r="F41" s="28"/>
      <c r="G41" s="27"/>
      <c r="H41" s="27"/>
      <c r="I41" s="27"/>
      <c r="J41" s="27"/>
    </row>
    <row r="42" spans="6:758" x14ac:dyDescent="0.25">
      <c r="F42" s="28"/>
      <c r="G42" s="27"/>
      <c r="H42" s="27"/>
      <c r="I42" s="27"/>
      <c r="J42" s="27"/>
    </row>
    <row r="43" spans="6:758" x14ac:dyDescent="0.25">
      <c r="F43" s="28"/>
      <c r="G43" s="27"/>
      <c r="H43" s="27"/>
      <c r="I43" s="27"/>
      <c r="J43" s="27"/>
    </row>
    <row r="44" spans="6:758" x14ac:dyDescent="0.25">
      <c r="F44" s="28"/>
      <c r="G44" s="27"/>
      <c r="H44" s="27"/>
      <c r="I44" s="27"/>
      <c r="J44" s="27"/>
    </row>
    <row r="45" spans="6:758" x14ac:dyDescent="0.25">
      <c r="F45" s="28"/>
      <c r="G45" s="27"/>
      <c r="H45" s="27"/>
      <c r="I45" s="27"/>
      <c r="J45" s="27"/>
    </row>
    <row r="46" spans="6:758" x14ac:dyDescent="0.25">
      <c r="F46" s="28"/>
      <c r="G46" s="27"/>
      <c r="H46" s="27"/>
      <c r="I46" s="27"/>
      <c r="J46" s="27"/>
    </row>
    <row r="47" spans="6:758" x14ac:dyDescent="0.25">
      <c r="F47" s="28"/>
      <c r="G47" s="27"/>
      <c r="H47" s="27"/>
      <c r="I47" s="27"/>
      <c r="J47" s="27"/>
    </row>
    <row r="48" spans="6:758" x14ac:dyDescent="0.25">
      <c r="F48" s="28"/>
      <c r="G48" s="27"/>
      <c r="H48" s="27"/>
      <c r="I48" s="27"/>
      <c r="J48" s="27"/>
    </row>
    <row r="49" spans="6:10" x14ac:dyDescent="0.25">
      <c r="F49" s="28"/>
      <c r="G49" s="27"/>
      <c r="H49" s="27"/>
      <c r="I49" s="27"/>
      <c r="J49" s="27"/>
    </row>
    <row r="50" spans="6:10" x14ac:dyDescent="0.25">
      <c r="F50" s="28"/>
      <c r="G50" s="27"/>
      <c r="H50" s="27"/>
      <c r="I50" s="27"/>
      <c r="J50" s="27"/>
    </row>
    <row r="51" spans="6:10" x14ac:dyDescent="0.25">
      <c r="F51" s="28"/>
      <c r="G51" s="27"/>
      <c r="H51" s="27"/>
      <c r="I51" s="27"/>
      <c r="J51" s="27"/>
    </row>
    <row r="52" spans="6:10" x14ac:dyDescent="0.25">
      <c r="F52" s="28"/>
      <c r="G52" s="27"/>
      <c r="H52" s="27"/>
      <c r="I52" s="27"/>
      <c r="J52" s="27"/>
    </row>
    <row r="53" spans="6:10" x14ac:dyDescent="0.25">
      <c r="F53" s="28"/>
      <c r="G53" s="27"/>
      <c r="H53" s="27"/>
      <c r="I53" s="27"/>
      <c r="J53" s="27"/>
    </row>
  </sheetData>
  <mergeCells count="9">
    <mergeCell ref="A23:A24"/>
    <mergeCell ref="A17:A18"/>
    <mergeCell ref="A19:A20"/>
    <mergeCell ref="A21:A22"/>
    <mergeCell ref="A2:A3"/>
    <mergeCell ref="A4:A5"/>
    <mergeCell ref="A6:A7"/>
    <mergeCell ref="A8:A9"/>
    <mergeCell ref="A10:A11"/>
  </mergeCells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R533"/>
  <sheetViews>
    <sheetView zoomScale="90" zoomScaleNormal="90" workbookViewId="0">
      <pane xSplit="1" topLeftCell="VM1" activePane="topRight" state="frozen"/>
      <selection activeCell="AP536" sqref="AP536"/>
      <selection pane="topRight" activeCell="VT13" sqref="VT13"/>
    </sheetView>
  </sheetViews>
  <sheetFormatPr defaultColWidth="11.42578125" defaultRowHeight="15" x14ac:dyDescent="0.25"/>
  <cols>
    <col min="1" max="1" width="38.28515625" bestFit="1" customWidth="1"/>
    <col min="2" max="2" width="16.140625" bestFit="1" customWidth="1"/>
    <col min="3" max="20" width="14.5703125" bestFit="1" customWidth="1"/>
    <col min="21" max="79" width="10.85546875" bestFit="1" customWidth="1"/>
    <col min="80" max="104" width="14.5703125" bestFit="1" customWidth="1"/>
    <col min="105" max="129" width="10.85546875" bestFit="1" customWidth="1"/>
    <col min="130" max="140" width="14.5703125" bestFit="1" customWidth="1"/>
    <col min="141" max="147" width="16.140625" bestFit="1" customWidth="1"/>
    <col min="148" max="150" width="14.5703125" bestFit="1" customWidth="1"/>
    <col min="151" max="151" width="16.140625" bestFit="1" customWidth="1"/>
    <col min="152" max="155" width="14.5703125" bestFit="1" customWidth="1"/>
    <col min="156" max="156" width="16.140625" bestFit="1" customWidth="1"/>
    <col min="157" max="169" width="14.5703125" bestFit="1" customWidth="1"/>
    <col min="170" max="178" width="16.140625" bestFit="1" customWidth="1"/>
    <col min="179" max="179" width="14.5703125" bestFit="1" customWidth="1"/>
    <col min="180" max="184" width="16.140625" bestFit="1" customWidth="1"/>
    <col min="185" max="186" width="14.5703125" bestFit="1" customWidth="1"/>
    <col min="187" max="187" width="16.140625" bestFit="1" customWidth="1"/>
    <col min="188" max="188" width="16.140625" customWidth="1"/>
    <col min="189" max="189" width="14.5703125" bestFit="1" customWidth="1"/>
    <col min="190" max="190" width="16.140625" bestFit="1" customWidth="1"/>
    <col min="191" max="191" width="14.5703125" bestFit="1" customWidth="1"/>
    <col min="192" max="215" width="16.140625" bestFit="1" customWidth="1"/>
    <col min="216" max="219" width="14.5703125" bestFit="1" customWidth="1"/>
    <col min="220" max="221" width="16.140625" bestFit="1" customWidth="1"/>
    <col min="222" max="222" width="14.5703125" bestFit="1" customWidth="1"/>
    <col min="223" max="223" width="16.140625" bestFit="1" customWidth="1"/>
    <col min="224" max="226" width="14.5703125" bestFit="1" customWidth="1"/>
    <col min="227" max="237" width="16.140625" bestFit="1" customWidth="1"/>
    <col min="238" max="254" width="14.5703125" bestFit="1" customWidth="1"/>
    <col min="255" max="262" width="16.140625" bestFit="1" customWidth="1"/>
    <col min="263" max="263" width="16.140625" customWidth="1"/>
    <col min="264" max="266" width="16.140625" bestFit="1" customWidth="1"/>
    <col min="267" max="270" width="14.5703125" bestFit="1" customWidth="1"/>
    <col min="271" max="271" width="16.140625" bestFit="1" customWidth="1"/>
    <col min="272" max="273" width="14.5703125" bestFit="1" customWidth="1"/>
    <col min="274" max="274" width="16.140625" bestFit="1" customWidth="1"/>
    <col min="275" max="280" width="14.5703125" bestFit="1" customWidth="1"/>
    <col min="281" max="282" width="16.140625" bestFit="1" customWidth="1"/>
    <col min="283" max="286" width="14.5703125" bestFit="1" customWidth="1"/>
    <col min="287" max="289" width="16.140625" bestFit="1" customWidth="1"/>
    <col min="290" max="294" width="14.5703125" bestFit="1" customWidth="1"/>
    <col min="295" max="296" width="16.140625" bestFit="1" customWidth="1"/>
    <col min="297" max="301" width="14.5703125" bestFit="1" customWidth="1"/>
    <col min="302" max="303" width="16.140625" bestFit="1" customWidth="1"/>
    <col min="304" max="305" width="14.5703125" bestFit="1" customWidth="1"/>
    <col min="306" max="308" width="16.140625" bestFit="1" customWidth="1"/>
    <col min="309" max="315" width="14.5703125" bestFit="1" customWidth="1"/>
    <col min="316" max="327" width="16.140625" bestFit="1" customWidth="1"/>
    <col min="328" max="328" width="14.5703125" bestFit="1" customWidth="1"/>
    <col min="329" max="329" width="16.140625" customWidth="1"/>
    <col min="330" max="331" width="16.140625" bestFit="1" customWidth="1"/>
    <col min="332" max="336" width="14.5703125" bestFit="1" customWidth="1"/>
    <col min="337" max="338" width="16.140625" bestFit="1" customWidth="1"/>
    <col min="339" max="343" width="14.5703125" bestFit="1" customWidth="1"/>
    <col min="344" max="344" width="16.140625" bestFit="1" customWidth="1"/>
    <col min="345" max="350" width="14.5703125" bestFit="1" customWidth="1"/>
    <col min="351" max="352" width="16.140625" bestFit="1" customWidth="1"/>
    <col min="353" max="355" width="14.5703125" bestFit="1" customWidth="1"/>
    <col min="356" max="362" width="16.140625" bestFit="1" customWidth="1"/>
    <col min="363" max="363" width="14.5703125" bestFit="1" customWidth="1"/>
    <col min="364" max="364" width="16.140625" bestFit="1" customWidth="1"/>
    <col min="365" max="366" width="14.5703125" bestFit="1" customWidth="1"/>
    <col min="367" max="378" width="16.140625" bestFit="1" customWidth="1"/>
    <col min="379" max="379" width="14.5703125" bestFit="1" customWidth="1"/>
    <col min="380" max="386" width="16.140625" bestFit="1" customWidth="1"/>
    <col min="387" max="387" width="16.140625" customWidth="1"/>
    <col min="388" max="389" width="16.140625" bestFit="1" customWidth="1"/>
    <col min="390" max="390" width="14.5703125" bestFit="1" customWidth="1"/>
    <col min="391" max="394" width="16.140625" bestFit="1" customWidth="1"/>
    <col min="395" max="395" width="14.5703125" bestFit="1" customWidth="1"/>
    <col min="396" max="399" width="16.140625" bestFit="1" customWidth="1"/>
    <col min="400" max="400" width="14.5703125" customWidth="1"/>
    <col min="401" max="401" width="16.140625" bestFit="1" customWidth="1"/>
    <col min="402" max="402" width="16.140625" customWidth="1"/>
    <col min="403" max="403" width="16.140625" bestFit="1" customWidth="1"/>
    <col min="404" max="404" width="14.5703125" bestFit="1" customWidth="1"/>
    <col min="405" max="407" width="16.140625" bestFit="1" customWidth="1"/>
    <col min="408" max="408" width="14.5703125" bestFit="1" customWidth="1"/>
    <col min="409" max="429" width="16.140625" bestFit="1" customWidth="1"/>
    <col min="430" max="431" width="14.5703125" bestFit="1" customWidth="1"/>
    <col min="432" max="436" width="16.140625" bestFit="1" customWidth="1"/>
    <col min="437" max="439" width="14.5703125" bestFit="1" customWidth="1"/>
    <col min="440" max="443" width="16.140625" bestFit="1" customWidth="1"/>
    <col min="444" max="444" width="14.5703125" bestFit="1" customWidth="1"/>
    <col min="445" max="445" width="16.140625" bestFit="1" customWidth="1"/>
    <col min="446" max="446" width="14.5703125" bestFit="1" customWidth="1"/>
    <col min="447" max="447" width="14.5703125" style="57" bestFit="1" customWidth="1"/>
    <col min="448" max="448" width="14.5703125" bestFit="1" customWidth="1"/>
    <col min="449" max="450" width="16.140625" bestFit="1" customWidth="1"/>
    <col min="451" max="453" width="14.5703125" bestFit="1" customWidth="1"/>
    <col min="454" max="454" width="16.140625" bestFit="1" customWidth="1"/>
    <col min="455" max="464" width="14.5703125" bestFit="1" customWidth="1"/>
    <col min="465" max="469" width="16.140625" bestFit="1" customWidth="1"/>
    <col min="470" max="470" width="16.140625" customWidth="1"/>
    <col min="471" max="494" width="16.140625" bestFit="1" customWidth="1"/>
    <col min="495" max="500" width="10.85546875" bestFit="1" customWidth="1"/>
    <col min="501" max="541" width="16.140625" bestFit="1" customWidth="1"/>
    <col min="542" max="542" width="16.140625" customWidth="1"/>
    <col min="543" max="544" width="16.140625" bestFit="1" customWidth="1"/>
    <col min="545" max="545" width="16.140625" customWidth="1"/>
    <col min="546" max="555" width="16.140625" bestFit="1" customWidth="1"/>
    <col min="556" max="556" width="16.85546875" customWidth="1"/>
    <col min="557" max="557" width="16.42578125" customWidth="1"/>
    <col min="558" max="558" width="16.85546875" customWidth="1"/>
    <col min="559" max="566" width="16.140625" bestFit="1" customWidth="1"/>
    <col min="567" max="567" width="15.85546875" customWidth="1"/>
    <col min="568" max="568" width="19.5703125" customWidth="1"/>
    <col min="569" max="569" width="19.42578125" customWidth="1"/>
    <col min="570" max="570" width="20.28515625" customWidth="1"/>
    <col min="571" max="571" width="17.42578125" customWidth="1"/>
    <col min="572" max="572" width="16.42578125" customWidth="1"/>
    <col min="573" max="573" width="17.5703125" customWidth="1"/>
    <col min="574" max="577" width="16.140625" bestFit="1" customWidth="1"/>
    <col min="578" max="580" width="16.42578125" bestFit="1" customWidth="1"/>
    <col min="581" max="581" width="16.85546875" customWidth="1"/>
    <col min="582" max="582" width="17" customWidth="1"/>
    <col min="583" max="583" width="16.42578125" customWidth="1"/>
    <col min="584" max="584" width="18.85546875" customWidth="1"/>
    <col min="585" max="585" width="18.7109375" customWidth="1"/>
    <col min="586" max="586" width="19.42578125" customWidth="1"/>
    <col min="587" max="588" width="20" customWidth="1"/>
    <col min="589" max="589" width="27" customWidth="1"/>
    <col min="590" max="590" width="24.28515625" customWidth="1"/>
  </cols>
  <sheetData>
    <row r="1" spans="1:590" ht="15.75" thickBot="1" x14ac:dyDescent="0.3">
      <c r="A1" s="120" t="s">
        <v>254</v>
      </c>
      <c r="B1" s="270">
        <v>44927</v>
      </c>
      <c r="C1" s="270">
        <v>44928</v>
      </c>
      <c r="D1" s="270">
        <v>44929</v>
      </c>
      <c r="E1" s="270">
        <v>44930</v>
      </c>
      <c r="F1" s="270">
        <v>44931</v>
      </c>
      <c r="G1" s="270">
        <v>44932</v>
      </c>
      <c r="H1" s="270">
        <v>44933</v>
      </c>
      <c r="I1" s="270">
        <v>44934</v>
      </c>
      <c r="J1" s="270">
        <v>44935</v>
      </c>
      <c r="K1" s="270">
        <v>44936</v>
      </c>
      <c r="L1" s="270">
        <v>44937</v>
      </c>
      <c r="M1" s="270">
        <v>44938</v>
      </c>
      <c r="N1" s="270">
        <v>44939</v>
      </c>
      <c r="O1" s="270">
        <v>44940</v>
      </c>
      <c r="P1" s="270">
        <v>44941</v>
      </c>
      <c r="Q1" s="270">
        <v>44942</v>
      </c>
      <c r="R1" s="270">
        <v>44943</v>
      </c>
      <c r="S1" s="270">
        <v>44944</v>
      </c>
      <c r="T1" s="270">
        <v>44945</v>
      </c>
      <c r="U1" s="270">
        <v>44946</v>
      </c>
      <c r="V1" s="270">
        <v>44947</v>
      </c>
      <c r="W1" s="270">
        <v>44948</v>
      </c>
      <c r="X1" s="270">
        <v>44949</v>
      </c>
      <c r="Y1" s="270">
        <v>44950</v>
      </c>
      <c r="Z1" s="270">
        <v>44951</v>
      </c>
      <c r="AA1" s="270">
        <v>44952</v>
      </c>
      <c r="AB1" s="270">
        <v>44953</v>
      </c>
      <c r="AC1" s="270">
        <v>44954</v>
      </c>
      <c r="AD1" s="270">
        <v>44955</v>
      </c>
      <c r="AE1" s="270">
        <v>44956</v>
      </c>
      <c r="AF1" s="270">
        <v>44957</v>
      </c>
      <c r="AG1" s="270">
        <v>44958</v>
      </c>
      <c r="AH1" s="270">
        <v>44959</v>
      </c>
      <c r="AI1" s="270">
        <v>44960</v>
      </c>
      <c r="AJ1" s="270">
        <v>44961</v>
      </c>
      <c r="AK1" s="270">
        <v>44962</v>
      </c>
      <c r="AL1" s="270">
        <v>44963</v>
      </c>
      <c r="AM1" s="270">
        <v>44964</v>
      </c>
      <c r="AN1" s="270">
        <v>44965</v>
      </c>
      <c r="AO1" s="270">
        <v>44966</v>
      </c>
      <c r="AP1" s="270">
        <v>44967</v>
      </c>
      <c r="AQ1" s="270">
        <v>44968</v>
      </c>
      <c r="AR1" s="270">
        <v>44969</v>
      </c>
      <c r="AS1" s="270">
        <v>44970</v>
      </c>
      <c r="AT1" s="270">
        <v>44971</v>
      </c>
      <c r="AU1" s="270">
        <v>44972</v>
      </c>
      <c r="AV1" s="270">
        <v>44973</v>
      </c>
      <c r="AW1" s="270">
        <v>44974</v>
      </c>
      <c r="AX1" s="270">
        <v>44975</v>
      </c>
      <c r="AY1" s="270">
        <v>44976</v>
      </c>
      <c r="AZ1" s="270">
        <v>44977</v>
      </c>
      <c r="BA1" s="270">
        <v>44978</v>
      </c>
      <c r="BB1" s="270">
        <v>44979</v>
      </c>
      <c r="BC1" s="270">
        <v>44980</v>
      </c>
      <c r="BD1" s="270">
        <v>44981</v>
      </c>
      <c r="BE1" s="270">
        <v>44982</v>
      </c>
      <c r="BF1" s="270">
        <v>44983</v>
      </c>
      <c r="BG1" s="270">
        <v>44984</v>
      </c>
      <c r="BH1" s="270">
        <v>44985</v>
      </c>
      <c r="BI1" s="270">
        <v>44986</v>
      </c>
      <c r="BJ1" s="270">
        <v>44987</v>
      </c>
      <c r="BK1" s="270">
        <v>44988</v>
      </c>
      <c r="BL1" s="270">
        <v>44989</v>
      </c>
      <c r="BM1" s="270">
        <v>44990</v>
      </c>
      <c r="BN1" s="270">
        <v>44991</v>
      </c>
      <c r="BO1" s="270">
        <v>44992</v>
      </c>
      <c r="BP1" s="270">
        <v>44993</v>
      </c>
      <c r="BQ1" s="270">
        <v>44994</v>
      </c>
      <c r="BR1" s="270">
        <v>44995</v>
      </c>
      <c r="BS1" s="270">
        <v>44996</v>
      </c>
      <c r="BT1" s="270">
        <v>44997</v>
      </c>
      <c r="BU1" s="270">
        <v>44998</v>
      </c>
      <c r="BV1" s="270">
        <v>44999</v>
      </c>
      <c r="BW1" s="270">
        <v>45000</v>
      </c>
      <c r="BX1" s="270">
        <v>45001</v>
      </c>
      <c r="BY1" s="270">
        <v>45002</v>
      </c>
      <c r="BZ1" s="270">
        <v>45003</v>
      </c>
      <c r="CA1" s="270">
        <v>45004</v>
      </c>
      <c r="CB1" s="270">
        <v>45005</v>
      </c>
      <c r="CC1" s="270">
        <v>45006</v>
      </c>
      <c r="CD1" s="270">
        <v>45007</v>
      </c>
      <c r="CE1" s="270">
        <v>45008</v>
      </c>
      <c r="CF1" s="270">
        <v>45009</v>
      </c>
      <c r="CG1" s="270">
        <v>45010</v>
      </c>
      <c r="CH1" s="270">
        <v>45011</v>
      </c>
      <c r="CI1" s="270">
        <v>45012</v>
      </c>
      <c r="CJ1" s="270">
        <v>45013</v>
      </c>
      <c r="CK1" s="270">
        <v>45014</v>
      </c>
      <c r="CL1" s="270">
        <v>45015</v>
      </c>
      <c r="CM1" s="270">
        <v>45016</v>
      </c>
      <c r="CN1" s="270">
        <v>45017</v>
      </c>
      <c r="CO1" s="270">
        <v>45018</v>
      </c>
      <c r="CP1" s="270">
        <v>45019</v>
      </c>
      <c r="CQ1" s="270">
        <v>45020</v>
      </c>
      <c r="CR1" s="270">
        <v>45021</v>
      </c>
      <c r="CS1" s="270">
        <v>45022</v>
      </c>
      <c r="CT1" s="270">
        <v>45023</v>
      </c>
      <c r="CU1" s="270">
        <v>45024</v>
      </c>
      <c r="CV1" s="270">
        <v>45025</v>
      </c>
      <c r="CW1" s="270">
        <v>45026</v>
      </c>
      <c r="CX1" s="270">
        <v>45027</v>
      </c>
      <c r="CY1" s="270">
        <v>45028</v>
      </c>
      <c r="CZ1" s="270">
        <v>45029</v>
      </c>
      <c r="DA1" s="270">
        <v>45030</v>
      </c>
      <c r="DB1" s="270">
        <v>45031</v>
      </c>
      <c r="DC1" s="270">
        <v>45032</v>
      </c>
      <c r="DD1" s="270">
        <v>45033</v>
      </c>
      <c r="DE1" s="270">
        <v>45034</v>
      </c>
      <c r="DF1" s="270">
        <v>45035</v>
      </c>
      <c r="DG1" s="270">
        <v>45036</v>
      </c>
      <c r="DH1" s="270">
        <v>45037</v>
      </c>
      <c r="DI1" s="270">
        <v>45038</v>
      </c>
      <c r="DJ1" s="270">
        <v>45039</v>
      </c>
      <c r="DK1" s="270">
        <v>45040</v>
      </c>
      <c r="DL1" s="270">
        <v>45041</v>
      </c>
      <c r="DM1" s="270">
        <v>45042</v>
      </c>
      <c r="DN1" s="270">
        <v>45043</v>
      </c>
      <c r="DO1" s="270">
        <v>45044</v>
      </c>
      <c r="DP1" s="270">
        <v>45045</v>
      </c>
      <c r="DQ1" s="270">
        <v>45046</v>
      </c>
      <c r="DR1" s="270">
        <v>45047</v>
      </c>
      <c r="DS1" s="270">
        <v>45048</v>
      </c>
      <c r="DT1" s="270">
        <v>45049</v>
      </c>
      <c r="DU1" s="270">
        <v>45050</v>
      </c>
      <c r="DV1" s="270">
        <v>45051</v>
      </c>
      <c r="DW1" s="270">
        <v>45052</v>
      </c>
      <c r="DX1" s="270">
        <v>45053</v>
      </c>
      <c r="DY1" s="270">
        <v>45054</v>
      </c>
      <c r="DZ1" s="270">
        <v>45055</v>
      </c>
      <c r="EA1" s="270">
        <v>45056</v>
      </c>
      <c r="EB1" s="270">
        <v>45057</v>
      </c>
      <c r="EC1" s="270">
        <v>45058</v>
      </c>
      <c r="ED1" s="270">
        <v>45059</v>
      </c>
      <c r="EE1" s="270">
        <v>45060</v>
      </c>
      <c r="EF1" s="270">
        <v>45061</v>
      </c>
      <c r="EG1" s="270">
        <v>45062</v>
      </c>
      <c r="EH1" s="270">
        <v>45063</v>
      </c>
      <c r="EI1" s="270">
        <v>45064</v>
      </c>
      <c r="EJ1" s="270">
        <v>45065</v>
      </c>
      <c r="EK1" s="270">
        <v>45066</v>
      </c>
      <c r="EL1" s="270">
        <v>45067</v>
      </c>
      <c r="EM1" s="270">
        <v>45068</v>
      </c>
      <c r="EN1" s="270">
        <v>45069</v>
      </c>
      <c r="EO1" s="270">
        <v>45070</v>
      </c>
      <c r="EP1" s="270">
        <v>45071</v>
      </c>
      <c r="EQ1" s="270">
        <v>45072</v>
      </c>
      <c r="ER1" s="270">
        <v>45073</v>
      </c>
      <c r="ES1" s="270">
        <v>45074</v>
      </c>
      <c r="ET1" s="270">
        <v>45075</v>
      </c>
      <c r="EU1" s="270">
        <v>45076</v>
      </c>
      <c r="EV1" s="270">
        <v>45077</v>
      </c>
      <c r="EW1" s="270">
        <v>45078</v>
      </c>
      <c r="EX1" s="270">
        <v>45079</v>
      </c>
      <c r="EY1" s="270">
        <v>45080</v>
      </c>
      <c r="EZ1" s="270">
        <v>45081</v>
      </c>
      <c r="FA1" s="270">
        <v>45082</v>
      </c>
      <c r="FB1" s="270">
        <v>45083</v>
      </c>
      <c r="FC1" s="270">
        <v>45084</v>
      </c>
      <c r="FD1" s="270">
        <v>45085</v>
      </c>
      <c r="FE1" s="270">
        <v>45086</v>
      </c>
      <c r="FF1" s="270">
        <v>45087</v>
      </c>
      <c r="FG1" s="270">
        <v>45088</v>
      </c>
      <c r="FH1" s="270">
        <v>45089</v>
      </c>
      <c r="FI1" s="270">
        <v>45090</v>
      </c>
      <c r="FJ1" s="270">
        <v>45091</v>
      </c>
      <c r="FK1" s="270">
        <v>45092</v>
      </c>
      <c r="FL1" s="270">
        <v>45093</v>
      </c>
      <c r="FM1" s="270">
        <v>45094</v>
      </c>
      <c r="FN1" s="270">
        <v>45095</v>
      </c>
      <c r="FO1" s="270">
        <v>45096</v>
      </c>
      <c r="FP1" s="270">
        <v>45097</v>
      </c>
      <c r="FQ1" s="270">
        <v>45098</v>
      </c>
      <c r="FR1" s="270">
        <v>45099</v>
      </c>
      <c r="FS1" s="270">
        <v>45100</v>
      </c>
      <c r="FT1" s="270">
        <v>45101</v>
      </c>
      <c r="FU1" s="270">
        <v>45102</v>
      </c>
      <c r="FV1" s="270">
        <v>45103</v>
      </c>
      <c r="FW1" s="270">
        <v>45104</v>
      </c>
      <c r="FX1" s="270">
        <v>45105</v>
      </c>
      <c r="FY1" s="270">
        <v>45106</v>
      </c>
      <c r="FZ1" s="270">
        <v>45107</v>
      </c>
      <c r="GA1" s="270">
        <v>45108</v>
      </c>
      <c r="GB1" s="270">
        <v>45109</v>
      </c>
      <c r="GC1" s="270">
        <v>45110</v>
      </c>
      <c r="GD1" s="270">
        <v>45111</v>
      </c>
      <c r="GE1" s="270">
        <v>45112</v>
      </c>
      <c r="GF1" s="270">
        <v>45113</v>
      </c>
      <c r="GG1" s="270">
        <v>45114</v>
      </c>
      <c r="GH1" s="270">
        <v>45115</v>
      </c>
      <c r="GI1" s="270">
        <v>45116</v>
      </c>
      <c r="GJ1" s="270">
        <v>45117</v>
      </c>
      <c r="GK1" s="270">
        <v>45118</v>
      </c>
      <c r="GL1" s="270">
        <v>45119</v>
      </c>
      <c r="GM1" s="270">
        <v>45120</v>
      </c>
      <c r="GN1" s="270">
        <v>45121</v>
      </c>
      <c r="GO1" s="270">
        <v>45122</v>
      </c>
      <c r="GP1" s="270">
        <v>45123</v>
      </c>
      <c r="GQ1" s="270">
        <v>45124</v>
      </c>
      <c r="GR1" s="270">
        <v>45125</v>
      </c>
      <c r="GS1" s="270">
        <v>45126</v>
      </c>
      <c r="GT1" s="270">
        <v>45127</v>
      </c>
      <c r="GU1" s="270">
        <v>45128</v>
      </c>
      <c r="GV1" s="270">
        <v>45129</v>
      </c>
      <c r="GW1" s="270">
        <v>45130</v>
      </c>
      <c r="GX1" s="270">
        <v>45131</v>
      </c>
      <c r="GY1" s="270">
        <v>45132</v>
      </c>
      <c r="GZ1" s="270">
        <v>45133</v>
      </c>
      <c r="HA1" s="270">
        <v>45134</v>
      </c>
      <c r="HB1" s="270">
        <v>45135</v>
      </c>
      <c r="HC1" s="270">
        <v>45136</v>
      </c>
      <c r="HD1" s="270">
        <v>45137</v>
      </c>
      <c r="HE1" s="270">
        <v>45138</v>
      </c>
      <c r="HF1" s="270">
        <v>45139</v>
      </c>
      <c r="HG1" s="270">
        <v>45140</v>
      </c>
      <c r="HH1" s="270">
        <v>45141</v>
      </c>
      <c r="HI1" s="270">
        <v>45142</v>
      </c>
      <c r="HJ1" s="270">
        <v>45143</v>
      </c>
      <c r="HK1" s="270">
        <v>45144</v>
      </c>
      <c r="HL1" s="270">
        <v>45145</v>
      </c>
      <c r="HM1" s="270">
        <v>45146</v>
      </c>
      <c r="HN1" s="270">
        <v>45147</v>
      </c>
      <c r="HO1" s="270">
        <v>45148</v>
      </c>
      <c r="HP1" s="270">
        <v>45149</v>
      </c>
      <c r="HQ1" s="270">
        <v>45150</v>
      </c>
      <c r="HR1" s="270">
        <v>45151</v>
      </c>
      <c r="HS1" s="270">
        <v>45152</v>
      </c>
      <c r="HT1" s="270">
        <v>45153</v>
      </c>
      <c r="HU1" s="270">
        <v>45154</v>
      </c>
      <c r="HV1" s="270">
        <v>45155</v>
      </c>
      <c r="HW1" s="270">
        <v>45156</v>
      </c>
      <c r="HX1" s="270">
        <v>45157</v>
      </c>
      <c r="HY1" s="270">
        <v>45158</v>
      </c>
      <c r="HZ1" s="270">
        <v>45159</v>
      </c>
      <c r="IA1" s="270">
        <v>45160</v>
      </c>
      <c r="IB1" s="270">
        <v>45161</v>
      </c>
      <c r="IC1" s="270">
        <v>45162</v>
      </c>
      <c r="ID1" s="270">
        <v>45163</v>
      </c>
      <c r="IE1" s="270">
        <v>45164</v>
      </c>
      <c r="IF1" s="270">
        <v>45165</v>
      </c>
      <c r="IG1" s="270">
        <v>45166</v>
      </c>
      <c r="IH1" s="270">
        <v>45167</v>
      </c>
      <c r="II1" s="270">
        <v>45168</v>
      </c>
      <c r="IJ1" s="270">
        <v>45169</v>
      </c>
      <c r="IK1" s="270">
        <v>45170</v>
      </c>
      <c r="IL1" s="270">
        <v>45171</v>
      </c>
      <c r="IM1" s="270">
        <v>45172</v>
      </c>
      <c r="IN1" s="270">
        <v>45173</v>
      </c>
      <c r="IO1" s="270">
        <v>45174</v>
      </c>
      <c r="IP1" s="270">
        <v>45175</v>
      </c>
      <c r="IQ1" s="270">
        <v>45176</v>
      </c>
      <c r="IR1" s="270">
        <v>45177</v>
      </c>
      <c r="IS1" s="270">
        <v>45178</v>
      </c>
      <c r="IT1" s="270">
        <v>45179</v>
      </c>
      <c r="IU1" s="270">
        <v>45180</v>
      </c>
      <c r="IV1" s="270">
        <v>45181</v>
      </c>
      <c r="IW1" s="270">
        <v>45182</v>
      </c>
      <c r="IX1" s="270">
        <v>45183</v>
      </c>
      <c r="IY1" s="270">
        <v>45184</v>
      </c>
      <c r="IZ1" s="270">
        <v>45185</v>
      </c>
      <c r="JA1" s="270">
        <v>45186</v>
      </c>
      <c r="JB1" s="270">
        <v>45187</v>
      </c>
      <c r="JC1" s="270">
        <v>45188</v>
      </c>
      <c r="JD1" s="270">
        <v>45189</v>
      </c>
      <c r="JE1" s="270">
        <v>45190</v>
      </c>
      <c r="JF1" s="270">
        <v>45191</v>
      </c>
      <c r="JG1" s="270">
        <v>45192</v>
      </c>
      <c r="JH1" s="270">
        <v>45193</v>
      </c>
      <c r="JI1" s="270">
        <v>45194</v>
      </c>
      <c r="JJ1" s="270">
        <v>45195</v>
      </c>
      <c r="JK1" s="270">
        <v>45196</v>
      </c>
      <c r="JL1" s="270">
        <v>45197</v>
      </c>
      <c r="JM1" s="270">
        <v>45198</v>
      </c>
      <c r="JN1" s="270">
        <v>45199</v>
      </c>
      <c r="JO1" s="270">
        <v>45200</v>
      </c>
      <c r="JP1" s="270">
        <v>45201</v>
      </c>
      <c r="JQ1" s="270">
        <v>45202</v>
      </c>
      <c r="JR1" s="270">
        <v>45203</v>
      </c>
      <c r="JS1" s="270">
        <v>45204</v>
      </c>
      <c r="JT1" s="270">
        <v>45205</v>
      </c>
      <c r="JU1" s="270">
        <v>45206</v>
      </c>
      <c r="JV1" s="270">
        <v>45207</v>
      </c>
      <c r="JW1" s="270">
        <v>45208</v>
      </c>
      <c r="JX1" s="270">
        <v>45209</v>
      </c>
      <c r="JY1" s="270">
        <v>45210</v>
      </c>
      <c r="JZ1" s="270">
        <v>45211</v>
      </c>
      <c r="KA1" s="270">
        <v>45212</v>
      </c>
      <c r="KB1" s="270">
        <v>45213</v>
      </c>
      <c r="KC1" s="270">
        <v>45214</v>
      </c>
      <c r="KD1" s="270">
        <v>45215</v>
      </c>
      <c r="KE1" s="270">
        <v>45216</v>
      </c>
      <c r="KF1" s="270">
        <v>45217</v>
      </c>
      <c r="KG1" s="270">
        <v>45218</v>
      </c>
      <c r="KH1" s="270">
        <v>45219</v>
      </c>
      <c r="KI1" s="270">
        <v>45220</v>
      </c>
      <c r="KJ1" s="270">
        <v>45221</v>
      </c>
      <c r="KK1" s="270">
        <v>45222</v>
      </c>
      <c r="KL1" s="270">
        <v>45223</v>
      </c>
      <c r="KM1" s="270">
        <v>45224</v>
      </c>
      <c r="KN1" s="270">
        <v>45225</v>
      </c>
      <c r="KO1" s="270">
        <v>45226</v>
      </c>
      <c r="KP1" s="270">
        <v>45227</v>
      </c>
      <c r="KQ1" s="270">
        <v>45228</v>
      </c>
      <c r="KR1" s="270">
        <v>45229</v>
      </c>
      <c r="KS1" s="270">
        <v>45230</v>
      </c>
      <c r="KT1" s="270">
        <v>45231</v>
      </c>
      <c r="KU1" s="270">
        <v>45232</v>
      </c>
      <c r="KV1" s="270">
        <v>45233</v>
      </c>
      <c r="KW1" s="270">
        <v>45234</v>
      </c>
      <c r="KX1" s="270">
        <v>45235</v>
      </c>
      <c r="KY1" s="270">
        <v>45236</v>
      </c>
      <c r="KZ1" s="270">
        <v>45237</v>
      </c>
      <c r="LA1" s="270">
        <v>45238</v>
      </c>
      <c r="LB1" s="270">
        <v>45239</v>
      </c>
      <c r="LC1" s="270">
        <v>45240</v>
      </c>
      <c r="LD1" s="270">
        <v>45241</v>
      </c>
      <c r="LE1" s="270">
        <v>45242</v>
      </c>
      <c r="LF1" s="270">
        <v>45243</v>
      </c>
      <c r="LG1" s="270">
        <v>45244</v>
      </c>
      <c r="LH1" s="270">
        <v>45245</v>
      </c>
      <c r="LI1" s="270">
        <v>45246</v>
      </c>
      <c r="LJ1" s="270">
        <v>45247</v>
      </c>
      <c r="LK1" s="270">
        <v>45248</v>
      </c>
      <c r="LL1" s="270">
        <v>45249</v>
      </c>
      <c r="LM1" s="270">
        <v>45250</v>
      </c>
      <c r="LN1" s="270">
        <v>45251</v>
      </c>
      <c r="LO1" s="270">
        <v>45252</v>
      </c>
      <c r="LP1" s="270">
        <v>45253</v>
      </c>
      <c r="LQ1" s="270">
        <v>45254</v>
      </c>
      <c r="LR1" s="270">
        <v>45255</v>
      </c>
      <c r="LS1" s="270">
        <v>45256</v>
      </c>
      <c r="LT1" s="270">
        <v>45257</v>
      </c>
      <c r="LU1" s="270">
        <v>45258</v>
      </c>
      <c r="LV1" s="270">
        <v>45259</v>
      </c>
      <c r="LW1" s="270">
        <v>45260</v>
      </c>
      <c r="LX1" s="270">
        <v>45261</v>
      </c>
      <c r="LY1" s="270">
        <v>45262</v>
      </c>
      <c r="LZ1" s="270">
        <v>45263</v>
      </c>
      <c r="MA1" s="270">
        <v>45264</v>
      </c>
      <c r="MB1" s="270">
        <v>45265</v>
      </c>
      <c r="MC1" s="270">
        <v>45266</v>
      </c>
      <c r="MD1" s="270">
        <v>45267</v>
      </c>
      <c r="ME1" s="270">
        <v>45268</v>
      </c>
      <c r="MF1" s="270">
        <v>45269</v>
      </c>
      <c r="MG1" s="270">
        <v>45270</v>
      </c>
      <c r="MH1" s="270">
        <v>45271</v>
      </c>
      <c r="MI1" s="270">
        <v>45272</v>
      </c>
      <c r="MJ1" s="270">
        <v>45273</v>
      </c>
      <c r="MK1" s="270">
        <v>45274</v>
      </c>
      <c r="ML1" s="270">
        <v>45275</v>
      </c>
      <c r="MM1" s="270">
        <v>45276</v>
      </c>
      <c r="MN1" s="270">
        <v>45277</v>
      </c>
      <c r="MO1" s="270">
        <v>45278</v>
      </c>
      <c r="MP1" s="270">
        <v>45279</v>
      </c>
      <c r="MQ1" s="270">
        <v>45280</v>
      </c>
      <c r="MR1" s="270">
        <v>45281</v>
      </c>
      <c r="MS1" s="270">
        <v>45282</v>
      </c>
      <c r="MT1" s="270">
        <v>45283</v>
      </c>
      <c r="MU1" s="270">
        <v>45284</v>
      </c>
      <c r="MV1" s="270">
        <v>45285</v>
      </c>
      <c r="MW1" s="270">
        <v>45286</v>
      </c>
      <c r="MX1" s="270">
        <v>45287</v>
      </c>
      <c r="MY1" s="270">
        <v>45288</v>
      </c>
      <c r="MZ1" s="270">
        <v>45289</v>
      </c>
      <c r="NA1" s="270">
        <v>45290</v>
      </c>
      <c r="NB1" s="270">
        <v>45291</v>
      </c>
      <c r="NC1" s="270">
        <v>45292</v>
      </c>
      <c r="ND1" s="270">
        <v>45293</v>
      </c>
      <c r="NE1" s="270">
        <v>45294</v>
      </c>
      <c r="NF1" s="270">
        <v>45295</v>
      </c>
      <c r="NG1" s="270">
        <v>45296</v>
      </c>
      <c r="NH1" s="270">
        <v>45297</v>
      </c>
      <c r="NI1" s="270">
        <v>45298</v>
      </c>
      <c r="NJ1" s="270">
        <v>45299</v>
      </c>
      <c r="NK1" s="270">
        <v>45300</v>
      </c>
      <c r="NL1" s="270">
        <v>45301</v>
      </c>
      <c r="NM1" s="270">
        <v>45302</v>
      </c>
      <c r="NN1" s="270">
        <v>45303</v>
      </c>
      <c r="NO1" s="270">
        <v>45304</v>
      </c>
      <c r="NP1" s="270">
        <v>45305</v>
      </c>
      <c r="NQ1" s="270">
        <v>45306</v>
      </c>
      <c r="NR1" s="270">
        <v>45307</v>
      </c>
      <c r="NS1" s="270">
        <v>45308</v>
      </c>
      <c r="NT1" s="270">
        <v>45309</v>
      </c>
      <c r="NU1" s="270">
        <v>45310</v>
      </c>
      <c r="NV1" s="270">
        <v>45311</v>
      </c>
      <c r="NW1" s="270">
        <v>45312</v>
      </c>
      <c r="NX1" s="270">
        <v>45313</v>
      </c>
      <c r="NY1" s="270">
        <v>45314</v>
      </c>
      <c r="NZ1" s="270">
        <v>45315</v>
      </c>
      <c r="OA1" s="270">
        <v>45316</v>
      </c>
      <c r="OB1" s="270">
        <v>45317</v>
      </c>
      <c r="OC1" s="270">
        <v>45318</v>
      </c>
      <c r="OD1" s="270">
        <v>45319</v>
      </c>
      <c r="OE1" s="270">
        <v>45320</v>
      </c>
      <c r="OF1" s="270">
        <v>45321</v>
      </c>
      <c r="OG1" s="270">
        <v>45322</v>
      </c>
      <c r="OH1" s="270">
        <v>45323</v>
      </c>
      <c r="OI1" s="270">
        <v>45324</v>
      </c>
      <c r="OJ1" s="270">
        <v>45325</v>
      </c>
      <c r="OK1" s="270">
        <v>45326</v>
      </c>
      <c r="OL1" s="270">
        <v>45327</v>
      </c>
      <c r="OM1" s="270">
        <v>45328</v>
      </c>
      <c r="ON1" s="270">
        <v>45329</v>
      </c>
      <c r="OO1" s="270">
        <v>45330</v>
      </c>
      <c r="OP1" s="270">
        <v>45331</v>
      </c>
      <c r="OQ1" s="270">
        <v>45332</v>
      </c>
      <c r="OR1" s="270">
        <v>45333</v>
      </c>
      <c r="OS1" s="270">
        <v>45334</v>
      </c>
      <c r="OT1" s="270">
        <v>45335</v>
      </c>
      <c r="OU1" s="270">
        <v>45336</v>
      </c>
      <c r="OV1" s="270">
        <v>45337</v>
      </c>
      <c r="OW1" s="270">
        <v>45338</v>
      </c>
      <c r="OX1" s="270">
        <v>45339</v>
      </c>
      <c r="OY1" s="270">
        <v>45340</v>
      </c>
      <c r="OZ1" s="270">
        <v>45341</v>
      </c>
      <c r="PA1" s="270">
        <v>45342</v>
      </c>
      <c r="PB1" s="270">
        <v>45343</v>
      </c>
      <c r="PC1" s="270">
        <v>45344</v>
      </c>
      <c r="PD1" s="270">
        <v>45345</v>
      </c>
      <c r="PE1" s="270">
        <v>45346</v>
      </c>
      <c r="PF1" s="270">
        <v>45347</v>
      </c>
      <c r="PG1" s="270">
        <v>45348</v>
      </c>
      <c r="PH1" s="270">
        <v>45349</v>
      </c>
      <c r="PI1" s="270">
        <v>45350</v>
      </c>
      <c r="PJ1" s="270">
        <v>45351</v>
      </c>
      <c r="PK1" s="270">
        <v>45352</v>
      </c>
      <c r="PL1" s="270">
        <v>45353</v>
      </c>
      <c r="PM1" s="270">
        <v>45354</v>
      </c>
      <c r="PN1" s="270">
        <v>45355</v>
      </c>
      <c r="PO1" s="270">
        <v>45356</v>
      </c>
      <c r="PP1" s="270">
        <v>45357</v>
      </c>
      <c r="PQ1" s="270">
        <v>45358</v>
      </c>
      <c r="PR1" s="270">
        <v>45359</v>
      </c>
      <c r="PS1" s="270">
        <v>45360</v>
      </c>
      <c r="PT1" s="270">
        <v>45361</v>
      </c>
      <c r="PU1" s="270">
        <v>45362</v>
      </c>
      <c r="PV1" s="270">
        <v>45363</v>
      </c>
      <c r="PW1" s="270">
        <v>45364</v>
      </c>
      <c r="PX1" s="270">
        <v>45365</v>
      </c>
      <c r="PY1" s="270">
        <v>45366</v>
      </c>
      <c r="PZ1" s="270">
        <v>45367</v>
      </c>
      <c r="QA1" s="270">
        <v>45368</v>
      </c>
      <c r="QB1" s="270">
        <v>45369</v>
      </c>
      <c r="QC1" s="270">
        <v>45370</v>
      </c>
      <c r="QD1" s="270">
        <v>45371</v>
      </c>
      <c r="QE1" s="270">
        <v>45372</v>
      </c>
      <c r="QF1" s="270">
        <v>45373</v>
      </c>
      <c r="QG1" s="270">
        <v>45374</v>
      </c>
      <c r="QH1" s="270">
        <v>45375</v>
      </c>
      <c r="QI1" s="270">
        <v>45376</v>
      </c>
      <c r="QJ1" s="270">
        <v>45377</v>
      </c>
      <c r="QK1" s="270">
        <v>45378</v>
      </c>
      <c r="QL1" s="270">
        <v>45379</v>
      </c>
      <c r="QM1" s="270">
        <v>45380</v>
      </c>
      <c r="QN1" s="270">
        <v>45381</v>
      </c>
      <c r="QO1" s="270">
        <v>45382</v>
      </c>
      <c r="QP1" s="270">
        <v>45383</v>
      </c>
      <c r="QQ1" s="270">
        <v>45384</v>
      </c>
      <c r="QR1" s="270">
        <v>45385</v>
      </c>
      <c r="QS1" s="270">
        <v>45386</v>
      </c>
      <c r="QT1" s="270">
        <v>45387</v>
      </c>
      <c r="QU1" s="270">
        <v>45388</v>
      </c>
      <c r="QV1" s="270">
        <v>45389</v>
      </c>
      <c r="QW1" s="270">
        <v>45390</v>
      </c>
      <c r="QX1" s="270">
        <v>45391</v>
      </c>
      <c r="QY1" s="270">
        <v>45392</v>
      </c>
      <c r="QZ1" s="270">
        <v>45393</v>
      </c>
      <c r="RA1" s="270">
        <v>45394</v>
      </c>
      <c r="RB1" s="270">
        <v>45395</v>
      </c>
      <c r="RC1" s="270">
        <v>45396</v>
      </c>
      <c r="RD1" s="270">
        <v>45397</v>
      </c>
      <c r="RE1" s="270">
        <v>45398</v>
      </c>
      <c r="RF1" s="270">
        <v>45399</v>
      </c>
      <c r="RG1" s="270">
        <v>45400</v>
      </c>
      <c r="RH1" s="270">
        <v>45401</v>
      </c>
      <c r="RI1" s="270">
        <v>45402</v>
      </c>
      <c r="RJ1" s="270">
        <v>45403</v>
      </c>
      <c r="RK1" s="270">
        <v>45404</v>
      </c>
      <c r="RL1" s="270">
        <v>45405</v>
      </c>
      <c r="RM1" s="270">
        <v>45406</v>
      </c>
      <c r="RN1" s="270">
        <v>45407</v>
      </c>
      <c r="RO1" s="270">
        <v>45408</v>
      </c>
      <c r="RP1" s="270">
        <v>45409</v>
      </c>
      <c r="RQ1" s="270">
        <v>45410</v>
      </c>
      <c r="RR1" s="317">
        <v>45411</v>
      </c>
      <c r="RS1" s="270">
        <v>45412</v>
      </c>
      <c r="RT1" s="270">
        <v>45413</v>
      </c>
      <c r="RU1" s="270">
        <v>45414</v>
      </c>
      <c r="RV1" s="270">
        <v>45415</v>
      </c>
      <c r="RW1" s="270">
        <v>45416</v>
      </c>
      <c r="RX1" s="270">
        <v>45417</v>
      </c>
      <c r="RY1" s="270">
        <v>45418</v>
      </c>
      <c r="RZ1" s="270">
        <v>45419</v>
      </c>
      <c r="SA1" s="270">
        <v>45420</v>
      </c>
      <c r="SB1" s="270">
        <v>45421</v>
      </c>
      <c r="SC1" s="270">
        <v>45422</v>
      </c>
      <c r="SD1" s="270">
        <v>45423</v>
      </c>
      <c r="SE1" s="270">
        <v>45424</v>
      </c>
      <c r="SF1" s="270">
        <v>45425</v>
      </c>
      <c r="SG1" s="270">
        <v>45426</v>
      </c>
      <c r="SH1" s="270">
        <v>45427</v>
      </c>
      <c r="SI1" s="270">
        <v>45428</v>
      </c>
      <c r="SJ1" s="270">
        <v>45429</v>
      </c>
      <c r="SK1" s="270">
        <v>45430</v>
      </c>
      <c r="SL1" s="270">
        <v>45431</v>
      </c>
      <c r="SM1" s="270">
        <v>45432</v>
      </c>
      <c r="SN1" s="270">
        <v>45433</v>
      </c>
      <c r="SO1" s="270">
        <v>45434</v>
      </c>
      <c r="SP1" s="270">
        <v>45435</v>
      </c>
      <c r="SQ1" s="270">
        <v>45436</v>
      </c>
      <c r="SR1" s="270">
        <v>45437</v>
      </c>
      <c r="SS1" s="270">
        <v>45438</v>
      </c>
      <c r="ST1" s="270">
        <v>45439</v>
      </c>
      <c r="SU1" s="270">
        <v>45440</v>
      </c>
      <c r="SV1" s="270">
        <v>45441</v>
      </c>
      <c r="SW1" s="270">
        <v>45442</v>
      </c>
      <c r="SX1" s="270">
        <v>45443</v>
      </c>
      <c r="SY1" s="270">
        <v>45444</v>
      </c>
      <c r="SZ1" s="270">
        <v>45445</v>
      </c>
      <c r="TA1" s="270">
        <v>45446</v>
      </c>
      <c r="TB1" s="270">
        <v>45447</v>
      </c>
      <c r="TC1" s="270">
        <v>45448</v>
      </c>
      <c r="TD1" s="270">
        <v>45449</v>
      </c>
      <c r="TE1" s="270">
        <v>45450</v>
      </c>
      <c r="TF1" s="270">
        <v>45451</v>
      </c>
      <c r="TG1" s="270">
        <v>45452</v>
      </c>
      <c r="TH1" s="270">
        <v>45453</v>
      </c>
      <c r="TI1" s="270">
        <v>45454</v>
      </c>
      <c r="TJ1" s="270">
        <v>45455</v>
      </c>
      <c r="TK1" s="270">
        <v>45456</v>
      </c>
      <c r="TL1" s="270">
        <v>45457</v>
      </c>
      <c r="TM1" s="270">
        <v>45458</v>
      </c>
      <c r="TN1" s="270">
        <v>45459</v>
      </c>
      <c r="TO1" s="270">
        <v>45460</v>
      </c>
      <c r="TP1" s="270">
        <v>45461</v>
      </c>
      <c r="TQ1" s="270">
        <v>45462</v>
      </c>
      <c r="TR1" s="270">
        <v>45463</v>
      </c>
      <c r="TS1" s="270">
        <v>45464</v>
      </c>
      <c r="TT1" s="270">
        <v>45465</v>
      </c>
      <c r="TU1" s="270">
        <v>45466</v>
      </c>
      <c r="TV1" s="270">
        <v>45467</v>
      </c>
      <c r="TW1" s="270">
        <v>45468</v>
      </c>
      <c r="TX1" s="270">
        <v>45469</v>
      </c>
      <c r="TY1" s="270">
        <v>45470</v>
      </c>
      <c r="TZ1" s="270">
        <v>45471</v>
      </c>
      <c r="UA1" s="270">
        <v>45472</v>
      </c>
      <c r="UB1" s="270">
        <v>45473</v>
      </c>
      <c r="UC1" s="270">
        <v>45474</v>
      </c>
      <c r="UD1" s="317">
        <v>45475</v>
      </c>
      <c r="UE1" s="270">
        <v>45476</v>
      </c>
      <c r="UF1" s="270">
        <v>45477</v>
      </c>
      <c r="UG1" s="270">
        <v>45478</v>
      </c>
      <c r="UH1" s="270">
        <v>45479</v>
      </c>
      <c r="UI1" s="270">
        <v>45480</v>
      </c>
      <c r="UJ1" s="270">
        <v>45481</v>
      </c>
      <c r="UK1" s="270">
        <v>45482</v>
      </c>
      <c r="UL1" s="270">
        <v>45483</v>
      </c>
      <c r="UM1" s="270">
        <v>45484</v>
      </c>
      <c r="UN1" s="270">
        <v>45485</v>
      </c>
      <c r="UO1" s="270">
        <v>45486</v>
      </c>
      <c r="UP1" s="270">
        <v>45487</v>
      </c>
      <c r="UQ1" s="317">
        <v>45488</v>
      </c>
      <c r="UR1" s="270">
        <v>45489</v>
      </c>
      <c r="US1" s="270">
        <v>45490</v>
      </c>
      <c r="UT1" s="270">
        <v>45491</v>
      </c>
      <c r="UU1" s="270">
        <v>45492</v>
      </c>
      <c r="UV1" s="270">
        <v>45493</v>
      </c>
      <c r="UW1" s="270">
        <v>45494</v>
      </c>
      <c r="UX1" s="270">
        <v>45495</v>
      </c>
      <c r="UY1" s="270">
        <v>45496</v>
      </c>
      <c r="UZ1" s="270">
        <v>45497</v>
      </c>
      <c r="VA1" s="270">
        <v>45498</v>
      </c>
      <c r="VB1" s="270">
        <v>45499</v>
      </c>
      <c r="VC1" s="270">
        <v>45500</v>
      </c>
      <c r="VD1" s="270">
        <v>45501</v>
      </c>
      <c r="VE1" s="270">
        <v>45502</v>
      </c>
      <c r="VF1" s="270">
        <v>45503</v>
      </c>
      <c r="VG1" s="270">
        <v>45504</v>
      </c>
      <c r="VH1" s="270">
        <v>45505</v>
      </c>
      <c r="VI1" s="270">
        <v>45506</v>
      </c>
      <c r="VJ1" s="270">
        <v>45507</v>
      </c>
      <c r="VK1" s="317">
        <v>45508</v>
      </c>
      <c r="VL1" s="270">
        <v>45509</v>
      </c>
      <c r="VM1" s="270">
        <v>45510</v>
      </c>
      <c r="VN1" s="270">
        <v>45511</v>
      </c>
      <c r="VO1" s="270">
        <v>45512</v>
      </c>
      <c r="VP1" s="270">
        <v>45513</v>
      </c>
      <c r="VQ1" s="270">
        <v>45514</v>
      </c>
      <c r="VR1" s="270">
        <v>45515</v>
      </c>
    </row>
    <row r="2" spans="1:590" ht="15.75" thickBot="1" x14ac:dyDescent="0.3">
      <c r="A2" s="45" t="s">
        <v>35</v>
      </c>
      <c r="B2" s="2">
        <v>68.55</v>
      </c>
      <c r="C2" s="2">
        <v>74.59</v>
      </c>
      <c r="D2" s="30">
        <v>74.42</v>
      </c>
      <c r="E2" s="30">
        <v>74.17</v>
      </c>
      <c r="F2" s="30">
        <v>74.67</v>
      </c>
      <c r="G2" s="2">
        <v>75.17</v>
      </c>
      <c r="H2" s="2">
        <v>75.2</v>
      </c>
      <c r="I2" s="2">
        <v>76.41</v>
      </c>
      <c r="J2" s="2">
        <v>75.290000000000006</v>
      </c>
      <c r="K2" s="2">
        <v>74.52</v>
      </c>
      <c r="L2" s="2">
        <v>72.540000000000006</v>
      </c>
      <c r="M2" s="2">
        <v>74.19</v>
      </c>
      <c r="N2" s="2">
        <v>75.069999999999993</v>
      </c>
      <c r="O2" s="2">
        <v>75.41</v>
      </c>
      <c r="P2" s="2">
        <v>76.02</v>
      </c>
      <c r="Q2" s="2">
        <v>75.12</v>
      </c>
      <c r="R2" s="2">
        <v>74.91</v>
      </c>
      <c r="S2" s="2">
        <v>74.61</v>
      </c>
      <c r="T2" s="2">
        <v>74.56</v>
      </c>
      <c r="U2" s="271"/>
      <c r="V2" s="272"/>
      <c r="W2" s="271"/>
      <c r="X2" s="273"/>
      <c r="Y2" s="109"/>
      <c r="Z2" s="273"/>
      <c r="AA2" s="273"/>
      <c r="AB2" s="273"/>
      <c r="AC2" s="273"/>
      <c r="AD2" s="273"/>
      <c r="AE2" s="109"/>
      <c r="AF2" s="109"/>
      <c r="AG2" s="109"/>
      <c r="AH2" s="109"/>
      <c r="AI2" s="109"/>
      <c r="AJ2" s="109"/>
      <c r="AK2" s="109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4"/>
      <c r="BD2" s="49"/>
      <c r="BE2" s="54"/>
      <c r="BF2" s="54"/>
      <c r="BG2" s="54"/>
      <c r="BH2" s="55"/>
      <c r="BI2" s="54"/>
      <c r="BJ2" s="54"/>
      <c r="BK2" s="54"/>
      <c r="BL2" s="54"/>
      <c r="BM2" s="54"/>
      <c r="BN2" s="54"/>
      <c r="BO2" s="55"/>
      <c r="BP2" s="54"/>
      <c r="BQ2" s="54"/>
      <c r="BR2" s="54"/>
      <c r="BS2" s="54"/>
      <c r="BT2" s="54"/>
      <c r="BU2" s="54"/>
      <c r="BV2" s="55"/>
      <c r="BW2" s="54"/>
      <c r="BX2" s="54"/>
      <c r="BY2" s="54"/>
      <c r="BZ2" s="54"/>
      <c r="CA2" s="54"/>
      <c r="CB2" s="54">
        <v>74.3</v>
      </c>
      <c r="CC2" s="55">
        <v>73.7</v>
      </c>
      <c r="CD2" s="54">
        <v>74.12</v>
      </c>
      <c r="CE2" s="54">
        <v>74.41</v>
      </c>
      <c r="CF2" s="54">
        <v>74.28</v>
      </c>
      <c r="CG2" s="54">
        <v>74.44</v>
      </c>
      <c r="CH2" s="54">
        <v>75.64</v>
      </c>
      <c r="CI2" s="54">
        <v>73.92</v>
      </c>
      <c r="CJ2" s="55">
        <v>73.430000000000007</v>
      </c>
      <c r="CK2" s="54">
        <v>74.180000000000007</v>
      </c>
      <c r="CL2" s="54">
        <v>73.22</v>
      </c>
      <c r="CM2" s="54">
        <v>73.56</v>
      </c>
      <c r="CN2" s="54">
        <v>73.599999999999994</v>
      </c>
      <c r="CO2" s="54">
        <v>75.239999999999995</v>
      </c>
      <c r="CP2" s="54">
        <v>72.91</v>
      </c>
      <c r="CQ2" s="55">
        <v>73.53</v>
      </c>
      <c r="CR2" s="54">
        <v>73.58</v>
      </c>
      <c r="CS2" s="54">
        <v>74.13</v>
      </c>
      <c r="CT2" s="54">
        <v>74.510000000000005</v>
      </c>
      <c r="CU2" s="54">
        <v>74.37</v>
      </c>
      <c r="CV2" s="54">
        <v>74.989999999999995</v>
      </c>
      <c r="CW2" s="54">
        <v>75.23</v>
      </c>
      <c r="CX2" s="55">
        <v>74.13</v>
      </c>
      <c r="CY2" s="54">
        <v>74.86</v>
      </c>
      <c r="CZ2" s="54">
        <v>74.47</v>
      </c>
      <c r="DA2" s="54"/>
      <c r="DB2" s="54"/>
      <c r="DC2" s="54"/>
      <c r="DD2" s="54"/>
      <c r="DE2" s="55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5"/>
      <c r="DQ2" s="54"/>
      <c r="DR2" s="54"/>
      <c r="DS2" s="55"/>
      <c r="DT2" s="54"/>
      <c r="DU2" s="54"/>
      <c r="DV2" s="55"/>
      <c r="DW2" s="55"/>
      <c r="DX2" s="55"/>
      <c r="DY2" s="55"/>
      <c r="DZ2" s="55">
        <v>73.58</v>
      </c>
      <c r="EA2" s="55">
        <v>73.319999999999993</v>
      </c>
      <c r="EB2" s="55">
        <v>74</v>
      </c>
      <c r="EC2" s="55">
        <v>74.209999999999994</v>
      </c>
      <c r="ED2" s="55">
        <v>73.89</v>
      </c>
      <c r="EE2" s="55">
        <v>74.98</v>
      </c>
      <c r="EF2" s="55">
        <v>72.56</v>
      </c>
      <c r="EG2" s="104">
        <v>74.03</v>
      </c>
      <c r="EH2" s="104">
        <v>74.489999999999995</v>
      </c>
      <c r="EI2" s="55">
        <v>74.69</v>
      </c>
      <c r="EJ2" s="55">
        <v>74.400000000000006</v>
      </c>
      <c r="EK2" s="55">
        <v>74.83</v>
      </c>
      <c r="EL2" s="55">
        <v>75.349999999999994</v>
      </c>
      <c r="EM2" s="55">
        <v>71.88</v>
      </c>
      <c r="EN2" s="55">
        <v>74.17</v>
      </c>
      <c r="EO2" s="55">
        <v>74.02</v>
      </c>
      <c r="EP2" s="55">
        <v>74.28</v>
      </c>
      <c r="EQ2" s="55">
        <v>74.84</v>
      </c>
      <c r="ER2" s="55">
        <v>75.010000000000005</v>
      </c>
      <c r="ES2" s="55">
        <v>75.48</v>
      </c>
      <c r="ET2" s="55">
        <v>73.73</v>
      </c>
      <c r="EU2" s="55">
        <v>74.8</v>
      </c>
      <c r="EV2" s="55">
        <v>74.400000000000006</v>
      </c>
      <c r="EW2" s="55">
        <v>71.400000000000006</v>
      </c>
      <c r="EX2" s="55">
        <v>70.61</v>
      </c>
      <c r="EY2" s="55">
        <v>69.89</v>
      </c>
      <c r="EZ2" s="55">
        <v>72.11</v>
      </c>
      <c r="FA2" s="54">
        <v>73.69</v>
      </c>
      <c r="FB2" s="55">
        <v>72.650000000000006</v>
      </c>
      <c r="FC2" s="55">
        <v>73.180000000000007</v>
      </c>
      <c r="FD2" s="55">
        <v>73.37</v>
      </c>
      <c r="FE2" s="55">
        <v>73.63</v>
      </c>
      <c r="FF2" s="55">
        <v>73.569999999999993</v>
      </c>
      <c r="FG2" s="55">
        <v>73.56</v>
      </c>
      <c r="FH2" s="55">
        <v>73.88</v>
      </c>
      <c r="FI2" s="55">
        <v>73.459999999999994</v>
      </c>
      <c r="FJ2" s="55">
        <v>73.84</v>
      </c>
      <c r="FK2" s="55">
        <v>71.260000000000005</v>
      </c>
      <c r="FL2" s="54">
        <v>71.790000000000006</v>
      </c>
      <c r="FM2" s="54">
        <v>75.06</v>
      </c>
      <c r="FN2" s="54">
        <v>74.790000000000006</v>
      </c>
      <c r="FO2" s="54">
        <v>74.95</v>
      </c>
      <c r="FP2" s="55">
        <v>75.14</v>
      </c>
      <c r="FQ2" s="54">
        <v>72.67</v>
      </c>
      <c r="FR2" s="54">
        <v>74.099999999999994</v>
      </c>
      <c r="FS2" s="54">
        <v>75.7</v>
      </c>
      <c r="FT2" s="54">
        <v>74.989999999999995</v>
      </c>
      <c r="FU2" s="54">
        <v>75.88</v>
      </c>
      <c r="FV2" s="55">
        <v>75.42</v>
      </c>
      <c r="FW2" s="55">
        <v>75.27</v>
      </c>
      <c r="FX2" s="55">
        <v>74.569999999999993</v>
      </c>
      <c r="FY2" s="55">
        <v>74.95</v>
      </c>
      <c r="FZ2" s="55">
        <v>75.23</v>
      </c>
      <c r="GA2" s="55">
        <v>75.3</v>
      </c>
      <c r="GB2" s="55">
        <v>75.61</v>
      </c>
      <c r="GC2" s="55">
        <v>74.28</v>
      </c>
      <c r="GD2" s="55">
        <v>74.72</v>
      </c>
      <c r="GE2" s="55">
        <v>74</v>
      </c>
      <c r="GF2" s="55">
        <v>74.8</v>
      </c>
      <c r="GG2" s="55">
        <v>74.680000000000007</v>
      </c>
      <c r="GH2" s="55">
        <v>75.38</v>
      </c>
      <c r="GI2" s="55">
        <v>75.349999999999994</v>
      </c>
      <c r="GJ2" s="55">
        <v>74.66</v>
      </c>
      <c r="GK2" s="55">
        <v>74.540000000000006</v>
      </c>
      <c r="GL2" s="54">
        <v>74.790000000000006</v>
      </c>
      <c r="GM2" s="54">
        <v>74.069999999999993</v>
      </c>
      <c r="GN2" s="54">
        <v>74.900000000000006</v>
      </c>
      <c r="GO2" s="54">
        <v>75.540000000000006</v>
      </c>
      <c r="GP2" s="54">
        <v>76.16</v>
      </c>
      <c r="GQ2" s="54">
        <v>74.95</v>
      </c>
      <c r="GR2" s="54">
        <v>75.34</v>
      </c>
      <c r="GS2" s="54">
        <v>75.2</v>
      </c>
      <c r="GT2" s="54">
        <v>75.430000000000007</v>
      </c>
      <c r="GU2" s="54">
        <v>75.23</v>
      </c>
      <c r="GV2" s="54">
        <v>75.349999999999994</v>
      </c>
      <c r="GW2" s="54">
        <v>76.19</v>
      </c>
      <c r="GX2" s="54">
        <v>75.05</v>
      </c>
      <c r="GY2">
        <v>75.349999999999994</v>
      </c>
      <c r="GZ2" s="53">
        <v>74.55</v>
      </c>
      <c r="HA2" s="53">
        <v>75.540000000000006</v>
      </c>
      <c r="HB2" s="53">
        <v>75.06</v>
      </c>
      <c r="HC2" s="53">
        <v>74.91</v>
      </c>
      <c r="HD2" s="53">
        <v>75.930000000000007</v>
      </c>
      <c r="HE2" s="55">
        <v>73.58</v>
      </c>
      <c r="HF2" s="55">
        <v>73.069999999999993</v>
      </c>
      <c r="HG2" s="55">
        <v>72.94</v>
      </c>
      <c r="HH2" s="55">
        <v>69.28</v>
      </c>
      <c r="HI2" s="55">
        <v>70.94</v>
      </c>
      <c r="HJ2" s="55">
        <v>75.709999999999994</v>
      </c>
      <c r="HK2" s="55">
        <v>76.69</v>
      </c>
      <c r="HL2" s="55">
        <v>76.08</v>
      </c>
      <c r="HM2" s="55">
        <v>75.38</v>
      </c>
      <c r="HN2" s="55">
        <v>74.84</v>
      </c>
      <c r="HO2" s="55">
        <v>75.599999999999994</v>
      </c>
      <c r="HP2" s="55">
        <v>75.73</v>
      </c>
      <c r="HQ2" s="55">
        <v>75.680000000000007</v>
      </c>
      <c r="HR2" s="55">
        <v>76.64</v>
      </c>
      <c r="HS2" s="55">
        <v>76.05</v>
      </c>
      <c r="HT2" s="55">
        <v>75.94</v>
      </c>
      <c r="HU2" s="55">
        <v>75.22</v>
      </c>
      <c r="HV2" s="55">
        <v>75.94</v>
      </c>
      <c r="HW2" s="55">
        <v>75.650000000000006</v>
      </c>
      <c r="HX2" s="55">
        <v>76.03</v>
      </c>
      <c r="HY2" s="55">
        <v>76.900000000000006</v>
      </c>
      <c r="HZ2" s="55">
        <v>75.2</v>
      </c>
      <c r="IA2" s="55">
        <v>74.98</v>
      </c>
      <c r="IB2" s="55">
        <v>75.3</v>
      </c>
      <c r="IC2" s="55">
        <v>75.03</v>
      </c>
      <c r="ID2" s="55">
        <v>75.31</v>
      </c>
      <c r="IE2" s="55">
        <v>75.36</v>
      </c>
      <c r="IF2" s="55">
        <v>75.41</v>
      </c>
      <c r="IG2" s="55">
        <v>74.760000000000005</v>
      </c>
      <c r="IH2" s="55">
        <v>74.989999999999995</v>
      </c>
      <c r="II2" s="55">
        <v>74.33</v>
      </c>
      <c r="IJ2" s="55">
        <v>75.17</v>
      </c>
      <c r="IK2" s="55">
        <v>75.13</v>
      </c>
      <c r="IL2" s="55">
        <v>74.23</v>
      </c>
      <c r="IM2">
        <v>76.5</v>
      </c>
      <c r="IN2">
        <v>74.37</v>
      </c>
      <c r="IO2">
        <v>74.64</v>
      </c>
      <c r="IP2">
        <v>74.599999999999994</v>
      </c>
      <c r="IQ2" s="2">
        <v>75</v>
      </c>
      <c r="IR2">
        <v>75.260000000000005</v>
      </c>
      <c r="IS2">
        <v>75.930000000000007</v>
      </c>
      <c r="IT2">
        <v>76.819999999999993</v>
      </c>
      <c r="IU2">
        <v>75.599999999999994</v>
      </c>
      <c r="IV2" s="1">
        <v>75.430000000000007</v>
      </c>
      <c r="IW2" s="1">
        <v>75.34</v>
      </c>
      <c r="IX2" s="1">
        <v>74.59</v>
      </c>
      <c r="IY2" s="1">
        <v>75.86</v>
      </c>
      <c r="IZ2" s="1">
        <v>75.91</v>
      </c>
      <c r="JA2" s="1">
        <v>76.44</v>
      </c>
      <c r="JB2" s="1">
        <v>75.92</v>
      </c>
      <c r="JC2">
        <v>75.39</v>
      </c>
      <c r="JD2">
        <v>75.52</v>
      </c>
      <c r="JE2">
        <v>75.64</v>
      </c>
      <c r="JF2">
        <v>75.989999999999995</v>
      </c>
      <c r="JG2">
        <v>72.73</v>
      </c>
      <c r="JH2">
        <v>76.459999999999994</v>
      </c>
      <c r="JI2">
        <v>75.7</v>
      </c>
      <c r="JJ2">
        <v>75.59</v>
      </c>
      <c r="JK2">
        <v>76.16</v>
      </c>
      <c r="JL2" s="252">
        <v>75.63</v>
      </c>
      <c r="JM2" s="252">
        <v>75.489999999999995</v>
      </c>
      <c r="JN2" s="252">
        <v>76.02</v>
      </c>
      <c r="JO2">
        <v>76.59</v>
      </c>
      <c r="JP2">
        <v>75.61</v>
      </c>
      <c r="JQ2">
        <v>74.36</v>
      </c>
      <c r="JR2">
        <v>76.09</v>
      </c>
      <c r="JS2" s="57">
        <v>76.569999999999993</v>
      </c>
      <c r="JT2">
        <v>78.459999999999994</v>
      </c>
      <c r="JU2">
        <v>77.459999999999994</v>
      </c>
      <c r="JV2">
        <v>77.790000000000006</v>
      </c>
      <c r="JW2">
        <v>75.42</v>
      </c>
      <c r="JX2">
        <v>76.86</v>
      </c>
      <c r="JY2">
        <v>76.16</v>
      </c>
      <c r="JZ2">
        <v>77.459999999999994</v>
      </c>
      <c r="KA2">
        <v>77.14</v>
      </c>
      <c r="KB2">
        <v>77.09</v>
      </c>
      <c r="KC2">
        <v>77.64</v>
      </c>
      <c r="KD2">
        <v>77.05</v>
      </c>
      <c r="KE2">
        <v>76.98</v>
      </c>
      <c r="KF2">
        <v>77.150000000000006</v>
      </c>
      <c r="KG2">
        <v>76.319999999999993</v>
      </c>
      <c r="KH2">
        <v>77.25</v>
      </c>
      <c r="KI2">
        <v>77.17</v>
      </c>
      <c r="KJ2">
        <v>78.489999999999995</v>
      </c>
      <c r="KK2">
        <v>77.55</v>
      </c>
      <c r="KL2">
        <v>77.28</v>
      </c>
      <c r="KM2">
        <v>77.03</v>
      </c>
      <c r="KN2">
        <v>77.31</v>
      </c>
      <c r="KO2" s="64">
        <v>77.17</v>
      </c>
      <c r="KP2" s="64">
        <v>77.55</v>
      </c>
      <c r="KQ2" s="64">
        <v>78.83</v>
      </c>
      <c r="KR2" s="48">
        <v>77.739999999999995</v>
      </c>
      <c r="KS2" s="48">
        <v>77.11</v>
      </c>
      <c r="KT2" s="48">
        <v>77.86</v>
      </c>
      <c r="KU2" s="48">
        <v>77.540000000000006</v>
      </c>
      <c r="KV2" s="104">
        <v>77.12</v>
      </c>
      <c r="KW2" s="104">
        <v>76.040000000000006</v>
      </c>
      <c r="KX2" s="104">
        <v>75.25</v>
      </c>
      <c r="KY2" s="104">
        <v>72.36</v>
      </c>
      <c r="KZ2" s="104">
        <v>76.78</v>
      </c>
      <c r="LA2" s="104">
        <v>77.22</v>
      </c>
      <c r="LB2" s="104">
        <v>77.680000000000007</v>
      </c>
      <c r="LC2" s="104">
        <v>75.760000000000005</v>
      </c>
      <c r="LD2" s="104">
        <v>77.91</v>
      </c>
      <c r="LE2" s="104">
        <v>78.489999999999995</v>
      </c>
      <c r="LF2" s="104">
        <v>76.77</v>
      </c>
      <c r="LG2" s="104">
        <v>76.92</v>
      </c>
      <c r="LH2" s="104">
        <v>77.819999999999993</v>
      </c>
      <c r="LI2" s="104">
        <v>77.53</v>
      </c>
      <c r="LJ2" s="104">
        <v>77.709999999999994</v>
      </c>
      <c r="LK2" s="104">
        <v>77.349999999999994</v>
      </c>
      <c r="LL2" s="104">
        <v>77.38</v>
      </c>
      <c r="LM2" s="104">
        <v>77.290000000000006</v>
      </c>
      <c r="LN2" s="104">
        <v>77.290000000000006</v>
      </c>
      <c r="LO2" s="104">
        <v>74.42</v>
      </c>
      <c r="LP2" s="104">
        <v>76.77</v>
      </c>
      <c r="LQ2" s="104">
        <v>77.53</v>
      </c>
      <c r="LR2" s="104">
        <v>77.72</v>
      </c>
      <c r="LS2" s="104">
        <v>77.819999999999993</v>
      </c>
      <c r="LT2" s="104">
        <v>77.25</v>
      </c>
      <c r="LU2" s="104">
        <v>77.069999999999993</v>
      </c>
      <c r="LV2" s="104">
        <v>77.099999999999994</v>
      </c>
      <c r="LW2" s="104">
        <v>77.099999999999994</v>
      </c>
      <c r="LX2" s="104">
        <v>76.97</v>
      </c>
      <c r="LY2" s="104">
        <v>77.349999999999994</v>
      </c>
      <c r="LZ2" s="104">
        <v>77.84</v>
      </c>
      <c r="MA2" s="104">
        <v>76.42</v>
      </c>
      <c r="MB2" s="104">
        <v>75.540000000000006</v>
      </c>
      <c r="MC2" s="104">
        <v>76.540000000000006</v>
      </c>
      <c r="MD2" s="104">
        <v>76.430000000000007</v>
      </c>
      <c r="ME2" s="104">
        <v>76.459999999999994</v>
      </c>
      <c r="MF2" s="104">
        <v>76.86</v>
      </c>
      <c r="MG2" s="104">
        <v>77.14</v>
      </c>
      <c r="MH2" s="104">
        <v>74.89</v>
      </c>
      <c r="MI2" s="104">
        <v>75.599999999999994</v>
      </c>
      <c r="MJ2" s="104">
        <v>76.62</v>
      </c>
      <c r="MK2" s="104">
        <v>79.209999999999994</v>
      </c>
      <c r="ML2" s="104">
        <v>76.849999999999994</v>
      </c>
      <c r="MM2" s="104">
        <v>80.760000000000005</v>
      </c>
      <c r="MN2" s="104">
        <v>78.12</v>
      </c>
      <c r="MO2" s="104">
        <v>76.91</v>
      </c>
      <c r="MP2" s="104">
        <v>77.239999999999995</v>
      </c>
      <c r="MQ2" s="104">
        <v>75.03</v>
      </c>
      <c r="MR2" s="104">
        <v>77.36</v>
      </c>
      <c r="MS2" s="101">
        <v>77.63</v>
      </c>
      <c r="MT2" s="101">
        <v>81.290000000000006</v>
      </c>
      <c r="MU2" s="101">
        <v>78.31</v>
      </c>
      <c r="MV2" s="101">
        <v>76.38</v>
      </c>
      <c r="MW2" s="101">
        <v>77.48</v>
      </c>
      <c r="MX2" s="101">
        <v>77.06</v>
      </c>
      <c r="MY2" s="104">
        <v>71.94</v>
      </c>
      <c r="MZ2">
        <v>76.989999999999995</v>
      </c>
      <c r="NA2">
        <v>77.069999999999993</v>
      </c>
      <c r="NB2">
        <v>77.180000000000007</v>
      </c>
      <c r="NC2">
        <v>72.069999999999993</v>
      </c>
      <c r="ND2">
        <v>76.64</v>
      </c>
      <c r="NE2">
        <v>76.790000000000006</v>
      </c>
      <c r="NF2">
        <v>75.599999999999994</v>
      </c>
      <c r="NG2">
        <v>76.84</v>
      </c>
      <c r="NH2">
        <v>76.709999999999994</v>
      </c>
      <c r="NI2">
        <v>78.010000000000005</v>
      </c>
      <c r="NJ2">
        <v>77.260000000000005</v>
      </c>
      <c r="NK2">
        <v>77.11</v>
      </c>
      <c r="NL2">
        <v>77.33</v>
      </c>
      <c r="NM2">
        <v>77.64</v>
      </c>
      <c r="NN2">
        <v>77.87</v>
      </c>
      <c r="NO2">
        <v>78.92</v>
      </c>
      <c r="NP2">
        <v>79.099999999999994</v>
      </c>
      <c r="NQ2">
        <v>78.239999999999995</v>
      </c>
      <c r="NR2">
        <v>78.19</v>
      </c>
      <c r="NS2">
        <v>77.83</v>
      </c>
      <c r="NT2">
        <v>78.25</v>
      </c>
      <c r="NU2">
        <v>78.31</v>
      </c>
      <c r="NV2">
        <v>78.58</v>
      </c>
      <c r="NW2">
        <v>78.8</v>
      </c>
      <c r="NX2">
        <v>78.25</v>
      </c>
      <c r="NY2">
        <v>77.510000000000005</v>
      </c>
      <c r="NZ2">
        <v>77.72</v>
      </c>
      <c r="OA2">
        <v>78.02</v>
      </c>
      <c r="OB2">
        <v>77.709999999999994</v>
      </c>
      <c r="OC2">
        <v>78.48</v>
      </c>
      <c r="OD2">
        <v>79.23</v>
      </c>
      <c r="OE2">
        <v>78.94</v>
      </c>
      <c r="OF2">
        <v>76.77</v>
      </c>
      <c r="OG2">
        <v>77.61</v>
      </c>
      <c r="OH2">
        <v>77.95</v>
      </c>
      <c r="OI2">
        <v>77.95</v>
      </c>
      <c r="OJ2">
        <v>78.61</v>
      </c>
      <c r="OK2">
        <v>78.66</v>
      </c>
      <c r="OL2">
        <v>78.010000000000005</v>
      </c>
      <c r="OM2">
        <v>78.2</v>
      </c>
      <c r="ON2">
        <v>79.180000000000007</v>
      </c>
      <c r="OO2">
        <v>78.510000000000005</v>
      </c>
      <c r="OP2">
        <v>78.459999999999994</v>
      </c>
      <c r="OQ2">
        <v>78.510000000000005</v>
      </c>
      <c r="OR2">
        <v>79.849999999999994</v>
      </c>
      <c r="OS2">
        <v>79.12</v>
      </c>
      <c r="OT2">
        <v>78.3</v>
      </c>
      <c r="OU2">
        <v>76.900000000000006</v>
      </c>
      <c r="OV2">
        <v>80.02</v>
      </c>
      <c r="OW2">
        <v>77.3</v>
      </c>
      <c r="OX2">
        <v>78.33</v>
      </c>
      <c r="OY2">
        <v>78.44</v>
      </c>
      <c r="OZ2">
        <v>78.39</v>
      </c>
      <c r="PA2">
        <v>77.88</v>
      </c>
      <c r="PB2">
        <v>77.930000000000007</v>
      </c>
      <c r="PC2">
        <v>78.3</v>
      </c>
      <c r="PD2">
        <v>78.03</v>
      </c>
      <c r="PE2">
        <v>78.48</v>
      </c>
      <c r="PF2">
        <v>78.95</v>
      </c>
      <c r="PG2">
        <v>76.92</v>
      </c>
      <c r="PH2">
        <v>77.540000000000006</v>
      </c>
      <c r="PI2">
        <v>77.95</v>
      </c>
      <c r="PJ2">
        <v>77.2</v>
      </c>
      <c r="PK2">
        <v>77.75</v>
      </c>
      <c r="PL2">
        <v>77.61</v>
      </c>
      <c r="PM2">
        <v>77.58</v>
      </c>
      <c r="PN2">
        <v>77.37</v>
      </c>
      <c r="PO2">
        <v>79.86</v>
      </c>
      <c r="PP2">
        <v>80.56</v>
      </c>
      <c r="PQ2">
        <v>80.66</v>
      </c>
      <c r="PR2">
        <v>80.02</v>
      </c>
      <c r="PS2" s="64">
        <v>80.62</v>
      </c>
      <c r="PT2" s="64">
        <v>82.78</v>
      </c>
      <c r="PU2" s="48">
        <v>80.62</v>
      </c>
      <c r="PV2" s="48">
        <v>80.400000000000006</v>
      </c>
      <c r="PW2" s="48">
        <v>81.02</v>
      </c>
      <c r="PX2" s="48">
        <v>83.14</v>
      </c>
      <c r="PY2" s="48">
        <v>81.56</v>
      </c>
      <c r="PZ2" s="48">
        <v>80.11</v>
      </c>
      <c r="QA2" s="48">
        <v>81.069999999999993</v>
      </c>
      <c r="QB2" s="48">
        <v>80.78</v>
      </c>
      <c r="QC2" s="48">
        <v>80.64</v>
      </c>
      <c r="QD2" s="48">
        <v>80.180000000000007</v>
      </c>
      <c r="QE2" s="48">
        <v>80.62</v>
      </c>
      <c r="QF2" s="64">
        <v>80.33</v>
      </c>
      <c r="QG2" s="64">
        <v>80.19</v>
      </c>
      <c r="QH2" s="48">
        <v>80.41</v>
      </c>
      <c r="QI2" s="48">
        <v>80.12</v>
      </c>
      <c r="QJ2" s="48">
        <v>80.099999999999994</v>
      </c>
      <c r="QK2" s="48">
        <v>80.25</v>
      </c>
      <c r="QL2" s="48">
        <v>80.5</v>
      </c>
      <c r="QM2">
        <v>79.98</v>
      </c>
      <c r="QN2">
        <v>80.05</v>
      </c>
      <c r="QO2">
        <v>79.930000000000007</v>
      </c>
      <c r="QP2">
        <v>80.03</v>
      </c>
      <c r="QQ2">
        <v>79.790000000000006</v>
      </c>
      <c r="QR2">
        <v>79.5</v>
      </c>
      <c r="QS2">
        <v>79.849999999999994</v>
      </c>
      <c r="QT2" s="48">
        <v>80.12</v>
      </c>
      <c r="QU2" s="48">
        <v>80.260000000000005</v>
      </c>
      <c r="QV2" s="48">
        <v>80.489999999999995</v>
      </c>
      <c r="QW2" s="48">
        <v>80.75</v>
      </c>
      <c r="QX2" s="48">
        <v>80.41</v>
      </c>
      <c r="QY2" s="48">
        <v>80.13</v>
      </c>
      <c r="QZ2" s="48">
        <v>80.42</v>
      </c>
      <c r="RA2" s="48">
        <v>80.64</v>
      </c>
      <c r="RB2" s="48">
        <v>80.64</v>
      </c>
      <c r="RC2" s="48">
        <v>80.7</v>
      </c>
      <c r="RD2" s="48">
        <v>80.510000000000005</v>
      </c>
      <c r="RE2" s="48">
        <v>80.5</v>
      </c>
      <c r="RF2" s="48">
        <v>80.73</v>
      </c>
      <c r="RG2" s="158">
        <v>79.78</v>
      </c>
      <c r="RH2" s="48">
        <v>80.680000000000007</v>
      </c>
      <c r="RI2" s="48">
        <v>80.819999999999993</v>
      </c>
      <c r="RJ2" s="48">
        <v>80.81</v>
      </c>
      <c r="RK2">
        <v>80.010000000000005</v>
      </c>
      <c r="RL2" s="48">
        <v>80.260000000000005</v>
      </c>
      <c r="RM2">
        <v>79.7</v>
      </c>
      <c r="RN2">
        <v>79.27</v>
      </c>
      <c r="RO2">
        <v>78.28</v>
      </c>
      <c r="RP2">
        <v>80.650000000000006</v>
      </c>
      <c r="RQ2">
        <v>79.66</v>
      </c>
      <c r="RR2">
        <v>80.430000000000007</v>
      </c>
      <c r="RS2" s="48">
        <v>79.11</v>
      </c>
      <c r="RT2" s="48">
        <v>80.25</v>
      </c>
      <c r="RU2" s="48">
        <v>80.27</v>
      </c>
      <c r="RV2" s="48">
        <v>80.7</v>
      </c>
      <c r="RW2" s="48">
        <v>80.900000000000006</v>
      </c>
      <c r="RX2" s="48">
        <v>81.150000000000006</v>
      </c>
      <c r="RY2" s="48">
        <v>80.72</v>
      </c>
      <c r="RZ2" s="48">
        <v>80.7</v>
      </c>
      <c r="SA2" s="48">
        <v>80.94</v>
      </c>
      <c r="SB2" s="48">
        <v>80.790000000000006</v>
      </c>
      <c r="SC2" s="48">
        <v>81.11</v>
      </c>
      <c r="SD2" s="48">
        <v>80.86</v>
      </c>
      <c r="SE2" s="48">
        <v>79.81</v>
      </c>
      <c r="SF2" s="48">
        <v>80.790000000000006</v>
      </c>
      <c r="SG2" s="48">
        <v>80.39</v>
      </c>
      <c r="SH2" s="48">
        <v>75.510000000000005</v>
      </c>
      <c r="SI2" s="48">
        <v>80.790000000000006</v>
      </c>
      <c r="SJ2" s="48">
        <v>78.28</v>
      </c>
      <c r="SK2" s="48">
        <v>75.84</v>
      </c>
      <c r="SL2" s="48">
        <v>80</v>
      </c>
      <c r="SM2" s="48">
        <v>80.66</v>
      </c>
      <c r="SN2" s="64">
        <v>81.760000000000005</v>
      </c>
      <c r="SO2" s="64">
        <v>81.52</v>
      </c>
      <c r="SP2" s="48">
        <v>79.599999999999994</v>
      </c>
      <c r="SQ2" s="64">
        <v>83.312606356519296</v>
      </c>
      <c r="SR2" s="64">
        <v>83.012342787446656</v>
      </c>
      <c r="SS2" s="64">
        <v>81.52</v>
      </c>
      <c r="ST2" s="48">
        <v>80.7</v>
      </c>
      <c r="SU2" s="72">
        <v>81.45</v>
      </c>
      <c r="SV2" s="48">
        <v>81.55</v>
      </c>
      <c r="SW2" s="64">
        <v>81.52</v>
      </c>
      <c r="SX2" s="64">
        <v>81.52</v>
      </c>
      <c r="SY2" s="64">
        <v>81.760000000000005</v>
      </c>
      <c r="SZ2" s="48">
        <v>81.11</v>
      </c>
      <c r="TA2" s="64">
        <v>81.760000000000005</v>
      </c>
      <c r="TB2" s="64">
        <v>79.08</v>
      </c>
      <c r="TC2" s="64">
        <v>81.349999999999994</v>
      </c>
      <c r="TD2" s="64">
        <v>81.670913378744842</v>
      </c>
      <c r="TE2" s="64">
        <v>81.607466031366116</v>
      </c>
      <c r="TF2" s="64">
        <v>81.551172619980193</v>
      </c>
      <c r="TG2" s="64">
        <v>81.101487688195434</v>
      </c>
      <c r="TH2" s="48">
        <v>81.11</v>
      </c>
      <c r="TI2" s="64">
        <v>81.45</v>
      </c>
      <c r="TJ2" s="64">
        <v>81.55</v>
      </c>
      <c r="TK2" s="64">
        <v>81.52</v>
      </c>
      <c r="TL2" s="64">
        <v>83.175598277134469</v>
      </c>
      <c r="TM2" s="64">
        <v>83.883926010114649</v>
      </c>
      <c r="TN2" s="64">
        <v>82.63239976342291</v>
      </c>
      <c r="TO2" s="64">
        <v>83.387255556745799</v>
      </c>
      <c r="TP2" s="64">
        <v>82.419851120905264</v>
      </c>
      <c r="TQ2" s="64">
        <v>83.793202559822205</v>
      </c>
      <c r="TR2" s="64">
        <v>82.239904834354277</v>
      </c>
      <c r="TS2" s="64">
        <v>83.682874343669511</v>
      </c>
      <c r="TT2" s="64">
        <v>83.987307861015125</v>
      </c>
      <c r="TU2" s="48">
        <v>82.4</v>
      </c>
      <c r="TV2" s="48">
        <v>82.41</v>
      </c>
      <c r="TW2" s="48">
        <v>81.96</v>
      </c>
      <c r="TX2" s="48">
        <v>82.14</v>
      </c>
      <c r="TY2" s="48">
        <v>81.91</v>
      </c>
      <c r="TZ2" s="48">
        <v>81.86</v>
      </c>
      <c r="UA2" s="158">
        <v>82.01</v>
      </c>
      <c r="UB2" s="1">
        <v>82.04</v>
      </c>
      <c r="UC2">
        <v>82.11</v>
      </c>
      <c r="UD2" s="158">
        <v>81.72</v>
      </c>
      <c r="UE2" s="48">
        <v>81.93</v>
      </c>
      <c r="UF2" s="48">
        <v>82.15</v>
      </c>
      <c r="UG2" s="48">
        <v>82.3</v>
      </c>
      <c r="UH2" s="48">
        <v>82.14</v>
      </c>
      <c r="UI2" s="48">
        <v>82.15</v>
      </c>
      <c r="UJ2" s="48">
        <v>81.47</v>
      </c>
      <c r="UK2" s="48">
        <v>81.62</v>
      </c>
      <c r="UL2" s="158">
        <v>82.31</v>
      </c>
      <c r="UM2" s="48">
        <v>82.4</v>
      </c>
      <c r="UN2">
        <v>82.37</v>
      </c>
      <c r="UO2">
        <v>82.4</v>
      </c>
      <c r="UP2">
        <v>81.709999999999994</v>
      </c>
      <c r="UQ2">
        <v>82.57</v>
      </c>
      <c r="UR2" s="48">
        <v>81.96</v>
      </c>
      <c r="US2" s="48">
        <v>82.3</v>
      </c>
      <c r="UT2" s="48">
        <v>82.34</v>
      </c>
      <c r="UU2" s="48">
        <v>82.36</v>
      </c>
      <c r="UV2" s="48">
        <v>82.37</v>
      </c>
      <c r="UW2" s="48">
        <v>82.35</v>
      </c>
      <c r="UX2" s="48">
        <v>82.38</v>
      </c>
      <c r="UY2" s="48">
        <v>82.23</v>
      </c>
      <c r="UZ2" s="48">
        <v>82.15</v>
      </c>
      <c r="VA2" s="48">
        <v>82.6</v>
      </c>
      <c r="VB2" s="48">
        <v>81.99</v>
      </c>
      <c r="VC2" s="48">
        <v>82.6</v>
      </c>
      <c r="VD2" s="158">
        <v>82.41</v>
      </c>
      <c r="VE2" s="48">
        <v>76.760000000000005</v>
      </c>
      <c r="VF2" s="48">
        <v>82.35</v>
      </c>
      <c r="VG2" s="48">
        <v>82.27</v>
      </c>
      <c r="VH2" s="48">
        <v>82.08</v>
      </c>
      <c r="VI2" s="48">
        <v>81.209999999999994</v>
      </c>
      <c r="VJ2" s="48">
        <v>81.760000000000005</v>
      </c>
      <c r="VK2" s="158">
        <v>82.03</v>
      </c>
      <c r="VL2" s="48">
        <v>82.28</v>
      </c>
      <c r="VM2" s="48">
        <v>81.92</v>
      </c>
      <c r="VN2" s="48">
        <v>81.89</v>
      </c>
      <c r="VO2" s="48">
        <v>82.33</v>
      </c>
      <c r="VP2" s="48">
        <v>82.17</v>
      </c>
      <c r="VQ2" s="48">
        <v>81.849999999999994</v>
      </c>
      <c r="VR2" s="48">
        <v>82.17</v>
      </c>
    </row>
    <row r="3" spans="1:590" ht="15.75" thickBot="1" x14ac:dyDescent="0.3">
      <c r="A3" s="45" t="s">
        <v>36</v>
      </c>
      <c r="B3" s="2">
        <v>79.56</v>
      </c>
      <c r="C3" s="2">
        <v>83.77</v>
      </c>
      <c r="D3" s="30">
        <v>83.49</v>
      </c>
      <c r="E3" s="30">
        <v>83.51</v>
      </c>
      <c r="F3" s="30">
        <v>83.6</v>
      </c>
      <c r="G3" s="2">
        <v>84.02</v>
      </c>
      <c r="H3" s="2">
        <v>84.06</v>
      </c>
      <c r="I3" s="2">
        <v>85.07</v>
      </c>
      <c r="J3" s="2">
        <v>84.24</v>
      </c>
      <c r="K3" s="2">
        <v>83.74</v>
      </c>
      <c r="L3" s="2">
        <v>82.75</v>
      </c>
      <c r="M3" s="2">
        <v>83.39</v>
      </c>
      <c r="N3" s="2">
        <v>84.09</v>
      </c>
      <c r="O3" s="2">
        <v>84.36</v>
      </c>
      <c r="P3" s="2">
        <v>84.86</v>
      </c>
      <c r="Q3" s="2">
        <v>84.09</v>
      </c>
      <c r="R3" s="2">
        <v>83.91</v>
      </c>
      <c r="S3" s="2">
        <v>83.58</v>
      </c>
      <c r="T3" s="2">
        <v>83.35</v>
      </c>
      <c r="U3" s="49"/>
      <c r="V3" s="53"/>
      <c r="W3" s="49"/>
      <c r="X3" s="54"/>
      <c r="Y3" s="55"/>
      <c r="Z3" s="54"/>
      <c r="AA3" s="54"/>
      <c r="AB3" s="54"/>
      <c r="AC3" s="54"/>
      <c r="AD3" s="54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4"/>
      <c r="BD3" s="49"/>
      <c r="BE3" s="54"/>
      <c r="BF3" s="54"/>
      <c r="BG3" s="54"/>
      <c r="BH3" s="55"/>
      <c r="BI3" s="54"/>
      <c r="BJ3" s="54"/>
      <c r="BK3" s="54"/>
      <c r="BL3" s="54"/>
      <c r="BM3" s="54"/>
      <c r="BN3" s="54"/>
      <c r="BO3" s="55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>
        <v>82.87</v>
      </c>
      <c r="CC3" s="55">
        <v>82.1</v>
      </c>
      <c r="CD3" s="54">
        <v>82.88</v>
      </c>
      <c r="CE3" s="54">
        <v>83.05</v>
      </c>
      <c r="CF3" s="54">
        <v>82.95</v>
      </c>
      <c r="CG3" s="54">
        <v>83.27</v>
      </c>
      <c r="CH3" s="54">
        <v>84.06</v>
      </c>
      <c r="CI3" s="54">
        <v>82.53</v>
      </c>
      <c r="CJ3" s="55">
        <v>82.41</v>
      </c>
      <c r="CK3" s="54">
        <v>82.88</v>
      </c>
      <c r="CL3" s="54">
        <v>81.99</v>
      </c>
      <c r="CM3" s="54">
        <v>82.4</v>
      </c>
      <c r="CN3" s="54">
        <v>82.96</v>
      </c>
      <c r="CO3" s="54">
        <v>84.25</v>
      </c>
      <c r="CP3" s="54">
        <v>81.75</v>
      </c>
      <c r="CQ3" s="55">
        <v>82.49</v>
      </c>
      <c r="CR3" s="54">
        <v>82.6</v>
      </c>
      <c r="CS3" s="54">
        <v>82.92</v>
      </c>
      <c r="CT3" s="54">
        <v>83.45</v>
      </c>
      <c r="CU3" s="54">
        <v>83.26</v>
      </c>
      <c r="CV3" s="54">
        <v>84.14</v>
      </c>
      <c r="CW3" s="54">
        <v>84.13</v>
      </c>
      <c r="CX3" s="55">
        <v>83.19</v>
      </c>
      <c r="CY3" s="54">
        <v>83.93</v>
      </c>
      <c r="CZ3" s="54">
        <v>83.4</v>
      </c>
      <c r="DA3" s="54"/>
      <c r="DB3" s="54"/>
      <c r="DC3" s="54"/>
      <c r="DD3" s="54"/>
      <c r="DE3" s="55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5"/>
      <c r="DQ3" s="54"/>
      <c r="DR3" s="54"/>
      <c r="DS3" s="55"/>
      <c r="DT3" s="54"/>
      <c r="DU3" s="54"/>
      <c r="DV3" s="55"/>
      <c r="DW3" s="55"/>
      <c r="DX3" s="55"/>
      <c r="DY3" s="55"/>
      <c r="DZ3" s="55">
        <v>83</v>
      </c>
      <c r="EA3" s="55">
        <v>82.77</v>
      </c>
      <c r="EB3" s="55">
        <v>83.48</v>
      </c>
      <c r="EC3" s="55">
        <v>83.65</v>
      </c>
      <c r="ED3" s="55">
        <v>83.46</v>
      </c>
      <c r="EE3" s="55">
        <v>84.31</v>
      </c>
      <c r="EF3" s="55">
        <v>81.23</v>
      </c>
      <c r="EG3" s="55">
        <v>83.5</v>
      </c>
      <c r="EH3" s="104">
        <v>83.89</v>
      </c>
      <c r="EI3" s="55">
        <v>84.08</v>
      </c>
      <c r="EJ3" s="55">
        <v>83.78</v>
      </c>
      <c r="EK3" s="55">
        <v>84.19</v>
      </c>
      <c r="EL3" s="55">
        <v>84.65</v>
      </c>
      <c r="EM3" s="55">
        <v>82.9</v>
      </c>
      <c r="EN3" s="55">
        <v>83.68</v>
      </c>
      <c r="EO3" s="55">
        <v>83.59</v>
      </c>
      <c r="EP3" s="55">
        <v>83.84</v>
      </c>
      <c r="EQ3" s="55">
        <v>84.02</v>
      </c>
      <c r="ER3" s="55">
        <v>84.23</v>
      </c>
      <c r="ES3" s="55">
        <v>84.66</v>
      </c>
      <c r="ET3" s="55">
        <v>83.61</v>
      </c>
      <c r="EU3" s="55">
        <v>84.05</v>
      </c>
      <c r="EV3" s="55">
        <v>83.99</v>
      </c>
      <c r="EW3" s="55">
        <v>80.400000000000006</v>
      </c>
      <c r="EX3" s="55">
        <v>79.05</v>
      </c>
      <c r="EY3" s="55">
        <v>78.3</v>
      </c>
      <c r="EZ3" s="55">
        <v>82.53</v>
      </c>
      <c r="FA3" s="54">
        <v>83.52</v>
      </c>
      <c r="FB3" s="55">
        <v>82.69</v>
      </c>
      <c r="FC3" s="55">
        <v>82.84</v>
      </c>
      <c r="FD3" s="55">
        <v>83.09</v>
      </c>
      <c r="FE3" s="55">
        <v>83.16</v>
      </c>
      <c r="FF3" s="55">
        <v>83.05</v>
      </c>
      <c r="FG3" s="55">
        <v>83.13</v>
      </c>
      <c r="FH3" s="55">
        <v>83.21</v>
      </c>
      <c r="FI3" s="55">
        <v>82.96</v>
      </c>
      <c r="FJ3" s="55">
        <v>82.9</v>
      </c>
      <c r="FK3" s="55">
        <v>80.28</v>
      </c>
      <c r="FL3" s="54">
        <v>79.849999999999994</v>
      </c>
      <c r="FM3" s="54">
        <v>84.19</v>
      </c>
      <c r="FN3" s="54">
        <v>84.54</v>
      </c>
      <c r="FO3" s="54">
        <v>84.5</v>
      </c>
      <c r="FP3" s="54">
        <v>84.3</v>
      </c>
      <c r="FQ3" s="54">
        <v>83.55</v>
      </c>
      <c r="FR3" s="54">
        <v>83.24</v>
      </c>
      <c r="FS3" s="54">
        <v>85.01</v>
      </c>
      <c r="FT3" s="54">
        <v>84.44</v>
      </c>
      <c r="FU3" s="54">
        <v>85.14</v>
      </c>
      <c r="FV3" s="55">
        <v>84.62</v>
      </c>
      <c r="FW3" s="55">
        <v>84.46</v>
      </c>
      <c r="FX3" s="55">
        <v>84.52</v>
      </c>
      <c r="FY3" s="55">
        <v>84.85</v>
      </c>
      <c r="FZ3" s="55">
        <v>84.79</v>
      </c>
      <c r="GA3" s="55">
        <v>84.6</v>
      </c>
      <c r="GB3" s="55">
        <v>84.86</v>
      </c>
      <c r="GC3" s="55">
        <v>83.61</v>
      </c>
      <c r="GD3" s="55">
        <v>84.01</v>
      </c>
      <c r="GE3" s="55">
        <v>83.52</v>
      </c>
      <c r="GF3" s="55">
        <v>84.16</v>
      </c>
      <c r="GG3" s="55">
        <v>83.95</v>
      </c>
      <c r="GH3" s="55">
        <v>84.63</v>
      </c>
      <c r="GI3" s="55">
        <v>84.35</v>
      </c>
      <c r="GJ3" s="55">
        <v>83.8</v>
      </c>
      <c r="GK3" s="55">
        <v>83.71</v>
      </c>
      <c r="GL3" s="54">
        <v>83.87</v>
      </c>
      <c r="GM3" s="54">
        <v>83.5</v>
      </c>
      <c r="GN3" s="54">
        <v>84.23</v>
      </c>
      <c r="GO3" s="54">
        <v>84.83</v>
      </c>
      <c r="GP3" s="54">
        <v>85.48</v>
      </c>
      <c r="GQ3" s="54">
        <v>84.34</v>
      </c>
      <c r="GR3" s="54">
        <v>84.69</v>
      </c>
      <c r="GS3" s="54">
        <v>84.56</v>
      </c>
      <c r="GT3" s="54">
        <v>84.62</v>
      </c>
      <c r="GU3" s="54">
        <v>84.49</v>
      </c>
      <c r="GV3" s="54">
        <v>84.68</v>
      </c>
      <c r="GW3" s="54">
        <v>85.23</v>
      </c>
      <c r="GX3" s="54">
        <v>84.39</v>
      </c>
      <c r="GY3">
        <v>84.68</v>
      </c>
      <c r="GZ3" s="53">
        <v>84.39</v>
      </c>
      <c r="HA3" s="53">
        <v>84.82</v>
      </c>
      <c r="HB3" s="53">
        <v>84.66</v>
      </c>
      <c r="HC3" s="53">
        <v>84.58</v>
      </c>
      <c r="HD3" s="53">
        <v>85.17</v>
      </c>
      <c r="HE3" s="55">
        <v>84.19</v>
      </c>
      <c r="HF3" s="55">
        <v>83.69</v>
      </c>
      <c r="HG3" s="55">
        <v>82.77</v>
      </c>
      <c r="HH3" s="55">
        <v>78.459999999999994</v>
      </c>
      <c r="HI3" s="55">
        <v>80.45</v>
      </c>
      <c r="HJ3" s="55">
        <v>84.75</v>
      </c>
      <c r="HK3" s="55">
        <v>85.46</v>
      </c>
      <c r="HL3" s="55">
        <v>84.99</v>
      </c>
      <c r="HM3" s="55">
        <v>84.64</v>
      </c>
      <c r="HN3" s="55">
        <v>84.45</v>
      </c>
      <c r="HO3" s="55">
        <v>84.58</v>
      </c>
      <c r="HP3" s="55">
        <v>84.75</v>
      </c>
      <c r="HQ3" s="55">
        <v>84.53</v>
      </c>
      <c r="HR3" s="55">
        <v>85.29</v>
      </c>
      <c r="HS3" s="55">
        <v>84.92</v>
      </c>
      <c r="HT3" s="55">
        <v>84.73</v>
      </c>
      <c r="HU3" s="55">
        <v>84.43</v>
      </c>
      <c r="HV3" s="55">
        <v>84.69</v>
      </c>
      <c r="HW3" s="55">
        <v>84.44</v>
      </c>
      <c r="HX3" s="55">
        <v>84.7</v>
      </c>
      <c r="HY3" s="55">
        <v>85.35</v>
      </c>
      <c r="HZ3" s="55">
        <v>84.38</v>
      </c>
      <c r="IA3" s="55">
        <v>84.18</v>
      </c>
      <c r="IB3" s="55">
        <v>84.37</v>
      </c>
      <c r="IC3" s="55">
        <v>84.01</v>
      </c>
      <c r="ID3" s="55">
        <v>84.43</v>
      </c>
      <c r="IE3" s="55">
        <v>84.45</v>
      </c>
      <c r="IF3" s="55">
        <v>85.13</v>
      </c>
      <c r="IG3" s="55">
        <v>84.02</v>
      </c>
      <c r="IH3" s="55">
        <v>84.31</v>
      </c>
      <c r="II3" s="55">
        <v>83.33</v>
      </c>
      <c r="IJ3" s="55">
        <v>84.12</v>
      </c>
      <c r="IK3" s="55">
        <v>84.13</v>
      </c>
      <c r="IL3" s="55">
        <v>84.13</v>
      </c>
      <c r="IM3">
        <v>85.19</v>
      </c>
      <c r="IN3">
        <v>83.76</v>
      </c>
      <c r="IO3">
        <v>83.85</v>
      </c>
      <c r="IP3">
        <v>83.65</v>
      </c>
      <c r="IQ3" s="2">
        <v>83.92</v>
      </c>
      <c r="IR3">
        <v>84.21</v>
      </c>
      <c r="IS3">
        <v>84.71</v>
      </c>
      <c r="IT3">
        <v>85.4</v>
      </c>
      <c r="IU3">
        <v>84.41</v>
      </c>
      <c r="IV3" s="1">
        <v>84.29</v>
      </c>
      <c r="IW3" s="1">
        <v>84.27</v>
      </c>
      <c r="IX3" s="1">
        <v>84.2</v>
      </c>
      <c r="IY3" s="1">
        <v>84.57</v>
      </c>
      <c r="IZ3" s="1">
        <v>84.62</v>
      </c>
      <c r="JA3" s="1">
        <v>85.38</v>
      </c>
      <c r="JB3" s="1">
        <v>84.58</v>
      </c>
      <c r="JC3">
        <v>84.23</v>
      </c>
      <c r="JD3">
        <v>84.2</v>
      </c>
      <c r="JE3">
        <v>84.26</v>
      </c>
      <c r="JF3">
        <v>84.64</v>
      </c>
      <c r="JG3">
        <v>83.65</v>
      </c>
      <c r="JH3">
        <v>84.78</v>
      </c>
      <c r="JI3">
        <v>84.14</v>
      </c>
      <c r="JJ3">
        <v>84.31</v>
      </c>
      <c r="JK3">
        <v>84.72</v>
      </c>
      <c r="JL3" s="252">
        <v>84</v>
      </c>
      <c r="JM3" s="252">
        <v>84.06</v>
      </c>
      <c r="JN3" s="252">
        <v>84.57</v>
      </c>
      <c r="JO3">
        <v>85.32</v>
      </c>
      <c r="JP3">
        <v>83.99</v>
      </c>
      <c r="JQ3">
        <v>82.48</v>
      </c>
      <c r="JR3">
        <v>84.47</v>
      </c>
      <c r="JS3" s="57">
        <v>85.01</v>
      </c>
      <c r="JT3">
        <v>85.58</v>
      </c>
      <c r="JU3" s="252">
        <v>86.57</v>
      </c>
      <c r="JV3">
        <v>86.17</v>
      </c>
      <c r="JW3">
        <v>83.86</v>
      </c>
      <c r="JX3">
        <v>85.03</v>
      </c>
      <c r="JY3">
        <v>84.41</v>
      </c>
      <c r="JZ3">
        <v>85.03</v>
      </c>
      <c r="KA3">
        <v>85.32</v>
      </c>
      <c r="KB3">
        <v>85.37</v>
      </c>
      <c r="KC3">
        <v>86.15</v>
      </c>
      <c r="KD3">
        <v>85.08</v>
      </c>
      <c r="KE3">
        <v>85.08</v>
      </c>
      <c r="KF3">
        <v>85.43</v>
      </c>
      <c r="KG3">
        <v>85.14</v>
      </c>
      <c r="KH3">
        <v>85.37</v>
      </c>
      <c r="KI3">
        <v>85.44</v>
      </c>
      <c r="KJ3">
        <v>86.66</v>
      </c>
      <c r="KK3">
        <v>85.7</v>
      </c>
      <c r="KL3">
        <v>85.52</v>
      </c>
      <c r="KM3">
        <v>85.25</v>
      </c>
      <c r="KN3">
        <v>85.51</v>
      </c>
      <c r="KO3" s="64">
        <v>85.51</v>
      </c>
      <c r="KP3" s="64">
        <v>85.79</v>
      </c>
      <c r="KQ3" s="64">
        <v>86.71</v>
      </c>
      <c r="KR3" s="48">
        <v>85.74</v>
      </c>
      <c r="KS3" s="48">
        <v>85.5</v>
      </c>
      <c r="KT3" s="48">
        <v>86.11</v>
      </c>
      <c r="KU3" s="48">
        <v>85.8</v>
      </c>
      <c r="KV3" s="104">
        <v>85.62</v>
      </c>
      <c r="KW3" s="104">
        <v>83.7</v>
      </c>
      <c r="KX3" s="104">
        <v>83.06</v>
      </c>
      <c r="KY3" s="104">
        <v>80.44</v>
      </c>
      <c r="KZ3" s="104">
        <v>85.35</v>
      </c>
      <c r="LA3" s="104">
        <v>85.38</v>
      </c>
      <c r="LB3" s="104">
        <v>85.92</v>
      </c>
      <c r="LC3" s="104">
        <v>84.84</v>
      </c>
      <c r="LD3" s="104">
        <v>85.93</v>
      </c>
      <c r="LE3" s="104">
        <v>86.43</v>
      </c>
      <c r="LF3" s="104">
        <v>85.1</v>
      </c>
      <c r="LG3" s="104">
        <v>85.48</v>
      </c>
      <c r="LH3" s="104">
        <v>86.1</v>
      </c>
      <c r="LI3" s="104">
        <v>85.66</v>
      </c>
      <c r="LJ3" s="104">
        <v>85.69</v>
      </c>
      <c r="LK3" s="104">
        <v>85.58</v>
      </c>
      <c r="LL3" s="104">
        <v>85.85</v>
      </c>
      <c r="LM3" s="104">
        <v>85.58</v>
      </c>
      <c r="LN3" s="104">
        <v>85.51</v>
      </c>
      <c r="LO3" s="104">
        <v>84.5</v>
      </c>
      <c r="LP3" s="104">
        <v>85.27</v>
      </c>
      <c r="LQ3" s="104">
        <v>85.7</v>
      </c>
      <c r="LR3" s="104">
        <v>85.86</v>
      </c>
      <c r="LS3" s="104">
        <v>86.12</v>
      </c>
      <c r="LT3" s="104">
        <v>85.5</v>
      </c>
      <c r="LU3" s="104">
        <v>85.41</v>
      </c>
      <c r="LV3" s="104">
        <v>85.45</v>
      </c>
      <c r="LW3" s="104">
        <v>85.32</v>
      </c>
      <c r="LX3" s="104">
        <v>85.22</v>
      </c>
      <c r="LY3" s="104">
        <v>85.5</v>
      </c>
      <c r="LZ3" s="104">
        <v>85.99</v>
      </c>
      <c r="MA3" s="104">
        <v>85.29</v>
      </c>
      <c r="MB3" s="104">
        <v>85</v>
      </c>
      <c r="MC3" s="104">
        <v>85.21</v>
      </c>
      <c r="MD3" s="104">
        <v>85.13</v>
      </c>
      <c r="ME3" s="104">
        <v>85.1</v>
      </c>
      <c r="MF3" s="104">
        <v>85.41</v>
      </c>
      <c r="MG3" s="104">
        <v>85.9</v>
      </c>
      <c r="MH3" s="104">
        <v>84.59</v>
      </c>
      <c r="MI3" s="104">
        <v>84.29</v>
      </c>
      <c r="MJ3" s="104">
        <v>85.16</v>
      </c>
      <c r="MK3" s="104">
        <v>87.65</v>
      </c>
      <c r="ML3" s="104">
        <v>85.36</v>
      </c>
      <c r="MM3" s="104">
        <v>89.58</v>
      </c>
      <c r="MN3" s="104">
        <v>86.62</v>
      </c>
      <c r="MO3" s="104">
        <v>85.78</v>
      </c>
      <c r="MP3" s="104">
        <v>85.82</v>
      </c>
      <c r="MQ3" s="104">
        <v>84.7</v>
      </c>
      <c r="MR3" s="104">
        <v>85.93</v>
      </c>
      <c r="MS3" s="101">
        <v>85.99</v>
      </c>
      <c r="MT3" s="101">
        <v>89.71</v>
      </c>
      <c r="MU3" s="101">
        <v>86.51</v>
      </c>
      <c r="MV3" s="101">
        <v>85.49</v>
      </c>
      <c r="MW3" s="101">
        <v>86.16</v>
      </c>
      <c r="MX3" s="101">
        <v>85.89</v>
      </c>
      <c r="MY3" s="104">
        <v>82.41</v>
      </c>
      <c r="MZ3">
        <v>85.88</v>
      </c>
      <c r="NA3">
        <v>85.81</v>
      </c>
      <c r="NB3">
        <v>85.89</v>
      </c>
      <c r="NC3">
        <v>82.25</v>
      </c>
      <c r="ND3">
        <v>85.76</v>
      </c>
      <c r="NE3">
        <v>85.83</v>
      </c>
      <c r="NF3">
        <v>84.31</v>
      </c>
      <c r="NG3">
        <v>85.87</v>
      </c>
      <c r="NH3">
        <v>85.96</v>
      </c>
      <c r="NI3">
        <v>86.58</v>
      </c>
      <c r="NJ3">
        <v>86.14</v>
      </c>
      <c r="NK3">
        <v>85.84</v>
      </c>
      <c r="NL3">
        <v>85.95</v>
      </c>
      <c r="NM3">
        <v>86.18</v>
      </c>
      <c r="NN3">
        <v>86.27</v>
      </c>
      <c r="NO3">
        <v>86.87</v>
      </c>
      <c r="NP3">
        <v>87.25</v>
      </c>
      <c r="NQ3">
        <v>86.43</v>
      </c>
      <c r="NR3">
        <v>86.6</v>
      </c>
      <c r="NS3">
        <v>86.48</v>
      </c>
      <c r="NT3">
        <v>86.74</v>
      </c>
      <c r="NU3">
        <v>86.53</v>
      </c>
      <c r="NV3">
        <v>86.79</v>
      </c>
      <c r="NW3">
        <v>87.11</v>
      </c>
      <c r="NX3">
        <v>86.48</v>
      </c>
      <c r="NY3">
        <v>86.09</v>
      </c>
      <c r="NZ3">
        <v>86.34</v>
      </c>
      <c r="OA3">
        <v>86.35</v>
      </c>
      <c r="OB3">
        <v>85.97</v>
      </c>
      <c r="OC3">
        <v>86.83</v>
      </c>
      <c r="OD3">
        <v>87.36</v>
      </c>
      <c r="OE3">
        <v>86.73</v>
      </c>
      <c r="OF3">
        <v>86.33</v>
      </c>
      <c r="OG3">
        <v>86.16</v>
      </c>
      <c r="OH3">
        <v>86.32</v>
      </c>
      <c r="OI3">
        <v>86.34</v>
      </c>
      <c r="OJ3">
        <v>86.66</v>
      </c>
      <c r="OK3">
        <v>87.02</v>
      </c>
      <c r="OL3">
        <v>86.46</v>
      </c>
      <c r="OM3">
        <v>86.58</v>
      </c>
      <c r="ON3">
        <v>87.17</v>
      </c>
      <c r="OO3">
        <v>86.91</v>
      </c>
      <c r="OP3">
        <v>86.83</v>
      </c>
      <c r="OQ3">
        <v>86.87</v>
      </c>
      <c r="OR3">
        <v>87.72</v>
      </c>
      <c r="OS3">
        <v>87.38</v>
      </c>
      <c r="OT3">
        <v>86.73</v>
      </c>
      <c r="OU3">
        <v>85.63</v>
      </c>
      <c r="OV3">
        <v>88.36</v>
      </c>
      <c r="OW3">
        <v>86.07</v>
      </c>
      <c r="OX3">
        <v>86.92</v>
      </c>
      <c r="OY3">
        <v>87.1</v>
      </c>
      <c r="OZ3">
        <v>86.83</v>
      </c>
      <c r="PA3">
        <v>86.32</v>
      </c>
      <c r="PB3">
        <v>86.25</v>
      </c>
      <c r="PC3">
        <v>86.62</v>
      </c>
      <c r="PD3">
        <v>86.3</v>
      </c>
      <c r="PE3">
        <v>86.83</v>
      </c>
      <c r="PF3">
        <v>87.25</v>
      </c>
      <c r="PG3">
        <v>86.28</v>
      </c>
      <c r="PH3">
        <v>86.52</v>
      </c>
      <c r="PI3">
        <v>86.74</v>
      </c>
      <c r="PJ3">
        <v>86.37</v>
      </c>
      <c r="PK3">
        <v>86.49</v>
      </c>
      <c r="PL3">
        <v>86.49</v>
      </c>
      <c r="PM3">
        <v>86.53</v>
      </c>
      <c r="PN3">
        <v>86.18</v>
      </c>
      <c r="PO3">
        <v>86.06</v>
      </c>
      <c r="PP3">
        <v>86.72</v>
      </c>
      <c r="PQ3">
        <v>86.78</v>
      </c>
      <c r="PR3">
        <v>88.36</v>
      </c>
      <c r="PS3" s="64">
        <v>86.75</v>
      </c>
      <c r="PT3" s="64">
        <v>88.31</v>
      </c>
      <c r="PU3" s="48">
        <v>86.76</v>
      </c>
      <c r="PV3" s="48">
        <v>86.5</v>
      </c>
      <c r="PW3" s="48">
        <v>86.96</v>
      </c>
      <c r="PX3" s="48">
        <v>88.39</v>
      </c>
      <c r="PY3" s="48">
        <v>87.27</v>
      </c>
      <c r="PZ3" s="48">
        <v>86.47</v>
      </c>
      <c r="QA3" s="48">
        <v>87.14</v>
      </c>
      <c r="QB3" s="48">
        <v>86.78</v>
      </c>
      <c r="QC3" s="48">
        <v>86.65</v>
      </c>
      <c r="QD3" s="48">
        <v>86.38</v>
      </c>
      <c r="QE3" s="48">
        <v>86.66</v>
      </c>
      <c r="QF3" s="64">
        <v>86.69</v>
      </c>
      <c r="QG3" s="64">
        <v>86.68</v>
      </c>
      <c r="QH3" s="48">
        <v>87.01</v>
      </c>
      <c r="QI3" s="48">
        <v>86.63</v>
      </c>
      <c r="QJ3" s="48">
        <v>86.56</v>
      </c>
      <c r="QK3" s="48">
        <v>86.47</v>
      </c>
      <c r="QL3" s="48">
        <v>86.57</v>
      </c>
      <c r="QM3">
        <v>86.15</v>
      </c>
      <c r="QN3">
        <v>86.12</v>
      </c>
      <c r="QO3">
        <v>86.19</v>
      </c>
      <c r="QP3">
        <v>86.23</v>
      </c>
      <c r="QQ3">
        <v>86.07</v>
      </c>
      <c r="QR3">
        <v>85.79</v>
      </c>
      <c r="QS3">
        <v>86.17</v>
      </c>
      <c r="QT3" s="48">
        <v>86.37</v>
      </c>
      <c r="QU3" s="48">
        <v>86.48</v>
      </c>
      <c r="QV3" s="48">
        <v>86.74</v>
      </c>
      <c r="QW3" s="48">
        <v>86.8</v>
      </c>
      <c r="QX3" s="48">
        <v>86.57</v>
      </c>
      <c r="QY3" s="48">
        <v>86.58</v>
      </c>
      <c r="QZ3" s="48">
        <v>86.71</v>
      </c>
      <c r="RA3" s="48">
        <v>86.86</v>
      </c>
      <c r="RB3" s="48">
        <v>86.88</v>
      </c>
      <c r="RC3" s="48">
        <v>87</v>
      </c>
      <c r="RD3" s="48">
        <v>86.93</v>
      </c>
      <c r="RE3" s="48">
        <v>86.78</v>
      </c>
      <c r="RF3" s="48">
        <v>86.89</v>
      </c>
      <c r="RG3" s="158">
        <v>86.6</v>
      </c>
      <c r="RH3" s="48">
        <v>86.86</v>
      </c>
      <c r="RI3" s="48">
        <v>86.95</v>
      </c>
      <c r="RJ3" s="48">
        <v>87.08</v>
      </c>
      <c r="RK3">
        <v>86.45</v>
      </c>
      <c r="RL3" s="48">
        <v>86.59</v>
      </c>
      <c r="RM3">
        <v>86.34</v>
      </c>
      <c r="RN3">
        <v>86.28</v>
      </c>
      <c r="RO3">
        <v>86.12</v>
      </c>
      <c r="RP3">
        <v>87.01</v>
      </c>
      <c r="RQ3">
        <v>86.72</v>
      </c>
      <c r="RR3">
        <v>86.78</v>
      </c>
      <c r="RS3" s="48">
        <v>86.39</v>
      </c>
      <c r="RT3" s="48">
        <v>86.76</v>
      </c>
      <c r="RU3" s="48">
        <v>86.75</v>
      </c>
      <c r="RV3" s="48">
        <v>86.98</v>
      </c>
      <c r="RW3" s="48">
        <v>87.09</v>
      </c>
      <c r="RX3" s="48">
        <v>87.36</v>
      </c>
      <c r="RY3" s="48">
        <v>87</v>
      </c>
      <c r="RZ3" s="48">
        <v>86.97</v>
      </c>
      <c r="SA3" s="48">
        <v>87.11</v>
      </c>
      <c r="SB3" s="48">
        <v>87.04</v>
      </c>
      <c r="SC3" s="48">
        <v>87.29</v>
      </c>
      <c r="SD3" s="48">
        <v>87.1</v>
      </c>
      <c r="SE3" s="48">
        <v>86.4</v>
      </c>
      <c r="SF3" s="48">
        <v>87.04</v>
      </c>
      <c r="SG3" s="48">
        <v>87.04</v>
      </c>
      <c r="SH3" s="48">
        <v>81.45</v>
      </c>
      <c r="SI3" s="48">
        <v>86.95</v>
      </c>
      <c r="SJ3" s="48">
        <v>86.12</v>
      </c>
      <c r="SK3" s="48">
        <v>84.07</v>
      </c>
      <c r="SL3" s="48">
        <v>86.88</v>
      </c>
      <c r="SM3" s="48">
        <v>87.03</v>
      </c>
      <c r="SN3" s="64">
        <v>89.16</v>
      </c>
      <c r="SO3" s="64">
        <v>88.5</v>
      </c>
      <c r="SP3" s="48">
        <v>86.29</v>
      </c>
      <c r="SQ3" s="64">
        <v>89.790274420771979</v>
      </c>
      <c r="SR3" s="64">
        <v>89.464689491439628</v>
      </c>
      <c r="SS3" s="64">
        <v>88.5</v>
      </c>
      <c r="ST3" s="48">
        <v>86.97</v>
      </c>
      <c r="SU3" s="72">
        <v>87.75</v>
      </c>
      <c r="SV3" s="48">
        <v>87.42</v>
      </c>
      <c r="SW3" s="64">
        <v>87.73</v>
      </c>
      <c r="SX3" s="64">
        <v>88.5</v>
      </c>
      <c r="SY3" s="64">
        <v>89.16</v>
      </c>
      <c r="SZ3" s="48">
        <v>87.29</v>
      </c>
      <c r="TA3" s="64">
        <v>89.16</v>
      </c>
      <c r="TB3" s="64">
        <v>84.79</v>
      </c>
      <c r="TC3" s="64">
        <v>87.217501921901558</v>
      </c>
      <c r="TD3" s="64">
        <v>87.531962009797979</v>
      </c>
      <c r="TE3" s="64">
        <v>87.363799937761357</v>
      </c>
      <c r="TF3" s="64">
        <v>87.409084501594791</v>
      </c>
      <c r="TG3" s="64">
        <v>86.939159765679477</v>
      </c>
      <c r="TH3" s="48">
        <v>87.29</v>
      </c>
      <c r="TI3" s="64">
        <v>87.75</v>
      </c>
      <c r="TJ3" s="64">
        <v>87.42</v>
      </c>
      <c r="TK3" s="64">
        <v>87.73</v>
      </c>
      <c r="TL3" s="64">
        <v>89.351165410146137</v>
      </c>
      <c r="TM3" s="64">
        <v>90.004102277294564</v>
      </c>
      <c r="TN3" s="64">
        <v>89.134243681398303</v>
      </c>
      <c r="TO3" s="64">
        <v>89.610028879482201</v>
      </c>
      <c r="TP3" s="64">
        <v>88.895920764147675</v>
      </c>
      <c r="TQ3" s="64">
        <v>89.972276507202565</v>
      </c>
      <c r="TR3" s="64">
        <v>88.774248723927613</v>
      </c>
      <c r="TS3" s="64">
        <v>89.80648183801884</v>
      </c>
      <c r="TT3" s="64">
        <v>89.997029837131606</v>
      </c>
      <c r="TU3" s="48">
        <v>88.35</v>
      </c>
      <c r="TV3" s="48">
        <v>88.28</v>
      </c>
      <c r="TW3" s="48">
        <v>87.98</v>
      </c>
      <c r="TX3" s="48">
        <v>88.07</v>
      </c>
      <c r="TY3" s="48">
        <v>87.85</v>
      </c>
      <c r="TZ3" s="48">
        <v>87.87</v>
      </c>
      <c r="UA3" s="158">
        <v>87.9</v>
      </c>
      <c r="UB3" s="1">
        <v>88</v>
      </c>
      <c r="UC3">
        <v>87.96</v>
      </c>
      <c r="UD3" s="158">
        <v>87.75</v>
      </c>
      <c r="UE3" s="48">
        <v>87.88</v>
      </c>
      <c r="UF3" s="48">
        <v>88.07</v>
      </c>
      <c r="UG3" s="48">
        <v>88.13</v>
      </c>
      <c r="UH3" s="48">
        <v>88.07</v>
      </c>
      <c r="UI3" s="48">
        <v>88.14</v>
      </c>
      <c r="UJ3" s="48">
        <v>87.35</v>
      </c>
      <c r="UK3" s="48">
        <v>87.57</v>
      </c>
      <c r="UL3" s="158">
        <v>88.17</v>
      </c>
      <c r="UM3" s="48">
        <v>88.23</v>
      </c>
      <c r="UN3">
        <v>88.25</v>
      </c>
      <c r="UO3">
        <v>88.25</v>
      </c>
      <c r="UP3">
        <v>87.64</v>
      </c>
      <c r="UQ3">
        <v>88.34</v>
      </c>
      <c r="UR3" s="48">
        <v>88.08</v>
      </c>
      <c r="US3" s="48">
        <v>88.17</v>
      </c>
      <c r="UT3" s="48">
        <v>88.18</v>
      </c>
      <c r="UU3" s="48">
        <v>88.23</v>
      </c>
      <c r="UV3" s="48">
        <v>88.23</v>
      </c>
      <c r="UW3" s="48">
        <v>88.28</v>
      </c>
      <c r="UX3" s="48">
        <v>88.23</v>
      </c>
      <c r="UY3" s="48">
        <v>88.16</v>
      </c>
      <c r="UZ3" s="48">
        <v>88.11</v>
      </c>
      <c r="VA3" s="48">
        <v>88.43</v>
      </c>
      <c r="VB3" s="48">
        <v>88.19</v>
      </c>
      <c r="VC3" s="48">
        <v>88.39</v>
      </c>
      <c r="VD3" s="158">
        <v>88.39</v>
      </c>
      <c r="VE3" s="48">
        <v>82.25</v>
      </c>
      <c r="VF3" s="48">
        <v>88.29</v>
      </c>
      <c r="VG3" s="48">
        <v>88.26</v>
      </c>
      <c r="VH3" s="48">
        <v>88.03</v>
      </c>
      <c r="VI3" s="48">
        <v>87.43</v>
      </c>
      <c r="VJ3" s="48">
        <v>87.88</v>
      </c>
      <c r="VK3" s="158">
        <v>88.09</v>
      </c>
      <c r="VL3" s="48">
        <v>88.2</v>
      </c>
      <c r="VM3" s="48">
        <v>88</v>
      </c>
      <c r="VN3" s="48">
        <v>88.08</v>
      </c>
      <c r="VO3" s="48">
        <v>88.27</v>
      </c>
      <c r="VP3" s="48">
        <v>88.06</v>
      </c>
      <c r="VQ3" s="48">
        <v>87.79</v>
      </c>
      <c r="VR3" s="48">
        <v>88.25</v>
      </c>
    </row>
    <row r="4" spans="1:590" ht="15.75" thickBot="1" x14ac:dyDescent="0.3">
      <c r="A4" s="45" t="s">
        <v>37</v>
      </c>
      <c r="B4" s="2">
        <v>82.65</v>
      </c>
      <c r="C4" s="2">
        <v>86.14</v>
      </c>
      <c r="D4" s="30">
        <v>85.88</v>
      </c>
      <c r="E4" s="30">
        <v>85.88</v>
      </c>
      <c r="F4" s="30">
        <v>85.92</v>
      </c>
      <c r="G4" s="2">
        <v>86.32</v>
      </c>
      <c r="H4" s="2">
        <v>86.33</v>
      </c>
      <c r="I4" s="2">
        <v>87.29</v>
      </c>
      <c r="J4" s="2">
        <v>86.51</v>
      </c>
      <c r="K4" s="2">
        <v>86.15</v>
      </c>
      <c r="L4" s="2">
        <v>85.37</v>
      </c>
      <c r="M4" s="2">
        <v>85.85</v>
      </c>
      <c r="N4" s="2">
        <v>86.42</v>
      </c>
      <c r="O4" s="2">
        <v>86.66</v>
      </c>
      <c r="P4" s="2">
        <v>87.18</v>
      </c>
      <c r="Q4" s="2">
        <v>86.44</v>
      </c>
      <c r="R4" s="2">
        <v>86.29</v>
      </c>
      <c r="S4" s="2">
        <v>85.97</v>
      </c>
      <c r="T4" s="2">
        <v>85.72</v>
      </c>
      <c r="U4" s="49"/>
      <c r="V4" s="53"/>
      <c r="W4" s="49"/>
      <c r="X4" s="54"/>
      <c r="Y4" s="55"/>
      <c r="Z4" s="54"/>
      <c r="AA4" s="54"/>
      <c r="AB4" s="54"/>
      <c r="AC4" s="54"/>
      <c r="AD4" s="54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4"/>
      <c r="BD4" s="49"/>
      <c r="BE4" s="54"/>
      <c r="BF4" s="54"/>
      <c r="BG4" s="54"/>
      <c r="BH4" s="55"/>
      <c r="BI4" s="54"/>
      <c r="BJ4" s="54"/>
      <c r="BK4" s="54"/>
      <c r="BL4" s="54"/>
      <c r="BM4" s="54"/>
      <c r="BN4" s="54"/>
      <c r="BO4" s="55"/>
      <c r="BP4" s="54"/>
      <c r="BQ4" s="54"/>
      <c r="BR4" s="54"/>
      <c r="BS4" s="54"/>
      <c r="BT4" s="54"/>
      <c r="BU4" s="54"/>
      <c r="BV4" s="55"/>
      <c r="BW4" s="54"/>
      <c r="BX4" s="54"/>
      <c r="BY4" s="54"/>
      <c r="BZ4" s="54"/>
      <c r="CA4" s="54"/>
      <c r="CB4" s="54">
        <v>85.15</v>
      </c>
      <c r="CC4" s="55">
        <v>84.33</v>
      </c>
      <c r="CD4" s="54">
        <v>85.28</v>
      </c>
      <c r="CE4" s="54">
        <v>85.46</v>
      </c>
      <c r="CF4" s="54">
        <v>85.3</v>
      </c>
      <c r="CG4" s="54">
        <v>85.56</v>
      </c>
      <c r="CH4" s="54">
        <v>86.15</v>
      </c>
      <c r="CI4" s="54">
        <v>84.82</v>
      </c>
      <c r="CJ4" s="55">
        <v>84.77</v>
      </c>
      <c r="CK4" s="54">
        <v>85.18</v>
      </c>
      <c r="CL4" s="54">
        <v>84.3</v>
      </c>
      <c r="CM4" s="54">
        <v>84.67</v>
      </c>
      <c r="CN4" s="54">
        <v>85.3</v>
      </c>
      <c r="CO4" s="54">
        <v>86.53</v>
      </c>
      <c r="CP4" s="54">
        <v>84.02</v>
      </c>
      <c r="CQ4" s="55">
        <v>84.82</v>
      </c>
      <c r="CR4" s="54">
        <v>84.91</v>
      </c>
      <c r="CS4" s="54">
        <v>85.15</v>
      </c>
      <c r="CT4" s="54">
        <v>85.66</v>
      </c>
      <c r="CU4" s="54">
        <v>85.47</v>
      </c>
      <c r="CV4" s="54">
        <v>86.39</v>
      </c>
      <c r="CW4" s="54">
        <v>86.32</v>
      </c>
      <c r="CX4" s="55">
        <v>85.43</v>
      </c>
      <c r="CY4" s="54">
        <v>86.15</v>
      </c>
      <c r="CZ4" s="54">
        <v>85.62</v>
      </c>
      <c r="DA4" s="54"/>
      <c r="DB4" s="54"/>
      <c r="DC4" s="54"/>
      <c r="DD4" s="54"/>
      <c r="DE4" s="55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5"/>
      <c r="DQ4" s="54"/>
      <c r="DR4" s="54"/>
      <c r="DS4" s="55"/>
      <c r="DT4" s="54"/>
      <c r="DU4" s="54"/>
      <c r="DV4" s="55"/>
      <c r="DW4" s="55"/>
      <c r="DX4" s="55"/>
      <c r="DY4" s="55"/>
      <c r="DZ4" s="55">
        <v>85.42</v>
      </c>
      <c r="EA4" s="55">
        <v>85.21</v>
      </c>
      <c r="EB4" s="55">
        <v>85.94</v>
      </c>
      <c r="EC4" s="55">
        <v>86.09</v>
      </c>
      <c r="ED4" s="55">
        <v>85.84</v>
      </c>
      <c r="EE4" s="55">
        <v>86.72</v>
      </c>
      <c r="EF4" s="55">
        <v>83.47</v>
      </c>
      <c r="EG4" s="55">
        <v>85.95</v>
      </c>
      <c r="EH4" s="104">
        <v>86.31</v>
      </c>
      <c r="EI4" s="55">
        <v>86.52</v>
      </c>
      <c r="EJ4" s="55">
        <v>86.19</v>
      </c>
      <c r="EK4" s="55">
        <v>86.55</v>
      </c>
      <c r="EL4" s="55">
        <v>87.01</v>
      </c>
      <c r="EM4" s="55">
        <v>85.58</v>
      </c>
      <c r="EN4" s="55">
        <v>86.14</v>
      </c>
      <c r="EO4" s="55">
        <v>86.01</v>
      </c>
      <c r="EP4" s="55">
        <v>86.26</v>
      </c>
      <c r="EQ4" s="55">
        <v>86.34</v>
      </c>
      <c r="ER4" s="55">
        <v>86.54</v>
      </c>
      <c r="ES4" s="55">
        <v>86.96</v>
      </c>
      <c r="ET4" s="55">
        <v>85.95</v>
      </c>
      <c r="EU4" s="55">
        <v>86.38</v>
      </c>
      <c r="EV4" s="55">
        <v>86.35</v>
      </c>
      <c r="EW4" s="55">
        <v>82.67</v>
      </c>
      <c r="EX4" s="55">
        <v>81.25</v>
      </c>
      <c r="EY4" s="55">
        <v>80.5</v>
      </c>
      <c r="EZ4" s="55">
        <v>85.15</v>
      </c>
      <c r="FA4" s="54">
        <v>85.9</v>
      </c>
      <c r="FB4" s="55">
        <v>85.15</v>
      </c>
      <c r="FC4" s="55">
        <v>85.25</v>
      </c>
      <c r="FD4" s="55">
        <v>85.52</v>
      </c>
      <c r="FE4" s="55">
        <v>85.53</v>
      </c>
      <c r="FF4" s="55">
        <v>85.51</v>
      </c>
      <c r="FG4" s="55">
        <v>85.6</v>
      </c>
      <c r="FH4" s="55">
        <v>85.56</v>
      </c>
      <c r="FI4" s="55">
        <v>85.41</v>
      </c>
      <c r="FJ4" s="55">
        <v>85.37</v>
      </c>
      <c r="FK4" s="55">
        <v>82.56</v>
      </c>
      <c r="FL4" s="54">
        <v>82.02</v>
      </c>
      <c r="FM4" s="54">
        <v>86.44</v>
      </c>
      <c r="FN4" s="54">
        <v>86.91</v>
      </c>
      <c r="FO4" s="54">
        <v>86.77</v>
      </c>
      <c r="FP4" s="55">
        <v>86.57</v>
      </c>
      <c r="FQ4" s="54">
        <v>85.93</v>
      </c>
      <c r="FR4" s="54">
        <v>85.52</v>
      </c>
      <c r="FS4" s="54">
        <v>87.27</v>
      </c>
      <c r="FT4" s="54">
        <v>86.76</v>
      </c>
      <c r="FU4" s="54">
        <v>87.44</v>
      </c>
      <c r="FV4" s="55">
        <v>86.85</v>
      </c>
      <c r="FW4" s="55">
        <v>86.65</v>
      </c>
      <c r="FX4" s="55">
        <v>86.88</v>
      </c>
      <c r="FY4" s="55">
        <v>87.14</v>
      </c>
      <c r="FZ4" s="55">
        <v>87.03</v>
      </c>
      <c r="GA4" s="55">
        <v>86.84</v>
      </c>
      <c r="GB4" s="55">
        <v>87.14</v>
      </c>
      <c r="GC4" s="55">
        <v>85.9</v>
      </c>
      <c r="GD4" s="55">
        <v>86.27</v>
      </c>
      <c r="GE4" s="55">
        <v>85.79</v>
      </c>
      <c r="GF4" s="55">
        <v>86.38</v>
      </c>
      <c r="GG4" s="55">
        <v>86.14</v>
      </c>
      <c r="GH4" s="55">
        <v>86.8</v>
      </c>
      <c r="GI4" s="55">
        <v>86.4</v>
      </c>
      <c r="GJ4" s="55">
        <v>85.94</v>
      </c>
      <c r="GK4" s="55">
        <v>85.86</v>
      </c>
      <c r="GL4" s="54">
        <v>86</v>
      </c>
      <c r="GM4" s="54">
        <v>85.67</v>
      </c>
      <c r="GN4" s="54">
        <v>86.43</v>
      </c>
      <c r="GO4" s="54">
        <v>86.94</v>
      </c>
      <c r="GP4" s="54">
        <v>87.55</v>
      </c>
      <c r="GQ4" s="54">
        <v>86.49</v>
      </c>
      <c r="GR4" s="54">
        <v>86.83</v>
      </c>
      <c r="GS4" s="54">
        <v>86.69</v>
      </c>
      <c r="GT4" s="54">
        <v>86.73</v>
      </c>
      <c r="GU4" s="54">
        <v>86.66</v>
      </c>
      <c r="GV4" s="54">
        <v>86.87</v>
      </c>
      <c r="GW4" s="54">
        <v>87.35</v>
      </c>
      <c r="GX4" s="54">
        <v>86.57</v>
      </c>
      <c r="GY4">
        <v>86.91</v>
      </c>
      <c r="GZ4" s="53">
        <v>86.66</v>
      </c>
      <c r="HA4" s="53">
        <v>87</v>
      </c>
      <c r="HB4" s="53">
        <v>86.86</v>
      </c>
      <c r="HC4" s="53">
        <v>86.8</v>
      </c>
      <c r="HD4" s="53">
        <v>87.31</v>
      </c>
      <c r="HE4" s="55">
        <v>86.46</v>
      </c>
      <c r="HF4" s="55">
        <v>86.14</v>
      </c>
      <c r="HG4" s="55">
        <v>85.45</v>
      </c>
      <c r="HH4" s="55">
        <v>80.87</v>
      </c>
      <c r="HI4" s="55">
        <v>83.7</v>
      </c>
      <c r="HJ4" s="55">
        <v>87.7</v>
      </c>
      <c r="HK4" s="55">
        <v>88.33</v>
      </c>
      <c r="HL4" s="55">
        <v>87.12</v>
      </c>
      <c r="HM4" s="55">
        <v>86.8</v>
      </c>
      <c r="HN4" s="55">
        <v>86.65</v>
      </c>
      <c r="HO4" s="55">
        <v>86.74</v>
      </c>
      <c r="HP4" s="55">
        <v>86.9</v>
      </c>
      <c r="HQ4" s="55">
        <v>86.68</v>
      </c>
      <c r="HR4" s="55">
        <v>87.38</v>
      </c>
      <c r="HS4" s="55">
        <v>87.07</v>
      </c>
      <c r="HT4" s="55">
        <v>86.86</v>
      </c>
      <c r="HU4" s="55">
        <v>86.64</v>
      </c>
      <c r="HV4" s="55">
        <v>86.85</v>
      </c>
      <c r="HW4" s="55">
        <v>86.61</v>
      </c>
      <c r="HX4" s="55">
        <v>86.84</v>
      </c>
      <c r="HY4" s="55">
        <v>87.42</v>
      </c>
      <c r="HZ4" s="55">
        <v>86.54</v>
      </c>
      <c r="IA4" s="55">
        <v>86.37</v>
      </c>
      <c r="IB4" s="55">
        <v>86.56</v>
      </c>
      <c r="IC4" s="55">
        <v>86.15</v>
      </c>
      <c r="ID4" s="55">
        <v>86.56</v>
      </c>
      <c r="IE4" s="55">
        <v>86.55</v>
      </c>
      <c r="IF4" s="55">
        <v>87.23</v>
      </c>
      <c r="IG4" s="55">
        <v>86.18</v>
      </c>
      <c r="IH4" s="55">
        <v>86.52</v>
      </c>
      <c r="II4" s="55">
        <v>85.5</v>
      </c>
      <c r="IJ4" s="55">
        <v>86.26</v>
      </c>
      <c r="IK4" s="55">
        <v>86.3</v>
      </c>
      <c r="IL4" s="55">
        <v>86.28</v>
      </c>
      <c r="IM4">
        <v>87.28</v>
      </c>
      <c r="IN4">
        <v>85.92</v>
      </c>
      <c r="IO4">
        <v>85.99</v>
      </c>
      <c r="IP4">
        <v>85.8</v>
      </c>
      <c r="IQ4" s="2">
        <v>86.06</v>
      </c>
      <c r="IR4">
        <v>86.35</v>
      </c>
      <c r="IS4">
        <v>86.8</v>
      </c>
      <c r="IT4">
        <v>87.46</v>
      </c>
      <c r="IU4">
        <v>86.52</v>
      </c>
      <c r="IV4" s="1">
        <v>86.43</v>
      </c>
      <c r="IW4" s="1">
        <v>86.42</v>
      </c>
      <c r="IX4" s="1">
        <v>86.4</v>
      </c>
      <c r="IY4" s="1">
        <v>86.7</v>
      </c>
      <c r="IZ4" s="1">
        <v>86.74</v>
      </c>
      <c r="JA4" s="1">
        <v>87.48</v>
      </c>
      <c r="JB4" s="1">
        <v>86.73</v>
      </c>
      <c r="JC4">
        <v>86.42</v>
      </c>
      <c r="JD4">
        <v>86.35</v>
      </c>
      <c r="JE4">
        <v>86.4</v>
      </c>
      <c r="JF4">
        <v>86.74</v>
      </c>
      <c r="JG4">
        <v>85.92</v>
      </c>
      <c r="JH4">
        <v>86.86</v>
      </c>
      <c r="JI4">
        <v>86.24</v>
      </c>
      <c r="JJ4">
        <v>86.44</v>
      </c>
      <c r="JK4">
        <v>86.84</v>
      </c>
      <c r="JL4" s="252">
        <v>86.09</v>
      </c>
      <c r="JM4" s="252">
        <v>86.17</v>
      </c>
      <c r="JN4" s="252">
        <v>86.7</v>
      </c>
      <c r="JO4">
        <v>87.4</v>
      </c>
      <c r="JP4">
        <v>86.05</v>
      </c>
      <c r="JQ4">
        <v>84.5</v>
      </c>
      <c r="JR4">
        <v>86.55</v>
      </c>
      <c r="JS4" s="57">
        <v>87.12</v>
      </c>
      <c r="JT4">
        <v>87.53</v>
      </c>
      <c r="JU4">
        <v>86.05</v>
      </c>
      <c r="JV4">
        <v>88.21</v>
      </c>
      <c r="JW4">
        <v>85.92</v>
      </c>
      <c r="JX4">
        <v>87.07</v>
      </c>
      <c r="JY4">
        <v>86.46</v>
      </c>
      <c r="JZ4">
        <v>87.07</v>
      </c>
      <c r="KA4">
        <v>87.35</v>
      </c>
      <c r="KB4">
        <v>87.41</v>
      </c>
      <c r="KC4">
        <v>88.2</v>
      </c>
      <c r="KD4">
        <v>87.12</v>
      </c>
      <c r="KE4">
        <v>87.13</v>
      </c>
      <c r="KF4">
        <v>87.49</v>
      </c>
      <c r="KG4">
        <v>87.33</v>
      </c>
      <c r="KH4">
        <v>87.41</v>
      </c>
      <c r="KI4">
        <v>87.49</v>
      </c>
      <c r="KJ4">
        <v>88.67</v>
      </c>
      <c r="KK4">
        <v>87.73</v>
      </c>
      <c r="KL4">
        <v>87.56</v>
      </c>
      <c r="KM4">
        <v>87.29</v>
      </c>
      <c r="KN4">
        <v>87.53</v>
      </c>
      <c r="KO4" s="64">
        <v>87.58</v>
      </c>
      <c r="KP4" s="64">
        <v>87.83</v>
      </c>
      <c r="KQ4" s="64">
        <v>88.72</v>
      </c>
      <c r="KR4" s="48">
        <v>87.78</v>
      </c>
      <c r="KS4" s="48">
        <v>87.56</v>
      </c>
      <c r="KT4" s="48">
        <v>88.18</v>
      </c>
      <c r="KU4" s="48">
        <v>87.85</v>
      </c>
      <c r="KV4" s="104">
        <v>87.69</v>
      </c>
      <c r="KW4" s="104">
        <v>85.7</v>
      </c>
      <c r="KX4" s="104">
        <v>85.08</v>
      </c>
      <c r="KY4" s="104">
        <v>82.38</v>
      </c>
      <c r="KZ4" s="104">
        <v>87.45</v>
      </c>
      <c r="LA4" s="104">
        <v>87.42</v>
      </c>
      <c r="LB4" s="104">
        <v>87.98</v>
      </c>
      <c r="LC4" s="104">
        <v>87.01</v>
      </c>
      <c r="LD4" s="104">
        <v>87.97</v>
      </c>
      <c r="LE4" s="104">
        <v>88.47</v>
      </c>
      <c r="LF4" s="104">
        <v>87.23</v>
      </c>
      <c r="LG4" s="104">
        <v>87.62</v>
      </c>
      <c r="LH4" s="104">
        <v>88.21</v>
      </c>
      <c r="LI4" s="104">
        <v>87.73</v>
      </c>
      <c r="LJ4" s="104">
        <v>87.71</v>
      </c>
      <c r="LK4" s="104">
        <v>87.62</v>
      </c>
      <c r="LL4" s="104">
        <v>87.92</v>
      </c>
      <c r="LM4" s="104">
        <v>87.69</v>
      </c>
      <c r="LN4" s="104">
        <v>87.6</v>
      </c>
      <c r="LO4" s="104">
        <v>86.66</v>
      </c>
      <c r="LP4" s="104">
        <v>87.34</v>
      </c>
      <c r="LQ4" s="104">
        <v>87.75</v>
      </c>
      <c r="LR4" s="104">
        <v>87.9</v>
      </c>
      <c r="LS4" s="104">
        <v>88.19</v>
      </c>
      <c r="LT4" s="104">
        <v>87.59</v>
      </c>
      <c r="LU4" s="104">
        <v>87.51</v>
      </c>
      <c r="LV4" s="104">
        <v>87.55</v>
      </c>
      <c r="LW4" s="104">
        <v>87.4</v>
      </c>
      <c r="LX4" s="104">
        <v>87.33</v>
      </c>
      <c r="LY4" s="104">
        <v>87.56</v>
      </c>
      <c r="LZ4" s="104">
        <v>88.05</v>
      </c>
      <c r="MA4" s="104">
        <v>87.43</v>
      </c>
      <c r="MB4" s="104">
        <v>87.29</v>
      </c>
      <c r="MC4" s="104">
        <v>87.43</v>
      </c>
      <c r="MD4" s="104">
        <v>87.36</v>
      </c>
      <c r="ME4" s="104">
        <v>87.34</v>
      </c>
      <c r="MF4" s="104">
        <v>87.59</v>
      </c>
      <c r="MG4" s="104">
        <v>88.14</v>
      </c>
      <c r="MH4" s="104">
        <v>87</v>
      </c>
      <c r="MI4" s="104">
        <v>86.55</v>
      </c>
      <c r="MJ4" s="104">
        <v>87.29</v>
      </c>
      <c r="MK4" s="104">
        <v>89.66</v>
      </c>
      <c r="ML4" s="104">
        <v>87.42</v>
      </c>
      <c r="MM4" s="104">
        <v>91.68</v>
      </c>
      <c r="MN4" s="104">
        <v>88.67</v>
      </c>
      <c r="MO4" s="104">
        <v>87.92</v>
      </c>
      <c r="MP4" s="104">
        <v>87.91</v>
      </c>
      <c r="MQ4" s="104">
        <v>86.88</v>
      </c>
      <c r="MR4" s="104">
        <v>87.98</v>
      </c>
      <c r="MS4" s="101">
        <v>88.02</v>
      </c>
      <c r="MT4" s="101">
        <v>91.79</v>
      </c>
      <c r="MU4" s="101">
        <v>88.46</v>
      </c>
      <c r="MV4" s="101">
        <v>87.64</v>
      </c>
      <c r="MW4" s="101">
        <v>88.22</v>
      </c>
      <c r="MX4" s="101">
        <v>87.97</v>
      </c>
      <c r="MY4" s="104">
        <v>84.64</v>
      </c>
      <c r="MZ4">
        <v>87.97</v>
      </c>
      <c r="NA4">
        <v>87.87</v>
      </c>
      <c r="NB4">
        <v>87.97</v>
      </c>
      <c r="NC4">
        <v>84.89</v>
      </c>
      <c r="ND4">
        <v>87.92</v>
      </c>
      <c r="NE4">
        <v>87.97</v>
      </c>
      <c r="NF4">
        <v>86.39</v>
      </c>
      <c r="NG4">
        <v>88</v>
      </c>
      <c r="NH4">
        <v>88.07</v>
      </c>
      <c r="NI4">
        <v>88.63</v>
      </c>
      <c r="NJ4">
        <v>88.26</v>
      </c>
      <c r="NK4">
        <v>87.95</v>
      </c>
      <c r="NL4">
        <v>88.05</v>
      </c>
      <c r="NM4">
        <v>88.24</v>
      </c>
      <c r="NN4">
        <v>88.28</v>
      </c>
      <c r="NO4">
        <v>88.76</v>
      </c>
      <c r="NP4">
        <v>89.21</v>
      </c>
      <c r="NQ4">
        <v>88.39</v>
      </c>
      <c r="NR4">
        <v>88.6</v>
      </c>
      <c r="NS4">
        <v>88.51</v>
      </c>
      <c r="NT4">
        <v>88.73</v>
      </c>
      <c r="NU4">
        <v>88.48</v>
      </c>
      <c r="NV4">
        <v>88.76</v>
      </c>
      <c r="NW4">
        <v>89.81</v>
      </c>
      <c r="NX4">
        <v>88.44</v>
      </c>
      <c r="NY4">
        <v>88.1</v>
      </c>
      <c r="NZ4">
        <v>88.3</v>
      </c>
      <c r="OA4">
        <v>88.35</v>
      </c>
      <c r="OB4">
        <v>87.94</v>
      </c>
      <c r="OC4">
        <v>88.78</v>
      </c>
      <c r="OD4">
        <v>89.3</v>
      </c>
      <c r="OE4">
        <v>88.58</v>
      </c>
      <c r="OF4">
        <v>88.37</v>
      </c>
      <c r="OG4">
        <v>88.18</v>
      </c>
      <c r="OH4">
        <v>88.35</v>
      </c>
      <c r="OI4">
        <v>88.29</v>
      </c>
      <c r="OJ4">
        <v>88.54</v>
      </c>
      <c r="OK4">
        <v>89.03</v>
      </c>
      <c r="OL4">
        <v>88.45</v>
      </c>
      <c r="OM4">
        <v>88.58</v>
      </c>
      <c r="ON4">
        <v>89.04</v>
      </c>
      <c r="OO4">
        <v>88.88</v>
      </c>
      <c r="OP4">
        <v>88.8</v>
      </c>
      <c r="OQ4">
        <v>88.8</v>
      </c>
      <c r="OR4">
        <v>89.52</v>
      </c>
      <c r="OS4">
        <v>89.34</v>
      </c>
      <c r="OT4">
        <v>88.74</v>
      </c>
      <c r="OU4">
        <v>87.91</v>
      </c>
      <c r="OV4">
        <v>90.4</v>
      </c>
      <c r="OW4">
        <v>88.05</v>
      </c>
      <c r="OX4">
        <v>88.88</v>
      </c>
      <c r="OY4">
        <v>89.06</v>
      </c>
      <c r="OZ4">
        <v>88.79</v>
      </c>
      <c r="PA4">
        <v>88.28</v>
      </c>
      <c r="PB4">
        <v>88.22</v>
      </c>
      <c r="PC4">
        <v>88.58</v>
      </c>
      <c r="PD4">
        <v>88.24</v>
      </c>
      <c r="PE4">
        <v>88.76</v>
      </c>
      <c r="PF4">
        <v>89.2</v>
      </c>
      <c r="PG4">
        <v>88.26</v>
      </c>
      <c r="PH4">
        <v>88.54</v>
      </c>
      <c r="PI4">
        <v>88.76</v>
      </c>
      <c r="PJ4">
        <v>88.35</v>
      </c>
      <c r="PK4">
        <v>88.5</v>
      </c>
      <c r="PL4">
        <v>88.51</v>
      </c>
      <c r="PM4">
        <v>88.59</v>
      </c>
      <c r="PN4">
        <v>88.19</v>
      </c>
      <c r="PO4">
        <v>88</v>
      </c>
      <c r="PP4">
        <v>88.64</v>
      </c>
      <c r="PQ4">
        <v>88.71</v>
      </c>
      <c r="PR4">
        <v>90.4</v>
      </c>
      <c r="PS4" s="64">
        <v>88.65</v>
      </c>
      <c r="PT4" s="64">
        <v>90.07</v>
      </c>
      <c r="PU4" s="48">
        <v>88.66</v>
      </c>
      <c r="PV4" s="48">
        <v>88.42</v>
      </c>
      <c r="PW4" s="48">
        <v>88.83</v>
      </c>
      <c r="PX4" s="48">
        <v>90.03</v>
      </c>
      <c r="PY4" s="48">
        <v>89.05</v>
      </c>
      <c r="PZ4" s="48">
        <v>88.38</v>
      </c>
      <c r="QA4" s="48">
        <v>89.03</v>
      </c>
      <c r="QB4" s="48">
        <v>88.66</v>
      </c>
      <c r="QC4" s="48">
        <v>88.56</v>
      </c>
      <c r="QD4" s="48">
        <v>88.27</v>
      </c>
      <c r="QE4" s="48">
        <v>88.56</v>
      </c>
      <c r="QF4" s="64">
        <v>88.59</v>
      </c>
      <c r="QG4" s="64">
        <v>88.58</v>
      </c>
      <c r="QH4" s="48">
        <v>88.91</v>
      </c>
      <c r="QI4" s="48">
        <v>88.52</v>
      </c>
      <c r="QJ4" s="48">
        <v>88.45</v>
      </c>
      <c r="QK4" s="48">
        <v>88.37</v>
      </c>
      <c r="QL4" s="48">
        <v>88.47</v>
      </c>
      <c r="QM4">
        <v>88.05</v>
      </c>
      <c r="QN4">
        <v>88.01</v>
      </c>
      <c r="QO4">
        <v>88.11</v>
      </c>
      <c r="QP4">
        <v>88.17</v>
      </c>
      <c r="QQ4">
        <v>88.02</v>
      </c>
      <c r="QR4">
        <v>87.74</v>
      </c>
      <c r="QS4">
        <v>88.12</v>
      </c>
      <c r="QT4" s="48">
        <v>88.28</v>
      </c>
      <c r="QU4" s="48">
        <v>88.41</v>
      </c>
      <c r="QV4" s="48">
        <v>88.66</v>
      </c>
      <c r="QW4" s="48">
        <v>88.71</v>
      </c>
      <c r="QX4" s="48">
        <v>88.5</v>
      </c>
      <c r="QY4" s="48">
        <v>88.65</v>
      </c>
      <c r="QZ4" s="48">
        <v>88.7</v>
      </c>
      <c r="RA4" s="48">
        <v>88.81</v>
      </c>
      <c r="RB4" s="48">
        <v>88.86</v>
      </c>
      <c r="RC4" s="48">
        <v>89.03</v>
      </c>
      <c r="RD4" s="48">
        <v>88.92</v>
      </c>
      <c r="RE4" s="48">
        <v>88.81</v>
      </c>
      <c r="RF4" s="48">
        <v>88.88</v>
      </c>
      <c r="RG4" s="158">
        <v>88.7</v>
      </c>
      <c r="RH4" s="48">
        <v>88.86</v>
      </c>
      <c r="RI4" s="48">
        <v>88.94</v>
      </c>
      <c r="RJ4" s="48">
        <v>89.14</v>
      </c>
      <c r="RK4">
        <v>88.56</v>
      </c>
      <c r="RL4" s="48">
        <v>88.71</v>
      </c>
      <c r="RM4">
        <v>88.49</v>
      </c>
      <c r="RN4">
        <v>88.4</v>
      </c>
      <c r="RO4">
        <v>88.22</v>
      </c>
      <c r="RP4">
        <v>89.03</v>
      </c>
      <c r="RQ4">
        <v>88.84</v>
      </c>
      <c r="RR4">
        <v>88.88</v>
      </c>
      <c r="RS4" s="48">
        <v>88.57</v>
      </c>
      <c r="RT4" s="48">
        <v>88.92</v>
      </c>
      <c r="RU4" s="48">
        <v>88.86</v>
      </c>
      <c r="RV4" s="48">
        <v>89.03</v>
      </c>
      <c r="RW4" s="48">
        <v>89.1</v>
      </c>
      <c r="RX4" s="48">
        <v>89.4</v>
      </c>
      <c r="RY4" s="48">
        <v>89.11</v>
      </c>
      <c r="RZ4" s="48">
        <v>89.05</v>
      </c>
      <c r="SA4" s="48">
        <v>89.17</v>
      </c>
      <c r="SB4" s="48">
        <v>89.16</v>
      </c>
      <c r="SC4" s="48">
        <v>89.32</v>
      </c>
      <c r="SD4" s="48">
        <v>89.11</v>
      </c>
      <c r="SE4" s="48">
        <v>88.54</v>
      </c>
      <c r="SF4" s="48">
        <v>89.17</v>
      </c>
      <c r="SG4" s="48">
        <v>88.92</v>
      </c>
      <c r="SH4" s="48">
        <v>83.44</v>
      </c>
      <c r="SI4" s="48">
        <v>89.42</v>
      </c>
      <c r="SJ4" s="48">
        <v>88.22</v>
      </c>
      <c r="SK4" s="48">
        <v>86.61</v>
      </c>
      <c r="SL4" s="48">
        <v>88.92</v>
      </c>
      <c r="SM4" s="48">
        <v>89.06</v>
      </c>
      <c r="SN4" s="64">
        <v>91.4</v>
      </c>
      <c r="SO4" s="64">
        <v>90.86</v>
      </c>
      <c r="SP4" s="48">
        <v>88.4</v>
      </c>
      <c r="SQ4" s="64">
        <v>91.899077768583169</v>
      </c>
      <c r="SR4" s="64">
        <v>91.581896224080765</v>
      </c>
      <c r="SS4" s="48">
        <v>91.06</v>
      </c>
      <c r="ST4" s="48">
        <v>89.05</v>
      </c>
      <c r="SU4" s="72">
        <v>89.96</v>
      </c>
      <c r="SV4" s="48">
        <v>89.39</v>
      </c>
      <c r="SW4" s="64">
        <v>90.13</v>
      </c>
      <c r="SX4" s="48">
        <v>91.06</v>
      </c>
      <c r="SY4" s="64">
        <v>91.4</v>
      </c>
      <c r="SZ4" s="48">
        <v>89.32</v>
      </c>
      <c r="TA4" s="64">
        <v>91.4</v>
      </c>
      <c r="TB4" s="64">
        <v>86.63</v>
      </c>
      <c r="TC4" s="64">
        <v>89.089971320665228</v>
      </c>
      <c r="TD4" s="64">
        <v>89.403840585163962</v>
      </c>
      <c r="TE4" s="64">
        <v>89.203910386426742</v>
      </c>
      <c r="TF4" s="64">
        <v>89.266768444120373</v>
      </c>
      <c r="TG4" s="64">
        <v>88.783289791577772</v>
      </c>
      <c r="TH4" s="48">
        <v>89.32</v>
      </c>
      <c r="TI4" s="64">
        <v>89.96</v>
      </c>
      <c r="TJ4" s="64">
        <v>89.39</v>
      </c>
      <c r="TK4" s="64">
        <v>90.13</v>
      </c>
      <c r="TL4" s="64">
        <v>91.347118041009296</v>
      </c>
      <c r="TM4" s="64">
        <v>91.927101799285168</v>
      </c>
      <c r="TN4" s="64">
        <v>91.198701380660609</v>
      </c>
      <c r="TO4" s="64">
        <v>91.596359926517138</v>
      </c>
      <c r="TP4" s="64">
        <v>90.894180600651737</v>
      </c>
      <c r="TQ4" s="64">
        <v>91.924752551822635</v>
      </c>
      <c r="TR4" s="64">
        <v>90.880378956109652</v>
      </c>
      <c r="TS4" s="64">
        <v>91.763781493404963</v>
      </c>
      <c r="TT4" s="64">
        <v>91.900362989093111</v>
      </c>
      <c r="TU4" s="48">
        <v>90.19</v>
      </c>
      <c r="TV4" s="48">
        <v>90.14</v>
      </c>
      <c r="TW4" s="48">
        <v>89.87</v>
      </c>
      <c r="TX4" s="48">
        <v>89.94</v>
      </c>
      <c r="TY4" s="48">
        <v>89.75</v>
      </c>
      <c r="TZ4" s="48">
        <v>89.75</v>
      </c>
      <c r="UA4" s="158">
        <v>89.75</v>
      </c>
      <c r="UB4" s="1">
        <v>89.87</v>
      </c>
      <c r="UC4">
        <v>89.85</v>
      </c>
      <c r="UD4" s="158">
        <v>89.65</v>
      </c>
      <c r="UE4" s="48">
        <v>89.76</v>
      </c>
      <c r="UF4" s="48">
        <v>89.93</v>
      </c>
      <c r="UG4" s="48">
        <v>89.97</v>
      </c>
      <c r="UH4" s="48">
        <v>89.92</v>
      </c>
      <c r="UI4" s="48">
        <v>89.99</v>
      </c>
      <c r="UJ4" s="48">
        <v>89.17</v>
      </c>
      <c r="UK4" s="48">
        <v>89.41</v>
      </c>
      <c r="UL4" s="158">
        <v>90.02</v>
      </c>
      <c r="UM4" s="48">
        <v>90.06</v>
      </c>
      <c r="UN4">
        <v>90.08</v>
      </c>
      <c r="UO4">
        <v>90.07</v>
      </c>
      <c r="UP4">
        <v>89.48</v>
      </c>
      <c r="UQ4">
        <v>90.15</v>
      </c>
      <c r="UR4" s="48">
        <v>90</v>
      </c>
      <c r="US4" s="48">
        <v>90.02</v>
      </c>
      <c r="UT4" s="48">
        <v>90.03</v>
      </c>
      <c r="UU4" s="48">
        <v>90.06</v>
      </c>
      <c r="UV4" s="48">
        <v>90.07</v>
      </c>
      <c r="UW4" s="48">
        <v>90.11</v>
      </c>
      <c r="UX4" s="48">
        <v>90.07</v>
      </c>
      <c r="UY4" s="48">
        <v>90.01</v>
      </c>
      <c r="UZ4" s="48">
        <v>89.96</v>
      </c>
      <c r="VA4" s="48">
        <v>90.25</v>
      </c>
      <c r="VB4" s="48">
        <v>90.08</v>
      </c>
      <c r="VC4" s="48">
        <v>90.19</v>
      </c>
      <c r="VD4" s="158">
        <v>90.2</v>
      </c>
      <c r="VE4" s="48">
        <v>83.94</v>
      </c>
      <c r="VF4" s="48">
        <v>90.13</v>
      </c>
      <c r="VG4" s="48">
        <v>90.11</v>
      </c>
      <c r="VH4" s="48">
        <v>89.88</v>
      </c>
      <c r="VI4" s="48">
        <v>89.32</v>
      </c>
      <c r="VJ4" s="48">
        <v>89.73</v>
      </c>
      <c r="VK4" s="158">
        <v>89.91</v>
      </c>
      <c r="VL4" s="48">
        <v>90</v>
      </c>
      <c r="VM4" s="48">
        <v>89.83</v>
      </c>
      <c r="VN4" s="48">
        <v>89.95</v>
      </c>
      <c r="VO4" s="48">
        <v>90.1</v>
      </c>
      <c r="VP4" s="48">
        <v>89.86</v>
      </c>
      <c r="VQ4" s="48">
        <v>89.59</v>
      </c>
      <c r="VR4" s="48">
        <v>90.08</v>
      </c>
    </row>
    <row r="5" spans="1:590" ht="15.75" thickBot="1" x14ac:dyDescent="0.3">
      <c r="A5" s="45" t="s">
        <v>38</v>
      </c>
      <c r="B5" s="2">
        <v>84.49</v>
      </c>
      <c r="C5" s="2">
        <v>87.39</v>
      </c>
      <c r="D5" s="30">
        <v>87.03</v>
      </c>
      <c r="E5" s="30">
        <v>86.97</v>
      </c>
      <c r="F5" s="30">
        <v>86.92</v>
      </c>
      <c r="G5" s="2">
        <v>87.32</v>
      </c>
      <c r="H5" s="2">
        <v>87.32</v>
      </c>
      <c r="I5" s="2">
        <v>88.27</v>
      </c>
      <c r="J5" s="2">
        <v>87.56</v>
      </c>
      <c r="K5" s="2">
        <v>87.25</v>
      </c>
      <c r="L5" s="2">
        <v>86.78</v>
      </c>
      <c r="M5" s="2">
        <v>87.02</v>
      </c>
      <c r="N5" s="2">
        <v>87.49</v>
      </c>
      <c r="O5" s="2">
        <v>87.69</v>
      </c>
      <c r="P5" s="2">
        <v>88.25</v>
      </c>
      <c r="Q5" s="2">
        <v>87.51</v>
      </c>
      <c r="R5" s="2">
        <v>87.39</v>
      </c>
      <c r="S5" s="2">
        <v>87.08</v>
      </c>
      <c r="T5" s="2">
        <v>86.82</v>
      </c>
      <c r="U5" s="49"/>
      <c r="V5" s="53"/>
      <c r="W5" s="49"/>
      <c r="X5" s="54"/>
      <c r="Y5" s="55"/>
      <c r="Z5" s="54"/>
      <c r="AA5" s="54"/>
      <c r="AB5" s="54"/>
      <c r="AC5" s="54"/>
      <c r="AD5" s="54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4"/>
      <c r="BD5" s="49"/>
      <c r="BE5" s="54"/>
      <c r="BF5" s="54"/>
      <c r="BG5" s="54"/>
      <c r="BH5" s="55"/>
      <c r="BI5" s="54"/>
      <c r="BJ5" s="54"/>
      <c r="BK5" s="54"/>
      <c r="BL5" s="54"/>
      <c r="BM5" s="54"/>
      <c r="BN5" s="54"/>
      <c r="BO5" s="55"/>
      <c r="BP5" s="54"/>
      <c r="BQ5" s="54"/>
      <c r="BR5" s="54"/>
      <c r="BS5" s="54"/>
      <c r="BT5" s="54"/>
      <c r="BU5" s="54"/>
      <c r="BV5" s="55"/>
      <c r="BW5" s="54"/>
      <c r="BX5" s="54"/>
      <c r="BY5" s="54"/>
      <c r="BZ5" s="54"/>
      <c r="CA5" s="54"/>
      <c r="CB5" s="54">
        <v>86.12</v>
      </c>
      <c r="CC5" s="55">
        <v>85.25</v>
      </c>
      <c r="CD5" s="54">
        <v>86.35</v>
      </c>
      <c r="CE5" s="54">
        <v>86.5</v>
      </c>
      <c r="CF5" s="54">
        <v>86.33</v>
      </c>
      <c r="CG5" s="54">
        <v>86.54</v>
      </c>
      <c r="CH5" s="54">
        <v>87.3</v>
      </c>
      <c r="CI5" s="54">
        <v>85.85</v>
      </c>
      <c r="CJ5" s="55">
        <v>85.8</v>
      </c>
      <c r="CK5" s="54">
        <v>86.18</v>
      </c>
      <c r="CL5" s="54">
        <v>85.29</v>
      </c>
      <c r="CM5" s="54">
        <v>85.65</v>
      </c>
      <c r="CN5" s="54">
        <v>86.33</v>
      </c>
      <c r="CO5" s="54">
        <v>87.55</v>
      </c>
      <c r="CP5" s="54">
        <v>85.02</v>
      </c>
      <c r="CQ5" s="55">
        <v>85.86</v>
      </c>
      <c r="CR5" s="54">
        <v>85.93</v>
      </c>
      <c r="CS5" s="54">
        <v>86.19</v>
      </c>
      <c r="CT5" s="54">
        <v>86.65</v>
      </c>
      <c r="CU5" s="54">
        <v>86.45</v>
      </c>
      <c r="CV5" s="54">
        <v>87.45</v>
      </c>
      <c r="CW5" s="54">
        <v>87.46</v>
      </c>
      <c r="CX5" s="55">
        <v>86.42</v>
      </c>
      <c r="CY5" s="54">
        <v>87.12</v>
      </c>
      <c r="CZ5" s="54">
        <v>86.67</v>
      </c>
      <c r="DA5" s="54"/>
      <c r="DB5" s="54"/>
      <c r="DC5" s="54"/>
      <c r="DD5" s="54"/>
      <c r="DE5" s="55"/>
      <c r="DF5" s="54"/>
      <c r="DG5" s="54"/>
      <c r="DH5" s="54"/>
      <c r="DI5" s="54"/>
      <c r="DJ5" s="54"/>
      <c r="DK5" s="54"/>
      <c r="DL5" s="54"/>
      <c r="DM5" s="54"/>
      <c r="DN5" s="54"/>
      <c r="DO5" s="54"/>
      <c r="DP5" s="55"/>
      <c r="DQ5" s="54"/>
      <c r="DR5" s="54"/>
      <c r="DS5" s="55"/>
      <c r="DT5" s="54"/>
      <c r="DU5" s="54"/>
      <c r="DV5" s="55"/>
      <c r="DW5" s="55"/>
      <c r="DX5" s="55"/>
      <c r="DY5" s="55"/>
      <c r="DZ5" s="55">
        <v>86.52</v>
      </c>
      <c r="EA5" s="55">
        <v>86.28</v>
      </c>
      <c r="EB5" s="55">
        <v>87.05</v>
      </c>
      <c r="EC5" s="55">
        <v>87.17</v>
      </c>
      <c r="ED5" s="55">
        <v>86.9</v>
      </c>
      <c r="EE5" s="55">
        <v>87.98</v>
      </c>
      <c r="EF5" s="55">
        <v>84.48</v>
      </c>
      <c r="EG5" s="55">
        <v>87.05</v>
      </c>
      <c r="EH5" s="104">
        <v>87.37</v>
      </c>
      <c r="EI5" s="55">
        <v>87.61</v>
      </c>
      <c r="EJ5" s="55">
        <v>87.26</v>
      </c>
      <c r="EK5" s="55">
        <v>87.59</v>
      </c>
      <c r="EL5" s="55">
        <v>88.2</v>
      </c>
      <c r="EM5" s="55">
        <v>86.83</v>
      </c>
      <c r="EN5" s="55">
        <v>87.25</v>
      </c>
      <c r="EO5" s="55">
        <v>87.08</v>
      </c>
      <c r="EP5" s="55">
        <v>87.34</v>
      </c>
      <c r="EQ5" s="55">
        <v>87.33</v>
      </c>
      <c r="ER5" s="55">
        <v>87.52</v>
      </c>
      <c r="ES5" s="55">
        <v>88.02</v>
      </c>
      <c r="ET5" s="55">
        <v>87.24</v>
      </c>
      <c r="EU5" s="55">
        <v>87.38</v>
      </c>
      <c r="EV5" s="55">
        <v>87.37</v>
      </c>
      <c r="EW5" s="55">
        <v>83.78</v>
      </c>
      <c r="EX5" s="55">
        <v>82.28</v>
      </c>
      <c r="EY5" s="55">
        <v>81.5</v>
      </c>
      <c r="EZ5" s="55">
        <v>86.46</v>
      </c>
      <c r="FA5" s="54">
        <v>86.96</v>
      </c>
      <c r="FB5" s="55">
        <v>86.28</v>
      </c>
      <c r="FC5" s="55">
        <v>86.31</v>
      </c>
      <c r="FD5" s="55">
        <v>86.62</v>
      </c>
      <c r="FE5" s="55">
        <v>86.62</v>
      </c>
      <c r="FF5" s="55">
        <v>86.6</v>
      </c>
      <c r="FG5" s="55">
        <v>86.91</v>
      </c>
      <c r="FH5" s="55">
        <v>86.74</v>
      </c>
      <c r="FI5" s="55">
        <v>86.75</v>
      </c>
      <c r="FJ5" s="55">
        <v>86.76</v>
      </c>
      <c r="FK5" s="55">
        <v>83.72</v>
      </c>
      <c r="FL5" s="54">
        <v>83.02</v>
      </c>
      <c r="FM5" s="54">
        <v>87.4</v>
      </c>
      <c r="FN5" s="54">
        <v>88</v>
      </c>
      <c r="FO5" s="54">
        <v>87.77</v>
      </c>
      <c r="FP5" s="55">
        <v>87.53</v>
      </c>
      <c r="FQ5" s="54">
        <v>86.99</v>
      </c>
      <c r="FR5" s="54">
        <v>86.45</v>
      </c>
      <c r="FS5" s="54">
        <v>88.2</v>
      </c>
      <c r="FT5" s="54">
        <v>87.72</v>
      </c>
      <c r="FU5" s="54">
        <v>88.45</v>
      </c>
      <c r="FV5" s="55">
        <v>87.76</v>
      </c>
      <c r="FW5" s="55">
        <v>87.53</v>
      </c>
      <c r="FX5" s="55">
        <v>87.92</v>
      </c>
      <c r="FY5" s="55">
        <v>88.1</v>
      </c>
      <c r="FZ5" s="55">
        <v>87.95</v>
      </c>
      <c r="GA5" s="55">
        <v>87.78</v>
      </c>
      <c r="GB5" s="55">
        <v>88.15</v>
      </c>
      <c r="GC5" s="55">
        <v>86.98</v>
      </c>
      <c r="GD5" s="55">
        <v>87.22</v>
      </c>
      <c r="GE5" s="55">
        <v>86.81</v>
      </c>
      <c r="GF5" s="55">
        <v>87.32</v>
      </c>
      <c r="GG5" s="55">
        <v>87.05</v>
      </c>
      <c r="GH5" s="55">
        <v>87.67</v>
      </c>
      <c r="GI5" s="55">
        <v>87.29</v>
      </c>
      <c r="GJ5" s="55">
        <v>86.85</v>
      </c>
      <c r="GK5" s="55">
        <v>86.75</v>
      </c>
      <c r="GL5" s="54">
        <v>86.92</v>
      </c>
      <c r="GM5" s="54">
        <v>86.62</v>
      </c>
      <c r="GN5" s="54">
        <v>87.39</v>
      </c>
      <c r="GO5" s="54">
        <v>87.8</v>
      </c>
      <c r="GP5" s="54">
        <v>88.44</v>
      </c>
      <c r="GQ5" s="54">
        <v>87.41</v>
      </c>
      <c r="GR5" s="54">
        <v>87.69</v>
      </c>
      <c r="GS5" s="54">
        <v>87.56</v>
      </c>
      <c r="GT5" s="54">
        <v>87.6</v>
      </c>
      <c r="GU5" s="54">
        <v>87.61</v>
      </c>
      <c r="GV5" s="54">
        <v>87.78</v>
      </c>
      <c r="GW5" s="54">
        <v>88.23</v>
      </c>
      <c r="GX5" s="54">
        <v>87.51</v>
      </c>
      <c r="GY5">
        <v>87.9</v>
      </c>
      <c r="GZ5" s="53">
        <v>87.84</v>
      </c>
      <c r="HA5" s="53">
        <v>88.04</v>
      </c>
      <c r="HB5" s="53">
        <v>87.93</v>
      </c>
      <c r="HC5" s="53">
        <v>87.79</v>
      </c>
      <c r="HD5" s="53">
        <v>88.33</v>
      </c>
      <c r="HE5" s="55">
        <v>87.46</v>
      </c>
      <c r="HF5" s="55">
        <v>87.21</v>
      </c>
      <c r="HG5" s="55">
        <v>86.64</v>
      </c>
      <c r="HH5" s="55">
        <v>81.95</v>
      </c>
      <c r="HI5" s="55">
        <v>83.79</v>
      </c>
      <c r="HJ5" s="55">
        <v>87.78</v>
      </c>
      <c r="HK5" s="55">
        <v>88.5</v>
      </c>
      <c r="HL5" s="55">
        <v>88.06</v>
      </c>
      <c r="HM5" s="55">
        <v>87.74</v>
      </c>
      <c r="HN5" s="55">
        <v>87.6</v>
      </c>
      <c r="HO5" s="55">
        <v>87.61</v>
      </c>
      <c r="HP5" s="55">
        <v>87.78</v>
      </c>
      <c r="HQ5" s="55">
        <v>87.53</v>
      </c>
      <c r="HR5" s="55">
        <v>88.22</v>
      </c>
      <c r="HS5" s="55">
        <v>87.95</v>
      </c>
      <c r="HT5" s="55">
        <v>87.74</v>
      </c>
      <c r="HU5" s="55">
        <v>87.51</v>
      </c>
      <c r="HV5" s="55">
        <v>87.71</v>
      </c>
      <c r="HW5" s="55">
        <v>87.5</v>
      </c>
      <c r="HX5" s="55">
        <v>87.69</v>
      </c>
      <c r="HY5" s="55">
        <v>88.25</v>
      </c>
      <c r="HZ5" s="55">
        <v>87.43</v>
      </c>
      <c r="IA5" s="55">
        <v>87.27</v>
      </c>
      <c r="IB5" s="55">
        <v>87.45</v>
      </c>
      <c r="IC5" s="55">
        <v>87.07</v>
      </c>
      <c r="ID5" s="55">
        <v>87.46</v>
      </c>
      <c r="IE5" s="55">
        <v>87.45</v>
      </c>
      <c r="IF5" s="55">
        <v>88.16</v>
      </c>
      <c r="IG5" s="55">
        <v>87.24</v>
      </c>
      <c r="IH5" s="55">
        <v>87.48</v>
      </c>
      <c r="II5" s="55">
        <v>86.44</v>
      </c>
      <c r="IJ5" s="55">
        <v>87.21</v>
      </c>
      <c r="IK5" s="55">
        <v>87.27</v>
      </c>
      <c r="IL5" s="55">
        <v>87.29</v>
      </c>
      <c r="IM5">
        <v>88.32</v>
      </c>
      <c r="IN5">
        <v>86.88</v>
      </c>
      <c r="IO5">
        <v>86.93</v>
      </c>
      <c r="IP5">
        <v>86.73</v>
      </c>
      <c r="IQ5" s="2">
        <v>87.07</v>
      </c>
      <c r="IR5">
        <v>87.33</v>
      </c>
      <c r="IS5">
        <v>87.83</v>
      </c>
      <c r="IT5">
        <v>88.57</v>
      </c>
      <c r="IU5">
        <v>87.51</v>
      </c>
      <c r="IV5" s="1">
        <v>87.39</v>
      </c>
      <c r="IW5" s="1">
        <v>87.43</v>
      </c>
      <c r="IX5" s="1">
        <v>87.38</v>
      </c>
      <c r="IY5" s="1">
        <v>87.7</v>
      </c>
      <c r="IZ5" s="1">
        <v>87.78</v>
      </c>
      <c r="JA5" s="1">
        <v>88.59</v>
      </c>
      <c r="JB5" s="1">
        <v>87.67</v>
      </c>
      <c r="JC5">
        <v>87.36</v>
      </c>
      <c r="JD5">
        <v>87.33</v>
      </c>
      <c r="JE5">
        <v>87.44</v>
      </c>
      <c r="JF5">
        <v>87.7</v>
      </c>
      <c r="JG5">
        <v>87.18</v>
      </c>
      <c r="JH5">
        <v>87.96</v>
      </c>
      <c r="JI5">
        <v>87.28</v>
      </c>
      <c r="JJ5">
        <v>87.47</v>
      </c>
      <c r="JK5">
        <v>87.82</v>
      </c>
      <c r="JL5" s="252">
        <v>87.09</v>
      </c>
      <c r="JM5" s="252">
        <v>87.12</v>
      </c>
      <c r="JN5" s="252">
        <v>87.73</v>
      </c>
      <c r="JO5">
        <v>88.56</v>
      </c>
      <c r="JP5">
        <v>86.92</v>
      </c>
      <c r="JQ5">
        <v>85.35</v>
      </c>
      <c r="JR5">
        <v>87.45</v>
      </c>
      <c r="JS5" s="57">
        <v>88.05</v>
      </c>
      <c r="JT5">
        <v>88.39</v>
      </c>
      <c r="JU5" s="252">
        <v>87.73</v>
      </c>
      <c r="JV5">
        <v>89.06</v>
      </c>
      <c r="JW5">
        <v>86.76</v>
      </c>
      <c r="JX5">
        <v>87.9</v>
      </c>
      <c r="JY5">
        <v>87.28</v>
      </c>
      <c r="JZ5">
        <v>88.39</v>
      </c>
      <c r="KA5">
        <v>88.14</v>
      </c>
      <c r="KB5">
        <v>88.21</v>
      </c>
      <c r="KC5">
        <v>89.03</v>
      </c>
      <c r="KD5">
        <v>87.92</v>
      </c>
      <c r="KE5">
        <v>87.93</v>
      </c>
      <c r="KF5">
        <v>88.3</v>
      </c>
      <c r="KG5">
        <v>88.21</v>
      </c>
      <c r="KH5">
        <v>88.21</v>
      </c>
      <c r="KI5">
        <v>88.28</v>
      </c>
      <c r="KJ5">
        <v>89.52</v>
      </c>
      <c r="KK5">
        <v>88.56</v>
      </c>
      <c r="KL5">
        <v>88.37</v>
      </c>
      <c r="KM5">
        <v>88.08</v>
      </c>
      <c r="KN5">
        <v>88.36</v>
      </c>
      <c r="KO5" s="64">
        <v>88.4</v>
      </c>
      <c r="KP5" s="64">
        <v>88.62</v>
      </c>
      <c r="KQ5" s="64">
        <v>89.55</v>
      </c>
      <c r="KR5" s="48">
        <v>88.61</v>
      </c>
      <c r="KS5" s="48">
        <v>88.38</v>
      </c>
      <c r="KT5" s="48">
        <v>89</v>
      </c>
      <c r="KU5" s="48">
        <v>88.66</v>
      </c>
      <c r="KV5" s="104">
        <v>88.5</v>
      </c>
      <c r="KW5" s="104">
        <v>86.47</v>
      </c>
      <c r="KX5" s="104">
        <v>85.98</v>
      </c>
      <c r="KY5" s="104">
        <v>83.35</v>
      </c>
      <c r="KZ5" s="104">
        <v>88.32</v>
      </c>
      <c r="LA5" s="104">
        <v>88.27</v>
      </c>
      <c r="LB5" s="104">
        <v>88.82</v>
      </c>
      <c r="LC5" s="104">
        <v>87.9</v>
      </c>
      <c r="LD5" s="104">
        <v>88.74</v>
      </c>
      <c r="LE5" s="104">
        <v>89.28</v>
      </c>
      <c r="LF5" s="104">
        <v>88.3</v>
      </c>
      <c r="LG5" s="104">
        <v>88.48</v>
      </c>
      <c r="LH5" s="104">
        <v>89.06</v>
      </c>
      <c r="LI5" s="104">
        <v>88.57</v>
      </c>
      <c r="LJ5" s="104">
        <v>88.5</v>
      </c>
      <c r="LK5" s="104">
        <v>88.48</v>
      </c>
      <c r="LL5" s="104">
        <v>88.99</v>
      </c>
      <c r="LM5" s="104">
        <v>88.57</v>
      </c>
      <c r="LN5" s="104">
        <v>88.5</v>
      </c>
      <c r="LO5" s="104">
        <v>87.71</v>
      </c>
      <c r="LP5" s="104">
        <v>88.32</v>
      </c>
      <c r="LQ5" s="104">
        <v>88.73</v>
      </c>
      <c r="LR5" s="104">
        <v>88.8</v>
      </c>
      <c r="LS5" s="104">
        <v>89.3</v>
      </c>
      <c r="LT5" s="104">
        <v>88.48</v>
      </c>
      <c r="LU5" s="104">
        <v>88.36</v>
      </c>
      <c r="LV5" s="104">
        <v>88.48</v>
      </c>
      <c r="LW5" s="104">
        <v>88.28</v>
      </c>
      <c r="LX5" s="104">
        <v>88.21</v>
      </c>
      <c r="LY5" s="104">
        <v>88.51</v>
      </c>
      <c r="LZ5" s="104">
        <v>89.16</v>
      </c>
      <c r="MA5" s="104">
        <v>88.38</v>
      </c>
      <c r="MB5" s="104">
        <v>88.27</v>
      </c>
      <c r="MC5" s="104">
        <v>88.5</v>
      </c>
      <c r="MD5" s="104">
        <v>88.29</v>
      </c>
      <c r="ME5" s="104">
        <v>88.22</v>
      </c>
      <c r="MF5" s="104">
        <v>88.44</v>
      </c>
      <c r="MG5" s="104">
        <v>89.15</v>
      </c>
      <c r="MH5" s="104">
        <v>88.03</v>
      </c>
      <c r="MI5" s="104">
        <v>87.47</v>
      </c>
      <c r="MJ5" s="104">
        <v>88.2</v>
      </c>
      <c r="MK5" s="104">
        <v>90.55</v>
      </c>
      <c r="ML5" s="104">
        <v>88.28</v>
      </c>
      <c r="MM5" s="104">
        <v>92.54</v>
      </c>
      <c r="MN5" s="104">
        <v>89.54</v>
      </c>
      <c r="MO5" s="104">
        <v>88.83</v>
      </c>
      <c r="MP5" s="104">
        <v>88.75</v>
      </c>
      <c r="MQ5" s="104">
        <v>87.9</v>
      </c>
      <c r="MR5" s="104">
        <v>88.81</v>
      </c>
      <c r="MS5" s="101">
        <v>88.84</v>
      </c>
      <c r="MT5" s="101">
        <v>92.63</v>
      </c>
      <c r="MU5" s="101">
        <v>89.47</v>
      </c>
      <c r="MV5" s="101">
        <v>88.81</v>
      </c>
      <c r="MW5" s="101">
        <v>89.11</v>
      </c>
      <c r="MX5" s="101">
        <v>88.83</v>
      </c>
      <c r="MY5" s="104">
        <v>85.9</v>
      </c>
      <c r="MZ5">
        <v>88.86</v>
      </c>
      <c r="NA5">
        <v>88.76</v>
      </c>
      <c r="NB5">
        <v>89.11</v>
      </c>
      <c r="NC5">
        <v>86.43</v>
      </c>
      <c r="ND5">
        <v>88.91</v>
      </c>
      <c r="NE5">
        <v>88.94</v>
      </c>
      <c r="NF5">
        <v>87.4</v>
      </c>
      <c r="NG5">
        <v>88.97</v>
      </c>
      <c r="NH5">
        <v>89.11</v>
      </c>
      <c r="NI5">
        <v>89.76</v>
      </c>
      <c r="NJ5">
        <v>89.22</v>
      </c>
      <c r="NK5">
        <v>88.96</v>
      </c>
      <c r="NL5">
        <v>89.04</v>
      </c>
      <c r="NM5">
        <v>89.2</v>
      </c>
      <c r="NN5">
        <v>89.22</v>
      </c>
      <c r="NO5">
        <v>89.59</v>
      </c>
      <c r="NP5">
        <v>90.27</v>
      </c>
      <c r="NQ5">
        <v>89.31</v>
      </c>
      <c r="NR5">
        <v>89.49</v>
      </c>
      <c r="NS5">
        <v>89.48</v>
      </c>
      <c r="NT5">
        <v>89.66</v>
      </c>
      <c r="NU5">
        <v>89.45</v>
      </c>
      <c r="NV5">
        <v>89.77</v>
      </c>
      <c r="NW5">
        <v>90.17</v>
      </c>
      <c r="NX5">
        <v>89.32</v>
      </c>
      <c r="NY5">
        <v>89.15</v>
      </c>
      <c r="NZ5">
        <v>89.27</v>
      </c>
      <c r="OA5">
        <v>89.35</v>
      </c>
      <c r="OB5">
        <v>88.84</v>
      </c>
      <c r="OC5">
        <v>89.78</v>
      </c>
      <c r="OD5">
        <v>90.35</v>
      </c>
      <c r="OE5">
        <v>89.42</v>
      </c>
      <c r="OF5">
        <v>89.39</v>
      </c>
      <c r="OG5">
        <v>89.13</v>
      </c>
      <c r="OH5">
        <v>89.4</v>
      </c>
      <c r="OI5">
        <v>89.21</v>
      </c>
      <c r="OJ5">
        <v>89.4</v>
      </c>
      <c r="OK5">
        <v>90.13</v>
      </c>
      <c r="OL5">
        <v>89.41</v>
      </c>
      <c r="OM5">
        <v>89.58</v>
      </c>
      <c r="ON5">
        <v>89.93</v>
      </c>
      <c r="OO5">
        <v>89.9</v>
      </c>
      <c r="OP5">
        <v>89.68</v>
      </c>
      <c r="OQ5">
        <v>89.72</v>
      </c>
      <c r="OR5">
        <v>90.52</v>
      </c>
      <c r="OS5">
        <v>90.31</v>
      </c>
      <c r="OT5">
        <v>89.72</v>
      </c>
      <c r="OU5">
        <v>89.14</v>
      </c>
      <c r="OV5">
        <v>91.6</v>
      </c>
      <c r="OW5">
        <v>89.36</v>
      </c>
      <c r="OX5">
        <v>90.23</v>
      </c>
      <c r="OY5">
        <v>90.52</v>
      </c>
      <c r="OZ5">
        <v>90.1</v>
      </c>
      <c r="PA5">
        <v>89.61</v>
      </c>
      <c r="PB5">
        <v>89.6</v>
      </c>
      <c r="PC5">
        <v>89.92</v>
      </c>
      <c r="PD5">
        <v>89.52</v>
      </c>
      <c r="PE5">
        <v>90.12</v>
      </c>
      <c r="PF5">
        <v>90.62</v>
      </c>
      <c r="PG5">
        <v>89.64</v>
      </c>
      <c r="PH5">
        <v>89.87</v>
      </c>
      <c r="PI5">
        <v>90.09</v>
      </c>
      <c r="PJ5">
        <v>89.68</v>
      </c>
      <c r="PK5">
        <v>89.79</v>
      </c>
      <c r="PL5">
        <v>89.91</v>
      </c>
      <c r="PM5">
        <v>90.12</v>
      </c>
      <c r="PN5">
        <v>89.13</v>
      </c>
      <c r="PO5">
        <v>89</v>
      </c>
      <c r="PP5">
        <v>89.64</v>
      </c>
      <c r="PQ5">
        <v>89.63</v>
      </c>
      <c r="PR5">
        <v>91.6</v>
      </c>
      <c r="PS5" s="64">
        <v>89.51</v>
      </c>
      <c r="PT5" s="64">
        <v>90.89</v>
      </c>
      <c r="PU5" s="48">
        <v>89.82</v>
      </c>
      <c r="PV5" s="48">
        <v>89.6</v>
      </c>
      <c r="PW5" s="48">
        <v>89.94</v>
      </c>
      <c r="PX5" s="48">
        <v>90.78</v>
      </c>
      <c r="PY5" s="48">
        <v>90.21</v>
      </c>
      <c r="PZ5" s="48">
        <v>89.62</v>
      </c>
      <c r="QA5" s="48">
        <v>90.33</v>
      </c>
      <c r="QB5" s="48">
        <v>89.84</v>
      </c>
      <c r="QC5" s="48">
        <v>89.68</v>
      </c>
      <c r="QD5" s="48">
        <v>89.46</v>
      </c>
      <c r="QE5" s="48">
        <v>89.68</v>
      </c>
      <c r="QF5" s="64">
        <v>89.34</v>
      </c>
      <c r="QG5" s="64">
        <v>89.35</v>
      </c>
      <c r="QH5" s="48">
        <v>90.11</v>
      </c>
      <c r="QI5" s="48">
        <v>89.73</v>
      </c>
      <c r="QJ5" s="48">
        <v>89.4</v>
      </c>
      <c r="QK5" s="48">
        <v>89.18</v>
      </c>
      <c r="QL5" s="48">
        <v>89.35</v>
      </c>
      <c r="QM5">
        <v>88.89</v>
      </c>
      <c r="QN5">
        <v>89.17</v>
      </c>
      <c r="QO5">
        <v>89.32</v>
      </c>
      <c r="QP5">
        <v>89.35</v>
      </c>
      <c r="QQ5">
        <v>89.22</v>
      </c>
      <c r="QR5">
        <v>88.92</v>
      </c>
      <c r="QS5">
        <v>89.3</v>
      </c>
      <c r="QT5" s="48">
        <v>89.44</v>
      </c>
      <c r="QU5" s="48">
        <v>89.59</v>
      </c>
      <c r="QV5" s="48">
        <v>89.91</v>
      </c>
      <c r="QW5" s="48">
        <v>89.86</v>
      </c>
      <c r="QX5" s="48">
        <v>89.66</v>
      </c>
      <c r="QY5" s="48">
        <v>89.93</v>
      </c>
      <c r="QZ5" s="48">
        <v>89.93</v>
      </c>
      <c r="RA5" s="48">
        <v>90.06</v>
      </c>
      <c r="RB5" s="48">
        <v>90.09</v>
      </c>
      <c r="RC5" s="48">
        <v>90.34</v>
      </c>
      <c r="RD5" s="48">
        <v>90.17</v>
      </c>
      <c r="RE5" s="48">
        <v>90.03</v>
      </c>
      <c r="RF5" s="48">
        <v>90.06</v>
      </c>
      <c r="RG5" s="158">
        <v>90.03</v>
      </c>
      <c r="RH5" s="48">
        <v>90.06</v>
      </c>
      <c r="RI5" s="48">
        <v>90.15</v>
      </c>
      <c r="RJ5" s="48">
        <v>90.44</v>
      </c>
      <c r="RK5">
        <v>89.85</v>
      </c>
      <c r="RL5" s="48">
        <v>90.03</v>
      </c>
      <c r="RM5">
        <v>89.88</v>
      </c>
      <c r="RN5">
        <v>89.79</v>
      </c>
      <c r="RO5">
        <v>89.71</v>
      </c>
      <c r="RP5">
        <v>90.33</v>
      </c>
      <c r="RQ5">
        <v>90.37</v>
      </c>
      <c r="RR5">
        <v>90.21</v>
      </c>
      <c r="RS5" s="48">
        <v>90.04</v>
      </c>
      <c r="RT5" s="48">
        <v>90.28</v>
      </c>
      <c r="RU5" s="48">
        <v>90.18</v>
      </c>
      <c r="RV5" s="48">
        <v>90.3</v>
      </c>
      <c r="RW5" s="48">
        <v>90.4</v>
      </c>
      <c r="RX5" s="48">
        <v>90.78</v>
      </c>
      <c r="RY5" s="48">
        <v>90.43</v>
      </c>
      <c r="RZ5" s="48">
        <v>90.33</v>
      </c>
      <c r="SA5" s="48">
        <v>90.41</v>
      </c>
      <c r="SB5" s="48">
        <v>90.5</v>
      </c>
      <c r="SC5" s="48">
        <v>90.58</v>
      </c>
      <c r="SD5" s="48">
        <v>90.48</v>
      </c>
      <c r="SE5" s="48">
        <v>90.08</v>
      </c>
      <c r="SF5" s="48">
        <v>90.41</v>
      </c>
      <c r="SG5" s="48">
        <v>90.28</v>
      </c>
      <c r="SH5" s="48">
        <v>85.11</v>
      </c>
      <c r="SI5" s="48">
        <v>90.51</v>
      </c>
      <c r="SJ5" s="48">
        <v>89.71</v>
      </c>
      <c r="SK5" s="48">
        <v>88.11</v>
      </c>
      <c r="SL5" s="48">
        <v>90.4</v>
      </c>
      <c r="SM5" s="48">
        <v>90.38</v>
      </c>
      <c r="SN5" s="64">
        <v>92.81</v>
      </c>
      <c r="SO5" s="64">
        <v>92.33</v>
      </c>
      <c r="SP5" s="48">
        <v>89.73</v>
      </c>
      <c r="SQ5" s="64">
        <v>93.19593169148996</v>
      </c>
      <c r="SR5" s="64">
        <v>92.971974078711867</v>
      </c>
      <c r="SS5" s="48">
        <v>90.38</v>
      </c>
      <c r="ST5" s="48">
        <v>90.33</v>
      </c>
      <c r="SU5" s="72">
        <v>91.581896224080765</v>
      </c>
      <c r="SV5" s="48">
        <v>90.84</v>
      </c>
      <c r="SW5" s="64">
        <v>92.19</v>
      </c>
      <c r="SX5" s="48">
        <v>90.38</v>
      </c>
      <c r="SY5" s="64">
        <v>92.81</v>
      </c>
      <c r="SZ5" s="48">
        <v>91.58</v>
      </c>
      <c r="TA5" s="64">
        <v>92.81</v>
      </c>
      <c r="TB5" s="64">
        <v>87.85</v>
      </c>
      <c r="TC5" s="64">
        <v>90.239840834177443</v>
      </c>
      <c r="TD5" s="64">
        <v>90.49557643430937</v>
      </c>
      <c r="TE5" s="64">
        <v>90.305836246462448</v>
      </c>
      <c r="TF5" s="64">
        <v>89.266768444120373</v>
      </c>
      <c r="TG5" s="64">
        <v>90.096255119289793</v>
      </c>
      <c r="TH5" s="48">
        <v>91.58</v>
      </c>
      <c r="TI5" s="64">
        <v>91.581896224080765</v>
      </c>
      <c r="TJ5" s="64">
        <v>90.84</v>
      </c>
      <c r="TK5" s="64">
        <v>92.19</v>
      </c>
      <c r="TL5" s="64">
        <v>92.648761757516553</v>
      </c>
      <c r="TM5" s="64">
        <v>93.150022398198175</v>
      </c>
      <c r="TN5" s="64">
        <v>92.680936668889814</v>
      </c>
      <c r="TO5" s="64">
        <v>92.91930639436319</v>
      </c>
      <c r="TP5" s="64">
        <v>92.212124054914881</v>
      </c>
      <c r="TQ5" s="64">
        <v>93.111493963956548</v>
      </c>
      <c r="TR5" s="64">
        <v>92.413858447550879</v>
      </c>
      <c r="TS5" s="64">
        <v>93.049888826251802</v>
      </c>
      <c r="TT5" s="64">
        <v>93.172450467561589</v>
      </c>
      <c r="TU5" s="48">
        <v>91.47</v>
      </c>
      <c r="TV5" s="48">
        <v>91.33</v>
      </c>
      <c r="TW5" s="48">
        <v>91.08</v>
      </c>
      <c r="TX5" s="48">
        <v>91.08</v>
      </c>
      <c r="TY5" s="48">
        <v>90.91</v>
      </c>
      <c r="TZ5" s="48">
        <v>90.5</v>
      </c>
      <c r="UA5" s="158">
        <v>90.51</v>
      </c>
      <c r="UB5" s="1">
        <v>91.16</v>
      </c>
      <c r="UC5">
        <v>91.01</v>
      </c>
      <c r="UD5" s="158">
        <v>90.89</v>
      </c>
      <c r="UE5" s="48">
        <v>91.04</v>
      </c>
      <c r="UF5" s="48">
        <v>91.1</v>
      </c>
      <c r="UG5" s="48">
        <v>91.1</v>
      </c>
      <c r="UH5" s="48">
        <v>91.07</v>
      </c>
      <c r="UI5" s="48">
        <v>91.27</v>
      </c>
      <c r="UJ5" s="48">
        <v>90.42</v>
      </c>
      <c r="UK5" s="48">
        <v>90.59</v>
      </c>
      <c r="UL5" s="158">
        <v>91.16</v>
      </c>
      <c r="UM5" s="48">
        <v>91.24</v>
      </c>
      <c r="UN5">
        <v>91.28</v>
      </c>
      <c r="UO5">
        <v>91.19</v>
      </c>
      <c r="UP5">
        <v>90.74</v>
      </c>
      <c r="UQ5">
        <v>91.29</v>
      </c>
      <c r="UR5" s="48">
        <v>91.23</v>
      </c>
      <c r="US5" s="48">
        <v>91.18</v>
      </c>
      <c r="UT5" s="48">
        <v>91.19</v>
      </c>
      <c r="UU5" s="48">
        <v>91.24</v>
      </c>
      <c r="UV5" s="48">
        <v>91.19</v>
      </c>
      <c r="UW5" s="48">
        <v>91.35</v>
      </c>
      <c r="UX5" s="48">
        <v>91.2</v>
      </c>
      <c r="UY5" s="48">
        <v>91.16</v>
      </c>
      <c r="UZ5" s="48">
        <v>91.14</v>
      </c>
      <c r="VA5" s="48">
        <v>91.34</v>
      </c>
      <c r="VB5" s="48">
        <v>91.38</v>
      </c>
      <c r="VC5" s="48">
        <v>91.29</v>
      </c>
      <c r="VD5" s="158">
        <v>91.48</v>
      </c>
      <c r="VE5" s="48">
        <v>84.96</v>
      </c>
      <c r="VF5" s="48">
        <v>91.3</v>
      </c>
      <c r="VG5" s="48">
        <v>91.28</v>
      </c>
      <c r="VH5" s="48">
        <v>91.06</v>
      </c>
      <c r="VI5" s="48">
        <v>90.57</v>
      </c>
      <c r="VJ5" s="48">
        <v>90.94</v>
      </c>
      <c r="VK5" s="158">
        <v>91.27</v>
      </c>
      <c r="VL5" s="48">
        <v>91.19</v>
      </c>
      <c r="VM5" s="48">
        <v>91.01</v>
      </c>
      <c r="VN5" s="48">
        <v>91.13</v>
      </c>
      <c r="VO5" s="48">
        <v>91.25</v>
      </c>
      <c r="VP5" s="48">
        <v>91.05</v>
      </c>
      <c r="VQ5" s="48">
        <v>90.75</v>
      </c>
      <c r="VR5" s="48">
        <v>91.41</v>
      </c>
    </row>
    <row r="6" spans="1:590" ht="15.75" thickBot="1" x14ac:dyDescent="0.3">
      <c r="A6" s="45" t="s">
        <v>39</v>
      </c>
      <c r="B6" s="2">
        <v>85.34</v>
      </c>
      <c r="C6" s="2">
        <v>88.13</v>
      </c>
      <c r="D6" s="30">
        <v>87.34</v>
      </c>
      <c r="E6" s="30">
        <v>87.26</v>
      </c>
      <c r="F6" s="30">
        <v>87.05</v>
      </c>
      <c r="G6" s="2">
        <v>87.51</v>
      </c>
      <c r="H6" s="2">
        <v>87.51</v>
      </c>
      <c r="I6" s="2">
        <v>88.52</v>
      </c>
      <c r="J6" s="2">
        <v>87.91</v>
      </c>
      <c r="K6" s="2">
        <v>87.45</v>
      </c>
      <c r="L6" s="2">
        <v>87.16</v>
      </c>
      <c r="M6" s="2">
        <v>87.22</v>
      </c>
      <c r="N6" s="2">
        <v>87.73</v>
      </c>
      <c r="O6" s="2">
        <v>87.94</v>
      </c>
      <c r="P6" s="2">
        <v>88.51</v>
      </c>
      <c r="Q6" s="2">
        <v>87.67</v>
      </c>
      <c r="R6" s="2">
        <v>87.58</v>
      </c>
      <c r="S6" s="2">
        <v>87.28</v>
      </c>
      <c r="T6" s="2">
        <v>86.99</v>
      </c>
      <c r="U6" s="49"/>
      <c r="V6" s="53"/>
      <c r="W6" s="49"/>
      <c r="X6" s="54"/>
      <c r="Y6" s="55"/>
      <c r="Z6" s="54"/>
      <c r="AA6" s="54"/>
      <c r="AB6" s="54"/>
      <c r="AC6" s="54"/>
      <c r="AD6" s="54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4"/>
      <c r="BD6" s="49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5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>
        <v>86.29</v>
      </c>
      <c r="CC6" s="54">
        <v>85.33</v>
      </c>
      <c r="CD6" s="54">
        <v>86.56</v>
      </c>
      <c r="CE6" s="54">
        <v>86.66</v>
      </c>
      <c r="CF6" s="54">
        <v>86.6</v>
      </c>
      <c r="CG6" s="54">
        <v>86.76</v>
      </c>
      <c r="CH6" s="54">
        <v>87.55</v>
      </c>
      <c r="CI6" s="54">
        <v>86.12</v>
      </c>
      <c r="CJ6" s="55">
        <v>85.94</v>
      </c>
      <c r="CK6" s="54">
        <v>86.35</v>
      </c>
      <c r="CL6" s="54">
        <v>85.42</v>
      </c>
      <c r="CM6" s="54">
        <v>85.8</v>
      </c>
      <c r="CN6" s="54">
        <v>86.47</v>
      </c>
      <c r="CO6" s="54">
        <v>87.9</v>
      </c>
      <c r="CP6" s="54">
        <v>85.28</v>
      </c>
      <c r="CQ6" s="55">
        <v>86.13</v>
      </c>
      <c r="CR6" s="54">
        <v>86.2</v>
      </c>
      <c r="CS6" s="54">
        <v>86.74</v>
      </c>
      <c r="CT6" s="54">
        <v>87.05</v>
      </c>
      <c r="CU6" s="54">
        <v>86.86</v>
      </c>
      <c r="CV6" s="54">
        <v>88.03</v>
      </c>
      <c r="CW6" s="54">
        <v>88.42</v>
      </c>
      <c r="CX6" s="55">
        <v>86.8</v>
      </c>
      <c r="CY6" s="54">
        <v>87.4</v>
      </c>
      <c r="CZ6" s="54">
        <v>87.29</v>
      </c>
      <c r="DA6" s="54"/>
      <c r="DB6" s="54"/>
      <c r="DC6" s="54"/>
      <c r="DD6" s="54"/>
      <c r="DE6" s="55"/>
      <c r="DF6" s="54"/>
      <c r="DG6" s="54"/>
      <c r="DH6" s="54"/>
      <c r="DI6" s="54"/>
      <c r="DJ6" s="54"/>
      <c r="DK6" s="54"/>
      <c r="DL6" s="54"/>
      <c r="DM6" s="54"/>
      <c r="DN6" s="54"/>
      <c r="DO6" s="54"/>
      <c r="DP6" s="55"/>
      <c r="DQ6" s="54"/>
      <c r="DR6" s="54"/>
      <c r="DS6" s="55"/>
      <c r="DT6" s="54"/>
      <c r="DU6" s="54"/>
      <c r="DV6" s="55"/>
      <c r="DW6" s="55"/>
      <c r="DX6" s="55"/>
      <c r="DY6" s="55"/>
      <c r="DZ6" s="55">
        <v>86.68</v>
      </c>
      <c r="EA6" s="55">
        <v>86.41</v>
      </c>
      <c r="EB6" s="55">
        <v>87.18</v>
      </c>
      <c r="EC6" s="55">
        <v>87.27</v>
      </c>
      <c r="ED6" s="55">
        <v>87</v>
      </c>
      <c r="EE6" s="55">
        <v>88.82</v>
      </c>
      <c r="EF6" s="55">
        <v>84.77</v>
      </c>
      <c r="EG6" s="55">
        <v>87.22</v>
      </c>
      <c r="EH6" s="104">
        <v>87.49</v>
      </c>
      <c r="EI6" s="55">
        <v>87.82</v>
      </c>
      <c r="EJ6" s="55">
        <v>87.4</v>
      </c>
      <c r="EK6" s="55">
        <v>87.82</v>
      </c>
      <c r="EL6" s="55">
        <v>88.95</v>
      </c>
      <c r="EM6" s="55">
        <v>87.07</v>
      </c>
      <c r="EN6" s="55">
        <v>87.39</v>
      </c>
      <c r="EO6" s="55">
        <v>87.2</v>
      </c>
      <c r="EP6" s="55">
        <v>87.55</v>
      </c>
      <c r="EQ6" s="55">
        <v>87.45</v>
      </c>
      <c r="ER6" s="55">
        <v>87.66</v>
      </c>
      <c r="ES6" s="55">
        <v>88.5</v>
      </c>
      <c r="ET6" s="55">
        <v>87.43</v>
      </c>
      <c r="EU6" s="55">
        <v>87.53</v>
      </c>
      <c r="EV6" s="55">
        <v>87.52</v>
      </c>
      <c r="EW6" s="55">
        <v>84.01</v>
      </c>
      <c r="EX6" s="55">
        <v>82.47</v>
      </c>
      <c r="EY6" s="55">
        <v>81.66</v>
      </c>
      <c r="EZ6" s="55">
        <v>86.87</v>
      </c>
      <c r="FA6" s="54">
        <v>87.16</v>
      </c>
      <c r="FB6" s="55">
        <v>86.45</v>
      </c>
      <c r="FC6" s="55">
        <v>86.44</v>
      </c>
      <c r="FD6" s="55">
        <v>86.87</v>
      </c>
      <c r="FE6" s="55">
        <v>86.84</v>
      </c>
      <c r="FF6" s="55">
        <v>86.85</v>
      </c>
      <c r="FG6" s="55">
        <v>87.76</v>
      </c>
      <c r="FH6" s="55">
        <v>87.05</v>
      </c>
      <c r="FI6" s="55">
        <v>86.92</v>
      </c>
      <c r="FJ6" s="55">
        <v>86.95</v>
      </c>
      <c r="FK6" s="55">
        <v>84.01</v>
      </c>
      <c r="FL6" s="54">
        <v>83.18</v>
      </c>
      <c r="FM6" s="54">
        <v>87.56</v>
      </c>
      <c r="FN6" s="54">
        <v>88.22</v>
      </c>
      <c r="FO6" s="54">
        <v>87.95</v>
      </c>
      <c r="FP6" s="54">
        <v>87.62</v>
      </c>
      <c r="FQ6" s="54">
        <v>87.08</v>
      </c>
      <c r="FR6" s="54">
        <v>86.55</v>
      </c>
      <c r="FS6" s="54">
        <v>88.32</v>
      </c>
      <c r="FT6" s="54">
        <v>87.88</v>
      </c>
      <c r="FU6" s="54">
        <v>88.79</v>
      </c>
      <c r="FV6" s="55">
        <v>87.87</v>
      </c>
      <c r="FW6" s="55">
        <v>87.6</v>
      </c>
      <c r="FX6" s="55">
        <v>88.18</v>
      </c>
      <c r="FY6" s="55">
        <v>88.24</v>
      </c>
      <c r="FZ6" s="55">
        <v>88.08</v>
      </c>
      <c r="GA6" s="55">
        <v>87.92</v>
      </c>
      <c r="GB6" s="55">
        <v>88.44</v>
      </c>
      <c r="GC6" s="55">
        <v>87.25</v>
      </c>
      <c r="GD6" s="55">
        <v>87.37</v>
      </c>
      <c r="GE6" s="55">
        <v>86.96</v>
      </c>
      <c r="GF6" s="55">
        <v>87.42</v>
      </c>
      <c r="GG6" s="55">
        <v>87.14</v>
      </c>
      <c r="GH6" s="55">
        <v>87.76</v>
      </c>
      <c r="GI6" s="55">
        <v>87.69</v>
      </c>
      <c r="GJ6" s="55">
        <v>87.12</v>
      </c>
      <c r="GK6" s="55">
        <v>86.98</v>
      </c>
      <c r="GL6" s="54">
        <v>87.26</v>
      </c>
      <c r="GM6" s="54">
        <v>86.93</v>
      </c>
      <c r="GN6" s="54">
        <v>87.7</v>
      </c>
      <c r="GO6" s="54">
        <v>88.04</v>
      </c>
      <c r="GP6" s="54">
        <v>88.88</v>
      </c>
      <c r="GQ6" s="54">
        <v>87.74</v>
      </c>
      <c r="GR6" s="54">
        <v>87.91</v>
      </c>
      <c r="GS6" s="54">
        <v>87.85</v>
      </c>
      <c r="GT6" s="54">
        <v>87.93</v>
      </c>
      <c r="GU6" s="54">
        <v>88.92</v>
      </c>
      <c r="GV6" s="54">
        <v>89.05</v>
      </c>
      <c r="GW6" s="54">
        <v>89.48</v>
      </c>
      <c r="GX6" s="54">
        <v>88.93</v>
      </c>
      <c r="GY6">
        <v>89.3</v>
      </c>
      <c r="GZ6" s="53">
        <v>88.55</v>
      </c>
      <c r="HA6" s="53">
        <v>88.65</v>
      </c>
      <c r="HB6" s="53">
        <v>89.48</v>
      </c>
      <c r="HC6" s="53">
        <v>89.15</v>
      </c>
      <c r="HD6" s="53">
        <v>89.87</v>
      </c>
      <c r="HE6" s="55">
        <v>87.75</v>
      </c>
      <c r="HF6" s="55">
        <v>87.44</v>
      </c>
      <c r="HG6" s="55">
        <v>86.93</v>
      </c>
      <c r="HH6" s="55">
        <v>82.17</v>
      </c>
      <c r="HI6" s="55">
        <v>83.98</v>
      </c>
      <c r="HJ6" s="55">
        <v>87.93</v>
      </c>
      <c r="HK6" s="55">
        <v>88.96</v>
      </c>
      <c r="HL6" s="55">
        <v>88.45</v>
      </c>
      <c r="HM6" s="55">
        <v>88.05</v>
      </c>
      <c r="HN6" s="55">
        <v>87.83</v>
      </c>
      <c r="HO6" s="55">
        <v>87.83</v>
      </c>
      <c r="HP6" s="55">
        <v>87.98</v>
      </c>
      <c r="HQ6" s="55">
        <v>87.66</v>
      </c>
      <c r="HR6" s="55">
        <v>88.41</v>
      </c>
      <c r="HS6" s="55">
        <v>88.18</v>
      </c>
      <c r="HT6" s="55">
        <v>87.95</v>
      </c>
      <c r="HU6" s="55">
        <v>87.66</v>
      </c>
      <c r="HV6" s="55">
        <v>87.88</v>
      </c>
      <c r="HW6" s="55">
        <v>87.72</v>
      </c>
      <c r="HX6" s="55">
        <v>87.84</v>
      </c>
      <c r="HY6" s="55">
        <v>88.41</v>
      </c>
      <c r="HZ6" s="55">
        <v>87.59</v>
      </c>
      <c r="IA6" s="55">
        <v>87.46</v>
      </c>
      <c r="IB6" s="55">
        <v>87.67</v>
      </c>
      <c r="IC6" s="55">
        <v>87.39</v>
      </c>
      <c r="ID6" s="55">
        <v>87.71</v>
      </c>
      <c r="IE6" s="55">
        <v>87.66</v>
      </c>
      <c r="IF6" s="55">
        <v>88.51</v>
      </c>
      <c r="IG6" s="55">
        <v>87.91</v>
      </c>
      <c r="IH6" s="55">
        <v>87.79</v>
      </c>
      <c r="II6" s="55">
        <v>86.7</v>
      </c>
      <c r="IJ6" s="55">
        <v>88.53</v>
      </c>
      <c r="IK6" s="55">
        <v>87.6</v>
      </c>
      <c r="IL6" s="55">
        <v>87.65</v>
      </c>
      <c r="IM6">
        <v>90</v>
      </c>
      <c r="IN6">
        <v>88.32</v>
      </c>
      <c r="IO6">
        <v>88.33</v>
      </c>
      <c r="IP6">
        <v>88.07</v>
      </c>
      <c r="IQ6" s="2">
        <v>88.58</v>
      </c>
      <c r="IR6">
        <v>88.78</v>
      </c>
      <c r="IS6">
        <v>89.46</v>
      </c>
      <c r="IT6">
        <v>90.41</v>
      </c>
      <c r="IU6">
        <v>89.05</v>
      </c>
      <c r="IV6" s="1">
        <v>88.84</v>
      </c>
      <c r="IW6" s="1">
        <v>88.95</v>
      </c>
      <c r="IX6" s="1">
        <v>88.83</v>
      </c>
      <c r="IY6" s="1">
        <v>89.24</v>
      </c>
      <c r="IZ6" s="1">
        <v>89.4</v>
      </c>
      <c r="JA6" s="1">
        <v>90.39</v>
      </c>
      <c r="JB6" s="1">
        <v>89.08</v>
      </c>
      <c r="JC6">
        <v>88.72</v>
      </c>
      <c r="JD6">
        <v>88.84</v>
      </c>
      <c r="JE6">
        <v>89.03</v>
      </c>
      <c r="JF6">
        <v>88.21</v>
      </c>
      <c r="JG6">
        <v>87.93</v>
      </c>
      <c r="JH6">
        <v>89.75</v>
      </c>
      <c r="JI6">
        <v>88.86</v>
      </c>
      <c r="JJ6">
        <v>89.02</v>
      </c>
      <c r="JK6">
        <v>89.29</v>
      </c>
      <c r="JL6" s="252">
        <v>88.63</v>
      </c>
      <c r="JM6" s="252">
        <v>87.6</v>
      </c>
      <c r="JN6" s="252">
        <v>88.42</v>
      </c>
      <c r="JO6">
        <v>90.38</v>
      </c>
      <c r="JP6">
        <v>88.21</v>
      </c>
      <c r="JQ6">
        <v>87.67</v>
      </c>
      <c r="JR6">
        <v>88.75</v>
      </c>
      <c r="JS6" s="57">
        <v>89.36</v>
      </c>
      <c r="JT6">
        <v>89.47</v>
      </c>
      <c r="JU6">
        <v>88.75</v>
      </c>
      <c r="JV6">
        <v>90.35</v>
      </c>
      <c r="JW6">
        <v>88.01</v>
      </c>
      <c r="JX6">
        <v>89.12</v>
      </c>
      <c r="JY6">
        <v>88.71</v>
      </c>
      <c r="JZ6">
        <v>89.45</v>
      </c>
      <c r="KA6">
        <v>89.31</v>
      </c>
      <c r="KB6">
        <v>89.4</v>
      </c>
      <c r="KC6">
        <v>90.28</v>
      </c>
      <c r="KD6">
        <v>89.1</v>
      </c>
      <c r="KE6">
        <v>89.11</v>
      </c>
      <c r="KF6">
        <v>89.51</v>
      </c>
      <c r="KG6">
        <v>89.53</v>
      </c>
      <c r="KH6">
        <v>88.36</v>
      </c>
      <c r="KI6">
        <v>88.45</v>
      </c>
      <c r="KJ6">
        <v>89.93</v>
      </c>
      <c r="KK6">
        <v>88.81</v>
      </c>
      <c r="KL6">
        <v>89.59</v>
      </c>
      <c r="KM6">
        <v>89.25</v>
      </c>
      <c r="KN6">
        <v>89.61</v>
      </c>
      <c r="KO6" s="64">
        <v>88.5</v>
      </c>
      <c r="KP6" s="64">
        <v>88.73</v>
      </c>
      <c r="KQ6" s="64">
        <v>89.86</v>
      </c>
      <c r="KR6" s="48">
        <v>89.85</v>
      </c>
      <c r="KS6" s="48">
        <v>89.6</v>
      </c>
      <c r="KT6" s="48">
        <v>89.17</v>
      </c>
      <c r="KU6" s="48">
        <v>88.8</v>
      </c>
      <c r="KV6" s="104">
        <v>88.6</v>
      </c>
      <c r="KW6" s="104">
        <v>86.59</v>
      </c>
      <c r="KX6" s="104">
        <v>86.53</v>
      </c>
      <c r="KY6" s="104">
        <v>83.7</v>
      </c>
      <c r="KZ6" s="104">
        <v>88.57</v>
      </c>
      <c r="LA6" s="104">
        <v>88.55</v>
      </c>
      <c r="LB6" s="104">
        <v>89.04</v>
      </c>
      <c r="LC6" s="104">
        <v>88.02</v>
      </c>
      <c r="LD6" s="104">
        <v>88.86</v>
      </c>
      <c r="LE6" s="104">
        <v>89.51</v>
      </c>
      <c r="LF6" s="104">
        <v>88.66</v>
      </c>
      <c r="LG6" s="104">
        <v>88.68</v>
      </c>
      <c r="LH6" s="104">
        <v>89.34</v>
      </c>
      <c r="LI6" s="104">
        <v>88.71</v>
      </c>
      <c r="LJ6" s="104">
        <v>88.67</v>
      </c>
      <c r="LK6" s="104">
        <v>88.76</v>
      </c>
      <c r="LL6" s="104">
        <v>89.9</v>
      </c>
      <c r="LM6" s="104">
        <v>88.89</v>
      </c>
      <c r="LN6" s="104">
        <v>88.91</v>
      </c>
      <c r="LO6" s="104">
        <v>88.13</v>
      </c>
      <c r="LP6" s="104">
        <v>88.95</v>
      </c>
      <c r="LQ6" s="104">
        <v>89.47</v>
      </c>
      <c r="LR6" s="104">
        <v>89.34</v>
      </c>
      <c r="LS6" s="104">
        <v>90.38</v>
      </c>
      <c r="LT6" s="104">
        <v>88.81</v>
      </c>
      <c r="LU6" s="104">
        <v>88.53</v>
      </c>
      <c r="LV6" s="104">
        <v>88.91</v>
      </c>
      <c r="LW6" s="104">
        <v>88.56</v>
      </c>
      <c r="LX6" s="104">
        <v>88.48</v>
      </c>
      <c r="LY6" s="104">
        <v>89.09</v>
      </c>
      <c r="LZ6" s="104">
        <v>90.24</v>
      </c>
      <c r="MA6" s="104">
        <v>88.76</v>
      </c>
      <c r="MB6" s="104">
        <v>88.62</v>
      </c>
      <c r="MC6" s="104">
        <v>89.33</v>
      </c>
      <c r="MD6" s="104">
        <v>88.6</v>
      </c>
      <c r="ME6" s="104">
        <v>88.44</v>
      </c>
      <c r="MF6" s="104">
        <v>88.65</v>
      </c>
      <c r="MG6" s="104">
        <v>89.74</v>
      </c>
      <c r="MH6" s="104">
        <v>88.25</v>
      </c>
      <c r="MI6" s="104">
        <v>87.7</v>
      </c>
      <c r="MJ6" s="104">
        <v>88.48</v>
      </c>
      <c r="MK6" s="104">
        <v>90.66</v>
      </c>
      <c r="ML6" s="104">
        <v>88.49</v>
      </c>
      <c r="MM6" s="104">
        <v>92.69</v>
      </c>
      <c r="MN6" s="104">
        <v>89.87</v>
      </c>
      <c r="MO6" s="104">
        <v>89.02</v>
      </c>
      <c r="MP6" s="104">
        <v>88.87</v>
      </c>
      <c r="MQ6" s="104">
        <v>88.01</v>
      </c>
      <c r="MR6" s="104">
        <v>88.93</v>
      </c>
      <c r="MS6" s="101">
        <v>88.98</v>
      </c>
      <c r="MT6" s="101">
        <v>92.73</v>
      </c>
      <c r="MU6" s="101">
        <v>90.34</v>
      </c>
      <c r="MV6" s="101">
        <v>89.83</v>
      </c>
      <c r="MW6" s="101">
        <v>89.4</v>
      </c>
      <c r="MX6" s="101">
        <v>89.02</v>
      </c>
      <c r="MY6" s="104">
        <v>86.12</v>
      </c>
      <c r="MZ6">
        <v>90.19</v>
      </c>
      <c r="NA6">
        <v>90.12</v>
      </c>
      <c r="NB6">
        <v>90.89</v>
      </c>
      <c r="NC6">
        <v>88.31</v>
      </c>
      <c r="ND6">
        <v>90.29</v>
      </c>
      <c r="NE6">
        <v>90.35</v>
      </c>
      <c r="NF6">
        <v>89.31</v>
      </c>
      <c r="NG6">
        <v>90.42</v>
      </c>
      <c r="NH6">
        <v>90.68</v>
      </c>
      <c r="NI6">
        <v>91.6</v>
      </c>
      <c r="NJ6">
        <v>90.66</v>
      </c>
      <c r="NK6">
        <v>89.53</v>
      </c>
      <c r="NL6">
        <v>89.61</v>
      </c>
      <c r="NM6">
        <v>89.7</v>
      </c>
      <c r="NN6">
        <v>90.66</v>
      </c>
      <c r="NO6">
        <v>90.91</v>
      </c>
      <c r="NP6">
        <v>91.96</v>
      </c>
      <c r="NQ6">
        <v>90.78</v>
      </c>
      <c r="NR6">
        <v>90.85</v>
      </c>
      <c r="NS6">
        <v>90.96</v>
      </c>
      <c r="NT6">
        <v>91.09</v>
      </c>
      <c r="NU6">
        <v>90.96</v>
      </c>
      <c r="NV6">
        <v>91.37</v>
      </c>
      <c r="NW6">
        <v>91.93</v>
      </c>
      <c r="NX6">
        <v>90.69</v>
      </c>
      <c r="NY6">
        <v>90.74</v>
      </c>
      <c r="NZ6">
        <v>90.71</v>
      </c>
      <c r="OA6">
        <v>90.85</v>
      </c>
      <c r="OB6">
        <v>90.33</v>
      </c>
      <c r="OC6">
        <v>91.35</v>
      </c>
      <c r="OD6">
        <v>92.07</v>
      </c>
      <c r="OE6">
        <v>90.77</v>
      </c>
      <c r="OF6">
        <v>90.91</v>
      </c>
      <c r="OG6">
        <v>90.58</v>
      </c>
      <c r="OH6">
        <v>90.99</v>
      </c>
      <c r="OI6">
        <v>90.66</v>
      </c>
      <c r="OJ6">
        <v>90.75</v>
      </c>
      <c r="OK6">
        <v>91.86</v>
      </c>
      <c r="OL6">
        <v>90.81</v>
      </c>
      <c r="OM6">
        <v>91.13</v>
      </c>
      <c r="ON6">
        <v>91.31</v>
      </c>
      <c r="OO6">
        <v>91.43</v>
      </c>
      <c r="OP6">
        <v>91.03</v>
      </c>
      <c r="OQ6">
        <v>91.14</v>
      </c>
      <c r="OR6">
        <v>92.19</v>
      </c>
      <c r="OS6">
        <v>91.82</v>
      </c>
      <c r="OT6">
        <v>91.21</v>
      </c>
      <c r="OU6">
        <v>90.71</v>
      </c>
      <c r="OV6">
        <v>92.58</v>
      </c>
      <c r="OW6">
        <v>90.34</v>
      </c>
      <c r="OX6">
        <v>91.37</v>
      </c>
      <c r="OY6">
        <v>91.88</v>
      </c>
      <c r="OZ6">
        <v>91.12</v>
      </c>
      <c r="PA6">
        <v>90.66</v>
      </c>
      <c r="PB6">
        <v>90.76</v>
      </c>
      <c r="PC6">
        <v>91.04</v>
      </c>
      <c r="PD6">
        <v>90.51</v>
      </c>
      <c r="PE6">
        <v>91.27</v>
      </c>
      <c r="PF6">
        <v>91.93</v>
      </c>
      <c r="PG6">
        <v>90.63</v>
      </c>
      <c r="PH6">
        <v>90.85</v>
      </c>
      <c r="PI6">
        <v>91.1</v>
      </c>
      <c r="PJ6">
        <v>90.62</v>
      </c>
      <c r="PK6">
        <v>90.73</v>
      </c>
      <c r="PL6">
        <v>91.08</v>
      </c>
      <c r="PM6">
        <v>91.55</v>
      </c>
      <c r="PN6">
        <v>90.41</v>
      </c>
      <c r="PO6">
        <v>90.48</v>
      </c>
      <c r="PP6">
        <v>91.1</v>
      </c>
      <c r="PQ6">
        <v>90.93</v>
      </c>
      <c r="PR6">
        <v>92.58</v>
      </c>
      <c r="PS6" s="64">
        <v>90.76</v>
      </c>
      <c r="PT6" s="64">
        <v>91.99</v>
      </c>
      <c r="PU6" s="48">
        <v>90.65</v>
      </c>
      <c r="PV6" s="48">
        <v>90.44</v>
      </c>
      <c r="PW6" s="48">
        <v>90.8</v>
      </c>
      <c r="PX6" s="48">
        <v>91.19</v>
      </c>
      <c r="PY6" s="48">
        <v>91.2</v>
      </c>
      <c r="PZ6" s="48">
        <v>90.59</v>
      </c>
      <c r="QA6" s="48">
        <v>91.54</v>
      </c>
      <c r="QB6" s="48">
        <v>90.78</v>
      </c>
      <c r="QC6" s="48">
        <v>90.64</v>
      </c>
      <c r="QD6" s="48">
        <v>90.37</v>
      </c>
      <c r="QE6" s="48">
        <v>90.51</v>
      </c>
      <c r="QF6" s="64">
        <v>89.52</v>
      </c>
      <c r="QG6" s="64">
        <v>89.61</v>
      </c>
      <c r="QH6" s="48">
        <v>91.14</v>
      </c>
      <c r="QI6" s="48">
        <v>90.72</v>
      </c>
      <c r="QJ6" s="48">
        <v>90.47</v>
      </c>
      <c r="QK6" s="48">
        <v>90.35</v>
      </c>
      <c r="QL6" s="48">
        <v>90.48</v>
      </c>
      <c r="QM6">
        <v>90.15</v>
      </c>
      <c r="QN6">
        <v>90.11</v>
      </c>
      <c r="QO6">
        <v>90.34</v>
      </c>
      <c r="QP6">
        <v>90.25</v>
      </c>
      <c r="QQ6">
        <v>90.15</v>
      </c>
      <c r="QR6">
        <v>89.84</v>
      </c>
      <c r="QS6">
        <v>90.2</v>
      </c>
      <c r="QT6" s="48">
        <v>90.31</v>
      </c>
      <c r="QU6" s="48">
        <v>90.48</v>
      </c>
      <c r="QV6" s="48">
        <v>90.96</v>
      </c>
      <c r="QW6" s="48">
        <v>90.73</v>
      </c>
      <c r="QX6" s="48">
        <v>90.55</v>
      </c>
      <c r="QY6" s="48">
        <v>90.87</v>
      </c>
      <c r="QZ6" s="48">
        <v>90.94</v>
      </c>
      <c r="RA6" s="48">
        <v>91.15</v>
      </c>
      <c r="RB6" s="48">
        <v>91.09</v>
      </c>
      <c r="RC6" s="48">
        <v>91.47</v>
      </c>
      <c r="RD6" s="48">
        <v>91.13</v>
      </c>
      <c r="RE6" s="48">
        <v>90.95</v>
      </c>
      <c r="RF6" s="48">
        <v>90.97</v>
      </c>
      <c r="RG6" s="158">
        <v>91.03</v>
      </c>
      <c r="RH6" s="48">
        <v>90.97</v>
      </c>
      <c r="RI6" s="48">
        <v>91.1</v>
      </c>
      <c r="RJ6" s="48">
        <v>91.51</v>
      </c>
      <c r="RK6">
        <v>90.85</v>
      </c>
      <c r="RL6" s="48">
        <v>91.06</v>
      </c>
      <c r="RM6">
        <v>90.94</v>
      </c>
      <c r="RN6">
        <v>90.78</v>
      </c>
      <c r="RO6">
        <v>90.72</v>
      </c>
      <c r="RP6">
        <v>91.37</v>
      </c>
      <c r="RQ6">
        <v>91.7</v>
      </c>
      <c r="RR6">
        <v>91.22</v>
      </c>
      <c r="RS6" s="48">
        <v>91.06</v>
      </c>
      <c r="RT6" s="48">
        <v>91.32</v>
      </c>
      <c r="RU6" s="48">
        <v>91.18</v>
      </c>
      <c r="RV6" s="48">
        <v>91.29</v>
      </c>
      <c r="RW6" s="48">
        <v>91.48</v>
      </c>
      <c r="RX6" s="48">
        <v>91.97</v>
      </c>
      <c r="RY6" s="48">
        <v>91.43</v>
      </c>
      <c r="RZ6" s="48">
        <v>91.35</v>
      </c>
      <c r="SA6" s="48">
        <v>91.34</v>
      </c>
      <c r="SB6" s="48">
        <v>91.66</v>
      </c>
      <c r="SC6" s="48">
        <v>91.58</v>
      </c>
      <c r="SD6" s="48">
        <v>91.7</v>
      </c>
      <c r="SE6" s="48">
        <v>91.64</v>
      </c>
      <c r="SF6" s="48">
        <v>91.39</v>
      </c>
      <c r="SG6" s="48">
        <v>91.32</v>
      </c>
      <c r="SH6" s="48">
        <v>87.9</v>
      </c>
      <c r="SI6" s="48">
        <v>91.44</v>
      </c>
      <c r="SJ6" s="48">
        <v>90.72</v>
      </c>
      <c r="SK6" s="48">
        <v>90.55</v>
      </c>
      <c r="SL6" s="48">
        <v>91.74</v>
      </c>
      <c r="SM6" s="48">
        <v>91.49</v>
      </c>
      <c r="SN6" s="64">
        <v>93.88</v>
      </c>
      <c r="SO6" s="64">
        <v>93.57</v>
      </c>
      <c r="SP6" s="48">
        <v>90.8</v>
      </c>
      <c r="SQ6" s="64">
        <v>94.288493420497872</v>
      </c>
      <c r="SR6" s="64">
        <v>94.188900971259585</v>
      </c>
      <c r="SS6" s="64">
        <v>93.67</v>
      </c>
      <c r="ST6" s="48">
        <v>91.35</v>
      </c>
      <c r="SU6" s="72">
        <v>93.57</v>
      </c>
      <c r="SV6" s="48">
        <v>91.95</v>
      </c>
      <c r="SW6" s="64">
        <v>93.76</v>
      </c>
      <c r="SX6" s="64">
        <v>93.67</v>
      </c>
      <c r="SY6" s="64">
        <v>93.88</v>
      </c>
      <c r="SZ6" s="48">
        <v>93.58</v>
      </c>
      <c r="TA6" s="64">
        <v>93.88</v>
      </c>
      <c r="TB6" s="64">
        <v>91.86</v>
      </c>
      <c r="TC6" s="64">
        <v>94.189665454565315</v>
      </c>
      <c r="TD6" s="64">
        <v>94.35180489385877</v>
      </c>
      <c r="TE6" s="64">
        <v>94.219375558076663</v>
      </c>
      <c r="TF6" s="64">
        <v>89.266768444120373</v>
      </c>
      <c r="TG6" s="64">
        <v>94.307356358500883</v>
      </c>
      <c r="TH6" s="48">
        <v>93.58</v>
      </c>
      <c r="TI6" s="64">
        <v>93.57</v>
      </c>
      <c r="TJ6" s="64">
        <v>91.95</v>
      </c>
      <c r="TK6" s="64">
        <v>93.76</v>
      </c>
      <c r="TL6" s="64">
        <v>93.76970122046886</v>
      </c>
      <c r="TM6" s="64">
        <v>94.222956848257425</v>
      </c>
      <c r="TN6" s="64">
        <v>94.065471790283169</v>
      </c>
      <c r="TO6" s="64">
        <v>94.106772639981571</v>
      </c>
      <c r="TP6" s="64">
        <v>93.282926787933249</v>
      </c>
      <c r="TQ6" s="64">
        <v>94.099703790513658</v>
      </c>
      <c r="TR6" s="64">
        <v>93.834631336056916</v>
      </c>
      <c r="TS6" s="64">
        <v>94.255521091552197</v>
      </c>
      <c r="TT6" s="64">
        <v>94.346166840340544</v>
      </c>
      <c r="TU6" s="48">
        <v>92.78</v>
      </c>
      <c r="TV6" s="48">
        <v>92.45</v>
      </c>
      <c r="TW6" s="48">
        <v>92.22</v>
      </c>
      <c r="TX6" s="48">
        <v>92.09</v>
      </c>
      <c r="TY6" s="48">
        <v>91.93</v>
      </c>
      <c r="TZ6" s="48">
        <v>90.73</v>
      </c>
      <c r="UA6" s="158">
        <v>90.83</v>
      </c>
      <c r="UB6" s="1">
        <v>92.44</v>
      </c>
      <c r="UC6">
        <v>92.02</v>
      </c>
      <c r="UD6" s="158">
        <v>92.04</v>
      </c>
      <c r="UE6" s="48">
        <v>92.26</v>
      </c>
      <c r="UF6" s="48">
        <v>92.14</v>
      </c>
      <c r="UG6" s="48">
        <v>92.12</v>
      </c>
      <c r="UH6" s="48">
        <v>92.06</v>
      </c>
      <c r="UI6" s="48">
        <v>92.53</v>
      </c>
      <c r="UJ6" s="48">
        <v>91.6</v>
      </c>
      <c r="UK6" s="48">
        <v>91.84</v>
      </c>
      <c r="UL6" s="158">
        <v>92.16</v>
      </c>
      <c r="UM6" s="48">
        <v>92.3</v>
      </c>
      <c r="UN6">
        <v>92.37</v>
      </c>
      <c r="UO6">
        <v>92.18</v>
      </c>
      <c r="UP6">
        <v>91.96</v>
      </c>
      <c r="UQ6">
        <v>92.3</v>
      </c>
      <c r="UR6" s="48">
        <v>92.37</v>
      </c>
      <c r="US6" s="48">
        <v>92.24</v>
      </c>
      <c r="UT6" s="48">
        <v>92.24</v>
      </c>
      <c r="UU6" s="48">
        <v>92.26</v>
      </c>
      <c r="UV6" s="48">
        <v>92.12</v>
      </c>
      <c r="UW6" s="48">
        <v>92.49</v>
      </c>
      <c r="UX6" s="48">
        <v>92.15</v>
      </c>
      <c r="UY6" s="48">
        <v>92.15</v>
      </c>
      <c r="UZ6" s="48">
        <v>92.17</v>
      </c>
      <c r="VA6" s="48">
        <v>92.25</v>
      </c>
      <c r="VB6" s="48">
        <v>92.42</v>
      </c>
      <c r="VC6" s="48">
        <v>92.23</v>
      </c>
      <c r="VD6" s="158">
        <v>92.76</v>
      </c>
      <c r="VE6" s="48">
        <v>86.07</v>
      </c>
      <c r="VF6" s="48">
        <v>92.33</v>
      </c>
      <c r="VG6" s="48">
        <v>92.31</v>
      </c>
      <c r="VH6" s="48">
        <v>92.09</v>
      </c>
      <c r="VI6" s="48">
        <v>91.76</v>
      </c>
      <c r="VJ6" s="48">
        <v>91.96</v>
      </c>
      <c r="VK6" s="158">
        <v>92.65</v>
      </c>
      <c r="VL6" s="48">
        <v>92.25</v>
      </c>
      <c r="VM6" s="48">
        <v>92.03</v>
      </c>
      <c r="VN6" s="48">
        <v>92.09</v>
      </c>
      <c r="VO6" s="48">
        <v>92.22</v>
      </c>
      <c r="VP6" s="48">
        <v>92.1</v>
      </c>
      <c r="VQ6" s="48">
        <v>91.74</v>
      </c>
      <c r="VR6" s="48">
        <v>92.69</v>
      </c>
    </row>
    <row r="7" spans="1:590" ht="15.75" thickBot="1" x14ac:dyDescent="0.3">
      <c r="JA7" s="274"/>
      <c r="JS7" s="57"/>
      <c r="KS7" s="57"/>
      <c r="KT7" s="64"/>
      <c r="PM7" s="1"/>
      <c r="PN7" s="1"/>
      <c r="PO7" s="1"/>
      <c r="RH7" s="48"/>
      <c r="RI7" s="48"/>
      <c r="RJ7" s="48"/>
      <c r="RL7" s="48"/>
      <c r="SG7" s="57"/>
      <c r="SH7" s="57"/>
      <c r="SI7" s="57"/>
      <c r="SJ7" s="48"/>
      <c r="SK7" s="48"/>
      <c r="SL7" s="48"/>
      <c r="ST7" s="57"/>
      <c r="SV7" s="48"/>
      <c r="SW7" s="48"/>
      <c r="UB7" s="1"/>
      <c r="UD7" s="158"/>
      <c r="UE7" s="48"/>
      <c r="UF7" s="48"/>
      <c r="UM7" s="48"/>
      <c r="VE7" s="48"/>
      <c r="VF7" s="48"/>
      <c r="VG7" s="48"/>
      <c r="VH7" s="48"/>
      <c r="VL7" s="48"/>
    </row>
    <row r="8" spans="1:590" ht="15.75" thickBot="1" x14ac:dyDescent="0.3">
      <c r="A8" s="275" t="s">
        <v>255</v>
      </c>
      <c r="B8" s="2">
        <v>99.49</v>
      </c>
      <c r="C8" s="2">
        <v>99.51</v>
      </c>
      <c r="D8" s="2">
        <v>99.65</v>
      </c>
      <c r="E8" s="2">
        <v>99.63</v>
      </c>
      <c r="F8" s="2">
        <v>99.64</v>
      </c>
      <c r="G8" s="2">
        <v>99.65</v>
      </c>
      <c r="H8" s="2">
        <v>99.67</v>
      </c>
      <c r="I8" s="2">
        <v>99.69</v>
      </c>
      <c r="J8" s="2">
        <v>99.66</v>
      </c>
      <c r="K8" s="2">
        <v>99.67</v>
      </c>
      <c r="L8" s="2">
        <v>99.67</v>
      </c>
      <c r="M8" s="2">
        <v>99.66</v>
      </c>
      <c r="N8" s="2">
        <v>99.66</v>
      </c>
      <c r="O8" s="2">
        <v>99.68</v>
      </c>
      <c r="P8" s="2">
        <v>99.7</v>
      </c>
      <c r="Q8" s="2">
        <v>99.67</v>
      </c>
      <c r="R8" s="2">
        <v>99.7</v>
      </c>
      <c r="S8" s="2">
        <v>99.67</v>
      </c>
      <c r="T8" s="2">
        <v>99.67</v>
      </c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2">
        <v>99.85</v>
      </c>
      <c r="CC8" s="2">
        <v>99.84</v>
      </c>
      <c r="CD8" s="2">
        <v>99.85</v>
      </c>
      <c r="CE8" s="2">
        <v>99.86</v>
      </c>
      <c r="CF8" s="64">
        <v>99.87</v>
      </c>
      <c r="CG8" s="64">
        <v>99.87</v>
      </c>
      <c r="CH8" s="64">
        <v>99.87</v>
      </c>
      <c r="CI8" s="64">
        <v>99.88</v>
      </c>
      <c r="CJ8" s="64">
        <v>99.86</v>
      </c>
      <c r="CK8" s="64">
        <v>99.86</v>
      </c>
      <c r="CL8" s="64">
        <v>99.85</v>
      </c>
      <c r="CM8" s="64">
        <v>99.87</v>
      </c>
      <c r="CN8" s="64">
        <v>99.87</v>
      </c>
      <c r="CO8" s="64">
        <v>99.87</v>
      </c>
      <c r="CP8" s="64">
        <v>99.87</v>
      </c>
      <c r="CQ8" s="64">
        <v>99.85</v>
      </c>
      <c r="CR8" s="64">
        <v>99.76</v>
      </c>
      <c r="CS8" s="64">
        <v>99.86</v>
      </c>
      <c r="CT8" s="64">
        <v>99.84</v>
      </c>
      <c r="CU8" s="54">
        <v>99.85</v>
      </c>
      <c r="CV8" s="64">
        <v>99.87</v>
      </c>
      <c r="CW8" s="64">
        <v>99.87</v>
      </c>
      <c r="CX8" s="64">
        <v>99.88</v>
      </c>
      <c r="CY8" s="64">
        <v>99.86</v>
      </c>
      <c r="CZ8" s="64">
        <v>99.88</v>
      </c>
      <c r="DA8" s="64"/>
      <c r="DB8" s="64"/>
      <c r="DC8" s="2"/>
      <c r="DD8" s="2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72"/>
      <c r="DQ8" s="64"/>
      <c r="DR8" s="64"/>
      <c r="DS8" s="64"/>
      <c r="DT8" s="64"/>
      <c r="DU8" s="72"/>
      <c r="DV8" s="64"/>
      <c r="DW8" s="64"/>
      <c r="DX8" s="64"/>
      <c r="DY8" s="64"/>
      <c r="DZ8" s="104">
        <v>99.78</v>
      </c>
      <c r="EA8" s="104">
        <v>99.77</v>
      </c>
      <c r="EB8" s="104">
        <v>99.8</v>
      </c>
      <c r="EC8" s="104">
        <v>99.81</v>
      </c>
      <c r="ED8" s="104">
        <v>99.8</v>
      </c>
      <c r="EE8" s="104">
        <v>99.81</v>
      </c>
      <c r="EF8" s="104">
        <v>97.92</v>
      </c>
      <c r="EG8" s="104">
        <v>99.8</v>
      </c>
      <c r="EH8" s="104">
        <v>99.79</v>
      </c>
      <c r="EI8" s="104">
        <v>99.8</v>
      </c>
      <c r="EJ8" s="104">
        <v>99.79</v>
      </c>
      <c r="EK8" s="104">
        <v>99.81</v>
      </c>
      <c r="EL8" s="104">
        <v>99.82</v>
      </c>
      <c r="EM8" s="104">
        <v>99.82</v>
      </c>
      <c r="EN8" s="104">
        <v>99.82</v>
      </c>
      <c r="EO8" s="104">
        <v>99.79</v>
      </c>
      <c r="EP8" s="104">
        <v>99.76</v>
      </c>
      <c r="EQ8" s="104">
        <v>99.8</v>
      </c>
      <c r="ER8" s="104">
        <v>99.81</v>
      </c>
      <c r="ES8" s="104">
        <v>99.81</v>
      </c>
      <c r="ET8" s="104">
        <v>99.81</v>
      </c>
      <c r="EU8" s="104">
        <v>96.82</v>
      </c>
      <c r="EV8" s="104">
        <v>99.79</v>
      </c>
      <c r="EW8" s="104">
        <v>95.74</v>
      </c>
      <c r="EX8" s="104">
        <v>98.43</v>
      </c>
      <c r="EY8" s="104">
        <v>95.31</v>
      </c>
      <c r="EZ8" s="104">
        <v>98.18</v>
      </c>
      <c r="FA8" s="104">
        <v>99.77</v>
      </c>
      <c r="FB8" s="104">
        <v>99.77</v>
      </c>
      <c r="FC8" s="104">
        <v>99.77</v>
      </c>
      <c r="FD8" s="104">
        <v>99.77</v>
      </c>
      <c r="FE8" s="104">
        <v>99.79</v>
      </c>
      <c r="FF8" s="104">
        <v>99.79</v>
      </c>
      <c r="FG8" s="104">
        <v>99.79</v>
      </c>
      <c r="FH8" s="104">
        <v>99.79</v>
      </c>
      <c r="FI8" s="104">
        <v>99.78</v>
      </c>
      <c r="FJ8" s="104">
        <v>99.77</v>
      </c>
      <c r="FK8" s="104">
        <v>99.78</v>
      </c>
      <c r="FL8" s="104">
        <v>99.78</v>
      </c>
      <c r="FM8" s="104">
        <v>99.81</v>
      </c>
      <c r="FN8" s="104">
        <v>99.79</v>
      </c>
      <c r="FO8" s="104">
        <v>99.81</v>
      </c>
      <c r="FP8" s="104">
        <v>99.81</v>
      </c>
      <c r="FQ8" s="104">
        <v>99.82</v>
      </c>
      <c r="FR8" s="104">
        <v>99.82</v>
      </c>
      <c r="FS8" s="104">
        <v>99.82</v>
      </c>
      <c r="FT8" s="104">
        <v>99.81</v>
      </c>
      <c r="FU8" s="104">
        <v>99.82</v>
      </c>
      <c r="FV8" s="104">
        <v>99.82</v>
      </c>
      <c r="FW8" s="104">
        <v>99.79</v>
      </c>
      <c r="FX8" s="104">
        <v>99.79</v>
      </c>
      <c r="FY8" s="104">
        <v>99.81</v>
      </c>
      <c r="FZ8" s="104">
        <v>99.81</v>
      </c>
      <c r="GA8" s="104">
        <v>99.81</v>
      </c>
      <c r="GB8" s="104">
        <v>99.83</v>
      </c>
      <c r="GC8" s="104">
        <v>99.81</v>
      </c>
      <c r="GD8" s="104">
        <v>99.81</v>
      </c>
      <c r="GE8" s="104">
        <v>99.81</v>
      </c>
      <c r="GF8" s="104">
        <v>99.81</v>
      </c>
      <c r="GG8" s="104">
        <v>99.78</v>
      </c>
      <c r="GH8" s="104">
        <v>98.96</v>
      </c>
      <c r="GI8" s="104">
        <v>99.86</v>
      </c>
      <c r="GJ8" s="104">
        <v>99.73</v>
      </c>
      <c r="GK8" s="104">
        <v>99.55</v>
      </c>
      <c r="GL8" s="104">
        <v>99.58</v>
      </c>
      <c r="GM8" s="104">
        <v>98.95</v>
      </c>
      <c r="GN8" s="104">
        <v>99.81</v>
      </c>
      <c r="GO8" s="104">
        <v>99.81</v>
      </c>
      <c r="GP8" s="104">
        <v>99.82</v>
      </c>
      <c r="GQ8" s="64">
        <v>99.81</v>
      </c>
      <c r="GR8" s="64">
        <v>99.8</v>
      </c>
      <c r="GS8" s="64">
        <v>99.81</v>
      </c>
      <c r="GT8" s="64">
        <v>99.78</v>
      </c>
      <c r="GU8" s="64">
        <v>99.78</v>
      </c>
      <c r="GV8" s="64">
        <v>99.8</v>
      </c>
      <c r="GW8" s="64">
        <v>99.81</v>
      </c>
      <c r="GX8" s="179">
        <v>99.82</v>
      </c>
      <c r="GY8">
        <v>99.82</v>
      </c>
      <c r="GZ8" s="53">
        <v>99.82</v>
      </c>
      <c r="HA8" s="53">
        <v>99.82</v>
      </c>
      <c r="HB8" s="53">
        <v>99.83</v>
      </c>
      <c r="HC8" s="53">
        <v>99.82</v>
      </c>
      <c r="HD8" s="53">
        <v>99.82</v>
      </c>
      <c r="HE8" s="55">
        <v>99.82</v>
      </c>
      <c r="HF8" s="55">
        <v>96.31</v>
      </c>
      <c r="HG8" s="55">
        <v>99.77</v>
      </c>
      <c r="HH8" s="55">
        <v>99.76</v>
      </c>
      <c r="HI8" s="55">
        <v>99.74</v>
      </c>
      <c r="HJ8" s="55">
        <v>99.82</v>
      </c>
      <c r="HK8" s="55">
        <v>99.82</v>
      </c>
      <c r="HL8" s="55">
        <v>99.83</v>
      </c>
      <c r="HM8" s="55">
        <v>99.82</v>
      </c>
      <c r="HN8" s="55">
        <v>99.82</v>
      </c>
      <c r="HO8" s="55">
        <v>99.8</v>
      </c>
      <c r="HP8" s="55">
        <v>99.82</v>
      </c>
      <c r="HQ8" s="55">
        <v>99.88</v>
      </c>
      <c r="HR8" s="55">
        <v>99.88</v>
      </c>
      <c r="HS8" s="55">
        <v>99.87</v>
      </c>
      <c r="HT8" s="55">
        <v>99.89</v>
      </c>
      <c r="HU8" s="55">
        <v>99.87</v>
      </c>
      <c r="HV8" s="55">
        <v>99.87</v>
      </c>
      <c r="HW8" s="55">
        <v>99.88</v>
      </c>
      <c r="HX8" s="55">
        <v>99.88</v>
      </c>
      <c r="HY8" s="55">
        <v>99.89</v>
      </c>
      <c r="HZ8" s="55">
        <v>99.87</v>
      </c>
      <c r="IA8" s="55">
        <v>99.89</v>
      </c>
      <c r="IB8" s="55">
        <v>99.88</v>
      </c>
      <c r="IC8" s="55">
        <v>99.86</v>
      </c>
      <c r="ID8" s="55">
        <v>99.88</v>
      </c>
      <c r="IE8" s="55">
        <v>99.89</v>
      </c>
      <c r="IF8" s="55">
        <v>99.87</v>
      </c>
      <c r="IG8" s="55">
        <v>99.89</v>
      </c>
      <c r="IH8" s="55">
        <v>99.88</v>
      </c>
      <c r="II8" s="56">
        <v>99.82</v>
      </c>
      <c r="IJ8" s="56">
        <v>99.87</v>
      </c>
      <c r="IK8" s="56">
        <v>99.88</v>
      </c>
      <c r="IL8" s="56">
        <v>99.88</v>
      </c>
      <c r="IM8" s="57">
        <v>99.88</v>
      </c>
      <c r="IN8">
        <v>99.91</v>
      </c>
      <c r="IO8">
        <v>99.9</v>
      </c>
      <c r="IP8">
        <v>99.88</v>
      </c>
      <c r="IQ8">
        <v>99.9</v>
      </c>
      <c r="IR8" s="74">
        <v>99.9</v>
      </c>
      <c r="IS8" s="74">
        <v>99.9</v>
      </c>
      <c r="IT8" s="74">
        <v>99.91</v>
      </c>
      <c r="IU8" s="74">
        <v>99.9</v>
      </c>
      <c r="IV8" s="276">
        <v>99.9</v>
      </c>
      <c r="IW8" s="115">
        <v>99.91</v>
      </c>
      <c r="IX8" s="1">
        <v>99.89</v>
      </c>
      <c r="IY8" s="64">
        <v>99.9</v>
      </c>
      <c r="IZ8" s="64">
        <v>99.91</v>
      </c>
      <c r="JA8" s="64">
        <v>99.91</v>
      </c>
      <c r="JB8" s="64">
        <v>99.9</v>
      </c>
      <c r="JC8" s="64">
        <v>99.88</v>
      </c>
      <c r="JD8" s="64">
        <v>99.9</v>
      </c>
      <c r="JE8" s="64">
        <v>99.9</v>
      </c>
      <c r="JF8">
        <v>99.89</v>
      </c>
      <c r="JG8">
        <v>99.86</v>
      </c>
      <c r="JH8">
        <v>99.89</v>
      </c>
      <c r="JI8">
        <v>99.91</v>
      </c>
      <c r="JJ8">
        <v>99.9</v>
      </c>
      <c r="JK8">
        <v>99.9</v>
      </c>
      <c r="JL8">
        <v>99.86</v>
      </c>
      <c r="JM8" s="64">
        <v>99.9</v>
      </c>
      <c r="JN8" s="64">
        <v>99.91</v>
      </c>
      <c r="JO8" s="64">
        <v>99.91</v>
      </c>
      <c r="JP8" s="64">
        <v>99.91</v>
      </c>
      <c r="JQ8" s="64">
        <v>99.56</v>
      </c>
      <c r="JR8" s="64">
        <v>99.88</v>
      </c>
      <c r="JS8" s="64">
        <v>99.89</v>
      </c>
      <c r="JT8">
        <v>99.93</v>
      </c>
      <c r="JU8">
        <v>99.9</v>
      </c>
      <c r="JV8">
        <v>99.89</v>
      </c>
      <c r="JW8">
        <v>99.81</v>
      </c>
      <c r="JX8" s="48">
        <v>99.86</v>
      </c>
      <c r="JY8" s="48">
        <v>99.82</v>
      </c>
      <c r="JZ8" s="48">
        <v>99.86</v>
      </c>
      <c r="KA8" s="157">
        <v>99.86</v>
      </c>
      <c r="KB8" s="64">
        <v>99.87</v>
      </c>
      <c r="KC8" s="64">
        <v>99.89</v>
      </c>
      <c r="KD8" s="48">
        <v>99.89</v>
      </c>
      <c r="KE8" s="48">
        <v>99.87</v>
      </c>
      <c r="KF8" s="48">
        <v>99.86</v>
      </c>
      <c r="KG8" s="48">
        <v>99.86</v>
      </c>
      <c r="KH8" s="64">
        <v>99.88</v>
      </c>
      <c r="KI8" s="64">
        <v>99.88</v>
      </c>
      <c r="KJ8" s="64">
        <v>99.89</v>
      </c>
      <c r="KK8" s="64">
        <v>99.87</v>
      </c>
      <c r="KL8" s="64">
        <v>99.86</v>
      </c>
      <c r="KM8" s="64">
        <v>99.87</v>
      </c>
      <c r="KN8" s="64">
        <v>99.88</v>
      </c>
      <c r="KO8" s="64">
        <v>99.88</v>
      </c>
      <c r="KP8" s="64">
        <v>99.87</v>
      </c>
      <c r="KQ8" s="72">
        <v>99.81</v>
      </c>
      <c r="KR8" s="64">
        <v>99.85</v>
      </c>
      <c r="KS8" s="64">
        <v>99.85</v>
      </c>
      <c r="KT8" s="64">
        <v>99.87</v>
      </c>
      <c r="KU8" s="64">
        <v>99.87</v>
      </c>
      <c r="KV8" s="64">
        <v>99.84</v>
      </c>
      <c r="KW8" s="64">
        <v>99.77</v>
      </c>
      <c r="KX8" s="64">
        <v>99.37</v>
      </c>
      <c r="KY8" s="64">
        <v>99.33</v>
      </c>
      <c r="KZ8" s="64">
        <v>99.49</v>
      </c>
      <c r="LA8" s="64">
        <v>99.83</v>
      </c>
      <c r="LB8" s="64">
        <v>99.85</v>
      </c>
      <c r="LC8" s="104">
        <v>99.83</v>
      </c>
      <c r="LD8" s="104">
        <v>99.86</v>
      </c>
      <c r="LE8" s="104">
        <v>99.86</v>
      </c>
      <c r="LF8" s="104">
        <v>99.84</v>
      </c>
      <c r="LG8" s="104">
        <v>99.86</v>
      </c>
      <c r="LH8" s="104">
        <v>99.85</v>
      </c>
      <c r="LI8" s="104">
        <v>99.86</v>
      </c>
      <c r="LJ8" s="104">
        <v>99.85</v>
      </c>
      <c r="LK8" s="104">
        <v>99.85</v>
      </c>
      <c r="LL8" s="104">
        <v>99.85</v>
      </c>
      <c r="LM8" s="104">
        <v>99.83</v>
      </c>
      <c r="LN8" s="104">
        <v>99.82</v>
      </c>
      <c r="LO8" s="104">
        <v>99.8</v>
      </c>
      <c r="LP8" s="64">
        <v>99.83</v>
      </c>
      <c r="LQ8" s="64">
        <v>99.83</v>
      </c>
      <c r="LR8" s="64">
        <v>99.84</v>
      </c>
      <c r="LS8" s="64">
        <v>99.84</v>
      </c>
      <c r="LT8" s="104">
        <v>99.83</v>
      </c>
      <c r="LU8" s="104">
        <v>99.8</v>
      </c>
      <c r="LV8" s="104">
        <v>99.83</v>
      </c>
      <c r="LW8" s="104">
        <v>99.82</v>
      </c>
      <c r="LX8" s="104">
        <v>99.82</v>
      </c>
      <c r="LY8" s="104">
        <v>99.82</v>
      </c>
      <c r="LZ8" s="104">
        <v>99.82</v>
      </c>
      <c r="MA8" s="104">
        <v>99.8</v>
      </c>
      <c r="MB8" s="104">
        <v>99.8</v>
      </c>
      <c r="MC8" s="104">
        <v>99.8</v>
      </c>
      <c r="MD8" s="104">
        <v>99.8</v>
      </c>
      <c r="ME8" s="104">
        <v>99.78</v>
      </c>
      <c r="MF8" s="104">
        <v>99.8</v>
      </c>
      <c r="MG8" s="104">
        <v>99.84</v>
      </c>
      <c r="MH8" s="104">
        <v>99.78</v>
      </c>
      <c r="MI8" s="104">
        <v>99.71</v>
      </c>
      <c r="MJ8" s="64">
        <v>99.74</v>
      </c>
      <c r="MK8" s="104">
        <v>96.92</v>
      </c>
      <c r="ML8" s="104">
        <v>97.24</v>
      </c>
      <c r="MM8" s="104">
        <v>97.07</v>
      </c>
      <c r="MN8" s="104">
        <v>97.32</v>
      </c>
      <c r="MO8" s="104">
        <v>97.7</v>
      </c>
      <c r="MP8" s="104">
        <v>99.78</v>
      </c>
      <c r="MQ8" s="104">
        <v>99.72</v>
      </c>
      <c r="MR8" s="104">
        <v>99.77</v>
      </c>
      <c r="MS8" s="104">
        <v>99.74</v>
      </c>
      <c r="MT8" s="104">
        <v>99.75</v>
      </c>
      <c r="MU8" s="104">
        <v>99.77</v>
      </c>
      <c r="MV8" s="104">
        <v>99.77</v>
      </c>
      <c r="MW8" s="104">
        <v>99.78</v>
      </c>
      <c r="MX8" s="104">
        <v>99.77</v>
      </c>
      <c r="MY8" s="104">
        <v>97.54</v>
      </c>
      <c r="MZ8">
        <v>99.75</v>
      </c>
      <c r="NA8">
        <v>99.75</v>
      </c>
      <c r="NB8" s="74">
        <v>99.74</v>
      </c>
      <c r="NC8">
        <v>99.7</v>
      </c>
      <c r="ND8">
        <v>99.74</v>
      </c>
      <c r="NE8">
        <v>99.75</v>
      </c>
      <c r="NF8">
        <v>99.66</v>
      </c>
      <c r="NG8">
        <v>99.72</v>
      </c>
      <c r="NH8">
        <v>99.74</v>
      </c>
      <c r="NI8">
        <v>99.75</v>
      </c>
      <c r="NJ8">
        <v>99.74</v>
      </c>
      <c r="NK8">
        <v>99.72</v>
      </c>
      <c r="NL8">
        <v>99.72</v>
      </c>
      <c r="NM8">
        <v>99.72</v>
      </c>
      <c r="NN8">
        <v>99.73</v>
      </c>
      <c r="NO8">
        <v>99.73</v>
      </c>
      <c r="NP8">
        <v>99.75</v>
      </c>
      <c r="NQ8">
        <v>99.73</v>
      </c>
      <c r="NR8">
        <v>99.74</v>
      </c>
      <c r="NS8">
        <v>99.74</v>
      </c>
      <c r="NT8">
        <v>99.74</v>
      </c>
      <c r="NU8" s="64">
        <v>99.73</v>
      </c>
      <c r="NV8" s="64">
        <v>99.74</v>
      </c>
      <c r="NW8" s="64">
        <v>99.73</v>
      </c>
      <c r="NX8" s="72">
        <v>99.72</v>
      </c>
      <c r="NY8" s="64">
        <v>99.7</v>
      </c>
      <c r="NZ8" s="64">
        <v>99.71</v>
      </c>
      <c r="OA8" s="64">
        <v>99.71</v>
      </c>
      <c r="OB8" s="64">
        <v>99.69</v>
      </c>
      <c r="OC8" s="64">
        <v>99.72</v>
      </c>
      <c r="OD8" s="64">
        <v>99.71</v>
      </c>
      <c r="OE8" s="48">
        <v>99.67</v>
      </c>
      <c r="OF8" s="67">
        <v>99.69</v>
      </c>
      <c r="OG8" s="48">
        <v>99.68</v>
      </c>
      <c r="OH8" s="48">
        <v>99.68</v>
      </c>
      <c r="OI8" s="277">
        <v>99.68</v>
      </c>
      <c r="OJ8" s="2">
        <v>99.66</v>
      </c>
      <c r="OK8" s="47">
        <v>99.68</v>
      </c>
      <c r="OL8" s="2">
        <v>99.78</v>
      </c>
      <c r="OM8" s="2">
        <v>99.9</v>
      </c>
      <c r="ON8" s="47">
        <v>99.91</v>
      </c>
      <c r="OO8" s="48">
        <v>99.92</v>
      </c>
      <c r="OP8" s="48">
        <v>99.91</v>
      </c>
      <c r="OQ8" s="67">
        <v>99.9</v>
      </c>
      <c r="OR8" s="67">
        <v>99.89</v>
      </c>
      <c r="OS8" s="1">
        <v>99.93</v>
      </c>
      <c r="OT8" s="64">
        <v>99.91</v>
      </c>
      <c r="OU8" s="64">
        <v>99.91</v>
      </c>
      <c r="OV8" s="48">
        <v>99.85</v>
      </c>
      <c r="OW8" s="48">
        <v>99.9</v>
      </c>
      <c r="OX8" s="48">
        <v>99.91</v>
      </c>
      <c r="OY8" s="48">
        <v>99.91</v>
      </c>
      <c r="OZ8" s="177">
        <v>99.91</v>
      </c>
      <c r="PA8" s="177">
        <v>99.89</v>
      </c>
      <c r="PB8" s="256">
        <v>99.89</v>
      </c>
      <c r="PC8" s="48">
        <v>99.9</v>
      </c>
      <c r="PD8">
        <v>99.9</v>
      </c>
      <c r="PE8">
        <v>99.9</v>
      </c>
      <c r="PF8">
        <v>99.91</v>
      </c>
      <c r="PG8" s="74">
        <v>99.9</v>
      </c>
      <c r="PH8" s="74">
        <v>99.87</v>
      </c>
      <c r="PI8">
        <v>99.9</v>
      </c>
      <c r="PJ8">
        <v>99.92</v>
      </c>
      <c r="PK8" s="64">
        <v>99.91</v>
      </c>
      <c r="PL8" s="72">
        <v>99.9</v>
      </c>
      <c r="PM8" s="64">
        <v>99.91</v>
      </c>
      <c r="PN8" s="64">
        <v>99.81</v>
      </c>
      <c r="PO8" s="64">
        <v>99.9</v>
      </c>
      <c r="PP8" s="72">
        <v>99.91</v>
      </c>
      <c r="PQ8" s="64">
        <v>99.9</v>
      </c>
      <c r="PR8" s="48">
        <v>99.91</v>
      </c>
      <c r="PS8" s="48">
        <v>99.91</v>
      </c>
      <c r="PT8" s="48">
        <v>99.94</v>
      </c>
      <c r="PU8" s="48">
        <v>99.9</v>
      </c>
      <c r="PV8" s="48">
        <v>99.89</v>
      </c>
      <c r="PW8" s="48">
        <v>99.91</v>
      </c>
      <c r="PX8" s="48">
        <v>99.88</v>
      </c>
      <c r="PY8" s="48">
        <v>99.82</v>
      </c>
      <c r="PZ8" s="67">
        <v>99.81</v>
      </c>
      <c r="QA8" s="48">
        <v>99.85</v>
      </c>
      <c r="QB8" s="67">
        <v>99.83</v>
      </c>
      <c r="QC8" s="48">
        <v>99.9</v>
      </c>
      <c r="QD8" s="48">
        <v>99.88</v>
      </c>
      <c r="QE8" s="48">
        <v>99.9</v>
      </c>
      <c r="QF8" s="64">
        <v>99.9</v>
      </c>
      <c r="QG8" s="64">
        <v>99.91</v>
      </c>
      <c r="QH8" s="48">
        <v>99.91</v>
      </c>
      <c r="QI8" s="158">
        <v>99.92</v>
      </c>
      <c r="QJ8" s="48">
        <v>99.91</v>
      </c>
      <c r="QK8" s="89">
        <v>99.91</v>
      </c>
      <c r="QL8" s="48">
        <v>99.92</v>
      </c>
      <c r="QM8" s="183">
        <v>99.91</v>
      </c>
      <c r="QN8" s="64">
        <v>99.91</v>
      </c>
      <c r="QO8" s="2">
        <v>99.91</v>
      </c>
      <c r="QP8" s="2">
        <v>99.91</v>
      </c>
      <c r="QQ8" s="48">
        <v>99.92</v>
      </c>
      <c r="QR8" s="48">
        <v>99.91</v>
      </c>
      <c r="QS8" s="48">
        <v>99.91</v>
      </c>
      <c r="QT8">
        <v>99.9</v>
      </c>
      <c r="QU8">
        <v>99.9</v>
      </c>
      <c r="QV8">
        <v>99.9</v>
      </c>
      <c r="QW8">
        <v>99.92</v>
      </c>
      <c r="QX8" s="67">
        <v>99.91</v>
      </c>
      <c r="QY8" s="92">
        <v>99.91</v>
      </c>
      <c r="QZ8" s="71">
        <v>99.69</v>
      </c>
      <c r="RA8" s="48">
        <v>99.92</v>
      </c>
      <c r="RB8" s="48">
        <v>99.92</v>
      </c>
      <c r="RC8" s="48">
        <v>99.91</v>
      </c>
      <c r="RD8" s="64">
        <v>99.93</v>
      </c>
      <c r="RE8" s="71">
        <v>99.92</v>
      </c>
      <c r="RF8" s="48">
        <v>99.92</v>
      </c>
      <c r="RG8" s="158">
        <v>99.92</v>
      </c>
      <c r="RH8" s="48">
        <v>99.92</v>
      </c>
      <c r="RI8" s="67">
        <v>99.91</v>
      </c>
      <c r="RJ8" s="48">
        <v>99.93</v>
      </c>
      <c r="RK8">
        <v>99.93</v>
      </c>
      <c r="RL8" s="48">
        <v>99.91</v>
      </c>
      <c r="RM8">
        <v>99.92</v>
      </c>
      <c r="RN8" s="48">
        <v>99.92</v>
      </c>
      <c r="RO8" s="48">
        <v>99.92</v>
      </c>
      <c r="RP8" s="48">
        <v>99.93</v>
      </c>
      <c r="RQ8" s="48">
        <v>99.93</v>
      </c>
      <c r="RR8" s="48">
        <v>99.85</v>
      </c>
      <c r="RS8" s="158">
        <v>99.92</v>
      </c>
      <c r="RT8" s="48">
        <v>99.93</v>
      </c>
      <c r="RU8" s="48">
        <v>99.92</v>
      </c>
      <c r="RV8" s="183">
        <v>99.92</v>
      </c>
      <c r="RW8" s="64">
        <v>99.93</v>
      </c>
      <c r="RX8" s="72">
        <v>99.93</v>
      </c>
      <c r="RY8" s="64">
        <v>99.94</v>
      </c>
      <c r="RZ8" s="64">
        <v>99.93</v>
      </c>
      <c r="SG8" s="57">
        <v>99.92</v>
      </c>
      <c r="SH8" s="57">
        <v>99.13</v>
      </c>
      <c r="SI8" s="57">
        <v>99.94</v>
      </c>
      <c r="SJ8" s="48">
        <v>99.93</v>
      </c>
      <c r="SK8" s="48">
        <v>99.87</v>
      </c>
      <c r="SL8" s="48">
        <v>99.93</v>
      </c>
      <c r="SM8" s="48">
        <v>99.94</v>
      </c>
      <c r="SN8" s="91">
        <v>99.93</v>
      </c>
      <c r="SO8" s="48">
        <v>99.92</v>
      </c>
      <c r="SP8" s="48">
        <v>99.92</v>
      </c>
      <c r="SQ8" s="48">
        <v>99.93</v>
      </c>
      <c r="SR8" s="48">
        <v>99.92</v>
      </c>
      <c r="SS8" s="48">
        <v>99.93</v>
      </c>
      <c r="ST8" s="48">
        <v>99.89</v>
      </c>
      <c r="SU8" s="158">
        <v>99.93</v>
      </c>
      <c r="SV8" s="48">
        <v>99.92</v>
      </c>
      <c r="SW8" s="48">
        <v>99.93</v>
      </c>
      <c r="SX8" s="48">
        <v>99.93</v>
      </c>
      <c r="SY8" s="48">
        <v>99.93</v>
      </c>
      <c r="SZ8" s="48">
        <v>99.94</v>
      </c>
      <c r="TA8" s="183">
        <v>99.93</v>
      </c>
      <c r="TB8" s="183">
        <v>99.88</v>
      </c>
      <c r="TC8" s="183">
        <v>99.88</v>
      </c>
      <c r="TD8" s="64">
        <v>99.88</v>
      </c>
      <c r="TE8" s="64">
        <v>99.87</v>
      </c>
      <c r="TF8" s="64">
        <v>99.88</v>
      </c>
      <c r="TG8" s="64">
        <v>99.88</v>
      </c>
      <c r="TH8" s="179">
        <v>99.88</v>
      </c>
      <c r="TI8" s="64">
        <v>99.87</v>
      </c>
      <c r="TJ8" s="64">
        <v>99.88</v>
      </c>
      <c r="TK8" s="64">
        <v>99.94</v>
      </c>
      <c r="TL8" s="64">
        <v>99.93</v>
      </c>
      <c r="TM8" s="64">
        <v>99.93</v>
      </c>
      <c r="TN8" s="64">
        <v>99.94</v>
      </c>
      <c r="TO8" s="64">
        <v>99.94</v>
      </c>
      <c r="TP8" s="64">
        <v>99.93</v>
      </c>
      <c r="TQ8" s="64">
        <v>99.94</v>
      </c>
      <c r="TR8" s="64">
        <v>99.92</v>
      </c>
      <c r="TS8" s="64">
        <v>99.94</v>
      </c>
      <c r="TT8" s="72">
        <v>99.95</v>
      </c>
      <c r="TU8" s="48">
        <v>99.95</v>
      </c>
      <c r="TV8" s="48">
        <v>99.95</v>
      </c>
      <c r="TW8" s="48">
        <v>99.95</v>
      </c>
      <c r="TX8" s="48">
        <v>99.95</v>
      </c>
      <c r="TY8" s="48">
        <v>99.94</v>
      </c>
      <c r="TZ8" s="74">
        <v>99.94</v>
      </c>
      <c r="UA8" s="276">
        <v>99.94</v>
      </c>
      <c r="UB8" s="1">
        <v>99.94</v>
      </c>
      <c r="UC8" s="313">
        <v>99.94</v>
      </c>
      <c r="UD8" s="158">
        <v>99.94</v>
      </c>
      <c r="UE8" s="48">
        <v>99.94</v>
      </c>
      <c r="UF8" s="48">
        <v>99.95</v>
      </c>
      <c r="UG8" s="48">
        <v>99.94</v>
      </c>
      <c r="UH8" s="48">
        <v>99.94</v>
      </c>
      <c r="UI8" s="158">
        <v>99.94</v>
      </c>
      <c r="UJ8" s="48">
        <v>99.93</v>
      </c>
      <c r="UK8" s="48">
        <v>99.93</v>
      </c>
      <c r="UL8" s="158">
        <v>99.94</v>
      </c>
      <c r="UM8" s="48">
        <v>99.94</v>
      </c>
      <c r="UN8" s="74">
        <v>99.95</v>
      </c>
      <c r="UO8" s="64">
        <v>99.94</v>
      </c>
      <c r="UP8" s="64">
        <v>99.94</v>
      </c>
      <c r="UQ8" s="72">
        <v>99.95</v>
      </c>
      <c r="UR8" s="67">
        <v>99.95</v>
      </c>
      <c r="US8" s="67">
        <v>99.95</v>
      </c>
      <c r="UT8" s="48">
        <v>99.89</v>
      </c>
      <c r="UU8" s="48">
        <v>99.95</v>
      </c>
      <c r="UV8" s="48">
        <v>99.94</v>
      </c>
      <c r="UW8" s="48">
        <v>99.94</v>
      </c>
      <c r="UX8" s="48">
        <v>99.8</v>
      </c>
      <c r="UY8" s="48">
        <v>99.94</v>
      </c>
      <c r="UZ8" s="48">
        <v>99.94</v>
      </c>
      <c r="VA8" s="48">
        <v>99.94</v>
      </c>
      <c r="VB8" s="74">
        <v>99.91</v>
      </c>
      <c r="VC8" s="74">
        <v>99.94</v>
      </c>
      <c r="VD8" s="276">
        <v>99.94</v>
      </c>
      <c r="VE8" s="67">
        <v>99.66</v>
      </c>
      <c r="VF8" s="48">
        <v>99.66</v>
      </c>
      <c r="VG8" s="48">
        <v>99.93</v>
      </c>
      <c r="VH8" s="48">
        <v>99.94</v>
      </c>
      <c r="VI8" s="48">
        <v>99.79</v>
      </c>
      <c r="VJ8" s="48">
        <v>99.92</v>
      </c>
      <c r="VK8" s="48">
        <v>99.87</v>
      </c>
      <c r="VL8" s="256">
        <v>99.91</v>
      </c>
      <c r="VM8" s="48">
        <v>99.94</v>
      </c>
      <c r="VN8" s="48">
        <v>99.91</v>
      </c>
      <c r="VO8" s="48">
        <v>99.94</v>
      </c>
      <c r="VP8" s="48">
        <v>99.94</v>
      </c>
      <c r="VQ8" s="48">
        <v>99.86</v>
      </c>
      <c r="VR8" s="48">
        <v>99.86</v>
      </c>
    </row>
    <row r="9" spans="1:590" ht="16.5" thickBot="1" x14ac:dyDescent="0.3">
      <c r="A9" s="278" t="s">
        <v>256</v>
      </c>
      <c r="B9" s="61">
        <v>12918378</v>
      </c>
      <c r="C9" s="61">
        <v>9935041</v>
      </c>
      <c r="D9" s="61">
        <v>9995355</v>
      </c>
      <c r="E9" s="61">
        <v>10247956</v>
      </c>
      <c r="F9" s="61">
        <v>10444516</v>
      </c>
      <c r="G9" s="61">
        <v>10724265</v>
      </c>
      <c r="H9" s="61">
        <v>10715180</v>
      </c>
      <c r="I9" s="61">
        <v>10901895</v>
      </c>
      <c r="J9" s="61">
        <v>10799294</v>
      </c>
      <c r="K9" s="61">
        <v>10703423</v>
      </c>
      <c r="L9" s="61">
        <v>10930337</v>
      </c>
      <c r="M9" s="61">
        <v>10654273</v>
      </c>
      <c r="N9" s="61">
        <v>10809586</v>
      </c>
      <c r="O9" s="61">
        <v>11132034</v>
      </c>
      <c r="P9" s="61">
        <v>10773392</v>
      </c>
      <c r="Q9" s="61">
        <v>10308882</v>
      </c>
      <c r="R9" s="61">
        <v>10330630</v>
      </c>
      <c r="S9" s="61">
        <v>10560817</v>
      </c>
      <c r="T9" s="61">
        <v>10334164</v>
      </c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279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61">
        <v>10285448</v>
      </c>
      <c r="CC9" s="61">
        <v>10492739</v>
      </c>
      <c r="CD9" s="61">
        <v>10786219</v>
      </c>
      <c r="CE9" s="61">
        <v>10172341</v>
      </c>
      <c r="CF9" s="61">
        <v>10179884</v>
      </c>
      <c r="CG9" s="61">
        <v>10372726</v>
      </c>
      <c r="CH9" s="61">
        <v>9921721</v>
      </c>
      <c r="CI9" s="61">
        <v>9516110</v>
      </c>
      <c r="CJ9" s="61">
        <v>9400600</v>
      </c>
      <c r="CK9" s="61">
        <v>9484357</v>
      </c>
      <c r="CL9" s="61">
        <v>8949929</v>
      </c>
      <c r="CM9" s="61">
        <v>9267205</v>
      </c>
      <c r="CN9" s="61">
        <v>9385670</v>
      </c>
      <c r="CO9" s="61">
        <v>8881206</v>
      </c>
      <c r="CP9" s="61">
        <v>8338867</v>
      </c>
      <c r="CQ9" s="61">
        <v>8278759</v>
      </c>
      <c r="CR9" s="61">
        <v>8232257</v>
      </c>
      <c r="CS9" s="61">
        <v>8803551</v>
      </c>
      <c r="CT9" s="61">
        <v>9104065</v>
      </c>
      <c r="CU9" s="61">
        <v>8685910</v>
      </c>
      <c r="CV9" s="61">
        <v>8707596</v>
      </c>
      <c r="CW9" s="61">
        <v>8811667</v>
      </c>
      <c r="CX9" s="61">
        <v>9680163</v>
      </c>
      <c r="CY9" s="61">
        <v>9918032</v>
      </c>
      <c r="CZ9" s="61">
        <v>10046024</v>
      </c>
      <c r="DA9" s="280"/>
      <c r="DB9" s="280"/>
      <c r="DC9" s="281"/>
      <c r="DD9" s="281"/>
      <c r="DE9" s="280"/>
      <c r="DF9" s="280"/>
      <c r="DG9" s="280"/>
      <c r="DH9" s="280"/>
      <c r="DI9" s="280"/>
      <c r="DJ9" s="280"/>
      <c r="DK9" s="280"/>
      <c r="DL9" s="280"/>
      <c r="DM9" s="280"/>
      <c r="DN9" s="280"/>
      <c r="DO9" s="280"/>
      <c r="DP9" s="280"/>
      <c r="DQ9" s="280"/>
      <c r="DR9" s="280"/>
      <c r="DS9" s="280"/>
      <c r="DT9" s="280"/>
      <c r="DU9" s="280"/>
      <c r="DV9" s="279"/>
      <c r="DW9" s="279"/>
      <c r="DX9" s="280"/>
      <c r="DY9" s="280"/>
      <c r="DZ9" s="48">
        <v>9831775</v>
      </c>
      <c r="EA9" s="48">
        <v>10031147</v>
      </c>
      <c r="EB9" s="101">
        <v>10330768</v>
      </c>
      <c r="EC9" s="101">
        <v>10555264</v>
      </c>
      <c r="ED9" s="101">
        <v>10633123</v>
      </c>
      <c r="EE9" s="101">
        <v>10900167</v>
      </c>
      <c r="EF9" s="101">
        <v>10121442</v>
      </c>
      <c r="EG9" s="101">
        <v>10944064</v>
      </c>
      <c r="EH9" s="101">
        <v>10974469</v>
      </c>
      <c r="EI9" s="101">
        <v>4649211</v>
      </c>
      <c r="EJ9" s="101">
        <v>11401373</v>
      </c>
      <c r="EK9" s="101">
        <v>11861055</v>
      </c>
      <c r="EL9" s="101">
        <v>11747942</v>
      </c>
      <c r="EM9" s="101">
        <v>11562340</v>
      </c>
      <c r="EN9" s="101">
        <v>11962347</v>
      </c>
      <c r="EO9" s="101">
        <v>11737983</v>
      </c>
      <c r="EP9" s="101">
        <v>11826807</v>
      </c>
      <c r="EQ9" s="101">
        <v>11583943</v>
      </c>
      <c r="ER9" s="101">
        <v>11304851</v>
      </c>
      <c r="ES9" s="101">
        <v>11247463</v>
      </c>
      <c r="ET9" s="101">
        <v>11134164</v>
      </c>
      <c r="EU9" s="101">
        <v>11410333</v>
      </c>
      <c r="EV9" s="101">
        <v>11148745</v>
      </c>
      <c r="EW9" s="101">
        <v>11139592</v>
      </c>
      <c r="EX9" s="101">
        <v>10200309</v>
      </c>
      <c r="EY9" s="101">
        <v>10113456</v>
      </c>
      <c r="EZ9" s="101">
        <v>12476922</v>
      </c>
      <c r="FA9" s="101">
        <v>11430911</v>
      </c>
      <c r="FB9" s="101">
        <v>11371032</v>
      </c>
      <c r="FC9" s="101">
        <v>11141935</v>
      </c>
      <c r="FD9" s="101">
        <v>11174780</v>
      </c>
      <c r="FE9" s="101">
        <v>11331244</v>
      </c>
      <c r="FF9" s="101">
        <v>11370748</v>
      </c>
      <c r="FG9" s="101">
        <v>11184885</v>
      </c>
      <c r="FH9" s="101">
        <v>10849910</v>
      </c>
      <c r="FI9" s="101">
        <v>10781046</v>
      </c>
      <c r="FJ9" s="101">
        <v>10667701</v>
      </c>
      <c r="FK9" s="101">
        <v>10390832</v>
      </c>
      <c r="FL9" s="101">
        <v>10914521</v>
      </c>
      <c r="FM9" s="101">
        <v>11367763</v>
      </c>
      <c r="FN9" s="101">
        <v>12745887</v>
      </c>
      <c r="FO9" s="101">
        <v>12537683</v>
      </c>
      <c r="FP9" s="101">
        <v>12200589</v>
      </c>
      <c r="FQ9" s="101">
        <v>12341848</v>
      </c>
      <c r="FR9" s="101">
        <v>12482540</v>
      </c>
      <c r="FS9" s="101">
        <v>12848568</v>
      </c>
      <c r="FT9" s="101">
        <v>12017394</v>
      </c>
      <c r="FU9" s="101">
        <v>11746513</v>
      </c>
      <c r="FV9" s="101">
        <v>11995244</v>
      </c>
      <c r="FW9" s="101">
        <v>11262734</v>
      </c>
      <c r="FX9" s="101">
        <v>11651190</v>
      </c>
      <c r="FY9" s="101">
        <v>11940325</v>
      </c>
      <c r="FZ9" s="101">
        <v>11977512</v>
      </c>
      <c r="GA9" s="101">
        <v>11627975</v>
      </c>
      <c r="GB9" s="101">
        <v>12016111</v>
      </c>
      <c r="GC9" s="101">
        <v>11205464</v>
      </c>
      <c r="GD9" s="101">
        <v>11428790</v>
      </c>
      <c r="GE9" s="101">
        <v>11996982</v>
      </c>
      <c r="GF9" s="101">
        <v>11743898</v>
      </c>
      <c r="GG9">
        <v>11442768</v>
      </c>
      <c r="GH9">
        <v>11896836</v>
      </c>
      <c r="GI9">
        <v>10947165</v>
      </c>
      <c r="GJ9" s="101">
        <v>12228242</v>
      </c>
      <c r="GK9" s="101">
        <v>12141688</v>
      </c>
      <c r="GL9" s="101">
        <v>11936480</v>
      </c>
      <c r="GM9" s="101">
        <v>11685980</v>
      </c>
      <c r="GN9" s="101">
        <v>12419368</v>
      </c>
      <c r="GO9" s="101">
        <v>12650273</v>
      </c>
      <c r="GP9" s="101">
        <v>12601850</v>
      </c>
      <c r="GQ9" s="281">
        <v>13263405</v>
      </c>
      <c r="GR9" s="282">
        <v>13157284</v>
      </c>
      <c r="GS9" s="101">
        <v>12510524</v>
      </c>
      <c r="GT9" s="101">
        <v>12595933</v>
      </c>
      <c r="GU9" s="101">
        <v>12292500</v>
      </c>
      <c r="GV9" s="101">
        <v>12581540</v>
      </c>
      <c r="GW9" s="101">
        <v>12411402</v>
      </c>
      <c r="GX9">
        <v>14118747</v>
      </c>
      <c r="GY9" s="101">
        <v>13722151</v>
      </c>
      <c r="GZ9" s="101">
        <v>12798824</v>
      </c>
      <c r="HA9" s="101">
        <v>12669794</v>
      </c>
      <c r="HB9" s="53">
        <v>12446593</v>
      </c>
      <c r="HC9" s="53">
        <v>12239587</v>
      </c>
      <c r="HD9" s="53">
        <v>12258742</v>
      </c>
      <c r="HE9" s="53">
        <v>12691751</v>
      </c>
      <c r="HF9" s="101">
        <v>12582828</v>
      </c>
      <c r="HG9" s="101">
        <v>11930809</v>
      </c>
      <c r="HH9" s="101">
        <v>11514152</v>
      </c>
      <c r="HI9" s="101">
        <v>11438671</v>
      </c>
      <c r="HJ9" s="101">
        <v>11240765</v>
      </c>
      <c r="HK9" s="101">
        <v>11024462</v>
      </c>
      <c r="HL9" s="101">
        <v>11434384</v>
      </c>
      <c r="HM9" s="101">
        <v>11633032</v>
      </c>
      <c r="HN9" s="101">
        <v>11376482</v>
      </c>
      <c r="HO9" s="101">
        <v>11456089</v>
      </c>
      <c r="HP9" s="101">
        <v>10632090</v>
      </c>
      <c r="HQ9" s="101">
        <v>10347715</v>
      </c>
      <c r="HR9" s="101">
        <v>10541042</v>
      </c>
      <c r="HS9" s="101">
        <v>11557034</v>
      </c>
      <c r="HT9" s="101">
        <v>11444170</v>
      </c>
      <c r="HU9" s="101">
        <v>11451652</v>
      </c>
      <c r="HV9" s="101">
        <v>11938029</v>
      </c>
      <c r="HW9" s="101">
        <v>11832996</v>
      </c>
      <c r="HX9" s="101">
        <v>11449418</v>
      </c>
      <c r="HY9" s="101">
        <v>11321331</v>
      </c>
      <c r="HZ9" s="101">
        <v>11886248</v>
      </c>
      <c r="IA9" s="101">
        <v>11865131</v>
      </c>
      <c r="IB9" s="101">
        <v>11447590</v>
      </c>
      <c r="IC9" s="101">
        <v>11481683</v>
      </c>
      <c r="ID9" s="101">
        <v>11112321</v>
      </c>
      <c r="IE9" s="101">
        <v>10969478</v>
      </c>
      <c r="IF9" s="101">
        <v>10734352</v>
      </c>
      <c r="IG9" s="101">
        <v>11377777</v>
      </c>
      <c r="IH9" s="101">
        <v>11321231</v>
      </c>
      <c r="II9" s="102">
        <v>10944525</v>
      </c>
      <c r="IJ9" s="61">
        <v>11103944</v>
      </c>
      <c r="IK9" s="61">
        <v>11260653</v>
      </c>
      <c r="IL9" s="61">
        <v>10953331</v>
      </c>
      <c r="IM9" s="61">
        <v>10847511</v>
      </c>
      <c r="IN9">
        <v>11168103</v>
      </c>
      <c r="IO9" s="101">
        <v>11295788</v>
      </c>
      <c r="IP9">
        <v>11251399</v>
      </c>
      <c r="IQ9">
        <v>11295309</v>
      </c>
      <c r="IR9">
        <v>11184924</v>
      </c>
      <c r="IS9">
        <v>11054237</v>
      </c>
      <c r="IT9">
        <v>11183235</v>
      </c>
      <c r="IU9">
        <v>11849688</v>
      </c>
      <c r="IV9">
        <v>11647491</v>
      </c>
      <c r="IW9">
        <v>11431066</v>
      </c>
      <c r="IX9">
        <v>11613174</v>
      </c>
      <c r="IY9" s="150">
        <v>11674873</v>
      </c>
      <c r="IZ9" s="150">
        <v>11613072</v>
      </c>
      <c r="JA9" s="150">
        <v>11295945</v>
      </c>
      <c r="JB9" s="150">
        <v>11801176</v>
      </c>
      <c r="JC9" s="61">
        <v>11612556</v>
      </c>
      <c r="JD9" s="61">
        <v>11577793</v>
      </c>
      <c r="JE9" s="61">
        <v>11643617</v>
      </c>
      <c r="JF9" s="101">
        <v>11769423</v>
      </c>
      <c r="JG9" s="101">
        <v>11387999</v>
      </c>
      <c r="JH9">
        <v>11105246</v>
      </c>
      <c r="JI9" s="101">
        <v>11248540</v>
      </c>
      <c r="JJ9" s="101">
        <v>11357143</v>
      </c>
      <c r="JK9">
        <v>11515638</v>
      </c>
      <c r="JL9" s="61">
        <v>10995978</v>
      </c>
      <c r="JM9" s="101">
        <v>11123285</v>
      </c>
      <c r="JN9" s="101">
        <v>11420225</v>
      </c>
      <c r="JO9" s="61">
        <v>10925092</v>
      </c>
      <c r="JP9" s="61">
        <v>10695684</v>
      </c>
      <c r="JQ9" s="61">
        <v>10848797</v>
      </c>
      <c r="JR9" s="61">
        <v>10841477</v>
      </c>
      <c r="JS9" s="48">
        <v>10858638</v>
      </c>
      <c r="JT9" s="101">
        <v>10346927</v>
      </c>
      <c r="JU9">
        <v>11415004</v>
      </c>
      <c r="JV9">
        <v>11649337</v>
      </c>
      <c r="JW9">
        <v>10862318</v>
      </c>
      <c r="JX9" s="48">
        <v>11046887</v>
      </c>
      <c r="JY9" s="48">
        <v>11340271</v>
      </c>
      <c r="JZ9" s="104">
        <v>10769730</v>
      </c>
      <c r="KA9" s="48">
        <v>11544700</v>
      </c>
      <c r="KB9" s="48">
        <v>11702824</v>
      </c>
      <c r="KC9" s="48">
        <v>11331377</v>
      </c>
      <c r="KD9" s="48">
        <v>10887233</v>
      </c>
      <c r="KE9" s="48">
        <v>10759380</v>
      </c>
      <c r="KF9" s="48">
        <v>11212104</v>
      </c>
      <c r="KG9" s="48">
        <v>10855928</v>
      </c>
      <c r="KH9" s="48">
        <v>11278141</v>
      </c>
      <c r="KI9" s="48">
        <v>11860633</v>
      </c>
      <c r="KJ9" s="48">
        <v>11606346</v>
      </c>
      <c r="KK9" s="48">
        <v>11010033</v>
      </c>
      <c r="KL9" s="101">
        <v>10905881</v>
      </c>
      <c r="KM9" s="101">
        <v>10589711</v>
      </c>
      <c r="KN9" s="101">
        <v>10464302</v>
      </c>
      <c r="KO9" s="101">
        <v>10793542</v>
      </c>
      <c r="KP9" s="101">
        <v>11506388</v>
      </c>
      <c r="KQ9" s="102">
        <v>11351726</v>
      </c>
      <c r="KR9" s="104">
        <v>10557995</v>
      </c>
      <c r="KS9" s="150">
        <v>11034263</v>
      </c>
      <c r="KT9">
        <v>11468197</v>
      </c>
      <c r="KU9">
        <v>11588568</v>
      </c>
      <c r="KV9" s="101">
        <v>11811095</v>
      </c>
      <c r="KW9" s="101">
        <v>11185405</v>
      </c>
      <c r="KX9" s="101">
        <v>11070790</v>
      </c>
      <c r="KY9" s="101">
        <v>8920182</v>
      </c>
      <c r="KZ9" s="101">
        <v>10616249</v>
      </c>
      <c r="LA9" s="101">
        <v>10959078</v>
      </c>
      <c r="LB9" s="101">
        <v>11095801</v>
      </c>
      <c r="LC9" s="101">
        <v>11312796</v>
      </c>
      <c r="LD9" s="101">
        <v>12573202</v>
      </c>
      <c r="LE9" s="101">
        <v>12555654</v>
      </c>
      <c r="LF9" s="101">
        <v>11706544</v>
      </c>
      <c r="LG9" s="101">
        <v>12094373</v>
      </c>
      <c r="LH9" s="101">
        <v>12903199</v>
      </c>
      <c r="LI9" s="101">
        <v>11741808</v>
      </c>
      <c r="LJ9" s="101">
        <v>11688712</v>
      </c>
      <c r="LK9" s="101">
        <v>12819406</v>
      </c>
      <c r="LL9" s="101">
        <v>12596780</v>
      </c>
      <c r="LM9" s="101">
        <v>11527654</v>
      </c>
      <c r="LN9" s="101">
        <v>11672006</v>
      </c>
      <c r="LO9" s="101">
        <v>11391196</v>
      </c>
      <c r="LP9" s="101">
        <v>11246666</v>
      </c>
      <c r="LQ9" s="101">
        <v>11561435</v>
      </c>
      <c r="LR9" s="101">
        <v>12147684</v>
      </c>
      <c r="LS9" s="101">
        <v>11758754</v>
      </c>
      <c r="LT9" s="101">
        <v>10859434</v>
      </c>
      <c r="LU9" s="101">
        <v>10899232</v>
      </c>
      <c r="LV9" s="101">
        <v>11023336</v>
      </c>
      <c r="LW9" s="101">
        <v>10797034</v>
      </c>
      <c r="LX9" s="101">
        <v>11307678</v>
      </c>
      <c r="LY9" s="101">
        <v>11742261</v>
      </c>
      <c r="LZ9" s="101">
        <v>11273011</v>
      </c>
      <c r="MA9" s="101">
        <v>10647111</v>
      </c>
      <c r="MB9" s="101">
        <v>10800944</v>
      </c>
      <c r="MC9" s="101">
        <v>10980834</v>
      </c>
      <c r="MD9" s="150">
        <v>10785048</v>
      </c>
      <c r="ME9" s="101">
        <v>11214297</v>
      </c>
      <c r="MF9" s="101">
        <v>11521245</v>
      </c>
      <c r="MG9" s="101">
        <v>10436532</v>
      </c>
      <c r="MH9" s="101">
        <v>10235717</v>
      </c>
      <c r="MI9" s="194">
        <v>10218145</v>
      </c>
      <c r="MJ9" s="150">
        <v>10086315</v>
      </c>
      <c r="MK9" s="101">
        <v>10211396</v>
      </c>
      <c r="ML9" s="101">
        <v>10931741</v>
      </c>
      <c r="MM9" s="101">
        <v>11411177</v>
      </c>
      <c r="MN9" s="101">
        <v>11202394</v>
      </c>
      <c r="MO9" s="101">
        <v>10850782</v>
      </c>
      <c r="MP9" s="101">
        <v>10993955</v>
      </c>
      <c r="MQ9" s="150">
        <v>11050271</v>
      </c>
      <c r="MR9" s="101">
        <v>11260015</v>
      </c>
      <c r="MS9" s="101">
        <v>11279309</v>
      </c>
      <c r="MT9" s="101">
        <v>11130917</v>
      </c>
      <c r="MU9" s="101">
        <v>11375278</v>
      </c>
      <c r="MV9" s="101">
        <v>12850442</v>
      </c>
      <c r="MW9" s="101">
        <v>11816924</v>
      </c>
      <c r="MX9" s="101">
        <v>11555404</v>
      </c>
      <c r="MY9" s="101">
        <v>11080025</v>
      </c>
      <c r="MZ9">
        <v>11478335</v>
      </c>
      <c r="NA9">
        <v>10992333</v>
      </c>
      <c r="NB9">
        <v>10356910</v>
      </c>
      <c r="NC9">
        <v>14821887</v>
      </c>
      <c r="ND9">
        <v>11846972</v>
      </c>
      <c r="NE9">
        <v>12142505</v>
      </c>
      <c r="NF9">
        <v>12154587</v>
      </c>
      <c r="NG9">
        <v>12371988</v>
      </c>
      <c r="NH9">
        <v>12106213</v>
      </c>
      <c r="NI9">
        <v>12432641</v>
      </c>
      <c r="NJ9">
        <v>12124634</v>
      </c>
      <c r="NK9" s="101">
        <v>12132900</v>
      </c>
      <c r="NL9" s="101">
        <v>12194948</v>
      </c>
      <c r="NM9" s="101">
        <v>11957234</v>
      </c>
      <c r="NN9" s="101">
        <v>12238327</v>
      </c>
      <c r="NO9" s="101">
        <v>10950697</v>
      </c>
      <c r="NP9" s="101">
        <v>12234558</v>
      </c>
      <c r="NQ9" s="101">
        <v>11708835</v>
      </c>
      <c r="NR9" s="101">
        <v>11835603</v>
      </c>
      <c r="NS9">
        <v>12259276</v>
      </c>
      <c r="NT9" s="101">
        <v>12061307</v>
      </c>
      <c r="NU9" s="101">
        <v>12298316</v>
      </c>
      <c r="NV9" s="101">
        <v>12863327</v>
      </c>
      <c r="NW9" s="101">
        <v>12903602</v>
      </c>
      <c r="NX9" s="102">
        <v>11788058</v>
      </c>
      <c r="NY9" s="48">
        <v>11329913</v>
      </c>
      <c r="NZ9" s="48">
        <v>11130449</v>
      </c>
      <c r="OA9" s="48">
        <v>11660245</v>
      </c>
      <c r="OB9" s="48">
        <v>11906075</v>
      </c>
      <c r="OC9" s="48">
        <v>12162683</v>
      </c>
      <c r="OD9" s="48">
        <v>12050539</v>
      </c>
      <c r="OE9" s="104">
        <v>10267284</v>
      </c>
      <c r="OF9" s="48">
        <v>11844742</v>
      </c>
      <c r="OG9" s="48">
        <v>11707567</v>
      </c>
      <c r="OH9" s="57">
        <v>11639427</v>
      </c>
      <c r="OI9" s="101">
        <v>11492308</v>
      </c>
      <c r="OJ9" s="101">
        <v>10020919</v>
      </c>
      <c r="OK9" s="102">
        <v>11663299</v>
      </c>
      <c r="OL9" s="48">
        <v>11449517</v>
      </c>
      <c r="OM9" s="48">
        <v>11963322</v>
      </c>
      <c r="ON9" s="283">
        <v>10754684</v>
      </c>
      <c r="OO9" s="48">
        <v>12242946</v>
      </c>
      <c r="OP9" s="104">
        <v>12429632</v>
      </c>
      <c r="OQ9" s="104">
        <v>12779556</v>
      </c>
      <c r="OR9" s="104">
        <v>10313310</v>
      </c>
      <c r="OS9" s="1">
        <v>13431376</v>
      </c>
      <c r="OT9" s="1">
        <v>12090866</v>
      </c>
      <c r="OU9" s="1">
        <v>13494760</v>
      </c>
      <c r="OV9" s="48">
        <v>11664437</v>
      </c>
      <c r="OW9" s="48">
        <v>12275896</v>
      </c>
      <c r="OX9" s="48">
        <v>12814410</v>
      </c>
      <c r="OY9" s="48">
        <v>12694651</v>
      </c>
      <c r="OZ9" s="101">
        <v>12204593</v>
      </c>
      <c r="PA9" s="101">
        <v>11994139</v>
      </c>
      <c r="PB9" s="102">
        <v>12045345</v>
      </c>
      <c r="PC9" s="48">
        <v>11831378</v>
      </c>
      <c r="PD9" s="101">
        <v>12220730</v>
      </c>
      <c r="PE9" s="101">
        <v>12570450</v>
      </c>
      <c r="PF9" s="101">
        <v>12155022</v>
      </c>
      <c r="PG9" s="101">
        <v>11529607</v>
      </c>
      <c r="PH9" s="101">
        <v>11437116</v>
      </c>
      <c r="PI9" s="101">
        <v>11696250</v>
      </c>
      <c r="PJ9" s="101">
        <v>11205212</v>
      </c>
      <c r="PK9" s="101">
        <v>11735930</v>
      </c>
      <c r="PL9" s="102">
        <v>11991108</v>
      </c>
      <c r="PM9" s="104">
        <v>12089177</v>
      </c>
      <c r="PN9" s="48">
        <v>11039520</v>
      </c>
      <c r="PO9" s="104">
        <v>11205144</v>
      </c>
      <c r="PP9" s="283">
        <v>11274931</v>
      </c>
      <c r="PQ9" s="104">
        <v>11461941</v>
      </c>
      <c r="PR9" s="104">
        <v>11651099</v>
      </c>
      <c r="PS9" s="104">
        <v>11998243</v>
      </c>
      <c r="PT9" s="48">
        <v>11622565</v>
      </c>
      <c r="PU9" s="104">
        <v>10737363</v>
      </c>
      <c r="PV9" s="104">
        <v>10506639</v>
      </c>
      <c r="PW9" s="104">
        <v>10913717</v>
      </c>
      <c r="PX9" s="48">
        <v>13949372</v>
      </c>
      <c r="PY9" s="48">
        <v>11799597</v>
      </c>
      <c r="PZ9" s="104">
        <v>11375801</v>
      </c>
      <c r="QA9" s="104">
        <v>11319316</v>
      </c>
      <c r="QB9" s="104">
        <v>11026429</v>
      </c>
      <c r="QC9" s="104">
        <v>11402833</v>
      </c>
      <c r="QD9" s="284">
        <v>10859557</v>
      </c>
      <c r="QE9" s="150">
        <v>10702889</v>
      </c>
      <c r="QF9" s="101">
        <v>11016817</v>
      </c>
      <c r="QG9" s="101">
        <v>11473697</v>
      </c>
      <c r="QH9" s="150">
        <v>11318962</v>
      </c>
      <c r="QI9" s="283">
        <v>10549567</v>
      </c>
      <c r="QJ9" s="48">
        <v>10193205</v>
      </c>
      <c r="QK9" s="102">
        <v>10729828</v>
      </c>
      <c r="QL9" s="104">
        <v>11440865</v>
      </c>
      <c r="QM9" s="101">
        <v>10965241</v>
      </c>
      <c r="QN9" s="101">
        <v>10465846</v>
      </c>
      <c r="QO9" s="101">
        <v>10948271</v>
      </c>
      <c r="QP9" s="150">
        <v>10914676</v>
      </c>
      <c r="QQ9" s="150">
        <v>10777001</v>
      </c>
      <c r="QR9" s="150">
        <v>10397943</v>
      </c>
      <c r="QS9" s="150">
        <v>10852062</v>
      </c>
      <c r="QT9" s="101">
        <v>11002213</v>
      </c>
      <c r="QU9" s="101">
        <v>10774662</v>
      </c>
      <c r="QV9" s="101">
        <v>10919927</v>
      </c>
      <c r="QW9" s="101">
        <v>11590890</v>
      </c>
      <c r="QX9" s="101">
        <v>11901644</v>
      </c>
      <c r="QY9" s="102">
        <v>13644771</v>
      </c>
      <c r="QZ9" s="104">
        <v>12360840</v>
      </c>
      <c r="RA9" s="104">
        <v>13661540</v>
      </c>
      <c r="RB9" s="104">
        <v>13765896</v>
      </c>
      <c r="RC9" s="104">
        <v>13906589</v>
      </c>
      <c r="RD9" s="48">
        <v>13857726</v>
      </c>
      <c r="RE9" s="48">
        <v>13906725</v>
      </c>
      <c r="RF9" s="48">
        <v>13912920</v>
      </c>
      <c r="RG9" s="158">
        <v>14378424</v>
      </c>
      <c r="RH9" s="104">
        <v>15002615</v>
      </c>
      <c r="RI9" s="104">
        <v>15556617</v>
      </c>
      <c r="RJ9" s="104">
        <v>15141297</v>
      </c>
      <c r="RK9" s="102">
        <v>14569154</v>
      </c>
      <c r="RL9" s="104">
        <v>15581535</v>
      </c>
      <c r="RM9" s="101">
        <v>15299729</v>
      </c>
      <c r="RN9" s="101">
        <v>15093575</v>
      </c>
      <c r="RO9" s="101">
        <v>15779275</v>
      </c>
      <c r="RP9" s="101">
        <v>16147244</v>
      </c>
      <c r="RQ9" s="101">
        <v>15988308</v>
      </c>
      <c r="RR9" s="101">
        <v>19007086</v>
      </c>
      <c r="RS9" s="102">
        <v>16500019</v>
      </c>
      <c r="RT9" s="48">
        <v>17488652</v>
      </c>
      <c r="RU9" s="48">
        <v>16453906</v>
      </c>
      <c r="RV9" s="101">
        <v>17289890</v>
      </c>
      <c r="RW9" s="101">
        <v>17407328</v>
      </c>
      <c r="RX9" s="102">
        <v>17542750</v>
      </c>
      <c r="RY9" s="104">
        <v>17812324</v>
      </c>
      <c r="RZ9" s="48">
        <v>17569913</v>
      </c>
      <c r="SG9" s="57">
        <v>19193021</v>
      </c>
      <c r="SH9" s="57">
        <v>17963524</v>
      </c>
      <c r="SI9" s="57">
        <v>20100516</v>
      </c>
      <c r="SJ9" s="104">
        <v>19685594</v>
      </c>
      <c r="SK9" s="104">
        <v>18992808</v>
      </c>
      <c r="SL9" s="104">
        <v>18842320</v>
      </c>
      <c r="SM9" s="104">
        <v>19494608</v>
      </c>
      <c r="SN9" s="102">
        <v>20518895</v>
      </c>
      <c r="SO9" s="48">
        <v>21207195</v>
      </c>
      <c r="SP9" s="48">
        <v>20073672</v>
      </c>
      <c r="SQ9" s="48">
        <v>20046090</v>
      </c>
      <c r="SR9" s="48">
        <v>20200201</v>
      </c>
      <c r="SS9" s="104">
        <v>20617346</v>
      </c>
      <c r="ST9" s="104">
        <v>18279013</v>
      </c>
      <c r="SU9" s="116">
        <v>19518268</v>
      </c>
      <c r="SV9" s="104">
        <v>19495088</v>
      </c>
      <c r="SW9" s="104">
        <v>20039130</v>
      </c>
      <c r="SX9" s="101">
        <v>21289197</v>
      </c>
      <c r="SY9" s="101">
        <v>21433248</v>
      </c>
      <c r="SZ9" s="101">
        <v>21356145</v>
      </c>
      <c r="TA9" s="48">
        <v>21093838</v>
      </c>
      <c r="TB9" s="101">
        <v>21581061</v>
      </c>
      <c r="TC9" s="101">
        <v>21058075</v>
      </c>
      <c r="TD9" s="101">
        <v>21388527</v>
      </c>
      <c r="TE9" s="101">
        <v>20865389</v>
      </c>
      <c r="TF9" s="101">
        <v>20914076</v>
      </c>
      <c r="TG9" s="101">
        <v>21756683</v>
      </c>
      <c r="TH9" s="48">
        <v>22345326</v>
      </c>
      <c r="TI9" s="48">
        <v>21355899</v>
      </c>
      <c r="TJ9" s="48">
        <v>20882053</v>
      </c>
      <c r="TK9" s="48">
        <v>21945688</v>
      </c>
      <c r="TL9" s="48">
        <v>21060543</v>
      </c>
      <c r="TM9" s="48">
        <v>20051271</v>
      </c>
      <c r="TN9" s="331">
        <v>21632581</v>
      </c>
      <c r="TO9" s="331">
        <v>21150953</v>
      </c>
      <c r="TP9" s="331">
        <v>20485282</v>
      </c>
      <c r="TQ9" s="331">
        <v>20554498</v>
      </c>
      <c r="TR9" s="331">
        <v>20726404</v>
      </c>
      <c r="TS9" s="331">
        <v>21333759</v>
      </c>
      <c r="TT9" s="334">
        <v>21402234</v>
      </c>
      <c r="TU9" s="104">
        <v>22632837</v>
      </c>
      <c r="TV9" s="104">
        <v>23263916</v>
      </c>
      <c r="TW9" s="48">
        <v>22527256</v>
      </c>
      <c r="TX9" s="48">
        <v>21996106</v>
      </c>
      <c r="TY9" s="48">
        <v>21034662</v>
      </c>
      <c r="TZ9" s="101">
        <v>21927429</v>
      </c>
      <c r="UA9" s="101">
        <v>20902535</v>
      </c>
      <c r="UB9" s="150">
        <v>21550815</v>
      </c>
      <c r="UC9" s="102">
        <v>21896411</v>
      </c>
      <c r="UD9" s="116">
        <v>21384267</v>
      </c>
      <c r="UE9" s="104">
        <v>20661429</v>
      </c>
      <c r="UF9" s="104">
        <v>21073693</v>
      </c>
      <c r="UG9" s="101">
        <v>20815739</v>
      </c>
      <c r="UH9" s="101">
        <v>20694390</v>
      </c>
      <c r="UI9" s="102">
        <v>21001252</v>
      </c>
      <c r="UJ9" s="104">
        <v>24058870</v>
      </c>
      <c r="UK9" s="48">
        <v>22871726</v>
      </c>
      <c r="UL9" s="158">
        <v>21858838</v>
      </c>
      <c r="UM9" s="48">
        <v>22111786</v>
      </c>
      <c r="UN9" s="101">
        <v>22047826</v>
      </c>
      <c r="UO9" s="101">
        <v>21508564</v>
      </c>
      <c r="UP9" s="101">
        <v>21108869</v>
      </c>
      <c r="UQ9" s="102">
        <v>22491113</v>
      </c>
      <c r="UR9" s="104">
        <v>22525914</v>
      </c>
      <c r="US9" s="104">
        <v>21939390</v>
      </c>
      <c r="UT9" s="104">
        <v>22666456</v>
      </c>
      <c r="UU9" s="104">
        <v>22341742</v>
      </c>
      <c r="UV9" s="104">
        <v>21942676</v>
      </c>
      <c r="UW9" s="104">
        <v>22116552</v>
      </c>
      <c r="UX9" s="48">
        <v>22671345</v>
      </c>
      <c r="UY9" s="48">
        <v>22545431</v>
      </c>
      <c r="UZ9" s="48">
        <v>21790489</v>
      </c>
      <c r="VA9" s="48">
        <v>22597827</v>
      </c>
      <c r="VB9" s="101">
        <v>22697300</v>
      </c>
      <c r="VC9" s="101">
        <v>21959234</v>
      </c>
      <c r="VD9" s="102">
        <v>22361460</v>
      </c>
      <c r="VE9" s="104">
        <v>20562119</v>
      </c>
      <c r="VF9" s="104">
        <v>24127621</v>
      </c>
      <c r="VG9" s="104">
        <v>22216378</v>
      </c>
      <c r="VH9" s="104">
        <v>22352426</v>
      </c>
      <c r="VI9" s="104">
        <v>22216378</v>
      </c>
      <c r="VJ9" s="104">
        <v>20951529</v>
      </c>
      <c r="VK9" s="104">
        <v>21587675</v>
      </c>
      <c r="VL9" s="102">
        <v>22295529</v>
      </c>
      <c r="VM9" s="48">
        <v>22034812</v>
      </c>
      <c r="VN9" s="48">
        <v>22036941</v>
      </c>
      <c r="VO9" s="48">
        <v>22038960</v>
      </c>
      <c r="VP9" s="104">
        <v>22377103</v>
      </c>
      <c r="VQ9" s="104">
        <v>21781150</v>
      </c>
      <c r="VR9" s="48">
        <v>22465596</v>
      </c>
    </row>
    <row r="10" spans="1:590" x14ac:dyDescent="0.25">
      <c r="A10" s="278" t="s">
        <v>257</v>
      </c>
      <c r="B10" s="64">
        <f>(B8-B5)%</f>
        <v>0.15</v>
      </c>
      <c r="C10" s="64">
        <f t="shared" ref="C10:AK10" si="0">(C8-C5)%</f>
        <v>0.12120000000000004</v>
      </c>
      <c r="D10" s="64">
        <f t="shared" si="0"/>
        <v>0.12620000000000003</v>
      </c>
      <c r="E10" s="64">
        <f t="shared" si="0"/>
        <v>0.12659999999999996</v>
      </c>
      <c r="F10" s="64">
        <f t="shared" si="0"/>
        <v>0.12719999999999998</v>
      </c>
      <c r="G10" s="64">
        <f t="shared" si="0"/>
        <v>0.12330000000000013</v>
      </c>
      <c r="H10" s="64">
        <f t="shared" si="0"/>
        <v>0.12350000000000008</v>
      </c>
      <c r="I10" s="64">
        <f t="shared" si="0"/>
        <v>0.11420000000000002</v>
      </c>
      <c r="J10" s="64">
        <f t="shared" si="0"/>
        <v>0.12099999999999994</v>
      </c>
      <c r="K10" s="64">
        <f t="shared" si="0"/>
        <v>0.12420000000000002</v>
      </c>
      <c r="L10" s="64">
        <f t="shared" si="0"/>
        <v>0.12890000000000001</v>
      </c>
      <c r="M10" s="64">
        <f t="shared" si="0"/>
        <v>0.12640000000000001</v>
      </c>
      <c r="N10" s="64">
        <f t="shared" si="0"/>
        <v>0.12170000000000002</v>
      </c>
      <c r="O10" s="64">
        <f t="shared" si="0"/>
        <v>0.11990000000000009</v>
      </c>
      <c r="P10" s="64">
        <f t="shared" si="0"/>
        <v>0.11450000000000003</v>
      </c>
      <c r="Q10" s="64">
        <f t="shared" si="0"/>
        <v>0.12159999999999997</v>
      </c>
      <c r="R10" s="64">
        <f t="shared" si="0"/>
        <v>0.12310000000000003</v>
      </c>
      <c r="S10" s="64">
        <f t="shared" si="0"/>
        <v>0.12590000000000004</v>
      </c>
      <c r="T10" s="64">
        <f t="shared" si="0"/>
        <v>0.12850000000000009</v>
      </c>
      <c r="U10" s="64">
        <f t="shared" si="0"/>
        <v>0</v>
      </c>
      <c r="V10" s="64">
        <f t="shared" si="0"/>
        <v>0</v>
      </c>
      <c r="W10" s="64">
        <f t="shared" si="0"/>
        <v>0</v>
      </c>
      <c r="X10" s="64">
        <f t="shared" si="0"/>
        <v>0</v>
      </c>
      <c r="Y10" s="64">
        <f t="shared" si="0"/>
        <v>0</v>
      </c>
      <c r="Z10" s="64">
        <f t="shared" si="0"/>
        <v>0</v>
      </c>
      <c r="AA10" s="64">
        <f t="shared" si="0"/>
        <v>0</v>
      </c>
      <c r="AB10" s="64">
        <f t="shared" si="0"/>
        <v>0</v>
      </c>
      <c r="AC10" s="64">
        <f t="shared" si="0"/>
        <v>0</v>
      </c>
      <c r="AD10" s="64">
        <f t="shared" si="0"/>
        <v>0</v>
      </c>
      <c r="AE10" s="64">
        <f t="shared" si="0"/>
        <v>0</v>
      </c>
      <c r="AF10" s="64">
        <f t="shared" si="0"/>
        <v>0</v>
      </c>
      <c r="AG10" s="64">
        <f t="shared" si="0"/>
        <v>0</v>
      </c>
      <c r="AH10" s="64">
        <f t="shared" si="0"/>
        <v>0</v>
      </c>
      <c r="AI10" s="64">
        <f t="shared" si="0"/>
        <v>0</v>
      </c>
      <c r="AJ10" s="64">
        <f t="shared" si="0"/>
        <v>0</v>
      </c>
      <c r="AK10" s="64">
        <f t="shared" si="0"/>
        <v>0</v>
      </c>
      <c r="AL10" s="64">
        <f>(AL8-AL5)%</f>
        <v>0</v>
      </c>
      <c r="AM10" s="64">
        <f>(AM8-AM5)%</f>
        <v>0</v>
      </c>
      <c r="AN10" s="64">
        <f t="shared" ref="AN10:CY10" si="1">(AN8-AN5)%</f>
        <v>0</v>
      </c>
      <c r="AO10" s="64">
        <f t="shared" si="1"/>
        <v>0</v>
      </c>
      <c r="AP10" s="64">
        <f t="shared" si="1"/>
        <v>0</v>
      </c>
      <c r="AQ10" s="64">
        <f t="shared" si="1"/>
        <v>0</v>
      </c>
      <c r="AR10" s="64">
        <f t="shared" si="1"/>
        <v>0</v>
      </c>
      <c r="AS10" s="64">
        <f t="shared" si="1"/>
        <v>0</v>
      </c>
      <c r="AT10" s="64">
        <f t="shared" si="1"/>
        <v>0</v>
      </c>
      <c r="AU10" s="64">
        <f t="shared" si="1"/>
        <v>0</v>
      </c>
      <c r="AV10" s="64">
        <f t="shared" si="1"/>
        <v>0</v>
      </c>
      <c r="AW10" s="64">
        <f t="shared" si="1"/>
        <v>0</v>
      </c>
      <c r="AX10" s="64">
        <f t="shared" si="1"/>
        <v>0</v>
      </c>
      <c r="AY10" s="64">
        <f t="shared" si="1"/>
        <v>0</v>
      </c>
      <c r="AZ10" s="64">
        <f t="shared" si="1"/>
        <v>0</v>
      </c>
      <c r="BA10" s="64">
        <f t="shared" si="1"/>
        <v>0</v>
      </c>
      <c r="BB10" s="64">
        <f t="shared" si="1"/>
        <v>0</v>
      </c>
      <c r="BC10" s="64">
        <f t="shared" si="1"/>
        <v>0</v>
      </c>
      <c r="BD10" s="64">
        <f t="shared" si="1"/>
        <v>0</v>
      </c>
      <c r="BE10" s="64">
        <f t="shared" si="1"/>
        <v>0</v>
      </c>
      <c r="BF10" s="64">
        <f t="shared" si="1"/>
        <v>0</v>
      </c>
      <c r="BG10" s="64">
        <f t="shared" si="1"/>
        <v>0</v>
      </c>
      <c r="BH10" s="64">
        <f t="shared" si="1"/>
        <v>0</v>
      </c>
      <c r="BI10" s="64">
        <f t="shared" si="1"/>
        <v>0</v>
      </c>
      <c r="BJ10" s="64">
        <f t="shared" si="1"/>
        <v>0</v>
      </c>
      <c r="BK10" s="64">
        <f t="shared" si="1"/>
        <v>0</v>
      </c>
      <c r="BL10" s="64">
        <f t="shared" si="1"/>
        <v>0</v>
      </c>
      <c r="BM10" s="64">
        <f t="shared" si="1"/>
        <v>0</v>
      </c>
      <c r="BN10" s="64">
        <f t="shared" si="1"/>
        <v>0</v>
      </c>
      <c r="BO10" s="64">
        <f t="shared" si="1"/>
        <v>0</v>
      </c>
      <c r="BP10" s="64">
        <f t="shared" si="1"/>
        <v>0</v>
      </c>
      <c r="BQ10" s="64">
        <f t="shared" si="1"/>
        <v>0</v>
      </c>
      <c r="BR10" s="64">
        <f t="shared" si="1"/>
        <v>0</v>
      </c>
      <c r="BS10" s="64">
        <f t="shared" si="1"/>
        <v>0</v>
      </c>
      <c r="BT10" s="64">
        <f t="shared" si="1"/>
        <v>0</v>
      </c>
      <c r="BU10" s="64">
        <f t="shared" si="1"/>
        <v>0</v>
      </c>
      <c r="BV10" s="64">
        <f t="shared" si="1"/>
        <v>0</v>
      </c>
      <c r="BW10" s="64">
        <f t="shared" si="1"/>
        <v>0</v>
      </c>
      <c r="BX10" s="64">
        <f t="shared" si="1"/>
        <v>0</v>
      </c>
      <c r="BY10" s="64">
        <f t="shared" si="1"/>
        <v>0</v>
      </c>
      <c r="BZ10" s="64">
        <f t="shared" si="1"/>
        <v>0</v>
      </c>
      <c r="CA10" s="64">
        <f t="shared" si="1"/>
        <v>0</v>
      </c>
      <c r="CB10" s="64">
        <f t="shared" si="1"/>
        <v>0.13729999999999989</v>
      </c>
      <c r="CC10" s="64">
        <f t="shared" si="1"/>
        <v>0.14590000000000003</v>
      </c>
      <c r="CD10" s="64">
        <f t="shared" si="1"/>
        <v>0.13500000000000001</v>
      </c>
      <c r="CE10" s="64">
        <f t="shared" si="1"/>
        <v>0.1336</v>
      </c>
      <c r="CF10" s="64">
        <f t="shared" si="1"/>
        <v>0.13540000000000008</v>
      </c>
      <c r="CG10" s="64">
        <f t="shared" si="1"/>
        <v>0.13329999999999997</v>
      </c>
      <c r="CH10" s="64">
        <f t="shared" si="1"/>
        <v>0.12570000000000006</v>
      </c>
      <c r="CI10" s="64">
        <f t="shared" si="1"/>
        <v>0.14030000000000001</v>
      </c>
      <c r="CJ10" s="64">
        <f t="shared" si="1"/>
        <v>0.14060000000000003</v>
      </c>
      <c r="CK10" s="64">
        <f t="shared" si="1"/>
        <v>0.13679999999999992</v>
      </c>
      <c r="CL10" s="64">
        <f t="shared" si="1"/>
        <v>0.14559999999999987</v>
      </c>
      <c r="CM10" s="64">
        <f t="shared" si="1"/>
        <v>0.14219999999999999</v>
      </c>
      <c r="CN10" s="64">
        <f t="shared" si="1"/>
        <v>0.13540000000000008</v>
      </c>
      <c r="CO10" s="64">
        <f t="shared" si="1"/>
        <v>0.12320000000000007</v>
      </c>
      <c r="CP10" s="64">
        <f t="shared" si="1"/>
        <v>0.14850000000000008</v>
      </c>
      <c r="CQ10" s="64">
        <f t="shared" si="1"/>
        <v>0.13989999999999994</v>
      </c>
      <c r="CR10" s="64">
        <f t="shared" si="1"/>
        <v>0.13829999999999998</v>
      </c>
      <c r="CS10" s="64">
        <f t="shared" si="1"/>
        <v>0.13670000000000002</v>
      </c>
      <c r="CT10" s="64">
        <f t="shared" si="1"/>
        <v>0.13189999999999999</v>
      </c>
      <c r="CU10" s="64">
        <f t="shared" si="1"/>
        <v>0.13399999999999992</v>
      </c>
      <c r="CV10" s="64">
        <f t="shared" si="1"/>
        <v>0.12420000000000002</v>
      </c>
      <c r="CW10" s="64">
        <f t="shared" si="1"/>
        <v>0.12410000000000011</v>
      </c>
      <c r="CX10" s="64">
        <f t="shared" si="1"/>
        <v>0.13459999999999994</v>
      </c>
      <c r="CY10" s="64">
        <f t="shared" si="1"/>
        <v>0.12739999999999996</v>
      </c>
      <c r="CZ10" s="64">
        <f>(CZ8-CZ5)%</f>
        <v>0.13209999999999994</v>
      </c>
      <c r="DA10" s="64">
        <f>(DA8-DA5)%</f>
        <v>0</v>
      </c>
      <c r="DB10" s="64">
        <f t="shared" ref="DB10:FM10" si="2">(DB8-DB5)%</f>
        <v>0</v>
      </c>
      <c r="DC10" s="64">
        <f t="shared" si="2"/>
        <v>0</v>
      </c>
      <c r="DD10" s="64">
        <f t="shared" si="2"/>
        <v>0</v>
      </c>
      <c r="DE10" s="64">
        <f t="shared" si="2"/>
        <v>0</v>
      </c>
      <c r="DF10" s="64">
        <f t="shared" si="2"/>
        <v>0</v>
      </c>
      <c r="DG10" s="64">
        <f t="shared" si="2"/>
        <v>0</v>
      </c>
      <c r="DH10" s="64">
        <f t="shared" si="2"/>
        <v>0</v>
      </c>
      <c r="DI10" s="64"/>
      <c r="DJ10" s="64"/>
      <c r="DK10" s="64"/>
      <c r="DL10" s="64"/>
      <c r="DM10" s="64"/>
      <c r="DN10" s="64"/>
      <c r="DO10" s="64">
        <f t="shared" si="2"/>
        <v>0</v>
      </c>
      <c r="DP10" s="64">
        <f t="shared" si="2"/>
        <v>0</v>
      </c>
      <c r="DQ10" s="64">
        <f t="shared" si="2"/>
        <v>0</v>
      </c>
      <c r="DR10" s="64">
        <f t="shared" si="2"/>
        <v>0</v>
      </c>
      <c r="DS10" s="64">
        <f t="shared" si="2"/>
        <v>0</v>
      </c>
      <c r="DT10" s="64">
        <f t="shared" si="2"/>
        <v>0</v>
      </c>
      <c r="DU10" s="64">
        <f t="shared" si="2"/>
        <v>0</v>
      </c>
      <c r="DV10" s="64">
        <f t="shared" si="2"/>
        <v>0</v>
      </c>
      <c r="DW10" s="64">
        <f t="shared" si="2"/>
        <v>0</v>
      </c>
      <c r="DX10" s="64">
        <f t="shared" si="2"/>
        <v>0</v>
      </c>
      <c r="DY10" s="64">
        <f t="shared" si="2"/>
        <v>0</v>
      </c>
      <c r="DZ10" s="64">
        <f t="shared" si="2"/>
        <v>0.13260000000000005</v>
      </c>
      <c r="EA10" s="64">
        <f t="shared" si="2"/>
        <v>0.13489999999999994</v>
      </c>
      <c r="EB10" s="64">
        <f t="shared" si="2"/>
        <v>0.1275</v>
      </c>
      <c r="EC10" s="64">
        <f t="shared" si="2"/>
        <v>0.12640000000000001</v>
      </c>
      <c r="ED10" s="64">
        <f t="shared" si="2"/>
        <v>0.12899999999999992</v>
      </c>
      <c r="EE10" s="64">
        <f t="shared" si="2"/>
        <v>0.11829999999999999</v>
      </c>
      <c r="EF10" s="64">
        <f t="shared" si="2"/>
        <v>0.13439999999999996</v>
      </c>
      <c r="EG10" s="64">
        <f t="shared" si="2"/>
        <v>0.1275</v>
      </c>
      <c r="EH10" s="64">
        <f t="shared" si="2"/>
        <v>0.12420000000000002</v>
      </c>
      <c r="EI10" s="64">
        <f t="shared" si="2"/>
        <v>0.12189999999999998</v>
      </c>
      <c r="EJ10" s="64">
        <f t="shared" si="2"/>
        <v>0.12530000000000002</v>
      </c>
      <c r="EK10" s="64">
        <f t="shared" si="2"/>
        <v>0.12219999999999999</v>
      </c>
      <c r="EL10" s="64">
        <f t="shared" si="2"/>
        <v>0.1161999999999999</v>
      </c>
      <c r="EM10" s="64">
        <f t="shared" si="2"/>
        <v>0.12989999999999996</v>
      </c>
      <c r="EN10" s="64">
        <f t="shared" si="2"/>
        <v>0.12569999999999992</v>
      </c>
      <c r="EO10" s="64">
        <f t="shared" si="2"/>
        <v>0.12710000000000007</v>
      </c>
      <c r="EP10" s="64">
        <f t="shared" si="2"/>
        <v>0.12420000000000002</v>
      </c>
      <c r="EQ10" s="64">
        <f t="shared" si="2"/>
        <v>0.12469999999999999</v>
      </c>
      <c r="ER10" s="64">
        <f t="shared" si="2"/>
        <v>0.12290000000000006</v>
      </c>
      <c r="ES10" s="64">
        <f t="shared" si="2"/>
        <v>0.11790000000000006</v>
      </c>
      <c r="ET10" s="64">
        <f t="shared" si="2"/>
        <v>0.12570000000000006</v>
      </c>
      <c r="EU10" s="64">
        <f t="shared" si="2"/>
        <v>9.4399999999999984E-2</v>
      </c>
      <c r="EV10" s="64">
        <f t="shared" si="2"/>
        <v>0.12420000000000002</v>
      </c>
      <c r="EW10" s="64">
        <f t="shared" si="2"/>
        <v>0.11959999999999994</v>
      </c>
      <c r="EX10" s="64">
        <f t="shared" si="2"/>
        <v>0.16150000000000006</v>
      </c>
      <c r="EY10" s="64">
        <f t="shared" si="2"/>
        <v>0.13810000000000003</v>
      </c>
      <c r="EZ10" s="64">
        <f t="shared" si="2"/>
        <v>0.11720000000000014</v>
      </c>
      <c r="FA10" s="64">
        <f t="shared" si="2"/>
        <v>0.12810000000000002</v>
      </c>
      <c r="FB10" s="64">
        <f t="shared" si="2"/>
        <v>0.13489999999999994</v>
      </c>
      <c r="FC10" s="64">
        <f t="shared" si="2"/>
        <v>0.13459999999999994</v>
      </c>
      <c r="FD10" s="64">
        <f t="shared" si="2"/>
        <v>0.13149999999999992</v>
      </c>
      <c r="FE10" s="64">
        <f t="shared" si="2"/>
        <v>0.13170000000000001</v>
      </c>
      <c r="FF10" s="64">
        <f t="shared" si="2"/>
        <v>0.13190000000000013</v>
      </c>
      <c r="FG10" s="64">
        <f t="shared" si="2"/>
        <v>0.12880000000000011</v>
      </c>
      <c r="FH10" s="64">
        <f t="shared" si="2"/>
        <v>0.13050000000000012</v>
      </c>
      <c r="FI10" s="64">
        <f t="shared" si="2"/>
        <v>0.1303</v>
      </c>
      <c r="FJ10" s="64">
        <f t="shared" si="2"/>
        <v>0.13009999999999991</v>
      </c>
      <c r="FK10" s="64">
        <f t="shared" si="2"/>
        <v>0.16060000000000002</v>
      </c>
      <c r="FL10" s="64">
        <f t="shared" si="2"/>
        <v>0.16760000000000005</v>
      </c>
      <c r="FM10" s="64">
        <f t="shared" si="2"/>
        <v>0.12409999999999996</v>
      </c>
      <c r="FN10" s="64">
        <f t="shared" ref="FN10:HY10" si="3">(FN8-FN5)%</f>
        <v>0.11790000000000006</v>
      </c>
      <c r="FO10" s="64">
        <f t="shared" si="3"/>
        <v>0.12040000000000006</v>
      </c>
      <c r="FP10" s="64">
        <f t="shared" si="3"/>
        <v>0.12280000000000001</v>
      </c>
      <c r="FQ10" s="64">
        <f t="shared" si="3"/>
        <v>0.12829999999999997</v>
      </c>
      <c r="FR10" s="64">
        <f t="shared" si="3"/>
        <v>0.1336999999999999</v>
      </c>
      <c r="FS10" s="64">
        <f t="shared" si="3"/>
        <v>0.1161999999999999</v>
      </c>
      <c r="FT10" s="64">
        <f t="shared" si="3"/>
        <v>0.12090000000000004</v>
      </c>
      <c r="FU10" s="64">
        <f t="shared" si="3"/>
        <v>0.1136999999999999</v>
      </c>
      <c r="FV10" s="64">
        <f t="shared" si="3"/>
        <v>0.12059999999999987</v>
      </c>
      <c r="FW10" s="64">
        <f t="shared" si="3"/>
        <v>0.12260000000000006</v>
      </c>
      <c r="FX10" s="64">
        <f t="shared" si="3"/>
        <v>0.11870000000000004</v>
      </c>
      <c r="FY10" s="64">
        <f t="shared" si="3"/>
        <v>0.11710000000000008</v>
      </c>
      <c r="FZ10" s="64">
        <f t="shared" si="3"/>
        <v>0.1186</v>
      </c>
      <c r="GA10" s="64">
        <f t="shared" si="3"/>
        <v>0.12030000000000002</v>
      </c>
      <c r="GB10" s="64">
        <f t="shared" si="3"/>
        <v>0.11679999999999993</v>
      </c>
      <c r="GC10" s="64">
        <f t="shared" si="3"/>
        <v>0.12829999999999997</v>
      </c>
      <c r="GD10" s="64">
        <f t="shared" si="3"/>
        <v>0.12590000000000004</v>
      </c>
      <c r="GE10" s="64">
        <f t="shared" si="3"/>
        <v>0.13</v>
      </c>
      <c r="GF10" s="64">
        <f t="shared" si="3"/>
        <v>0.12490000000000009</v>
      </c>
      <c r="GG10" s="64">
        <f t="shared" si="3"/>
        <v>0.12730000000000005</v>
      </c>
      <c r="GH10" s="64">
        <f t="shared" si="3"/>
        <v>0.11289999999999992</v>
      </c>
      <c r="GI10" s="64">
        <f t="shared" si="3"/>
        <v>0.12569999999999992</v>
      </c>
      <c r="GJ10" s="64">
        <f t="shared" si="3"/>
        <v>0.12880000000000011</v>
      </c>
      <c r="GK10" s="64">
        <f t="shared" si="3"/>
        <v>0.12799999999999997</v>
      </c>
      <c r="GL10" s="64">
        <f t="shared" si="3"/>
        <v>0.12659999999999996</v>
      </c>
      <c r="GM10" s="64">
        <f t="shared" si="3"/>
        <v>0.12329999999999998</v>
      </c>
      <c r="GN10" s="64">
        <f t="shared" si="3"/>
        <v>0.12420000000000002</v>
      </c>
      <c r="GO10" s="64">
        <f t="shared" si="3"/>
        <v>0.12010000000000005</v>
      </c>
      <c r="GP10" s="64">
        <f t="shared" si="3"/>
        <v>0.11379999999999996</v>
      </c>
      <c r="GQ10" s="64">
        <f t="shared" si="3"/>
        <v>0.12400000000000005</v>
      </c>
      <c r="GR10" s="64">
        <f t="shared" si="3"/>
        <v>0.1211</v>
      </c>
      <c r="GS10" s="64">
        <f t="shared" si="3"/>
        <v>0.1225</v>
      </c>
      <c r="GT10" s="64">
        <f t="shared" si="3"/>
        <v>0.12180000000000007</v>
      </c>
      <c r="GU10" s="64">
        <f t="shared" si="3"/>
        <v>0.12170000000000002</v>
      </c>
      <c r="GV10" s="64">
        <f t="shared" si="3"/>
        <v>0.12019999999999996</v>
      </c>
      <c r="GW10" s="64">
        <f t="shared" si="3"/>
        <v>0.11579999999999999</v>
      </c>
      <c r="GX10" s="64">
        <f t="shared" si="3"/>
        <v>0.12309999999999988</v>
      </c>
      <c r="GY10" s="64">
        <f t="shared" si="3"/>
        <v>0.11919999999999988</v>
      </c>
      <c r="GZ10" s="64">
        <f t="shared" si="3"/>
        <v>0.11979999999999989</v>
      </c>
      <c r="HA10" s="64">
        <f t="shared" si="3"/>
        <v>0.11779999999999986</v>
      </c>
      <c r="HB10" s="64">
        <f t="shared" si="3"/>
        <v>0.11899999999999991</v>
      </c>
      <c r="HC10" s="64">
        <f>(HC8-HC5)%</f>
        <v>0.12029999999999987</v>
      </c>
      <c r="HD10" s="64">
        <f>(HD8-HD5)%</f>
        <v>0.11489999999999995</v>
      </c>
      <c r="HE10" s="64">
        <f>(HE8-HE5)%</f>
        <v>0.12359999999999999</v>
      </c>
      <c r="HF10" s="64">
        <f t="shared" si="3"/>
        <v>9.1000000000000081E-2</v>
      </c>
      <c r="HG10" s="64">
        <f t="shared" si="3"/>
        <v>0.13129999999999994</v>
      </c>
      <c r="HH10" s="64">
        <f t="shared" si="3"/>
        <v>0.17810000000000004</v>
      </c>
      <c r="HI10" s="64">
        <f t="shared" si="3"/>
        <v>0.15949999999999989</v>
      </c>
      <c r="HJ10" s="64">
        <f t="shared" si="3"/>
        <v>0.12039999999999992</v>
      </c>
      <c r="HK10" s="64">
        <f t="shared" si="3"/>
        <v>0.11319999999999993</v>
      </c>
      <c r="HL10" s="64">
        <f t="shared" si="3"/>
        <v>0.11769999999999996</v>
      </c>
      <c r="HM10" s="64">
        <f t="shared" si="3"/>
        <v>0.12079999999999998</v>
      </c>
      <c r="HN10" s="64">
        <f t="shared" si="3"/>
        <v>0.12219999999999999</v>
      </c>
      <c r="HO10" s="64">
        <f t="shared" si="3"/>
        <v>0.12189999999999998</v>
      </c>
      <c r="HP10" s="64">
        <f t="shared" si="3"/>
        <v>0.12039999999999992</v>
      </c>
      <c r="HQ10" s="64">
        <f t="shared" si="3"/>
        <v>0.12349999999999994</v>
      </c>
      <c r="HR10" s="64">
        <f t="shared" si="3"/>
        <v>0.11659999999999997</v>
      </c>
      <c r="HS10" s="64">
        <f t="shared" si="3"/>
        <v>0.11920000000000001</v>
      </c>
      <c r="HT10" s="64">
        <f t="shared" si="3"/>
        <v>0.12150000000000005</v>
      </c>
      <c r="HU10" s="64">
        <f t="shared" si="3"/>
        <v>0.12359999999999999</v>
      </c>
      <c r="HV10" s="64">
        <f t="shared" si="3"/>
        <v>0.12160000000000011</v>
      </c>
      <c r="HW10" s="64">
        <f t="shared" si="3"/>
        <v>0.12379999999999995</v>
      </c>
      <c r="HX10" s="64">
        <f t="shared" si="3"/>
        <v>0.12189999999999998</v>
      </c>
      <c r="HY10" s="64">
        <f t="shared" si="3"/>
        <v>0.1164</v>
      </c>
      <c r="HZ10" s="64">
        <f t="shared" ref="HZ10:KK10" si="4">(HZ8-HZ5)%</f>
        <v>0.12439999999999998</v>
      </c>
      <c r="IA10" s="64">
        <f t="shared" si="4"/>
        <v>0.12620000000000003</v>
      </c>
      <c r="IB10" s="64">
        <f t="shared" si="4"/>
        <v>0.12429999999999992</v>
      </c>
      <c r="IC10" s="64">
        <f t="shared" si="4"/>
        <v>0.12790000000000007</v>
      </c>
      <c r="ID10" s="64">
        <f t="shared" si="4"/>
        <v>0.12420000000000002</v>
      </c>
      <c r="IE10" s="64">
        <f t="shared" si="4"/>
        <v>0.12439999999999998</v>
      </c>
      <c r="IF10" s="64">
        <f t="shared" si="4"/>
        <v>0.11710000000000008</v>
      </c>
      <c r="IG10" s="64">
        <f t="shared" si="4"/>
        <v>0.12650000000000006</v>
      </c>
      <c r="IH10" s="64">
        <f t="shared" si="4"/>
        <v>0.12399999999999992</v>
      </c>
      <c r="II10" s="64">
        <f t="shared" si="4"/>
        <v>0.13379999999999995</v>
      </c>
      <c r="IJ10" s="64">
        <f t="shared" si="4"/>
        <v>0.1266000000000001</v>
      </c>
      <c r="IK10" s="64">
        <f t="shared" si="4"/>
        <v>0.12609999999999999</v>
      </c>
      <c r="IL10" s="64">
        <f t="shared" si="4"/>
        <v>0.1258999999999999</v>
      </c>
      <c r="IM10" s="64">
        <f t="shared" si="4"/>
        <v>0.11560000000000002</v>
      </c>
      <c r="IN10" s="64">
        <f t="shared" si="4"/>
        <v>0.1303</v>
      </c>
      <c r="IO10" s="64">
        <f t="shared" si="4"/>
        <v>0.12969999999999998</v>
      </c>
      <c r="IP10" s="64">
        <f t="shared" si="4"/>
        <v>0.13149999999999992</v>
      </c>
      <c r="IQ10" s="64">
        <f t="shared" si="4"/>
        <v>0.12830000000000014</v>
      </c>
      <c r="IR10" s="64">
        <f t="shared" si="4"/>
        <v>0.12570000000000006</v>
      </c>
      <c r="IS10" s="64">
        <f t="shared" si="4"/>
        <v>0.12070000000000007</v>
      </c>
      <c r="IT10" s="64">
        <f t="shared" si="4"/>
        <v>0.11340000000000003</v>
      </c>
      <c r="IU10" s="64">
        <f t="shared" si="4"/>
        <v>0.12390000000000001</v>
      </c>
      <c r="IV10" s="64">
        <f t="shared" si="4"/>
        <v>0.12510000000000004</v>
      </c>
      <c r="IW10" s="64">
        <f t="shared" si="4"/>
        <v>0.1247999999999999</v>
      </c>
      <c r="IX10" s="64">
        <f t="shared" si="4"/>
        <v>0.12510000000000004</v>
      </c>
      <c r="IY10" s="64">
        <f t="shared" si="4"/>
        <v>0.12200000000000003</v>
      </c>
      <c r="IZ10" s="64">
        <f t="shared" si="4"/>
        <v>0.12129999999999995</v>
      </c>
      <c r="JA10" s="64">
        <f t="shared" si="4"/>
        <v>0.11319999999999993</v>
      </c>
      <c r="JB10" s="64">
        <f t="shared" si="4"/>
        <v>0.12230000000000003</v>
      </c>
      <c r="JC10" s="64">
        <f t="shared" si="4"/>
        <v>0.12519999999999995</v>
      </c>
      <c r="JD10" s="64">
        <f t="shared" si="4"/>
        <v>0.12570000000000006</v>
      </c>
      <c r="JE10" s="64">
        <f t="shared" si="4"/>
        <v>0.12460000000000009</v>
      </c>
      <c r="JF10" s="64">
        <f t="shared" si="4"/>
        <v>0.12189999999999998</v>
      </c>
      <c r="JG10" s="64">
        <f t="shared" si="4"/>
        <v>0.12679999999999991</v>
      </c>
      <c r="JH10" s="64">
        <f t="shared" si="4"/>
        <v>0.11930000000000007</v>
      </c>
      <c r="JI10" s="64">
        <f t="shared" si="4"/>
        <v>0.12629999999999997</v>
      </c>
      <c r="JJ10" s="64">
        <f t="shared" si="4"/>
        <v>0.12430000000000006</v>
      </c>
      <c r="JK10" s="64">
        <f t="shared" si="4"/>
        <v>0.12080000000000013</v>
      </c>
      <c r="JL10" s="64">
        <f t="shared" si="4"/>
        <v>0.12769999999999995</v>
      </c>
      <c r="JM10" s="64">
        <f t="shared" si="4"/>
        <v>0.12780000000000002</v>
      </c>
      <c r="JN10" s="64">
        <f t="shared" si="4"/>
        <v>0.12179999999999992</v>
      </c>
      <c r="JO10" s="64">
        <f t="shared" si="4"/>
        <v>0.11349999999999995</v>
      </c>
      <c r="JP10" s="64">
        <f t="shared" si="4"/>
        <v>0.12989999999999996</v>
      </c>
      <c r="JQ10" s="64">
        <f t="shared" si="4"/>
        <v>0.14210000000000009</v>
      </c>
      <c r="JR10" s="64">
        <f t="shared" si="4"/>
        <v>0.12429999999999992</v>
      </c>
      <c r="JS10" s="64">
        <f t="shared" si="4"/>
        <v>0.11840000000000003</v>
      </c>
      <c r="JT10" s="64">
        <f t="shared" si="4"/>
        <v>0.11540000000000006</v>
      </c>
      <c r="JU10" s="64">
        <f t="shared" si="4"/>
        <v>0.12170000000000002</v>
      </c>
      <c r="JV10" s="64">
        <f t="shared" si="4"/>
        <v>0.10829999999999998</v>
      </c>
      <c r="JW10" s="64">
        <f t="shared" si="4"/>
        <v>0.13049999999999998</v>
      </c>
      <c r="JX10" s="64">
        <f t="shared" si="4"/>
        <v>0.11959999999999994</v>
      </c>
      <c r="JY10" s="64">
        <f t="shared" si="4"/>
        <v>0.12539999999999993</v>
      </c>
      <c r="JZ10" s="64">
        <f t="shared" si="4"/>
        <v>0.11469999999999998</v>
      </c>
      <c r="KA10" s="64">
        <f t="shared" si="4"/>
        <v>0.11719999999999998</v>
      </c>
      <c r="KB10" s="64">
        <f t="shared" si="4"/>
        <v>0.11660000000000011</v>
      </c>
      <c r="KC10" s="64">
        <f t="shared" si="4"/>
        <v>0.10859999999999999</v>
      </c>
      <c r="KD10" s="64">
        <f t="shared" si="4"/>
        <v>0.11969999999999999</v>
      </c>
      <c r="KE10" s="64">
        <f t="shared" si="4"/>
        <v>0.11939999999999998</v>
      </c>
      <c r="KF10" s="64">
        <f t="shared" si="4"/>
        <v>0.11560000000000002</v>
      </c>
      <c r="KG10" s="64">
        <f t="shared" si="4"/>
        <v>0.11650000000000006</v>
      </c>
      <c r="KH10" s="64">
        <f t="shared" si="4"/>
        <v>0.11670000000000001</v>
      </c>
      <c r="KI10" s="64">
        <f t="shared" si="4"/>
        <v>0.11599999999999994</v>
      </c>
      <c r="KJ10" s="64">
        <f t="shared" si="4"/>
        <v>0.10370000000000004</v>
      </c>
      <c r="KK10" s="64">
        <f t="shared" si="4"/>
        <v>0.11310000000000002</v>
      </c>
      <c r="KL10" s="64">
        <f t="shared" ref="KL10:KS10" si="5">(KL8-KL5)%</f>
        <v>0.11489999999999995</v>
      </c>
      <c r="KM10" s="64">
        <f t="shared" si="5"/>
        <v>0.11790000000000006</v>
      </c>
      <c r="KN10" s="64">
        <f t="shared" si="5"/>
        <v>0.11519999999999996</v>
      </c>
      <c r="KO10" s="64">
        <f t="shared" si="5"/>
        <v>0.1147999999999999</v>
      </c>
      <c r="KP10" s="64">
        <f t="shared" si="5"/>
        <v>0.1125</v>
      </c>
      <c r="KQ10" s="72">
        <f t="shared" si="5"/>
        <v>0.10260000000000005</v>
      </c>
      <c r="KR10" s="64">
        <f t="shared" si="5"/>
        <v>0.11239999999999994</v>
      </c>
      <c r="KS10" s="64">
        <f t="shared" si="5"/>
        <v>0.11469999999999998</v>
      </c>
      <c r="KT10" s="64">
        <f>(KT8-KT5)%</f>
        <v>0.10870000000000005</v>
      </c>
      <c r="KU10" s="64">
        <f t="shared" ref="KU10:NF10" si="6">(KU8-KU5)%</f>
        <v>0.11210000000000007</v>
      </c>
      <c r="KV10" s="64">
        <f t="shared" si="6"/>
        <v>0.11340000000000003</v>
      </c>
      <c r="KW10" s="64">
        <f t="shared" si="6"/>
        <v>0.13299999999999998</v>
      </c>
      <c r="KX10" s="64">
        <f t="shared" si="6"/>
        <v>0.13390000000000002</v>
      </c>
      <c r="KY10" s="64">
        <f t="shared" si="6"/>
        <v>0.15980000000000005</v>
      </c>
      <c r="KZ10" s="64">
        <f t="shared" si="6"/>
        <v>0.11170000000000002</v>
      </c>
      <c r="LA10" s="64">
        <f t="shared" si="6"/>
        <v>0.11560000000000002</v>
      </c>
      <c r="LB10" s="64">
        <f t="shared" si="6"/>
        <v>0.11030000000000001</v>
      </c>
      <c r="LC10" s="64">
        <f t="shared" si="6"/>
        <v>0.11929999999999992</v>
      </c>
      <c r="LD10" s="64">
        <f t="shared" si="6"/>
        <v>0.11120000000000005</v>
      </c>
      <c r="LE10" s="64">
        <f t="shared" si="6"/>
        <v>0.10579999999999998</v>
      </c>
      <c r="LF10" s="64">
        <f t="shared" si="6"/>
        <v>0.11540000000000006</v>
      </c>
      <c r="LG10" s="64">
        <f t="shared" si="6"/>
        <v>0.11379999999999996</v>
      </c>
      <c r="LH10" s="64">
        <f t="shared" si="6"/>
        <v>0.10789999999999993</v>
      </c>
      <c r="LI10" s="64">
        <f t="shared" si="6"/>
        <v>0.11290000000000006</v>
      </c>
      <c r="LJ10" s="64">
        <f t="shared" si="6"/>
        <v>0.11349999999999995</v>
      </c>
      <c r="LK10" s="64">
        <f t="shared" si="6"/>
        <v>0.1136999999999999</v>
      </c>
      <c r="LL10" s="64">
        <f t="shared" si="6"/>
        <v>0.10859999999999999</v>
      </c>
      <c r="LM10" s="64">
        <f t="shared" si="6"/>
        <v>0.11260000000000005</v>
      </c>
      <c r="LN10" s="64">
        <f t="shared" si="6"/>
        <v>0.11319999999999993</v>
      </c>
      <c r="LO10" s="64">
        <f t="shared" si="6"/>
        <v>0.12090000000000004</v>
      </c>
      <c r="LP10" s="64">
        <f t="shared" si="6"/>
        <v>0.11510000000000005</v>
      </c>
      <c r="LQ10" s="64">
        <f t="shared" si="6"/>
        <v>0.11099999999999995</v>
      </c>
      <c r="LR10" s="64">
        <f t="shared" si="6"/>
        <v>0.11040000000000007</v>
      </c>
      <c r="LS10" s="64">
        <f t="shared" si="6"/>
        <v>0.10540000000000006</v>
      </c>
      <c r="LT10" s="64">
        <f t="shared" si="6"/>
        <v>0.11349999999999995</v>
      </c>
      <c r="LU10" s="64">
        <f t="shared" si="6"/>
        <v>0.11439999999999997</v>
      </c>
      <c r="LV10" s="64">
        <f t="shared" si="6"/>
        <v>0.11349999999999995</v>
      </c>
      <c r="LW10" s="64">
        <f t="shared" si="6"/>
        <v>0.11539999999999992</v>
      </c>
      <c r="LX10" s="64">
        <f t="shared" si="6"/>
        <v>0.11609999999999999</v>
      </c>
      <c r="LY10" s="64">
        <f t="shared" si="6"/>
        <v>0.11309999999999988</v>
      </c>
      <c r="LZ10" s="64">
        <f t="shared" si="6"/>
        <v>0.10659999999999997</v>
      </c>
      <c r="MA10" s="64">
        <f t="shared" si="6"/>
        <v>0.11420000000000002</v>
      </c>
      <c r="MB10" s="64">
        <f t="shared" si="6"/>
        <v>0.11530000000000001</v>
      </c>
      <c r="MC10" s="64">
        <f t="shared" si="6"/>
        <v>0.11299999999999998</v>
      </c>
      <c r="MD10" s="64">
        <f t="shared" si="6"/>
        <v>0.11509999999999991</v>
      </c>
      <c r="ME10" s="64">
        <f t="shared" si="6"/>
        <v>0.11560000000000002</v>
      </c>
      <c r="MF10" s="64">
        <f t="shared" si="6"/>
        <v>0.11359999999999999</v>
      </c>
      <c r="MG10" s="64">
        <f t="shared" si="6"/>
        <v>0.10689999999999998</v>
      </c>
      <c r="MH10" s="64">
        <f t="shared" si="6"/>
        <v>0.11749999999999999</v>
      </c>
      <c r="MI10" s="64">
        <f t="shared" si="6"/>
        <v>0.12239999999999995</v>
      </c>
      <c r="MJ10" s="64">
        <f t="shared" si="6"/>
        <v>0.11539999999999992</v>
      </c>
      <c r="MK10" s="64">
        <f t="shared" si="6"/>
        <v>6.3700000000000048E-2</v>
      </c>
      <c r="ML10" s="64">
        <f t="shared" si="6"/>
        <v>8.9599999999999944E-2</v>
      </c>
      <c r="MM10" s="64">
        <f t="shared" si="6"/>
        <v>4.5299999999999868E-2</v>
      </c>
      <c r="MN10" s="64">
        <f t="shared" si="6"/>
        <v>7.7799999999999869E-2</v>
      </c>
      <c r="MO10" s="64">
        <f t="shared" si="6"/>
        <v>8.8700000000000043E-2</v>
      </c>
      <c r="MP10" s="64">
        <f t="shared" si="6"/>
        <v>0.11030000000000001</v>
      </c>
      <c r="MQ10" s="64">
        <f t="shared" si="6"/>
        <v>0.11819999999999993</v>
      </c>
      <c r="MR10" s="64">
        <f t="shared" si="6"/>
        <v>0.10959999999999993</v>
      </c>
      <c r="MS10" s="64">
        <f t="shared" si="6"/>
        <v>0.10899999999999992</v>
      </c>
      <c r="MT10" s="64">
        <f t="shared" si="6"/>
        <v>7.1200000000000041E-2</v>
      </c>
      <c r="MU10" s="64">
        <f t="shared" si="6"/>
        <v>0.10299999999999997</v>
      </c>
      <c r="MV10" s="64">
        <f t="shared" si="6"/>
        <v>0.10959999999999993</v>
      </c>
      <c r="MW10" s="64">
        <f t="shared" si="6"/>
        <v>0.10670000000000002</v>
      </c>
      <c r="MX10" s="64">
        <f t="shared" si="6"/>
        <v>0.10939999999999998</v>
      </c>
      <c r="MY10" s="64">
        <f t="shared" si="6"/>
        <v>0.1164</v>
      </c>
      <c r="MZ10" s="64">
        <f t="shared" si="6"/>
        <v>0.10890000000000001</v>
      </c>
      <c r="NA10" s="64">
        <f t="shared" si="6"/>
        <v>0.10989999999999994</v>
      </c>
      <c r="NB10" s="64">
        <f t="shared" si="6"/>
        <v>0.10629999999999995</v>
      </c>
      <c r="NC10" s="64">
        <f>(NB8-NC5)%</f>
        <v>0.13309999999999989</v>
      </c>
      <c r="ND10" s="64">
        <f t="shared" si="6"/>
        <v>0.10829999999999998</v>
      </c>
      <c r="NE10" s="64">
        <f t="shared" si="6"/>
        <v>0.10810000000000003</v>
      </c>
      <c r="NF10" s="64">
        <f t="shared" si="6"/>
        <v>0.1225999999999999</v>
      </c>
      <c r="NG10" s="64">
        <f t="shared" ref="NG10:PR10" si="7">(NG8-NG5)%</f>
        <v>0.1075</v>
      </c>
      <c r="NH10" s="64">
        <f t="shared" si="7"/>
        <v>0.10629999999999995</v>
      </c>
      <c r="NI10" s="64">
        <f t="shared" si="7"/>
        <v>9.9899999999999947E-2</v>
      </c>
      <c r="NJ10" s="64">
        <f t="shared" si="7"/>
        <v>0.10519999999999996</v>
      </c>
      <c r="NK10" s="64">
        <f t="shared" si="7"/>
        <v>0.10760000000000006</v>
      </c>
      <c r="NL10" s="64">
        <f t="shared" si="7"/>
        <v>0.10679999999999992</v>
      </c>
      <c r="NM10" s="64">
        <f t="shared" si="7"/>
        <v>0.10519999999999996</v>
      </c>
      <c r="NN10" s="64">
        <f t="shared" si="7"/>
        <v>0.10510000000000005</v>
      </c>
      <c r="NO10" s="64">
        <f t="shared" si="7"/>
        <v>0.1014</v>
      </c>
      <c r="NP10" s="64">
        <f t="shared" si="7"/>
        <v>9.4800000000000037E-2</v>
      </c>
      <c r="NQ10" s="64">
        <f t="shared" si="7"/>
        <v>0.10420000000000001</v>
      </c>
      <c r="NR10" s="64">
        <f t="shared" si="7"/>
        <v>0.10249999999999999</v>
      </c>
      <c r="NS10" s="64">
        <f t="shared" si="7"/>
        <v>0.10259999999999991</v>
      </c>
      <c r="NT10" s="64">
        <f t="shared" si="7"/>
        <v>0.10079999999999999</v>
      </c>
      <c r="NU10" s="64">
        <f t="shared" si="7"/>
        <v>0.10280000000000002</v>
      </c>
      <c r="NV10" s="64">
        <f t="shared" si="7"/>
        <v>9.9699999999999983E-2</v>
      </c>
      <c r="NW10" s="64">
        <f t="shared" si="7"/>
        <v>9.5600000000000018E-2</v>
      </c>
      <c r="NX10" s="72">
        <f t="shared" si="7"/>
        <v>0.10400000000000005</v>
      </c>
      <c r="NY10" s="64">
        <f t="shared" si="7"/>
        <v>0.10549999999999997</v>
      </c>
      <c r="NZ10" s="64">
        <f t="shared" si="7"/>
        <v>0.10439999999999998</v>
      </c>
      <c r="OA10" s="64">
        <f t="shared" si="7"/>
        <v>0.1036</v>
      </c>
      <c r="OB10" s="64">
        <f t="shared" si="7"/>
        <v>0.10849999999999994</v>
      </c>
      <c r="OC10" s="64">
        <f t="shared" si="7"/>
        <v>9.9399999999999974E-2</v>
      </c>
      <c r="OD10" s="64">
        <f t="shared" si="7"/>
        <v>9.3599999999999989E-2</v>
      </c>
      <c r="OE10" s="64">
        <f t="shared" si="7"/>
        <v>0.10249999999999999</v>
      </c>
      <c r="OF10" s="64">
        <f t="shared" si="7"/>
        <v>0.10299999999999997</v>
      </c>
      <c r="OG10" s="64">
        <f t="shared" si="7"/>
        <v>0.10550000000000011</v>
      </c>
      <c r="OH10" s="64">
        <f t="shared" si="7"/>
        <v>0.10280000000000002</v>
      </c>
      <c r="OI10" s="64">
        <f t="shared" si="7"/>
        <v>0.10470000000000013</v>
      </c>
      <c r="OJ10" s="64">
        <f t="shared" si="7"/>
        <v>0.10259999999999991</v>
      </c>
      <c r="OK10" s="72">
        <f t="shared" si="7"/>
        <v>9.5500000000000113E-2</v>
      </c>
      <c r="OL10" s="64">
        <f t="shared" si="7"/>
        <v>0.10370000000000004</v>
      </c>
      <c r="OM10" s="64">
        <f t="shared" si="7"/>
        <v>0.10320000000000007</v>
      </c>
      <c r="ON10" s="72">
        <f t="shared" si="7"/>
        <v>9.9799999999999903E-2</v>
      </c>
      <c r="OO10" s="64">
        <f t="shared" si="7"/>
        <v>0.10019999999999996</v>
      </c>
      <c r="OP10" s="64">
        <f t="shared" si="7"/>
        <v>0.10229999999999989</v>
      </c>
      <c r="OQ10" s="64">
        <f t="shared" si="7"/>
        <v>0.10180000000000007</v>
      </c>
      <c r="OR10" s="64">
        <f t="shared" si="7"/>
        <v>9.3700000000000047E-2</v>
      </c>
      <c r="OS10" s="64">
        <f t="shared" si="7"/>
        <v>9.6200000000000049E-2</v>
      </c>
      <c r="OT10" s="64">
        <f t="shared" si="7"/>
        <v>0.10189999999999998</v>
      </c>
      <c r="OU10" s="64">
        <f t="shared" si="7"/>
        <v>0.10769999999999996</v>
      </c>
      <c r="OV10" s="64">
        <f t="shared" si="7"/>
        <v>8.2500000000000004E-2</v>
      </c>
      <c r="OW10" s="64">
        <f t="shared" si="7"/>
        <v>0.10540000000000006</v>
      </c>
      <c r="OX10" s="64">
        <f t="shared" si="7"/>
        <v>9.6799999999999928E-2</v>
      </c>
      <c r="OY10" s="64">
        <f t="shared" si="7"/>
        <v>9.3900000000000011E-2</v>
      </c>
      <c r="OZ10" s="64">
        <f t="shared" si="7"/>
        <v>9.8100000000000021E-2</v>
      </c>
      <c r="PA10" s="64">
        <f t="shared" si="7"/>
        <v>0.10280000000000002</v>
      </c>
      <c r="PB10" s="72">
        <f t="shared" si="7"/>
        <v>0.10290000000000006</v>
      </c>
      <c r="PC10" s="64">
        <f t="shared" si="7"/>
        <v>9.9800000000000041E-2</v>
      </c>
      <c r="PD10" s="64">
        <f t="shared" si="7"/>
        <v>0.1038000000000001</v>
      </c>
      <c r="PE10" s="64">
        <f t="shared" si="7"/>
        <v>9.7800000000000012E-2</v>
      </c>
      <c r="PF10" s="64">
        <f t="shared" si="7"/>
        <v>9.2899999999999927E-2</v>
      </c>
      <c r="PG10" s="64">
        <f t="shared" si="7"/>
        <v>0.10260000000000005</v>
      </c>
      <c r="PH10" s="64">
        <f t="shared" si="7"/>
        <v>0.1</v>
      </c>
      <c r="PI10" s="64">
        <f t="shared" si="7"/>
        <v>9.8100000000000021E-2</v>
      </c>
      <c r="PJ10" s="64">
        <f t="shared" si="7"/>
        <v>0.10239999999999995</v>
      </c>
      <c r="PK10" s="64">
        <f t="shared" si="7"/>
        <v>0.1011999999999999</v>
      </c>
      <c r="PL10" s="72">
        <f t="shared" si="7"/>
        <v>9.9900000000000086E-2</v>
      </c>
      <c r="PM10" s="64">
        <f t="shared" si="7"/>
        <v>9.7899999999999918E-2</v>
      </c>
      <c r="PN10" s="64">
        <f t="shared" si="7"/>
        <v>0.10680000000000006</v>
      </c>
      <c r="PO10" s="64">
        <f t="shared" si="7"/>
        <v>0.10900000000000006</v>
      </c>
      <c r="PP10" s="72">
        <f t="shared" si="7"/>
        <v>0.10269999999999996</v>
      </c>
      <c r="PQ10" s="64">
        <f t="shared" si="7"/>
        <v>0.1027000000000001</v>
      </c>
      <c r="PR10" s="64">
        <f t="shared" si="7"/>
        <v>8.3100000000000021E-2</v>
      </c>
      <c r="PS10" s="64">
        <f t="shared" ref="PS10:PZ10" si="8">(PS8-PS5)%</f>
        <v>0.10399999999999991</v>
      </c>
      <c r="PT10" s="64">
        <f t="shared" si="8"/>
        <v>9.0499999999999969E-2</v>
      </c>
      <c r="PU10" s="64">
        <f t="shared" si="8"/>
        <v>0.10080000000000013</v>
      </c>
      <c r="PV10" s="64">
        <f t="shared" si="8"/>
        <v>0.10290000000000006</v>
      </c>
      <c r="PW10" s="64">
        <f t="shared" si="8"/>
        <v>9.9699999999999983E-2</v>
      </c>
      <c r="PX10" s="64">
        <f t="shared" si="8"/>
        <v>9.0999999999999942E-2</v>
      </c>
      <c r="PY10" s="64">
        <f t="shared" si="8"/>
        <v>9.6099999999999991E-2</v>
      </c>
      <c r="PZ10" s="64">
        <f t="shared" si="8"/>
        <v>0.10189999999999998</v>
      </c>
      <c r="QA10" s="64">
        <f t="shared" ref="QA10:QZ10" si="9">(PZ8-QA5)%</f>
        <v>9.4800000000000037E-2</v>
      </c>
      <c r="QB10" s="64">
        <f t="shared" si="9"/>
        <v>0.10009999999999991</v>
      </c>
      <c r="QC10" s="64">
        <f t="shared" si="9"/>
        <v>0.10149999999999991</v>
      </c>
      <c r="QD10" s="64">
        <f t="shared" si="9"/>
        <v>0.10440000000000012</v>
      </c>
      <c r="QE10" s="64">
        <f t="shared" si="9"/>
        <v>0.10199999999999988</v>
      </c>
      <c r="QF10" s="64">
        <f t="shared" si="9"/>
        <v>0.10560000000000003</v>
      </c>
      <c r="QG10" s="64">
        <f t="shared" si="9"/>
        <v>0.10550000000000011</v>
      </c>
      <c r="QH10" s="64">
        <f t="shared" si="9"/>
        <v>9.7999999999999976E-2</v>
      </c>
      <c r="QI10" s="72">
        <f t="shared" si="9"/>
        <v>0.10179999999999993</v>
      </c>
      <c r="QJ10" s="64">
        <f t="shared" si="9"/>
        <v>0.10519999999999996</v>
      </c>
      <c r="QK10" s="72">
        <f t="shared" si="9"/>
        <v>0.1072999999999999</v>
      </c>
      <c r="QL10" s="64">
        <f t="shared" si="9"/>
        <v>0.10560000000000003</v>
      </c>
      <c r="QM10" s="64">
        <f t="shared" si="9"/>
        <v>0.11030000000000001</v>
      </c>
      <c r="QN10" s="64">
        <f t="shared" si="9"/>
        <v>0.10739999999999995</v>
      </c>
      <c r="QO10" s="64">
        <f t="shared" si="9"/>
        <v>0.10590000000000004</v>
      </c>
      <c r="QP10" s="64">
        <f t="shared" si="9"/>
        <v>0.10560000000000003</v>
      </c>
      <c r="QQ10" s="64">
        <f t="shared" si="9"/>
        <v>0.10689999999999998</v>
      </c>
      <c r="QR10" s="64">
        <f t="shared" si="9"/>
        <v>0.11</v>
      </c>
      <c r="QS10" s="64">
        <f t="shared" si="9"/>
        <v>0.1061</v>
      </c>
      <c r="QT10" s="64">
        <f t="shared" si="9"/>
        <v>0.10469999999999999</v>
      </c>
      <c r="QU10" s="64">
        <f t="shared" si="9"/>
        <v>0.10310000000000002</v>
      </c>
      <c r="QV10" s="64">
        <f t="shared" si="9"/>
        <v>9.9900000000000086E-2</v>
      </c>
      <c r="QW10" s="64">
        <f t="shared" si="9"/>
        <v>0.10040000000000006</v>
      </c>
      <c r="QX10" s="64">
        <f t="shared" si="9"/>
        <v>0.10260000000000005</v>
      </c>
      <c r="QY10" s="72">
        <f t="shared" si="9"/>
        <v>9.9799999999999903E-2</v>
      </c>
      <c r="QZ10" s="64">
        <f t="shared" si="9"/>
        <v>9.9799999999999903E-2</v>
      </c>
      <c r="RA10" s="64">
        <f t="shared" ref="RA10" si="10">(QZ8-RA5)%</f>
        <v>9.6299999999999955E-2</v>
      </c>
      <c r="RB10" s="64">
        <f t="shared" ref="RB10" si="11">(RA8-RB5)%</f>
        <v>9.8299999999999985E-2</v>
      </c>
      <c r="RC10" s="64">
        <f t="shared" ref="RC10" si="12">(RB8-RC5)%</f>
        <v>9.5799999999999982E-2</v>
      </c>
      <c r="RD10" s="64">
        <f t="shared" ref="RD10" si="13">(RC8-RD5)%</f>
        <v>9.7399999999999945E-2</v>
      </c>
      <c r="RE10" s="64">
        <f t="shared" ref="RE10:RG10" si="14">(RD8-RE5)%</f>
        <v>9.900000000000006E-2</v>
      </c>
      <c r="RF10" s="64">
        <f t="shared" si="14"/>
        <v>9.8599999999999993E-2</v>
      </c>
      <c r="RG10" s="72">
        <f t="shared" si="14"/>
        <v>9.8900000000000002E-2</v>
      </c>
      <c r="RH10" s="64">
        <f t="shared" ref="RH10" si="15">(RG8-RH5)%</f>
        <v>9.8599999999999993E-2</v>
      </c>
      <c r="RI10" s="64">
        <f t="shared" ref="RI10" si="16">(RH8-RI5)%</f>
        <v>9.7699999999999954E-2</v>
      </c>
      <c r="RJ10" s="64">
        <f t="shared" ref="RJ10:RM10" si="17">(RI8-RJ5)%</f>
        <v>9.4699999999999993E-2</v>
      </c>
      <c r="RK10" s="72">
        <f t="shared" si="17"/>
        <v>0.10080000000000013</v>
      </c>
      <c r="RL10" s="64">
        <f t="shared" si="17"/>
        <v>9.900000000000006E-2</v>
      </c>
      <c r="RM10" s="64">
        <f t="shared" si="17"/>
        <v>0.10030000000000001</v>
      </c>
      <c r="RN10" s="64">
        <f t="shared" ref="RN10" si="18">(RM8-RN5)%</f>
        <v>0.10129999999999996</v>
      </c>
      <c r="RO10" s="64">
        <f t="shared" ref="RO10" si="19">(RN8-RO5)%</f>
        <v>0.10210000000000008</v>
      </c>
      <c r="RP10" s="64">
        <f t="shared" ref="RP10" si="20">(RO8-RP5)%</f>
        <v>9.5900000000000041E-2</v>
      </c>
      <c r="RQ10" s="64">
        <f t="shared" ref="RQ10" si="21">(RP8-RQ5)%</f>
        <v>9.5600000000000018E-2</v>
      </c>
      <c r="RR10" s="64">
        <f t="shared" ref="RR10" si="22">(RQ8-RR5)%</f>
        <v>9.7200000000000134E-2</v>
      </c>
      <c r="RS10" s="72">
        <f t="shared" ref="RS10:RU10" si="23">(RR8-RS5)%</f>
        <v>9.8099999999999882E-2</v>
      </c>
      <c r="RT10" s="64">
        <f t="shared" si="23"/>
        <v>9.64E-2</v>
      </c>
      <c r="RU10" s="64">
        <f t="shared" si="23"/>
        <v>9.7500000000000003E-2</v>
      </c>
      <c r="RV10" s="64">
        <f t="shared" ref="RV10" si="24">(RU8-RV5)%</f>
        <v>9.6200000000000049E-2</v>
      </c>
      <c r="RW10" s="64">
        <f t="shared" ref="RW10" si="25">(RV8-RW5)%</f>
        <v>9.5199999999999965E-2</v>
      </c>
      <c r="RX10" s="72">
        <f t="shared" ref="RX10:RZ10" si="26">(RW8-RX5)%</f>
        <v>9.1500000000000054E-2</v>
      </c>
      <c r="RY10" s="64">
        <f t="shared" si="26"/>
        <v>9.5000000000000001E-2</v>
      </c>
      <c r="RZ10" s="64">
        <f t="shared" si="26"/>
        <v>9.6099999999999991E-2</v>
      </c>
      <c r="SA10" s="64">
        <f t="shared" ref="SA10" si="27">(RZ8-SA5)%</f>
        <v>9.5200000000000104E-2</v>
      </c>
      <c r="SB10" s="64">
        <f t="shared" ref="SB10" si="28">(SA8-SB5)%</f>
        <v>-0.90500000000000003</v>
      </c>
      <c r="SC10" s="64">
        <f t="shared" ref="SC10" si="29">(SB8-SC5)%</f>
        <v>-0.90579999999999994</v>
      </c>
      <c r="SD10" s="64">
        <f t="shared" ref="SD10" si="30">(SC8-SD5)%</f>
        <v>-0.90480000000000005</v>
      </c>
      <c r="SE10" s="64">
        <f t="shared" ref="SE10" si="31">(SD8-SE5)%</f>
        <v>-0.90079999999999993</v>
      </c>
      <c r="SF10" s="64">
        <f t="shared" ref="SF10" si="32">(SE8-SF5)%</f>
        <v>-0.90410000000000001</v>
      </c>
      <c r="SG10" s="64">
        <f t="shared" ref="SG10" si="33">(SF8-SG5)%</f>
        <v>-0.90280000000000005</v>
      </c>
      <c r="SH10" s="64">
        <f t="shared" ref="SH10" si="34">(SG8-SH5)%</f>
        <v>0.14810000000000001</v>
      </c>
      <c r="SI10" s="64">
        <f t="shared" ref="SI10:SP10" si="35">(SH8-SI5)%</f>
        <v>8.6199999999999902E-2</v>
      </c>
      <c r="SJ10" s="64">
        <f t="shared" si="35"/>
        <v>0.10230000000000004</v>
      </c>
      <c r="SK10" s="64">
        <f t="shared" si="35"/>
        <v>0.11820000000000007</v>
      </c>
      <c r="SL10" s="64">
        <f t="shared" si="35"/>
        <v>9.4699999999999993E-2</v>
      </c>
      <c r="SM10" s="64">
        <f t="shared" si="35"/>
        <v>9.5500000000000113E-2</v>
      </c>
      <c r="SN10" s="72">
        <f t="shared" si="35"/>
        <v>7.1299999999999961E-2</v>
      </c>
      <c r="SO10" s="64">
        <f t="shared" si="35"/>
        <v>7.6000000000000081E-2</v>
      </c>
      <c r="SP10" s="64">
        <f t="shared" si="35"/>
        <v>0.10189999999999998</v>
      </c>
      <c r="SQ10" s="64">
        <f t="shared" ref="SQ10" si="36">(SP8-SQ5)%</f>
        <v>6.7240683085100408E-2</v>
      </c>
      <c r="SR10" s="64">
        <f t="shared" ref="SR10:SU10" si="37">(SQ8-SR5)%</f>
        <v>6.9580259212881398E-2</v>
      </c>
      <c r="SS10" s="64">
        <f t="shared" si="37"/>
        <v>9.5400000000000068E-2</v>
      </c>
      <c r="ST10" s="64">
        <f t="shared" si="37"/>
        <v>9.6000000000000085E-2</v>
      </c>
      <c r="SU10" s="72">
        <f t="shared" si="37"/>
        <v>8.3081037759192358E-2</v>
      </c>
      <c r="SV10" s="64">
        <f t="shared" ref="SV10" si="38">(SU8-SV5)%</f>
        <v>9.0900000000000036E-2</v>
      </c>
      <c r="SW10" s="64">
        <f t="shared" ref="SW10" si="39">(SV8-SW5)%</f>
        <v>7.7300000000000035E-2</v>
      </c>
      <c r="SX10" s="64">
        <f t="shared" ref="SX10" si="40">(SW8-SX5)%</f>
        <v>9.5500000000000113E-2</v>
      </c>
      <c r="SY10" s="64">
        <f t="shared" ref="SY10" si="41">(SX8-SY5)%</f>
        <v>7.1200000000000041E-2</v>
      </c>
      <c r="SZ10" s="64">
        <f t="shared" ref="SZ10:TB10" si="42">(SY8-SZ5)%</f>
        <v>8.3500000000000088E-2</v>
      </c>
      <c r="TA10" s="64">
        <f t="shared" si="42"/>
        <v>7.1299999999999961E-2</v>
      </c>
      <c r="TB10" s="64">
        <f t="shared" si="42"/>
        <v>0.12080000000000013</v>
      </c>
      <c r="TC10" s="64">
        <f t="shared" ref="TC10" si="43">(TB8-TC5)%</f>
        <v>9.6401591658225524E-2</v>
      </c>
      <c r="TD10" s="64">
        <f t="shared" ref="TD10" si="44">(TC8-TD5)%</f>
        <v>9.384423565690625E-2</v>
      </c>
      <c r="TE10" s="64">
        <f t="shared" ref="TE10" si="45">(TD8-TE5)%</f>
        <v>9.5741637535375471E-2</v>
      </c>
      <c r="TF10" s="64">
        <f t="shared" ref="TF10:TH10" si="46">(TE8-TF5)%</f>
        <v>0.10603231555879632</v>
      </c>
      <c r="TG10" s="64">
        <f t="shared" si="46"/>
        <v>9.7837448807102018E-2</v>
      </c>
      <c r="TH10" s="64">
        <f t="shared" si="46"/>
        <v>8.2999999999999977E-2</v>
      </c>
      <c r="TI10" s="64">
        <f t="shared" ref="TI10" si="47">(TH8-TI5)%</f>
        <v>8.29810377591923E-2</v>
      </c>
      <c r="TJ10" s="64">
        <f t="shared" ref="TJ10" si="48">(TI8-TJ5)%</f>
        <v>9.0300000000000005E-2</v>
      </c>
      <c r="TK10" s="64">
        <f t="shared" ref="TK10" si="49">(TJ8-TK5)%</f>
        <v>7.6899999999999982E-2</v>
      </c>
      <c r="TL10" s="64">
        <f t="shared" ref="TL10" si="50">(TK8-TL5)%</f>
        <v>7.2912382424834443E-2</v>
      </c>
      <c r="TM10" s="64">
        <f t="shared" ref="TM10" si="51">(TL8-TM5)%</f>
        <v>6.7799776018018315E-2</v>
      </c>
      <c r="TN10" s="64">
        <f t="shared" ref="TN10" si="52">(TM8-TN5)%</f>
        <v>7.2490633311101935E-2</v>
      </c>
      <c r="TO10" s="64">
        <f t="shared" ref="TO10" si="53">(TN8-TO5)%</f>
        <v>7.0206936056368074E-2</v>
      </c>
      <c r="TP10" s="64">
        <f t="shared" ref="TP10" si="54">(TO8-TP5)%</f>
        <v>7.7278759450851164E-2</v>
      </c>
      <c r="TQ10" s="64">
        <f t="shared" ref="TQ10" si="55">(TP8-TQ5)%</f>
        <v>6.8185060360434591E-2</v>
      </c>
      <c r="TR10" s="64">
        <f t="shared" ref="TR10" si="56">(TQ8-TR5)%</f>
        <v>7.5261415524491185E-2</v>
      </c>
      <c r="TS10" s="64">
        <f t="shared" ref="TS10" si="57">(TR8-TS5)%</f>
        <v>6.8701111737482001E-2</v>
      </c>
      <c r="TT10" s="72">
        <f t="shared" ref="TT10" si="58">(TS8-TT5)%</f>
        <v>6.7675495324384091E-2</v>
      </c>
      <c r="TU10" s="64">
        <f t="shared" ref="TU10" si="59">(TT8-TU5)%</f>
        <v>8.4800000000000042E-2</v>
      </c>
      <c r="TV10" s="64">
        <f t="shared" ref="TV10:TY10" si="60">(TU8-TV5)%</f>
        <v>8.620000000000004E-2</v>
      </c>
      <c r="TW10" s="64">
        <f t="shared" si="60"/>
        <v>8.8700000000000043E-2</v>
      </c>
      <c r="TX10" s="64">
        <f t="shared" si="60"/>
        <v>8.8700000000000043E-2</v>
      </c>
      <c r="TY10" s="64">
        <f t="shared" si="60"/>
        <v>9.0400000000000064E-2</v>
      </c>
      <c r="TZ10" s="64">
        <f t="shared" ref="TZ10" si="61">(TY8-TZ5)%</f>
        <v>9.4399999999999984E-2</v>
      </c>
      <c r="UA10" s="64">
        <f t="shared" ref="UA10:UF10" si="62">(TZ8-UA5)%</f>
        <v>9.4299999999999926E-2</v>
      </c>
      <c r="UB10" s="64">
        <f t="shared" si="62"/>
        <v>8.7800000000000017E-2</v>
      </c>
      <c r="UC10" s="72">
        <f t="shared" si="62"/>
        <v>8.9299999999999921E-2</v>
      </c>
      <c r="UD10" s="72">
        <f t="shared" si="62"/>
        <v>9.0499999999999969E-2</v>
      </c>
      <c r="UE10" s="64">
        <f t="shared" si="62"/>
        <v>8.8999999999999913E-2</v>
      </c>
      <c r="UF10" s="64">
        <f t="shared" si="62"/>
        <v>8.8400000000000034E-2</v>
      </c>
      <c r="UG10" s="64">
        <f t="shared" ref="UG10" si="63">(UF8-UG5)%</f>
        <v>8.8500000000000079E-2</v>
      </c>
      <c r="UH10" s="64">
        <f t="shared" ref="UH10" si="64">(UG8-UH5)%</f>
        <v>8.8700000000000043E-2</v>
      </c>
      <c r="UI10" s="72">
        <f t="shared" ref="UI10:UM10" si="65">(UH8-UI5)%</f>
        <v>8.6700000000000013E-2</v>
      </c>
      <c r="UJ10" s="64">
        <f t="shared" si="65"/>
        <v>9.5199999999999965E-2</v>
      </c>
      <c r="UK10" s="64">
        <f t="shared" si="65"/>
        <v>9.3400000000000039E-2</v>
      </c>
      <c r="UL10" s="72">
        <f t="shared" si="65"/>
        <v>8.7700000000000097E-2</v>
      </c>
      <c r="UM10" s="64">
        <f t="shared" si="65"/>
        <v>8.7000000000000022E-2</v>
      </c>
      <c r="UN10" s="64">
        <f t="shared" ref="UN10" si="66">(UM8-UN5)%</f>
        <v>8.6599999999999969E-2</v>
      </c>
      <c r="UO10" s="64">
        <f t="shared" ref="UO10" si="67">(UN8-UO5)%</f>
        <v>8.7600000000000053E-2</v>
      </c>
      <c r="UP10" s="64">
        <f t="shared" ref="UP10:UT10" si="68">(UO8-UP5)%</f>
        <v>9.2000000000000026E-2</v>
      </c>
      <c r="UQ10" s="72">
        <f t="shared" si="68"/>
        <v>8.649999999999991E-2</v>
      </c>
      <c r="UR10" s="64">
        <f t="shared" si="68"/>
        <v>8.7199999999999986E-2</v>
      </c>
      <c r="US10" s="64">
        <f t="shared" si="68"/>
        <v>8.7699999999999959E-2</v>
      </c>
      <c r="UT10" s="64">
        <f t="shared" si="68"/>
        <v>8.7600000000000053E-2</v>
      </c>
      <c r="UU10" s="64">
        <f t="shared" ref="UU10" si="69">(UT8-UU5)%</f>
        <v>8.6500000000000063E-2</v>
      </c>
      <c r="UV10" s="64">
        <f t="shared" ref="UV10" si="70">(UU8-UV5)%</f>
        <v>8.7600000000000053E-2</v>
      </c>
      <c r="UW10" s="64">
        <f t="shared" ref="UW10:VA10" si="71">(UV8-UW5)%</f>
        <v>8.5900000000000032E-2</v>
      </c>
      <c r="UX10" s="64">
        <f t="shared" si="71"/>
        <v>8.739999999999995E-2</v>
      </c>
      <c r="UY10" s="64">
        <f t="shared" si="71"/>
        <v>8.6400000000000005E-2</v>
      </c>
      <c r="UZ10" s="64">
        <f t="shared" si="71"/>
        <v>8.7999999999999967E-2</v>
      </c>
      <c r="VA10" s="64">
        <f t="shared" si="71"/>
        <v>8.5999999999999938E-2</v>
      </c>
      <c r="VB10" s="64">
        <f t="shared" ref="VB10" si="72">(VA8-VB5)%</f>
        <v>8.5600000000000023E-2</v>
      </c>
      <c r="VC10" s="64">
        <f t="shared" ref="VC10" si="73">(VB8-VC5)%</f>
        <v>8.6199999999999902E-2</v>
      </c>
      <c r="VD10" s="72">
        <f t="shared" ref="VD10" si="74">(VC8-VD5)%</f>
        <v>8.4599999999999939E-2</v>
      </c>
      <c r="VE10" s="64">
        <f>(VD8-VE5)%</f>
        <v>0.14980000000000004</v>
      </c>
      <c r="VF10" s="64">
        <f>(VE8-VF5)%</f>
        <v>8.3599999999999994E-2</v>
      </c>
      <c r="VG10" s="64">
        <f>(VF8-VG5)%</f>
        <v>8.3799999999999958E-2</v>
      </c>
      <c r="VH10" s="64">
        <f>(VG8-VH5)%</f>
        <v>8.8700000000000043E-2</v>
      </c>
      <c r="VI10" s="64">
        <f t="shared" ref="VI10:VO10" si="75">(VH8-VI5)%</f>
        <v>9.3700000000000047E-2</v>
      </c>
      <c r="VJ10" s="64">
        <f t="shared" si="75"/>
        <v>8.8500000000000079E-2</v>
      </c>
      <c r="VK10" s="64">
        <f t="shared" si="75"/>
        <v>8.6500000000000063E-2</v>
      </c>
      <c r="VL10" s="72">
        <f t="shared" si="75"/>
        <v>8.6800000000000072E-2</v>
      </c>
      <c r="VM10" s="64">
        <f t="shared" si="75"/>
        <v>8.8999999999999913E-2</v>
      </c>
      <c r="VN10" s="64">
        <f t="shared" si="75"/>
        <v>8.8100000000000026E-2</v>
      </c>
      <c r="VO10" s="64">
        <f t="shared" si="75"/>
        <v>8.6599999999999969E-2</v>
      </c>
      <c r="VP10" s="64">
        <f t="shared" ref="VP10" si="76">(VO8-VP5)%</f>
        <v>8.8900000000000007E-2</v>
      </c>
      <c r="VQ10" s="64">
        <f t="shared" ref="VQ10" si="77">(VP8-VQ5)%</f>
        <v>9.1899999999999982E-2</v>
      </c>
      <c r="VR10" s="64">
        <f t="shared" ref="VR10" si="78">(VQ8-VR5)%</f>
        <v>8.4500000000000033E-2</v>
      </c>
    </row>
    <row r="11" spans="1:590" x14ac:dyDescent="0.25">
      <c r="A11" s="278" t="s">
        <v>258</v>
      </c>
      <c r="B11" s="285">
        <f>(1-B10)*B9</f>
        <v>10980621.299999999</v>
      </c>
      <c r="C11" s="285">
        <f>(1-C10)*C9</f>
        <v>8730914.0307999998</v>
      </c>
      <c r="D11" s="285">
        <f t="shared" ref="D11:BO11" si="79">(1-D10)*D9</f>
        <v>8733941.1989999991</v>
      </c>
      <c r="E11" s="285">
        <f t="shared" si="79"/>
        <v>8950564.7704000007</v>
      </c>
      <c r="F11" s="285">
        <f t="shared" si="79"/>
        <v>9115973.5647999998</v>
      </c>
      <c r="G11" s="285">
        <f t="shared" si="79"/>
        <v>9401963.1254999973</v>
      </c>
      <c r="H11" s="285">
        <f t="shared" si="79"/>
        <v>9391855.2699999996</v>
      </c>
      <c r="I11" s="285">
        <f t="shared" si="79"/>
        <v>9656898.591</v>
      </c>
      <c r="J11" s="285">
        <f t="shared" si="79"/>
        <v>9492579.4260000009</v>
      </c>
      <c r="K11" s="285">
        <f t="shared" si="79"/>
        <v>9374057.8634000011</v>
      </c>
      <c r="L11" s="285">
        <f t="shared" si="79"/>
        <v>9521416.5606999993</v>
      </c>
      <c r="M11" s="285">
        <f t="shared" si="79"/>
        <v>9307572.8927999996</v>
      </c>
      <c r="N11" s="285">
        <f t="shared" si="79"/>
        <v>9494059.3838</v>
      </c>
      <c r="O11" s="285">
        <f t="shared" si="79"/>
        <v>9797303.123399999</v>
      </c>
      <c r="P11" s="285">
        <f t="shared" si="79"/>
        <v>9539838.6160000004</v>
      </c>
      <c r="Q11" s="285">
        <f t="shared" si="79"/>
        <v>9055321.9488000013</v>
      </c>
      <c r="R11" s="285">
        <f t="shared" si="79"/>
        <v>9058929.4470000006</v>
      </c>
      <c r="S11" s="285">
        <f t="shared" si="79"/>
        <v>9231210.1396999992</v>
      </c>
      <c r="T11" s="285">
        <f t="shared" si="79"/>
        <v>9006223.925999999</v>
      </c>
      <c r="U11" s="285">
        <f t="shared" si="79"/>
        <v>0</v>
      </c>
      <c r="V11" s="285">
        <f t="shared" si="79"/>
        <v>0</v>
      </c>
      <c r="W11" s="285">
        <f t="shared" si="79"/>
        <v>0</v>
      </c>
      <c r="X11" s="285">
        <f t="shared" si="79"/>
        <v>0</v>
      </c>
      <c r="Y11" s="285">
        <f t="shared" si="79"/>
        <v>0</v>
      </c>
      <c r="Z11" s="285">
        <f t="shared" si="79"/>
        <v>0</v>
      </c>
      <c r="AA11" s="285">
        <f t="shared" si="79"/>
        <v>0</v>
      </c>
      <c r="AB11" s="285">
        <f t="shared" si="79"/>
        <v>0</v>
      </c>
      <c r="AC11" s="285">
        <f t="shared" si="79"/>
        <v>0</v>
      </c>
      <c r="AD11" s="285">
        <f t="shared" si="79"/>
        <v>0</v>
      </c>
      <c r="AE11" s="285">
        <f t="shared" si="79"/>
        <v>0</v>
      </c>
      <c r="AF11" s="285">
        <f t="shared" si="79"/>
        <v>0</v>
      </c>
      <c r="AG11" s="285">
        <f t="shared" si="79"/>
        <v>0</v>
      </c>
      <c r="AH11" s="285">
        <f t="shared" si="79"/>
        <v>0</v>
      </c>
      <c r="AI11" s="285">
        <f t="shared" si="79"/>
        <v>0</v>
      </c>
      <c r="AJ11" s="285">
        <f t="shared" si="79"/>
        <v>0</v>
      </c>
      <c r="AK11" s="285">
        <f t="shared" si="79"/>
        <v>0</v>
      </c>
      <c r="AL11" s="285">
        <f t="shared" si="79"/>
        <v>0</v>
      </c>
      <c r="AM11" s="285">
        <f t="shared" si="79"/>
        <v>0</v>
      </c>
      <c r="AN11" s="285">
        <f t="shared" si="79"/>
        <v>0</v>
      </c>
      <c r="AO11" s="285">
        <f t="shared" si="79"/>
        <v>0</v>
      </c>
      <c r="AP11" s="285">
        <f t="shared" si="79"/>
        <v>0</v>
      </c>
      <c r="AQ11" s="285">
        <f t="shared" si="79"/>
        <v>0</v>
      </c>
      <c r="AR11" s="285">
        <f t="shared" si="79"/>
        <v>0</v>
      </c>
      <c r="AS11" s="285">
        <f t="shared" si="79"/>
        <v>0</v>
      </c>
      <c r="AT11" s="285">
        <f t="shared" si="79"/>
        <v>0</v>
      </c>
      <c r="AU11" s="285">
        <f t="shared" si="79"/>
        <v>0</v>
      </c>
      <c r="AV11" s="285">
        <f t="shared" si="79"/>
        <v>0</v>
      </c>
      <c r="AW11" s="285">
        <f t="shared" si="79"/>
        <v>0</v>
      </c>
      <c r="AX11" s="285">
        <f t="shared" si="79"/>
        <v>0</v>
      </c>
      <c r="AY11" s="285">
        <f t="shared" si="79"/>
        <v>0</v>
      </c>
      <c r="AZ11" s="285">
        <f t="shared" si="79"/>
        <v>0</v>
      </c>
      <c r="BA11" s="285">
        <f t="shared" si="79"/>
        <v>0</v>
      </c>
      <c r="BB11" s="285">
        <f t="shared" si="79"/>
        <v>0</v>
      </c>
      <c r="BC11" s="285">
        <f t="shared" si="79"/>
        <v>0</v>
      </c>
      <c r="BD11" s="285">
        <f t="shared" si="79"/>
        <v>0</v>
      </c>
      <c r="BE11" s="285">
        <f t="shared" si="79"/>
        <v>0</v>
      </c>
      <c r="BF11" s="285">
        <f t="shared" si="79"/>
        <v>0</v>
      </c>
      <c r="BG11" s="285">
        <f t="shared" si="79"/>
        <v>0</v>
      </c>
      <c r="BH11" s="285">
        <f t="shared" si="79"/>
        <v>0</v>
      </c>
      <c r="BI11" s="285">
        <f t="shared" si="79"/>
        <v>0</v>
      </c>
      <c r="BJ11" s="285">
        <f t="shared" si="79"/>
        <v>0</v>
      </c>
      <c r="BK11" s="285">
        <f t="shared" si="79"/>
        <v>0</v>
      </c>
      <c r="BL11" s="285">
        <f t="shared" si="79"/>
        <v>0</v>
      </c>
      <c r="BM11" s="285">
        <f t="shared" si="79"/>
        <v>0</v>
      </c>
      <c r="BN11" s="285">
        <f t="shared" si="79"/>
        <v>0</v>
      </c>
      <c r="BO11" s="285">
        <f t="shared" si="79"/>
        <v>0</v>
      </c>
      <c r="BP11" s="285">
        <f t="shared" ref="BP11:EA11" si="80">(1-BP10)*BP9</f>
        <v>0</v>
      </c>
      <c r="BQ11" s="285">
        <f t="shared" si="80"/>
        <v>0</v>
      </c>
      <c r="BR11" s="285">
        <f t="shared" si="80"/>
        <v>0</v>
      </c>
      <c r="BS11" s="285">
        <f t="shared" si="80"/>
        <v>0</v>
      </c>
      <c r="BT11" s="285">
        <f t="shared" si="80"/>
        <v>0</v>
      </c>
      <c r="BU11" s="285">
        <f t="shared" si="80"/>
        <v>0</v>
      </c>
      <c r="BV11" s="285">
        <f t="shared" si="80"/>
        <v>0</v>
      </c>
      <c r="BW11" s="285">
        <f t="shared" si="80"/>
        <v>0</v>
      </c>
      <c r="BX11" s="285">
        <f t="shared" si="80"/>
        <v>0</v>
      </c>
      <c r="BY11" s="285">
        <f t="shared" si="80"/>
        <v>0</v>
      </c>
      <c r="BZ11" s="285">
        <f t="shared" si="80"/>
        <v>0</v>
      </c>
      <c r="CA11" s="285">
        <f t="shared" si="80"/>
        <v>0</v>
      </c>
      <c r="CB11" s="285">
        <f t="shared" si="80"/>
        <v>8873255.9896000009</v>
      </c>
      <c r="CC11" s="285">
        <f t="shared" si="80"/>
        <v>8961848.3798999991</v>
      </c>
      <c r="CD11" s="285">
        <f t="shared" si="80"/>
        <v>9330079.4350000005</v>
      </c>
      <c r="CE11" s="285">
        <f t="shared" si="80"/>
        <v>8813316.2423999999</v>
      </c>
      <c r="CF11" s="285">
        <f t="shared" si="80"/>
        <v>8801527.7063999996</v>
      </c>
      <c r="CG11" s="285">
        <f t="shared" si="80"/>
        <v>8990041.6241999995</v>
      </c>
      <c r="CH11" s="285">
        <f t="shared" si="80"/>
        <v>8674560.6702999994</v>
      </c>
      <c r="CI11" s="285">
        <f t="shared" si="80"/>
        <v>8180999.767</v>
      </c>
      <c r="CJ11" s="285">
        <f t="shared" si="80"/>
        <v>8078875.6399999997</v>
      </c>
      <c r="CK11" s="285">
        <f t="shared" si="80"/>
        <v>8186896.9624000005</v>
      </c>
      <c r="CL11" s="285">
        <f t="shared" si="80"/>
        <v>7646819.3376000011</v>
      </c>
      <c r="CM11" s="285">
        <f t="shared" si="80"/>
        <v>7949408.449</v>
      </c>
      <c r="CN11" s="285">
        <f t="shared" si="80"/>
        <v>8114850.2819999997</v>
      </c>
      <c r="CO11" s="285">
        <f t="shared" si="80"/>
        <v>7787041.4207999995</v>
      </c>
      <c r="CP11" s="285">
        <f t="shared" si="80"/>
        <v>7100545.2504999992</v>
      </c>
      <c r="CQ11" s="285">
        <f t="shared" si="80"/>
        <v>7120560.6159000006</v>
      </c>
      <c r="CR11" s="285">
        <f t="shared" si="80"/>
        <v>7093735.8569</v>
      </c>
      <c r="CS11" s="285">
        <f t="shared" si="80"/>
        <v>7600105.5782999992</v>
      </c>
      <c r="CT11" s="285">
        <f t="shared" si="80"/>
        <v>7903238.8264999995</v>
      </c>
      <c r="CU11" s="285">
        <f t="shared" si="80"/>
        <v>7521998.0600000005</v>
      </c>
      <c r="CV11" s="285">
        <f t="shared" si="80"/>
        <v>7626112.5767999999</v>
      </c>
      <c r="CW11" s="285">
        <f t="shared" si="80"/>
        <v>7718139.1252999995</v>
      </c>
      <c r="CX11" s="285">
        <f t="shared" si="80"/>
        <v>8377213.0602000002</v>
      </c>
      <c r="CY11" s="285">
        <f t="shared" si="80"/>
        <v>8654474.7232000008</v>
      </c>
      <c r="CZ11" s="285">
        <f t="shared" si="80"/>
        <v>8718944.2296000011</v>
      </c>
      <c r="DA11" s="285">
        <f t="shared" si="80"/>
        <v>0</v>
      </c>
      <c r="DB11" s="285">
        <f t="shared" si="80"/>
        <v>0</v>
      </c>
      <c r="DC11" s="285">
        <f t="shared" si="80"/>
        <v>0</v>
      </c>
      <c r="DD11" s="285">
        <f t="shared" si="80"/>
        <v>0</v>
      </c>
      <c r="DE11" s="285">
        <f t="shared" si="80"/>
        <v>0</v>
      </c>
      <c r="DF11" s="285">
        <f t="shared" si="80"/>
        <v>0</v>
      </c>
      <c r="DG11" s="285">
        <f t="shared" si="80"/>
        <v>0</v>
      </c>
      <c r="DH11" s="285">
        <f t="shared" si="80"/>
        <v>0</v>
      </c>
      <c r="DI11" s="285"/>
      <c r="DJ11" s="285"/>
      <c r="DK11" s="285"/>
      <c r="DL11" s="285"/>
      <c r="DM11" s="285"/>
      <c r="DN11" s="285"/>
      <c r="DO11" s="285">
        <f t="shared" si="80"/>
        <v>0</v>
      </c>
      <c r="DP11" s="285">
        <f t="shared" si="80"/>
        <v>0</v>
      </c>
      <c r="DQ11" s="285">
        <f t="shared" si="80"/>
        <v>0</v>
      </c>
      <c r="DR11" s="285">
        <f t="shared" si="80"/>
        <v>0</v>
      </c>
      <c r="DS11" s="285">
        <f t="shared" si="80"/>
        <v>0</v>
      </c>
      <c r="DT11" s="285">
        <f t="shared" si="80"/>
        <v>0</v>
      </c>
      <c r="DU11" s="285">
        <f t="shared" si="80"/>
        <v>0</v>
      </c>
      <c r="DV11" s="285">
        <f t="shared" si="80"/>
        <v>0</v>
      </c>
      <c r="DW11" s="285">
        <f t="shared" si="80"/>
        <v>0</v>
      </c>
      <c r="DX11" s="285">
        <f t="shared" si="80"/>
        <v>0</v>
      </c>
      <c r="DY11" s="285">
        <f t="shared" si="80"/>
        <v>0</v>
      </c>
      <c r="DZ11" s="285">
        <f t="shared" si="80"/>
        <v>8528081.6349999998</v>
      </c>
      <c r="EA11" s="285">
        <f t="shared" si="80"/>
        <v>8677945.2697000001</v>
      </c>
      <c r="EB11" s="285">
        <f t="shared" ref="EB11:GM11" si="81">(1-EB10)*EB9</f>
        <v>9013595.0800000001</v>
      </c>
      <c r="EC11" s="285">
        <f t="shared" si="81"/>
        <v>9221078.6304000001</v>
      </c>
      <c r="ED11" s="285">
        <f t="shared" si="81"/>
        <v>9261450.1330000013</v>
      </c>
      <c r="EE11" s="285">
        <f t="shared" si="81"/>
        <v>9610677.243900001</v>
      </c>
      <c r="EF11" s="285">
        <f t="shared" si="81"/>
        <v>8761120.1952</v>
      </c>
      <c r="EG11" s="285">
        <f t="shared" si="81"/>
        <v>9548695.8399999999</v>
      </c>
      <c r="EH11" s="285">
        <f t="shared" si="81"/>
        <v>9611439.9502000008</v>
      </c>
      <c r="EI11" s="285">
        <f t="shared" si="81"/>
        <v>4082472.1790999998</v>
      </c>
      <c r="EJ11" s="285">
        <f t="shared" si="81"/>
        <v>9972780.9631000012</v>
      </c>
      <c r="EK11" s="285">
        <f t="shared" si="81"/>
        <v>10411634.079</v>
      </c>
      <c r="EL11" s="285">
        <f t="shared" si="81"/>
        <v>10382831.139600001</v>
      </c>
      <c r="EM11" s="285">
        <f>(1-EM10)*EM9</f>
        <v>10060392.034000002</v>
      </c>
      <c r="EN11" s="285">
        <f>(1-EN10)*EN9</f>
        <v>10458679.982100001</v>
      </c>
      <c r="EO11" s="285">
        <f>(1-EO10)*EO9</f>
        <v>10246085.360699998</v>
      </c>
      <c r="EP11" s="285">
        <f t="shared" si="81"/>
        <v>10357917.570600001</v>
      </c>
      <c r="EQ11" s="285">
        <f t="shared" si="81"/>
        <v>10139425.3079</v>
      </c>
      <c r="ER11" s="285">
        <f t="shared" si="81"/>
        <v>9915484.8121000007</v>
      </c>
      <c r="ES11" s="285">
        <f t="shared" si="81"/>
        <v>9921387.1122999992</v>
      </c>
      <c r="ET11" s="285">
        <f t="shared" si="81"/>
        <v>9734599.5851999987</v>
      </c>
      <c r="EU11" s="285">
        <f t="shared" si="81"/>
        <v>10333197.5648</v>
      </c>
      <c r="EV11" s="285">
        <f t="shared" si="81"/>
        <v>9764070.8709999993</v>
      </c>
      <c r="EW11" s="285">
        <f t="shared" si="81"/>
        <v>9807296.7968000006</v>
      </c>
      <c r="EX11" s="285">
        <f t="shared" si="81"/>
        <v>8552959.0965</v>
      </c>
      <c r="EY11" s="285">
        <f t="shared" si="81"/>
        <v>8716787.7263999991</v>
      </c>
      <c r="EZ11" s="285">
        <f t="shared" si="81"/>
        <v>11014626.741599998</v>
      </c>
      <c r="FA11" s="285">
        <f t="shared" si="81"/>
        <v>9966611.3008999992</v>
      </c>
      <c r="FB11" s="285">
        <f t="shared" si="81"/>
        <v>9837079.7832000013</v>
      </c>
      <c r="FC11" s="285">
        <f t="shared" si="81"/>
        <v>9642230.5490000006</v>
      </c>
      <c r="FD11" s="285">
        <f t="shared" si="81"/>
        <v>9705296.4299999997</v>
      </c>
      <c r="FE11" s="285">
        <f t="shared" si="81"/>
        <v>9838919.1651999988</v>
      </c>
      <c r="FF11" s="285">
        <f t="shared" si="81"/>
        <v>9870946.3387999982</v>
      </c>
      <c r="FG11" s="285">
        <f t="shared" si="81"/>
        <v>9744271.811999999</v>
      </c>
      <c r="FH11" s="285">
        <f t="shared" si="81"/>
        <v>9433996.7449999992</v>
      </c>
      <c r="FI11" s="285">
        <f t="shared" si="81"/>
        <v>9376275.7061999999</v>
      </c>
      <c r="FJ11" s="285">
        <f t="shared" si="81"/>
        <v>9279833.0999000017</v>
      </c>
      <c r="FK11" s="285">
        <f t="shared" si="81"/>
        <v>8722064.3807999995</v>
      </c>
      <c r="FL11" s="285">
        <f t="shared" si="81"/>
        <v>9085247.2803999986</v>
      </c>
      <c r="FM11" s="285">
        <f t="shared" si="81"/>
        <v>9957023.6117000002</v>
      </c>
      <c r="FN11" s="285">
        <f t="shared" si="81"/>
        <v>11243146.922699999</v>
      </c>
      <c r="FO11" s="285">
        <f t="shared" si="81"/>
        <v>11028145.966799999</v>
      </c>
      <c r="FP11" s="285">
        <f>(1-FP10)*FP9</f>
        <v>10702356.6708</v>
      </c>
      <c r="FQ11" s="285">
        <f t="shared" si="81"/>
        <v>10758388.9016</v>
      </c>
      <c r="FR11" s="285">
        <f t="shared" si="81"/>
        <v>10813624.402000001</v>
      </c>
      <c r="FS11" s="285">
        <f t="shared" si="81"/>
        <v>11355564.398400001</v>
      </c>
      <c r="FT11" s="285">
        <f t="shared" si="81"/>
        <v>10564491.065400001</v>
      </c>
      <c r="FU11" s="285">
        <f t="shared" si="81"/>
        <v>10410934.471900001</v>
      </c>
      <c r="FV11" s="285">
        <f t="shared" si="81"/>
        <v>10548617.573600002</v>
      </c>
      <c r="FW11" s="285">
        <f t="shared" si="81"/>
        <v>9881922.8115999997</v>
      </c>
      <c r="FX11" s="285">
        <f t="shared" si="81"/>
        <v>10268193.747</v>
      </c>
      <c r="FY11" s="285">
        <f t="shared" si="81"/>
        <v>10542112.942499999</v>
      </c>
      <c r="FZ11" s="285">
        <f t="shared" si="81"/>
        <v>10556979.0768</v>
      </c>
      <c r="GA11" s="285">
        <f t="shared" si="81"/>
        <v>10229129.6075</v>
      </c>
      <c r="GB11" s="285">
        <f t="shared" si="81"/>
        <v>10612629.235200001</v>
      </c>
      <c r="GC11" s="285">
        <f t="shared" si="81"/>
        <v>9767802.9688000008</v>
      </c>
      <c r="GD11" s="285">
        <f t="shared" si="81"/>
        <v>9989905.3389999997</v>
      </c>
      <c r="GE11" s="285">
        <f t="shared" si="81"/>
        <v>10437374.34</v>
      </c>
      <c r="GF11" s="285">
        <f t="shared" si="81"/>
        <v>10277085.139799999</v>
      </c>
      <c r="GG11" s="285">
        <f t="shared" si="81"/>
        <v>9986103.6335999984</v>
      </c>
      <c r="GH11" s="285">
        <f t="shared" si="81"/>
        <v>10553683.215600001</v>
      </c>
      <c r="GI11" s="285">
        <f t="shared" si="81"/>
        <v>9571106.3595000003</v>
      </c>
      <c r="GJ11" s="285">
        <f t="shared" si="81"/>
        <v>10653244.430399999</v>
      </c>
      <c r="GK11" s="285">
        <f t="shared" si="81"/>
        <v>10587551.936000001</v>
      </c>
      <c r="GL11" s="285">
        <f t="shared" si="81"/>
        <v>10425321.632000001</v>
      </c>
      <c r="GM11" s="285">
        <f t="shared" si="81"/>
        <v>10245098.666000001</v>
      </c>
      <c r="GN11" s="285">
        <f t="shared" ref="GN11:IY11" si="82">(1-GN10)*GN9</f>
        <v>10876882.4944</v>
      </c>
      <c r="GO11" s="285">
        <f t="shared" si="82"/>
        <v>11130975.212699998</v>
      </c>
      <c r="GP11" s="285">
        <f t="shared" si="82"/>
        <v>11167759.470000001</v>
      </c>
      <c r="GQ11" s="285">
        <f t="shared" si="82"/>
        <v>11618742.779999999</v>
      </c>
      <c r="GR11" s="285">
        <f t="shared" si="82"/>
        <v>11563936.907600001</v>
      </c>
      <c r="GS11" s="285">
        <f t="shared" si="82"/>
        <v>10977984.809999999</v>
      </c>
      <c r="GT11" s="285">
        <f t="shared" si="82"/>
        <v>11061748.360599998</v>
      </c>
      <c r="GU11" s="285">
        <f t="shared" si="82"/>
        <v>10796502.75</v>
      </c>
      <c r="GV11" s="285">
        <f t="shared" si="82"/>
        <v>11069238.892000001</v>
      </c>
      <c r="GW11" s="285">
        <f t="shared" si="82"/>
        <v>10974161.648399999</v>
      </c>
      <c r="GX11" s="285">
        <f t="shared" si="82"/>
        <v>12380729.244300002</v>
      </c>
      <c r="GY11" s="285">
        <f t="shared" si="82"/>
        <v>12086470.600800002</v>
      </c>
      <c r="GZ11" s="285">
        <f t="shared" si="82"/>
        <v>11265524.884800002</v>
      </c>
      <c r="HA11" s="285">
        <f t="shared" si="82"/>
        <v>11177292.266800001</v>
      </c>
      <c r="HB11" s="285">
        <f t="shared" si="82"/>
        <v>10965448.433000002</v>
      </c>
      <c r="HC11" s="285">
        <f t="shared" si="82"/>
        <v>10767164.683900002</v>
      </c>
      <c r="HD11" s="285">
        <f t="shared" si="82"/>
        <v>10850212.544199999</v>
      </c>
      <c r="HE11" s="285">
        <f t="shared" si="82"/>
        <v>11123050.576400001</v>
      </c>
      <c r="HF11" s="285">
        <f t="shared" si="82"/>
        <v>11437790.651999999</v>
      </c>
      <c r="HG11" s="285">
        <f t="shared" si="82"/>
        <v>10364293.7783</v>
      </c>
      <c r="HH11" s="285">
        <f t="shared" si="82"/>
        <v>9463481.5287999995</v>
      </c>
      <c r="HI11" s="285">
        <f t="shared" si="82"/>
        <v>9614202.9755000006</v>
      </c>
      <c r="HJ11" s="285">
        <f t="shared" si="82"/>
        <v>9887376.8940000013</v>
      </c>
      <c r="HK11" s="285">
        <f t="shared" si="82"/>
        <v>9776492.9015999995</v>
      </c>
      <c r="HL11" s="285">
        <f t="shared" si="82"/>
        <v>10088557.0032</v>
      </c>
      <c r="HM11" s="285">
        <f t="shared" si="82"/>
        <v>10227761.7344</v>
      </c>
      <c r="HN11" s="285">
        <f t="shared" si="82"/>
        <v>9986275.8996000011</v>
      </c>
      <c r="HO11" s="285">
        <f t="shared" si="82"/>
        <v>10059591.7509</v>
      </c>
      <c r="HP11" s="285">
        <f t="shared" si="82"/>
        <v>9351986.3640000001</v>
      </c>
      <c r="HQ11" s="285">
        <f t="shared" si="82"/>
        <v>9069772.1974999998</v>
      </c>
      <c r="HR11" s="285">
        <f t="shared" si="82"/>
        <v>9311956.5028000008</v>
      </c>
      <c r="HS11" s="285">
        <f t="shared" si="82"/>
        <v>10179435.5472</v>
      </c>
      <c r="HT11" s="285">
        <f t="shared" si="82"/>
        <v>10053703.344999999</v>
      </c>
      <c r="HU11" s="285">
        <f t="shared" si="82"/>
        <v>10036227.812800001</v>
      </c>
      <c r="HV11" s="285">
        <f t="shared" si="82"/>
        <v>10486364.673599998</v>
      </c>
      <c r="HW11" s="285">
        <f t="shared" si="82"/>
        <v>10368071.0952</v>
      </c>
      <c r="HX11" s="285">
        <f t="shared" si="82"/>
        <v>10053733.945800001</v>
      </c>
      <c r="HY11" s="285">
        <f t="shared" si="82"/>
        <v>10003528.071599999</v>
      </c>
      <c r="HZ11" s="285">
        <f t="shared" si="82"/>
        <v>10407598.7488</v>
      </c>
      <c r="IA11" s="285">
        <f t="shared" si="82"/>
        <v>10367751.467799999</v>
      </c>
      <c r="IB11" s="285">
        <f t="shared" si="82"/>
        <v>10024654.563000001</v>
      </c>
      <c r="IC11" s="285">
        <f t="shared" si="82"/>
        <v>10013175.744299999</v>
      </c>
      <c r="ID11" s="285">
        <f t="shared" si="82"/>
        <v>9732170.7318000011</v>
      </c>
      <c r="IE11" s="285">
        <f t="shared" si="82"/>
        <v>9604874.9368000012</v>
      </c>
      <c r="IF11" s="285">
        <f t="shared" si="82"/>
        <v>9477359.3807999995</v>
      </c>
      <c r="IG11" s="285">
        <f t="shared" si="82"/>
        <v>9938488.2094999999</v>
      </c>
      <c r="IH11" s="285">
        <f t="shared" si="82"/>
        <v>9917398.3560000006</v>
      </c>
      <c r="II11" s="285">
        <f t="shared" si="82"/>
        <v>9480147.5550000016</v>
      </c>
      <c r="IJ11" s="285">
        <f t="shared" si="82"/>
        <v>9698184.6896000002</v>
      </c>
      <c r="IK11" s="285">
        <f t="shared" si="82"/>
        <v>9840684.6567000002</v>
      </c>
      <c r="IL11" s="285">
        <f t="shared" si="82"/>
        <v>9574306.6271000002</v>
      </c>
      <c r="IM11" s="285">
        <f t="shared" si="82"/>
        <v>9593538.7283999994</v>
      </c>
      <c r="IN11" s="285">
        <f t="shared" si="82"/>
        <v>9712899.1791000012</v>
      </c>
      <c r="IO11" s="285">
        <f t="shared" si="82"/>
        <v>9830724.2964000013</v>
      </c>
      <c r="IP11" s="285">
        <f t="shared" si="82"/>
        <v>9771840.0315000005</v>
      </c>
      <c r="IQ11" s="285">
        <f t="shared" si="82"/>
        <v>9846120.8552999999</v>
      </c>
      <c r="IR11" s="285">
        <f t="shared" si="82"/>
        <v>9778979.053199999</v>
      </c>
      <c r="IS11" s="285">
        <f t="shared" si="82"/>
        <v>9719990.5941000003</v>
      </c>
      <c r="IT11" s="285">
        <f t="shared" si="82"/>
        <v>9915056.1509999987</v>
      </c>
      <c r="IU11" s="285">
        <f t="shared" si="82"/>
        <v>10381511.6568</v>
      </c>
      <c r="IV11" s="285">
        <f t="shared" si="82"/>
        <v>10190389.8759</v>
      </c>
      <c r="IW11" s="285">
        <f t="shared" si="82"/>
        <v>10004468.963200001</v>
      </c>
      <c r="IX11" s="285">
        <f t="shared" si="82"/>
        <v>10160365.932600001</v>
      </c>
      <c r="IY11" s="285">
        <f t="shared" si="82"/>
        <v>10250538.494000001</v>
      </c>
      <c r="IZ11" s="285">
        <f t="shared" ref="IZ11:KS11" si="83">(1-IZ10)*IZ9</f>
        <v>10204406.3664</v>
      </c>
      <c r="JA11" s="285">
        <f t="shared" si="83"/>
        <v>10017244.026000001</v>
      </c>
      <c r="JB11" s="285">
        <f t="shared" si="83"/>
        <v>10357892.175199999</v>
      </c>
      <c r="JC11" s="285">
        <f t="shared" si="83"/>
        <v>10158663.9888</v>
      </c>
      <c r="JD11" s="285">
        <f t="shared" si="83"/>
        <v>10122464.4199</v>
      </c>
      <c r="JE11" s="285">
        <f t="shared" si="83"/>
        <v>10192822.321799999</v>
      </c>
      <c r="JF11" s="285">
        <f>(1-JF10)*JF9</f>
        <v>10334730.336300001</v>
      </c>
      <c r="JG11" s="285">
        <f t="shared" si="83"/>
        <v>9944000.7268000003</v>
      </c>
      <c r="JH11" s="285">
        <f t="shared" si="83"/>
        <v>9780390.1521999985</v>
      </c>
      <c r="JI11" s="285">
        <f t="shared" si="83"/>
        <v>9827849.398</v>
      </c>
      <c r="JJ11" s="285">
        <f t="shared" si="83"/>
        <v>9945450.1250999998</v>
      </c>
      <c r="JK11" s="285">
        <f t="shared" si="83"/>
        <v>10124548.929599999</v>
      </c>
      <c r="JL11" s="285">
        <f t="shared" si="83"/>
        <v>9591791.6094000004</v>
      </c>
      <c r="JM11" s="285">
        <f t="shared" si="83"/>
        <v>9701729.1769999992</v>
      </c>
      <c r="JN11" s="285">
        <f t="shared" si="83"/>
        <v>10029241.595000001</v>
      </c>
      <c r="JO11" s="285">
        <f t="shared" si="83"/>
        <v>9685094.0580000002</v>
      </c>
      <c r="JP11" s="285">
        <f t="shared" si="83"/>
        <v>9306314.6484000012</v>
      </c>
      <c r="JQ11" s="285">
        <f t="shared" si="83"/>
        <v>9307182.9462999981</v>
      </c>
      <c r="JR11" s="285">
        <f t="shared" si="83"/>
        <v>9493881.4089000002</v>
      </c>
      <c r="JS11" s="285">
        <f t="shared" si="83"/>
        <v>9572975.2607999984</v>
      </c>
      <c r="JT11" s="285">
        <f t="shared" si="83"/>
        <v>9152891.6241999995</v>
      </c>
      <c r="JU11" s="285">
        <f t="shared" si="83"/>
        <v>10025798.0132</v>
      </c>
      <c r="JV11" s="285">
        <f t="shared" si="83"/>
        <v>10387713.802900001</v>
      </c>
      <c r="JW11" s="285">
        <f t="shared" si="83"/>
        <v>9444785.5010000002</v>
      </c>
      <c r="JX11" s="285">
        <f t="shared" si="83"/>
        <v>9725679.3148000017</v>
      </c>
      <c r="JY11" s="285">
        <f t="shared" si="83"/>
        <v>9918201.0165999997</v>
      </c>
      <c r="JZ11" s="285">
        <f t="shared" si="83"/>
        <v>9534441.9690000005</v>
      </c>
      <c r="KA11" s="285">
        <f t="shared" si="83"/>
        <v>10191661.16</v>
      </c>
      <c r="KB11" s="285">
        <f t="shared" si="83"/>
        <v>10338274.721599998</v>
      </c>
      <c r="KC11" s="285">
        <f t="shared" si="83"/>
        <v>10100789.457799999</v>
      </c>
      <c r="KD11" s="285">
        <f t="shared" si="83"/>
        <v>9584031.2098999992</v>
      </c>
      <c r="KE11" s="285">
        <f t="shared" si="83"/>
        <v>9474710.0280000009</v>
      </c>
      <c r="KF11" s="285">
        <f t="shared" si="83"/>
        <v>9915984.7775999997</v>
      </c>
      <c r="KG11" s="285">
        <f t="shared" si="83"/>
        <v>9591212.3880000003</v>
      </c>
      <c r="KH11" s="285">
        <f t="shared" si="83"/>
        <v>9961981.9452999998</v>
      </c>
      <c r="KI11" s="285">
        <f t="shared" si="83"/>
        <v>10484799.572000001</v>
      </c>
      <c r="KJ11" s="285">
        <f t="shared" si="83"/>
        <v>10402767.9198</v>
      </c>
      <c r="KK11" s="285">
        <f t="shared" si="83"/>
        <v>9764798.2676999997</v>
      </c>
      <c r="KL11" s="285">
        <f t="shared" si="83"/>
        <v>9652795.2730999999</v>
      </c>
      <c r="KM11" s="285">
        <f t="shared" si="83"/>
        <v>9341184.0730999988</v>
      </c>
      <c r="KN11" s="285">
        <f t="shared" si="83"/>
        <v>9258814.4096000008</v>
      </c>
      <c r="KO11" s="285">
        <f t="shared" si="83"/>
        <v>9554443.3784000017</v>
      </c>
      <c r="KP11" s="285">
        <f t="shared" si="83"/>
        <v>10211919.35</v>
      </c>
      <c r="KQ11" s="286">
        <f t="shared" si="83"/>
        <v>10187038.9124</v>
      </c>
      <c r="KR11" s="285">
        <f t="shared" si="83"/>
        <v>9371276.3619999997</v>
      </c>
      <c r="KS11" s="285">
        <f t="shared" si="83"/>
        <v>9768633.0339000002</v>
      </c>
      <c r="KT11" s="285">
        <f>(1-KT10)*KT9</f>
        <v>10221603.986099999</v>
      </c>
      <c r="KU11" s="285">
        <f>(1-KU10)*KU9</f>
        <v>10289489.527199998</v>
      </c>
      <c r="KV11" s="285">
        <f t="shared" ref="KV11:NG11" si="84">(1-KV10)*KV9</f>
        <v>10471716.827</v>
      </c>
      <c r="KW11" s="285">
        <f t="shared" si="84"/>
        <v>9697746.1349999998</v>
      </c>
      <c r="KX11" s="285">
        <f t="shared" si="84"/>
        <v>9588411.2190000005</v>
      </c>
      <c r="KY11" s="285">
        <f t="shared" si="84"/>
        <v>7494736.9163999995</v>
      </c>
      <c r="KZ11" s="285">
        <f t="shared" si="84"/>
        <v>9430413.9867000002</v>
      </c>
      <c r="LA11" s="285">
        <f t="shared" si="84"/>
        <v>9692208.5832000002</v>
      </c>
      <c r="LB11" s="285">
        <f t="shared" si="84"/>
        <v>9871934.149699999</v>
      </c>
      <c r="LC11" s="285">
        <f t="shared" si="84"/>
        <v>9963179.4372000005</v>
      </c>
      <c r="LD11" s="285">
        <f t="shared" si="84"/>
        <v>11175061.9376</v>
      </c>
      <c r="LE11" s="285">
        <f t="shared" si="84"/>
        <v>11227265.8068</v>
      </c>
      <c r="LF11" s="285">
        <f t="shared" si="84"/>
        <v>10355608.8224</v>
      </c>
      <c r="LG11" s="285">
        <f t="shared" si="84"/>
        <v>10718033.352600001</v>
      </c>
      <c r="LH11" s="285">
        <f t="shared" si="84"/>
        <v>11510943.827900002</v>
      </c>
      <c r="LI11" s="285">
        <f t="shared" si="84"/>
        <v>10416157.876800001</v>
      </c>
      <c r="LJ11" s="285">
        <f t="shared" si="84"/>
        <v>10362043.188000001</v>
      </c>
      <c r="LK11" s="285">
        <f t="shared" si="84"/>
        <v>11361839.537800001</v>
      </c>
      <c r="LL11" s="285">
        <f t="shared" si="84"/>
        <v>11228769.692</v>
      </c>
      <c r="LM11" s="285">
        <f t="shared" si="84"/>
        <v>10229640.159599999</v>
      </c>
      <c r="LN11" s="285">
        <f t="shared" si="84"/>
        <v>10350734.9208</v>
      </c>
      <c r="LO11" s="285">
        <f t="shared" si="84"/>
        <v>10014000.4036</v>
      </c>
      <c r="LP11" s="285">
        <f t="shared" si="84"/>
        <v>9952174.7433999982</v>
      </c>
      <c r="LQ11" s="285">
        <f t="shared" si="84"/>
        <v>10278115.715</v>
      </c>
      <c r="LR11" s="285">
        <f t="shared" si="84"/>
        <v>10806579.6864</v>
      </c>
      <c r="LS11" s="285">
        <f t="shared" si="84"/>
        <v>10519381.328399999</v>
      </c>
      <c r="LT11" s="285">
        <f t="shared" si="84"/>
        <v>9626888.2410000004</v>
      </c>
      <c r="LU11" s="285">
        <f t="shared" si="84"/>
        <v>9652359.8592000008</v>
      </c>
      <c r="LV11" s="285">
        <f t="shared" si="84"/>
        <v>9772187.3640000001</v>
      </c>
      <c r="LW11" s="285">
        <f t="shared" si="84"/>
        <v>9551056.2763999999</v>
      </c>
      <c r="LX11" s="285">
        <f t="shared" si="84"/>
        <v>9994856.5842000004</v>
      </c>
      <c r="LY11" s="285">
        <f t="shared" si="84"/>
        <v>10414211.280900002</v>
      </c>
      <c r="LZ11" s="285">
        <f t="shared" si="84"/>
        <v>10071308.0274</v>
      </c>
      <c r="MA11" s="285">
        <f t="shared" si="84"/>
        <v>9431210.9237999991</v>
      </c>
      <c r="MB11" s="285">
        <f t="shared" si="84"/>
        <v>9555595.1568</v>
      </c>
      <c r="MC11" s="285">
        <f t="shared" si="84"/>
        <v>9739999.7579999994</v>
      </c>
      <c r="MD11" s="285">
        <f t="shared" si="84"/>
        <v>9543688.9752000012</v>
      </c>
      <c r="ME11" s="285">
        <f t="shared" si="84"/>
        <v>9917924.2667999994</v>
      </c>
      <c r="MF11" s="285">
        <f t="shared" si="84"/>
        <v>10212431.568</v>
      </c>
      <c r="MG11" s="285">
        <f t="shared" si="84"/>
        <v>9320866.7291999999</v>
      </c>
      <c r="MH11" s="285">
        <f t="shared" si="84"/>
        <v>9033020.2525000013</v>
      </c>
      <c r="MI11" s="285">
        <f t="shared" si="84"/>
        <v>8967444.0520000011</v>
      </c>
      <c r="MJ11" s="285">
        <f t="shared" si="84"/>
        <v>8922354.2489999998</v>
      </c>
      <c r="MK11" s="285">
        <f t="shared" si="84"/>
        <v>9560930.0747999996</v>
      </c>
      <c r="ML11" s="285">
        <f t="shared" si="84"/>
        <v>9952257.0064000003</v>
      </c>
      <c r="MM11" s="285">
        <f t="shared" si="84"/>
        <v>10894250.681900002</v>
      </c>
      <c r="MN11" s="285">
        <f t="shared" si="84"/>
        <v>10330847.746800002</v>
      </c>
      <c r="MO11" s="285">
        <f t="shared" si="84"/>
        <v>9888317.6366000008</v>
      </c>
      <c r="MP11" s="285">
        <f t="shared" si="84"/>
        <v>9781321.7634999994</v>
      </c>
      <c r="MQ11" s="285">
        <f t="shared" si="84"/>
        <v>9744128.9678000007</v>
      </c>
      <c r="MR11" s="285">
        <f t="shared" si="84"/>
        <v>10025917.356000001</v>
      </c>
      <c r="MS11" s="285">
        <f t="shared" si="84"/>
        <v>10049864.319000002</v>
      </c>
      <c r="MT11" s="285">
        <f t="shared" si="84"/>
        <v>10338395.7096</v>
      </c>
      <c r="MU11" s="285">
        <f t="shared" si="84"/>
        <v>10203624.366</v>
      </c>
      <c r="MV11" s="285">
        <f t="shared" si="84"/>
        <v>11442033.5568</v>
      </c>
      <c r="MW11" s="285">
        <f t="shared" si="84"/>
        <v>10556058.2092</v>
      </c>
      <c r="MX11" s="285">
        <f t="shared" si="84"/>
        <v>10291242.8024</v>
      </c>
      <c r="MY11" s="285">
        <f t="shared" si="84"/>
        <v>9790310.0899999999</v>
      </c>
      <c r="MZ11" s="285">
        <f t="shared" si="84"/>
        <v>10228344.318499999</v>
      </c>
      <c r="NA11" s="285">
        <f t="shared" si="84"/>
        <v>9784275.6033000015</v>
      </c>
      <c r="NB11" s="285">
        <f t="shared" si="84"/>
        <v>9255970.4670000002</v>
      </c>
      <c r="NC11" s="285">
        <f t="shared" si="84"/>
        <v>12849093.840300001</v>
      </c>
      <c r="ND11" s="285">
        <f t="shared" si="84"/>
        <v>10563944.932400001</v>
      </c>
      <c r="NE11" s="285">
        <f t="shared" si="84"/>
        <v>10829900.2095</v>
      </c>
      <c r="NF11" s="285">
        <f t="shared" si="84"/>
        <v>10664434.6338</v>
      </c>
      <c r="NG11" s="285">
        <f t="shared" si="84"/>
        <v>11041999.289999999</v>
      </c>
      <c r="NH11" s="285">
        <f t="shared" ref="NH11:OD11" si="85">(1-NH10)*NH9</f>
        <v>10819322.5581</v>
      </c>
      <c r="NI11" s="285">
        <f t="shared" si="85"/>
        <v>11190620.164100001</v>
      </c>
      <c r="NJ11" s="285">
        <f t="shared" si="85"/>
        <v>10849122.5032</v>
      </c>
      <c r="NK11" s="285">
        <f t="shared" si="85"/>
        <v>10827399.959999999</v>
      </c>
      <c r="NL11" s="285">
        <f t="shared" si="85"/>
        <v>10892527.553600002</v>
      </c>
      <c r="NM11" s="285">
        <f t="shared" si="85"/>
        <v>10699332.983200001</v>
      </c>
      <c r="NN11" s="285">
        <f t="shared" si="85"/>
        <v>10952078.8323</v>
      </c>
      <c r="NO11" s="285">
        <f t="shared" si="85"/>
        <v>9840296.3241999988</v>
      </c>
      <c r="NP11" s="285">
        <f t="shared" si="85"/>
        <v>11074721.9016</v>
      </c>
      <c r="NQ11" s="285">
        <f t="shared" si="85"/>
        <v>10488774.392999999</v>
      </c>
      <c r="NR11" s="285">
        <f t="shared" si="85"/>
        <v>10622453.692499999</v>
      </c>
      <c r="NS11" s="285">
        <f t="shared" si="85"/>
        <v>11001474.282400001</v>
      </c>
      <c r="NT11" s="285">
        <f t="shared" si="85"/>
        <v>10845527.2544</v>
      </c>
      <c r="NU11" s="285">
        <f t="shared" si="85"/>
        <v>11034049.1152</v>
      </c>
      <c r="NV11" s="285">
        <f t="shared" si="85"/>
        <v>11580853.2981</v>
      </c>
      <c r="NW11" s="285">
        <f t="shared" si="85"/>
        <v>11670017.648800001</v>
      </c>
      <c r="NX11" s="286">
        <f t="shared" si="85"/>
        <v>10562099.967999998</v>
      </c>
      <c r="NY11" s="285">
        <f t="shared" si="85"/>
        <v>10134607.1785</v>
      </c>
      <c r="NZ11" s="285">
        <f t="shared" si="85"/>
        <v>9968430.124400001</v>
      </c>
      <c r="OA11" s="285">
        <f t="shared" si="85"/>
        <v>10452243.617999999</v>
      </c>
      <c r="OB11" s="285">
        <f t="shared" si="85"/>
        <v>10614265.862500001</v>
      </c>
      <c r="OC11" s="285">
        <f t="shared" si="85"/>
        <v>10953712.309800001</v>
      </c>
      <c r="OD11" s="285">
        <f t="shared" si="85"/>
        <v>10922608.5496</v>
      </c>
      <c r="OE11" s="285">
        <f>(1-OE10)*OE9</f>
        <v>9214887.3899999987</v>
      </c>
      <c r="OF11" s="285">
        <f>(1-OF10)*OF9</f>
        <v>10624733.574000001</v>
      </c>
      <c r="OG11" s="285">
        <f>(1-OG10)*OG9</f>
        <v>10472418.681499999</v>
      </c>
      <c r="OH11" s="285">
        <f>(1-OH10)*OH9</f>
        <v>10442893.9044</v>
      </c>
      <c r="OI11" s="285">
        <f t="shared" ref="OI11:QT11" si="86">(1-OI10)*OI9</f>
        <v>10289063.352399999</v>
      </c>
      <c r="OJ11" s="285">
        <f t="shared" si="86"/>
        <v>8992772.7106000017</v>
      </c>
      <c r="OK11" s="286">
        <f t="shared" si="86"/>
        <v>10549453.945499998</v>
      </c>
      <c r="OL11" s="285">
        <f t="shared" si="86"/>
        <v>10262202.087099999</v>
      </c>
      <c r="OM11" s="285">
        <f t="shared" si="86"/>
        <v>10728707.169599999</v>
      </c>
      <c r="ON11" s="286">
        <f t="shared" si="86"/>
        <v>9681366.5368000008</v>
      </c>
      <c r="OO11" s="285">
        <f t="shared" si="86"/>
        <v>11016202.810800001</v>
      </c>
      <c r="OP11" s="285">
        <f t="shared" si="86"/>
        <v>11158080.646400003</v>
      </c>
      <c r="OQ11" s="285">
        <f t="shared" si="86"/>
        <v>11478597.199199999</v>
      </c>
      <c r="OR11" s="285">
        <f t="shared" si="86"/>
        <v>9346952.8530000001</v>
      </c>
      <c r="OS11" s="285">
        <f t="shared" si="86"/>
        <v>12139277.628799999</v>
      </c>
      <c r="OT11" s="285">
        <f t="shared" si="86"/>
        <v>10858806.7546</v>
      </c>
      <c r="OU11" s="285">
        <f t="shared" si="86"/>
        <v>12041374.348000001</v>
      </c>
      <c r="OV11" s="285">
        <f t="shared" si="86"/>
        <v>10702120.9475</v>
      </c>
      <c r="OW11" s="285">
        <f t="shared" si="86"/>
        <v>10982016.5616</v>
      </c>
      <c r="OX11" s="285">
        <f t="shared" si="86"/>
        <v>11573975.112000002</v>
      </c>
      <c r="OY11" s="285">
        <f t="shared" si="86"/>
        <v>11502623.2711</v>
      </c>
      <c r="OZ11" s="285">
        <f t="shared" si="86"/>
        <v>11007322.4267</v>
      </c>
      <c r="PA11" s="285">
        <f t="shared" si="86"/>
        <v>10761141.5108</v>
      </c>
      <c r="PB11" s="286">
        <f t="shared" si="86"/>
        <v>10805878.999499999</v>
      </c>
      <c r="PC11" s="285">
        <f t="shared" si="86"/>
        <v>10650606.4756</v>
      </c>
      <c r="PD11" s="285">
        <f t="shared" si="86"/>
        <v>10952218.225999998</v>
      </c>
      <c r="PE11" s="285">
        <f t="shared" si="86"/>
        <v>11341059.99</v>
      </c>
      <c r="PF11" s="285">
        <f t="shared" si="86"/>
        <v>11025820.4562</v>
      </c>
      <c r="PG11" s="285">
        <f t="shared" si="86"/>
        <v>10346669.321799999</v>
      </c>
      <c r="PH11" s="285">
        <f t="shared" si="86"/>
        <v>10293404.4</v>
      </c>
      <c r="PI11" s="285">
        <f t="shared" si="86"/>
        <v>10548847.875</v>
      </c>
      <c r="PJ11" s="285">
        <f t="shared" si="86"/>
        <v>10057798.291200001</v>
      </c>
      <c r="PK11" s="285">
        <f t="shared" si="86"/>
        <v>10548253.884</v>
      </c>
      <c r="PL11" s="286">
        <f t="shared" si="86"/>
        <v>10793196.310799999</v>
      </c>
      <c r="PM11" s="285">
        <f t="shared" si="86"/>
        <v>10905646.571700001</v>
      </c>
      <c r="PN11" s="285">
        <f t="shared" si="86"/>
        <v>9860499.2640000004</v>
      </c>
      <c r="PO11" s="285">
        <f t="shared" si="86"/>
        <v>9983783.3039999995</v>
      </c>
      <c r="PP11" s="286">
        <f t="shared" si="86"/>
        <v>10116995.586300001</v>
      </c>
      <c r="PQ11" s="285">
        <f t="shared" si="86"/>
        <v>10284799.659299999</v>
      </c>
      <c r="PR11" s="285">
        <f t="shared" si="86"/>
        <v>10682892.673099998</v>
      </c>
      <c r="PS11" s="285">
        <f t="shared" si="86"/>
        <v>10750425.728000002</v>
      </c>
      <c r="PT11" s="285">
        <f t="shared" si="86"/>
        <v>10570722.8675</v>
      </c>
      <c r="PU11" s="285">
        <f t="shared" si="86"/>
        <v>9655036.8095999993</v>
      </c>
      <c r="PV11" s="285">
        <f t="shared" si="86"/>
        <v>9425505.8468999993</v>
      </c>
      <c r="PW11" s="285">
        <f t="shared" si="86"/>
        <v>9825619.4151000008</v>
      </c>
      <c r="PX11" s="285">
        <f t="shared" si="86"/>
        <v>12679979.148</v>
      </c>
      <c r="PY11" s="285">
        <f t="shared" si="86"/>
        <v>10665655.7283</v>
      </c>
      <c r="PZ11" s="285">
        <f t="shared" si="86"/>
        <v>10216606.8781</v>
      </c>
      <c r="QA11" s="285">
        <f t="shared" si="86"/>
        <v>10246244.8432</v>
      </c>
      <c r="QB11" s="285">
        <f t="shared" si="86"/>
        <v>9922683.4571000021</v>
      </c>
      <c r="QC11" s="285">
        <f t="shared" si="86"/>
        <v>10245445.4505</v>
      </c>
      <c r="QD11" s="285">
        <f t="shared" si="86"/>
        <v>9725819.2491999976</v>
      </c>
      <c r="QE11" s="285">
        <f t="shared" si="86"/>
        <v>9611194.3220000006</v>
      </c>
      <c r="QF11" s="285">
        <f t="shared" si="86"/>
        <v>9853441.1248000003</v>
      </c>
      <c r="QG11" s="285">
        <f t="shared" si="86"/>
        <v>10263221.966499999</v>
      </c>
      <c r="QH11" s="285">
        <f t="shared" si="86"/>
        <v>10209703.723999999</v>
      </c>
      <c r="QI11" s="286">
        <f t="shared" si="86"/>
        <v>9475621.0794000011</v>
      </c>
      <c r="QJ11" s="285">
        <f t="shared" si="86"/>
        <v>9120879.8340000007</v>
      </c>
      <c r="QK11" s="286">
        <f t="shared" si="86"/>
        <v>9578517.4556000009</v>
      </c>
      <c r="QL11" s="285">
        <f t="shared" si="86"/>
        <v>10232709.655999999</v>
      </c>
      <c r="QM11" s="285">
        <f t="shared" si="86"/>
        <v>9755774.9177000001</v>
      </c>
      <c r="QN11" s="285">
        <f t="shared" si="86"/>
        <v>9341814.1396000013</v>
      </c>
      <c r="QO11" s="285">
        <f t="shared" si="86"/>
        <v>9788849.1010999996</v>
      </c>
      <c r="QP11" s="285">
        <f t="shared" si="86"/>
        <v>9762086.214399999</v>
      </c>
      <c r="QQ11" s="285">
        <f t="shared" si="86"/>
        <v>9624939.5931000002</v>
      </c>
      <c r="QR11" s="285">
        <f t="shared" si="86"/>
        <v>9254169.2699999996</v>
      </c>
      <c r="QS11" s="285">
        <f t="shared" si="86"/>
        <v>9700658.2217999995</v>
      </c>
      <c r="QT11" s="285">
        <f t="shared" si="86"/>
        <v>9850281.2989000008</v>
      </c>
      <c r="QU11" s="285">
        <f t="shared" ref="QU11:SM11" si="87">(1-QU10)*QU9</f>
        <v>9663794.3477999996</v>
      </c>
      <c r="QV11" s="285">
        <f t="shared" si="87"/>
        <v>9829026.2926999982</v>
      </c>
      <c r="QW11" s="285">
        <f t="shared" si="87"/>
        <v>10427164.643999999</v>
      </c>
      <c r="QX11" s="285">
        <f t="shared" si="87"/>
        <v>10680535.3256</v>
      </c>
      <c r="QY11" s="286">
        <f t="shared" si="87"/>
        <v>12283022.854200002</v>
      </c>
      <c r="QZ11" s="285">
        <f t="shared" si="87"/>
        <v>11127228.168000001</v>
      </c>
      <c r="RA11" s="285">
        <f t="shared" si="87"/>
        <v>12345933.698000001</v>
      </c>
      <c r="RB11" s="285">
        <f t="shared" si="87"/>
        <v>12412708.4232</v>
      </c>
      <c r="RC11" s="285">
        <f t="shared" si="87"/>
        <v>12574337.773800001</v>
      </c>
      <c r="RD11" s="285">
        <f t="shared" si="87"/>
        <v>12507983.487600001</v>
      </c>
      <c r="RE11" s="285">
        <f t="shared" si="87"/>
        <v>12529959.225</v>
      </c>
      <c r="RF11" s="285">
        <f t="shared" si="87"/>
        <v>12541106.088</v>
      </c>
      <c r="RG11" s="286">
        <f t="shared" si="87"/>
        <v>12956397.8664</v>
      </c>
      <c r="RH11" s="285">
        <f t="shared" si="87"/>
        <v>13523357.161</v>
      </c>
      <c r="RI11" s="285">
        <f t="shared" si="87"/>
        <v>14036735.519100001</v>
      </c>
      <c r="RJ11" s="285">
        <f t="shared" si="87"/>
        <v>13707416.1741</v>
      </c>
      <c r="RK11" s="286">
        <f t="shared" si="87"/>
        <v>13100583.276799999</v>
      </c>
      <c r="RL11" s="285">
        <f t="shared" si="87"/>
        <v>14038963.034999998</v>
      </c>
      <c r="RM11" s="285">
        <f t="shared" si="87"/>
        <v>13765166.181299999</v>
      </c>
      <c r="RN11" s="285">
        <f t="shared" si="87"/>
        <v>13564595.852500001</v>
      </c>
      <c r="RO11" s="285">
        <f t="shared" si="87"/>
        <v>14168211.022499999</v>
      </c>
      <c r="RP11" s="285">
        <f t="shared" si="87"/>
        <v>14598723.300399998</v>
      </c>
      <c r="RQ11" s="285">
        <f t="shared" si="87"/>
        <v>14459825.7552</v>
      </c>
      <c r="RR11" s="285">
        <f t="shared" si="87"/>
        <v>17159597.240799997</v>
      </c>
      <c r="RS11" s="286">
        <f t="shared" si="87"/>
        <v>14881367.136100002</v>
      </c>
      <c r="RT11" s="285">
        <f t="shared" si="87"/>
        <v>15802745.947199998</v>
      </c>
      <c r="RU11" s="285">
        <f t="shared" si="87"/>
        <v>14849650.164999999</v>
      </c>
      <c r="RV11" s="285">
        <f t="shared" si="87"/>
        <v>15626602.581999999</v>
      </c>
      <c r="RW11" s="285">
        <f t="shared" si="87"/>
        <v>15750150.374400001</v>
      </c>
      <c r="RX11" s="286">
        <f t="shared" si="87"/>
        <v>15937588.375</v>
      </c>
      <c r="RY11" s="285">
        <f t="shared" si="87"/>
        <v>16120153.220000001</v>
      </c>
      <c r="RZ11" s="285">
        <f t="shared" si="87"/>
        <v>15881444.3607</v>
      </c>
      <c r="SA11" s="285">
        <f t="shared" si="87"/>
        <v>0</v>
      </c>
      <c r="SB11" s="285">
        <f t="shared" si="87"/>
        <v>0</v>
      </c>
      <c r="SC11" s="285">
        <f t="shared" si="87"/>
        <v>0</v>
      </c>
      <c r="SD11" s="285">
        <f t="shared" si="87"/>
        <v>0</v>
      </c>
      <c r="SE11" s="285">
        <f t="shared" si="87"/>
        <v>0</v>
      </c>
      <c r="SF11" s="285">
        <f t="shared" si="87"/>
        <v>0</v>
      </c>
      <c r="SG11" s="285">
        <f t="shared" si="87"/>
        <v>36520480.358800001</v>
      </c>
      <c r="SH11" s="285">
        <f t="shared" si="87"/>
        <v>15303126.0956</v>
      </c>
      <c r="SI11" s="285">
        <f t="shared" si="87"/>
        <v>18367851.520800002</v>
      </c>
      <c r="SJ11" s="285">
        <f t="shared" si="87"/>
        <v>17671757.733799998</v>
      </c>
      <c r="SK11" s="285">
        <f t="shared" si="87"/>
        <v>16747858.094399998</v>
      </c>
      <c r="SL11" s="285">
        <f t="shared" si="87"/>
        <v>17057952.296</v>
      </c>
      <c r="SM11" s="285">
        <f t="shared" si="87"/>
        <v>17632872.935999997</v>
      </c>
      <c r="SN11" s="286">
        <f>(1-SN10)*SN9</f>
        <v>19055897.786500003</v>
      </c>
      <c r="SO11" s="285">
        <f>(1-SO10)*SO9</f>
        <v>19595448.18</v>
      </c>
      <c r="SP11" s="285">
        <f>(1-SP10)*SP9</f>
        <v>18028164.823199999</v>
      </c>
      <c r="SQ11" s="285">
        <f t="shared" ref="SQ11:TB11" si="88">(1-SQ10)*SQ9</f>
        <v>18698177.215214599</v>
      </c>
      <c r="SR11" s="285">
        <f t="shared" si="88"/>
        <v>18794665.778267696</v>
      </c>
      <c r="SS11" s="285">
        <f t="shared" si="88"/>
        <v>18650451.191599999</v>
      </c>
      <c r="ST11" s="285">
        <f t="shared" si="88"/>
        <v>16524227.751999998</v>
      </c>
      <c r="SU11" s="286">
        <f t="shared" si="88"/>
        <v>17896670.039297964</v>
      </c>
      <c r="SV11" s="285">
        <f t="shared" si="88"/>
        <v>17722984.500799999</v>
      </c>
      <c r="SW11" s="285">
        <f t="shared" si="88"/>
        <v>18490105.250999998</v>
      </c>
      <c r="SX11" s="285">
        <f t="shared" si="88"/>
        <v>19256078.686499998</v>
      </c>
      <c r="SY11" s="285">
        <f t="shared" si="88"/>
        <v>19907200.742399998</v>
      </c>
      <c r="SZ11" s="285">
        <f t="shared" si="88"/>
        <v>19572906.892499998</v>
      </c>
      <c r="TA11" s="285">
        <f t="shared" si="88"/>
        <v>19589847.3506</v>
      </c>
      <c r="TB11" s="285">
        <f t="shared" si="88"/>
        <v>18974068.831199996</v>
      </c>
      <c r="TC11" s="285">
        <f t="shared" ref="TC11:TD11" si="89">(1-TC10)*TC9</f>
        <v>19028043.052741714</v>
      </c>
      <c r="TD11" s="285">
        <f t="shared" si="89"/>
        <v>19381337.031857897</v>
      </c>
      <c r="TE11" s="285">
        <f t="shared" ref="TE11:TF11" si="90">(1-TE10)*TE9</f>
        <v>18867702.48932739</v>
      </c>
      <c r="TF11" s="285">
        <f t="shared" si="90"/>
        <v>18696508.093947351</v>
      </c>
      <c r="TG11" s="285">
        <f t="shared" ref="TG11:TK11" si="91">(1-TG10)*TG9</f>
        <v>19628064.640775155</v>
      </c>
      <c r="TH11" s="285">
        <f t="shared" si="91"/>
        <v>20490663.942000002</v>
      </c>
      <c r="TI11" s="285">
        <f t="shared" si="91"/>
        <v>19583764.338699505</v>
      </c>
      <c r="TJ11" s="285">
        <f t="shared" si="91"/>
        <v>18996403.614099998</v>
      </c>
      <c r="TK11" s="285">
        <f t="shared" si="91"/>
        <v>20258064.592800003</v>
      </c>
      <c r="TL11" s="285">
        <f t="shared" ref="TL11:TM11" si="92">(1-TL10)*TL9</f>
        <v>19524968.634709328</v>
      </c>
      <c r="TM11" s="285">
        <f t="shared" si="92"/>
        <v>18691799.317323413</v>
      </c>
      <c r="TN11" s="285">
        <f t="shared" ref="TN11:TY11" si="93">(1-TN10)*TN9</f>
        <v>20064421.503156289</v>
      </c>
      <c r="TO11" s="285">
        <f t="shared" si="93"/>
        <v>19666009.395197753</v>
      </c>
      <c r="TP11" s="285">
        <f t="shared" si="93"/>
        <v>18902204.820039149</v>
      </c>
      <c r="TQ11" s="285">
        <f t="shared" si="93"/>
        <v>19152988.313191567</v>
      </c>
      <c r="TR11" s="285">
        <f t="shared" si="93"/>
        <v>19166505.496227525</v>
      </c>
      <c r="TS11" s="285">
        <f t="shared" si="93"/>
        <v>19868106.039160486</v>
      </c>
      <c r="TT11" s="286">
        <f t="shared" si="93"/>
        <v>19953827.213001624</v>
      </c>
      <c r="TU11" s="285">
        <f t="shared" si="93"/>
        <v>20713572.422400001</v>
      </c>
      <c r="TV11" s="285">
        <f t="shared" si="93"/>
        <v>21258566.4408</v>
      </c>
      <c r="TW11" s="285">
        <f t="shared" si="93"/>
        <v>20529088.3928</v>
      </c>
      <c r="TX11" s="285">
        <f t="shared" si="93"/>
        <v>20045051.397799999</v>
      </c>
      <c r="TY11" s="285">
        <f t="shared" si="93"/>
        <v>19133128.555199999</v>
      </c>
      <c r="TZ11" s="285">
        <f t="shared" ref="TZ11:UC11" si="94">(1-TZ10)*TZ9</f>
        <v>19857479.702399999</v>
      </c>
      <c r="UA11" s="285">
        <f t="shared" si="94"/>
        <v>18931425.949500002</v>
      </c>
      <c r="UB11" s="285">
        <f t="shared" si="94"/>
        <v>19658653.443</v>
      </c>
      <c r="UC11" s="286">
        <f t="shared" si="94"/>
        <v>19941061.497700002</v>
      </c>
      <c r="UD11" s="286">
        <f t="shared" ref="UD11:UF11" si="95">(1-UD10)*UD9</f>
        <v>19448990.8365</v>
      </c>
      <c r="UE11" s="285">
        <f t="shared" si="95"/>
        <v>18822561.819000002</v>
      </c>
      <c r="UF11" s="285">
        <f t="shared" si="95"/>
        <v>19210778.538800001</v>
      </c>
      <c r="UG11" s="285">
        <f t="shared" ref="UG11:UL11" si="96">(1-UG10)*UG9</f>
        <v>18973546.098499998</v>
      </c>
      <c r="UH11" s="285">
        <f t="shared" si="96"/>
        <v>18858797.607000001</v>
      </c>
      <c r="UI11" s="286">
        <f t="shared" si="96"/>
        <v>19180443.4516</v>
      </c>
      <c r="UJ11" s="285">
        <f t="shared" si="96"/>
        <v>21768465.576000001</v>
      </c>
      <c r="UK11" s="285">
        <f t="shared" si="96"/>
        <v>20735506.7916</v>
      </c>
      <c r="UL11" s="286">
        <f t="shared" si="96"/>
        <v>19941817.907399997</v>
      </c>
      <c r="UM11" s="285">
        <f t="shared" ref="UM11:US11" si="97">(1-UM10)*UM9</f>
        <v>20188060.618000001</v>
      </c>
      <c r="UN11" s="285">
        <f t="shared" si="97"/>
        <v>20138484.268399999</v>
      </c>
      <c r="UO11" s="285">
        <f t="shared" si="97"/>
        <v>19624413.7936</v>
      </c>
      <c r="UP11" s="285">
        <f t="shared" si="97"/>
        <v>19166853.051999997</v>
      </c>
      <c r="UQ11" s="286">
        <f t="shared" si="97"/>
        <v>20545631.725500003</v>
      </c>
      <c r="UR11" s="285">
        <f t="shared" si="97"/>
        <v>20561654.299200002</v>
      </c>
      <c r="US11" s="285">
        <f t="shared" si="97"/>
        <v>20015305.497000001</v>
      </c>
      <c r="UT11" s="285">
        <f t="shared" ref="UT11:VA11" si="98">(1-UT10)*UT9</f>
        <v>20680874.454399999</v>
      </c>
      <c r="UU11" s="285">
        <f t="shared" si="98"/>
        <v>20409181.316999998</v>
      </c>
      <c r="UV11" s="285">
        <f t="shared" si="98"/>
        <v>20020497.582400002</v>
      </c>
      <c r="UW11" s="285">
        <f t="shared" si="98"/>
        <v>20216740.183199998</v>
      </c>
      <c r="UX11" s="285">
        <f t="shared" si="98"/>
        <v>20689869.447000001</v>
      </c>
      <c r="UY11" s="285">
        <f t="shared" si="98"/>
        <v>20597505.761599999</v>
      </c>
      <c r="UZ11" s="285">
        <f t="shared" si="98"/>
        <v>19872925.968000002</v>
      </c>
      <c r="VA11" s="285">
        <f t="shared" si="98"/>
        <v>20654413.878000002</v>
      </c>
      <c r="VB11" s="285">
        <f t="shared" ref="VB11:VD11" si="99">(1-VB10)*VB9</f>
        <v>20754411.120000001</v>
      </c>
      <c r="VC11" s="285">
        <f t="shared" si="99"/>
        <v>20066348.029200003</v>
      </c>
      <c r="VD11" s="286">
        <f t="shared" si="99"/>
        <v>20469680.484000001</v>
      </c>
      <c r="VE11" s="285">
        <f>(1-VE10)*VE9</f>
        <v>17481913.573799998</v>
      </c>
      <c r="VF11" s="285">
        <f>(1-VF10)*VF9</f>
        <v>22110551.884399999</v>
      </c>
      <c r="VG11" s="285">
        <f>(1-VG10)*VG9</f>
        <v>20354645.523600001</v>
      </c>
      <c r="VH11" s="285">
        <f>(1-VH10)*VH9</f>
        <v>20369765.8138</v>
      </c>
      <c r="VI11" s="285">
        <f t="shared" ref="VI11:VR11" si="100">(1-VI10)*VI9</f>
        <v>20134703.3814</v>
      </c>
      <c r="VJ11" s="285">
        <f t="shared" si="100"/>
        <v>19097318.683499999</v>
      </c>
      <c r="VK11" s="285">
        <f t="shared" si="100"/>
        <v>19720341.112500001</v>
      </c>
      <c r="VL11" s="286">
        <f t="shared" si="100"/>
        <v>20360277.082799997</v>
      </c>
      <c r="VM11" s="285">
        <f t="shared" si="100"/>
        <v>20073713.732000001</v>
      </c>
      <c r="VN11" s="285">
        <f t="shared" si="100"/>
        <v>20095486.497899998</v>
      </c>
      <c r="VO11" s="285">
        <f t="shared" si="100"/>
        <v>20130386.063999999</v>
      </c>
      <c r="VP11" s="285">
        <f t="shared" si="100"/>
        <v>20387778.543299999</v>
      </c>
      <c r="VQ11" s="285">
        <f t="shared" si="100"/>
        <v>19779462.315000001</v>
      </c>
      <c r="VR11" s="285">
        <f t="shared" si="100"/>
        <v>20567253.138</v>
      </c>
    </row>
    <row r="12" spans="1:590" x14ac:dyDescent="0.25">
      <c r="SG12" s="57"/>
      <c r="SH12" s="57"/>
      <c r="SI12" s="57"/>
      <c r="SJ12" s="57"/>
      <c r="SK12" s="57"/>
      <c r="SL12" s="57"/>
      <c r="UE12" s="48"/>
      <c r="UF12" s="48"/>
    </row>
    <row r="13" spans="1:590" x14ac:dyDescent="0.25">
      <c r="SG13" s="57"/>
      <c r="SH13" s="57"/>
      <c r="SI13" s="57"/>
      <c r="SJ13" s="57"/>
      <c r="SK13" s="57"/>
      <c r="SL13" s="57"/>
      <c r="UE13" s="48"/>
      <c r="UF13" s="48"/>
    </row>
    <row r="14" spans="1:590" x14ac:dyDescent="0.25">
      <c r="A14" s="287" t="s">
        <v>259</v>
      </c>
      <c r="B14" s="270">
        <v>44927</v>
      </c>
      <c r="C14" s="270">
        <v>44928</v>
      </c>
      <c r="D14" s="270">
        <v>44929</v>
      </c>
      <c r="E14" s="270">
        <v>44930</v>
      </c>
      <c r="F14" s="270">
        <v>44931</v>
      </c>
      <c r="G14" s="270">
        <v>44932</v>
      </c>
      <c r="H14" s="270">
        <v>44933</v>
      </c>
      <c r="I14" s="270">
        <v>44934</v>
      </c>
      <c r="J14" s="270">
        <v>44935</v>
      </c>
      <c r="K14" s="270">
        <v>44936</v>
      </c>
      <c r="L14" s="270">
        <v>44937</v>
      </c>
      <c r="M14" s="270">
        <v>44938</v>
      </c>
      <c r="N14" s="270">
        <v>44939</v>
      </c>
      <c r="O14" s="270">
        <v>44940</v>
      </c>
      <c r="P14" s="270">
        <v>44941</v>
      </c>
      <c r="Q14" s="270">
        <v>44942</v>
      </c>
      <c r="R14" s="270">
        <v>44943</v>
      </c>
      <c r="S14" s="270">
        <v>44944</v>
      </c>
      <c r="T14" s="270">
        <v>44945</v>
      </c>
      <c r="U14" s="270">
        <v>44946</v>
      </c>
      <c r="V14" s="270">
        <v>44947</v>
      </c>
      <c r="W14" s="270">
        <v>44948</v>
      </c>
      <c r="X14" s="270">
        <v>44949</v>
      </c>
      <c r="Y14" s="270">
        <v>44950</v>
      </c>
      <c r="Z14" s="270">
        <v>44951</v>
      </c>
      <c r="AA14" s="270">
        <v>44952</v>
      </c>
      <c r="AB14" s="270">
        <v>44953</v>
      </c>
      <c r="AC14" s="270">
        <v>44954</v>
      </c>
      <c r="AD14" s="270">
        <v>44955</v>
      </c>
      <c r="AE14" s="270">
        <v>44956</v>
      </c>
      <c r="AF14" s="270">
        <v>44957</v>
      </c>
      <c r="AG14" s="270">
        <v>44958</v>
      </c>
      <c r="AH14" s="270">
        <v>44959</v>
      </c>
      <c r="AI14" s="270">
        <v>44960</v>
      </c>
      <c r="AJ14" s="270">
        <v>44961</v>
      </c>
      <c r="AK14" s="270">
        <v>44962</v>
      </c>
      <c r="AL14" s="270">
        <v>44963</v>
      </c>
      <c r="AM14" s="270">
        <v>44964</v>
      </c>
      <c r="AN14" s="270">
        <v>44965</v>
      </c>
      <c r="AO14" s="270">
        <v>44966</v>
      </c>
      <c r="AP14" s="270">
        <v>44967</v>
      </c>
      <c r="AQ14" s="270">
        <v>44968</v>
      </c>
      <c r="AR14" s="270">
        <v>44969</v>
      </c>
      <c r="AS14" s="270">
        <v>44970</v>
      </c>
      <c r="AT14" s="270">
        <v>44971</v>
      </c>
      <c r="AU14" s="270">
        <v>44972</v>
      </c>
      <c r="AV14" s="270">
        <v>44973</v>
      </c>
      <c r="AW14" s="270">
        <v>44974</v>
      </c>
      <c r="AX14" s="270">
        <v>44975</v>
      </c>
      <c r="AY14" s="270">
        <v>44976</v>
      </c>
      <c r="AZ14" s="270">
        <v>44977</v>
      </c>
      <c r="BA14" s="270">
        <v>44978</v>
      </c>
      <c r="BB14" s="270">
        <v>44979</v>
      </c>
      <c r="BC14" s="270">
        <v>44980</v>
      </c>
      <c r="BD14" s="270">
        <v>44981</v>
      </c>
      <c r="BE14" s="270">
        <v>44982</v>
      </c>
      <c r="BF14" s="270">
        <v>44983</v>
      </c>
      <c r="BG14" s="270">
        <v>44984</v>
      </c>
      <c r="BH14" s="270">
        <v>44985</v>
      </c>
      <c r="BI14" s="270">
        <v>44986</v>
      </c>
      <c r="BJ14" s="270">
        <v>44987</v>
      </c>
      <c r="BK14" s="270">
        <v>44988</v>
      </c>
      <c r="BL14" s="270">
        <v>44989</v>
      </c>
      <c r="BM14" s="270">
        <v>44990</v>
      </c>
      <c r="BN14" s="270">
        <v>44991</v>
      </c>
      <c r="BO14" s="270">
        <v>44992</v>
      </c>
      <c r="BP14" s="270">
        <v>44993</v>
      </c>
      <c r="BQ14" s="270">
        <v>44994</v>
      </c>
      <c r="BR14" s="270">
        <v>44995</v>
      </c>
      <c r="BS14" s="270">
        <v>44996</v>
      </c>
      <c r="BT14" s="270">
        <v>44997</v>
      </c>
      <c r="BU14" s="270">
        <v>44998</v>
      </c>
      <c r="BV14" s="270">
        <v>44999</v>
      </c>
      <c r="BW14" s="270">
        <v>45000</v>
      </c>
      <c r="BX14" s="270">
        <v>45001</v>
      </c>
      <c r="BY14" s="270">
        <v>45002</v>
      </c>
      <c r="BZ14" s="270">
        <v>45003</v>
      </c>
      <c r="CA14" s="270">
        <v>45004</v>
      </c>
      <c r="CB14" s="270">
        <v>45005</v>
      </c>
      <c r="CC14" s="270">
        <v>45006</v>
      </c>
      <c r="CD14" s="270">
        <v>45007</v>
      </c>
      <c r="CE14" s="270">
        <v>45008</v>
      </c>
      <c r="CF14" s="270">
        <v>45009</v>
      </c>
      <c r="CG14" s="270">
        <v>45010</v>
      </c>
      <c r="CH14" s="270">
        <v>45011</v>
      </c>
      <c r="CI14" s="270">
        <v>45012</v>
      </c>
      <c r="CJ14" s="270">
        <v>45013</v>
      </c>
      <c r="CK14" s="270">
        <v>45014</v>
      </c>
      <c r="CL14" s="270">
        <v>45015</v>
      </c>
      <c r="CM14" s="270">
        <v>45016</v>
      </c>
      <c r="CN14" s="270">
        <v>45017</v>
      </c>
      <c r="CO14" s="270">
        <v>45018</v>
      </c>
      <c r="CP14" s="270">
        <v>45019</v>
      </c>
      <c r="CQ14" s="270">
        <v>45020</v>
      </c>
      <c r="CR14" s="270">
        <v>45021</v>
      </c>
      <c r="CS14" s="270">
        <v>45022</v>
      </c>
      <c r="CT14" s="270">
        <v>45023</v>
      </c>
      <c r="CU14" s="270">
        <v>45024</v>
      </c>
      <c r="CV14" s="270">
        <v>45025</v>
      </c>
      <c r="CW14" s="270">
        <v>45026</v>
      </c>
      <c r="CX14" s="270">
        <v>45027</v>
      </c>
      <c r="CY14" s="270">
        <v>45028</v>
      </c>
      <c r="CZ14" s="270">
        <v>45029</v>
      </c>
      <c r="DA14" s="270">
        <v>45030</v>
      </c>
      <c r="DB14" s="270">
        <v>45031</v>
      </c>
      <c r="DC14" s="270">
        <v>45032</v>
      </c>
      <c r="DD14" s="270">
        <v>45033</v>
      </c>
      <c r="DE14" s="270">
        <v>45034</v>
      </c>
      <c r="DF14" s="270">
        <v>45035</v>
      </c>
      <c r="DG14" s="270">
        <v>45036</v>
      </c>
      <c r="DH14" s="270">
        <v>45037</v>
      </c>
      <c r="DI14" s="270">
        <v>45038</v>
      </c>
      <c r="DJ14" s="270">
        <v>45039</v>
      </c>
      <c r="DK14" s="270">
        <v>45040</v>
      </c>
      <c r="DL14" s="270">
        <v>45041</v>
      </c>
      <c r="DM14" s="270">
        <v>45042</v>
      </c>
      <c r="DN14" s="270">
        <v>45043</v>
      </c>
      <c r="DO14" s="270">
        <v>45044</v>
      </c>
      <c r="DP14" s="270">
        <v>45045</v>
      </c>
      <c r="DQ14" s="270">
        <v>45046</v>
      </c>
      <c r="DR14" s="270">
        <v>45047</v>
      </c>
      <c r="DS14" s="270">
        <v>45048</v>
      </c>
      <c r="DT14" s="270">
        <v>45049</v>
      </c>
      <c r="DU14" s="270">
        <v>45050</v>
      </c>
      <c r="DV14" s="270">
        <v>45051</v>
      </c>
      <c r="DW14" s="270">
        <v>45052</v>
      </c>
      <c r="DX14" s="270">
        <v>45053</v>
      </c>
      <c r="DY14" s="270">
        <v>45054</v>
      </c>
      <c r="DZ14" s="270">
        <v>45055</v>
      </c>
      <c r="EA14" s="270">
        <v>45056</v>
      </c>
      <c r="EB14" s="270">
        <v>45057</v>
      </c>
      <c r="EC14" s="270">
        <v>45058</v>
      </c>
      <c r="ED14" s="270">
        <v>45059</v>
      </c>
      <c r="EE14" s="270">
        <v>45060</v>
      </c>
      <c r="EF14" s="270">
        <v>45061</v>
      </c>
      <c r="EG14" s="270">
        <v>45062</v>
      </c>
      <c r="EH14" s="270">
        <v>45063</v>
      </c>
      <c r="EI14" s="270">
        <v>45064</v>
      </c>
      <c r="EJ14" s="270">
        <v>45065</v>
      </c>
      <c r="EK14" s="270">
        <v>45066</v>
      </c>
      <c r="EL14" s="270">
        <v>45067</v>
      </c>
      <c r="EM14" s="270">
        <v>45068</v>
      </c>
      <c r="EN14" s="270">
        <v>45069</v>
      </c>
      <c r="EO14" s="270">
        <v>45070</v>
      </c>
      <c r="EP14" s="270">
        <v>45071</v>
      </c>
      <c r="EQ14" s="270">
        <v>45072</v>
      </c>
      <c r="ER14" s="270">
        <v>45073</v>
      </c>
      <c r="ES14" s="270">
        <v>45074</v>
      </c>
      <c r="ET14" s="270">
        <v>45075</v>
      </c>
      <c r="EU14" s="270">
        <v>45076</v>
      </c>
      <c r="EV14" s="270">
        <v>45077</v>
      </c>
      <c r="EW14" s="270">
        <v>45078</v>
      </c>
      <c r="EX14" s="270">
        <v>45079</v>
      </c>
      <c r="EY14" s="270">
        <v>45080</v>
      </c>
      <c r="EZ14" s="270">
        <v>45081</v>
      </c>
      <c r="FA14" s="270">
        <v>45082</v>
      </c>
      <c r="FB14" s="270">
        <v>45083</v>
      </c>
      <c r="FC14" s="270">
        <v>45084</v>
      </c>
      <c r="FD14" s="270">
        <v>45085</v>
      </c>
      <c r="FE14" s="270">
        <v>45086</v>
      </c>
      <c r="FF14" s="270">
        <v>45087</v>
      </c>
      <c r="FG14" s="270">
        <v>45088</v>
      </c>
      <c r="FH14" s="270">
        <v>45089</v>
      </c>
      <c r="FI14" s="270">
        <v>45090</v>
      </c>
      <c r="FJ14" s="270">
        <v>45091</v>
      </c>
      <c r="FK14" s="270">
        <v>45092</v>
      </c>
      <c r="FL14" s="270">
        <v>45093</v>
      </c>
      <c r="FM14" s="270">
        <v>45094</v>
      </c>
      <c r="FN14" s="270">
        <v>45095</v>
      </c>
      <c r="FO14" s="270">
        <v>45096</v>
      </c>
      <c r="FP14" s="270">
        <v>45097</v>
      </c>
      <c r="FQ14" s="270">
        <v>45098</v>
      </c>
      <c r="FR14" s="270">
        <v>45099</v>
      </c>
      <c r="FS14" s="270">
        <v>45100</v>
      </c>
      <c r="FT14" s="270">
        <v>45101</v>
      </c>
      <c r="FU14" s="270">
        <v>45102</v>
      </c>
      <c r="FV14" s="270">
        <v>45103</v>
      </c>
      <c r="FW14" s="270">
        <v>45104</v>
      </c>
      <c r="FX14" s="270">
        <v>45105</v>
      </c>
      <c r="FY14" s="270">
        <v>45106</v>
      </c>
      <c r="FZ14" s="270">
        <v>45107</v>
      </c>
      <c r="GA14" s="270">
        <v>45108</v>
      </c>
      <c r="GB14" s="270">
        <v>45109</v>
      </c>
      <c r="GC14" s="270">
        <v>45110</v>
      </c>
      <c r="GD14" s="270">
        <v>45111</v>
      </c>
      <c r="GE14" s="270">
        <v>45112</v>
      </c>
      <c r="GF14" s="270">
        <v>45113</v>
      </c>
      <c r="GG14" s="270">
        <v>45114</v>
      </c>
      <c r="GH14" s="270">
        <v>45115</v>
      </c>
      <c r="GI14" s="270">
        <v>45116</v>
      </c>
      <c r="GJ14" s="270">
        <v>45117</v>
      </c>
      <c r="GK14" s="270">
        <v>45118</v>
      </c>
      <c r="GL14" s="270">
        <v>45119</v>
      </c>
      <c r="GM14" s="270">
        <v>45120</v>
      </c>
      <c r="GN14" s="270">
        <v>45121</v>
      </c>
      <c r="GO14" s="270">
        <v>45122</v>
      </c>
      <c r="GP14" s="270">
        <v>45123</v>
      </c>
      <c r="GQ14" s="270">
        <v>45124</v>
      </c>
      <c r="GR14" s="270">
        <v>45125</v>
      </c>
      <c r="GS14" s="270">
        <v>45126</v>
      </c>
      <c r="GT14" s="270">
        <v>45127</v>
      </c>
      <c r="GU14" s="270">
        <v>45128</v>
      </c>
      <c r="GV14" s="270">
        <v>45129</v>
      </c>
      <c r="GW14" s="270">
        <v>45130</v>
      </c>
      <c r="GX14" s="270">
        <v>45131</v>
      </c>
      <c r="GY14" s="270">
        <v>45132</v>
      </c>
      <c r="GZ14" s="270">
        <v>45133</v>
      </c>
      <c r="HA14" s="270">
        <v>45134</v>
      </c>
      <c r="HB14" s="270">
        <v>45135</v>
      </c>
      <c r="HC14" s="270">
        <v>45136</v>
      </c>
      <c r="HD14" s="270">
        <v>45137</v>
      </c>
      <c r="HE14" s="270">
        <v>45138</v>
      </c>
      <c r="HF14" s="270">
        <v>45139</v>
      </c>
      <c r="HG14" s="270">
        <v>45140</v>
      </c>
      <c r="HH14" s="270">
        <v>45141</v>
      </c>
      <c r="HI14" s="270">
        <v>45142</v>
      </c>
      <c r="HJ14" s="270">
        <v>45143</v>
      </c>
      <c r="HK14" s="270">
        <v>45144</v>
      </c>
      <c r="HL14" s="270">
        <v>45145</v>
      </c>
      <c r="HM14" s="270">
        <v>45146</v>
      </c>
      <c r="HN14" s="270">
        <v>45147</v>
      </c>
      <c r="HO14" s="270">
        <v>45148</v>
      </c>
      <c r="HP14" s="270">
        <v>45149</v>
      </c>
      <c r="HQ14" s="270">
        <v>45150</v>
      </c>
      <c r="HR14" s="270">
        <v>45151</v>
      </c>
      <c r="HS14" s="270">
        <v>45152</v>
      </c>
      <c r="HT14" s="270">
        <v>45153</v>
      </c>
      <c r="HU14" s="270">
        <v>45154</v>
      </c>
      <c r="HV14" s="270">
        <v>45155</v>
      </c>
      <c r="HW14" s="270">
        <v>45156</v>
      </c>
      <c r="HX14" s="270">
        <v>45157</v>
      </c>
      <c r="HY14" s="270">
        <v>45158</v>
      </c>
      <c r="HZ14" s="270">
        <v>45159</v>
      </c>
      <c r="IA14" s="270">
        <v>45160</v>
      </c>
      <c r="IB14" s="270">
        <v>45161</v>
      </c>
      <c r="IC14" s="270">
        <v>45162</v>
      </c>
      <c r="ID14" s="270">
        <v>45163</v>
      </c>
      <c r="IE14" s="270">
        <v>45164</v>
      </c>
      <c r="IF14" s="270">
        <v>45165</v>
      </c>
      <c r="IG14" s="270">
        <v>45166</v>
      </c>
      <c r="IH14" s="270">
        <v>45167</v>
      </c>
      <c r="II14" s="270">
        <v>45168</v>
      </c>
      <c r="IJ14" s="270">
        <v>45169</v>
      </c>
      <c r="IK14" s="270">
        <v>45170</v>
      </c>
      <c r="IL14" s="270">
        <v>45171</v>
      </c>
      <c r="IM14" s="270">
        <v>45172</v>
      </c>
      <c r="IN14" s="270">
        <v>45173</v>
      </c>
      <c r="IO14" s="270">
        <v>45174</v>
      </c>
      <c r="IP14" s="270">
        <v>45175</v>
      </c>
      <c r="IQ14" s="270">
        <v>45176</v>
      </c>
      <c r="IR14" s="270">
        <v>45177</v>
      </c>
      <c r="IS14" s="270">
        <v>45178</v>
      </c>
      <c r="IT14" s="270">
        <v>45179</v>
      </c>
      <c r="IU14" s="270">
        <v>45180</v>
      </c>
      <c r="IV14" s="270">
        <v>45181</v>
      </c>
      <c r="IW14" s="270">
        <v>45182</v>
      </c>
      <c r="IX14" s="270">
        <v>45183</v>
      </c>
      <c r="IY14" s="270">
        <v>45184</v>
      </c>
      <c r="IZ14" s="270">
        <v>45185</v>
      </c>
      <c r="JA14" s="270">
        <v>45186</v>
      </c>
      <c r="JB14" s="270">
        <v>45187</v>
      </c>
      <c r="JC14" s="270">
        <v>45188</v>
      </c>
      <c r="JD14" s="270">
        <v>45189</v>
      </c>
      <c r="JE14" s="270">
        <v>45190</v>
      </c>
      <c r="JF14" s="270">
        <v>45191</v>
      </c>
      <c r="JG14" s="270">
        <v>45192</v>
      </c>
      <c r="JH14" s="270">
        <v>45193</v>
      </c>
      <c r="JI14" s="270">
        <v>45194</v>
      </c>
      <c r="JJ14" s="270">
        <v>45195</v>
      </c>
      <c r="JK14" s="270">
        <v>45196</v>
      </c>
      <c r="JL14" s="270">
        <v>45197</v>
      </c>
      <c r="JM14" s="270">
        <v>45198</v>
      </c>
      <c r="JN14" s="270">
        <v>45199</v>
      </c>
      <c r="JO14" s="270">
        <v>45200</v>
      </c>
      <c r="JP14" s="270">
        <v>45201</v>
      </c>
      <c r="JQ14" s="270">
        <v>45202</v>
      </c>
      <c r="JR14" s="270">
        <v>45203</v>
      </c>
      <c r="JS14" s="270">
        <v>45204</v>
      </c>
      <c r="JT14" s="270">
        <v>45205</v>
      </c>
      <c r="JU14" s="270">
        <v>45206</v>
      </c>
      <c r="JV14" s="270">
        <v>45207</v>
      </c>
      <c r="JW14" s="270">
        <v>45208</v>
      </c>
      <c r="JX14" s="270">
        <v>45209</v>
      </c>
      <c r="JY14" s="270">
        <v>45210</v>
      </c>
      <c r="JZ14" s="270">
        <v>45211</v>
      </c>
      <c r="KA14" s="270">
        <v>45212</v>
      </c>
      <c r="KB14" s="270">
        <v>45213</v>
      </c>
      <c r="KC14" s="270">
        <v>45214</v>
      </c>
      <c r="KD14" s="270">
        <v>45215</v>
      </c>
      <c r="KE14" s="270">
        <v>45216</v>
      </c>
      <c r="KF14" s="270">
        <v>45217</v>
      </c>
      <c r="KG14" s="270">
        <v>45218</v>
      </c>
      <c r="KH14" s="270">
        <v>45219</v>
      </c>
      <c r="KI14" s="270">
        <v>45220</v>
      </c>
      <c r="KJ14" s="270">
        <v>45221</v>
      </c>
      <c r="KK14" s="270">
        <v>45222</v>
      </c>
      <c r="KL14" s="270">
        <v>45223</v>
      </c>
      <c r="KM14" s="270">
        <v>45224</v>
      </c>
      <c r="KN14" s="270">
        <v>45225</v>
      </c>
      <c r="KO14" s="270">
        <v>45226</v>
      </c>
      <c r="KP14" s="270">
        <v>45227</v>
      </c>
      <c r="KQ14" s="270">
        <v>45228</v>
      </c>
      <c r="KR14" s="270">
        <v>45229</v>
      </c>
      <c r="KS14" s="270">
        <v>45230</v>
      </c>
      <c r="KT14" s="270">
        <v>45231</v>
      </c>
      <c r="KU14" s="270">
        <v>45232</v>
      </c>
      <c r="KV14" s="270">
        <v>45233</v>
      </c>
      <c r="KW14" s="270">
        <v>45234</v>
      </c>
      <c r="KX14" s="270">
        <v>45235</v>
      </c>
      <c r="KY14" s="270">
        <v>45236</v>
      </c>
      <c r="KZ14" s="270">
        <v>45237</v>
      </c>
      <c r="LA14" s="270">
        <v>45238</v>
      </c>
      <c r="LB14" s="270">
        <v>45239</v>
      </c>
      <c r="LC14" s="270">
        <v>45240</v>
      </c>
      <c r="LD14" s="270">
        <v>45241</v>
      </c>
      <c r="LE14" s="270">
        <v>45242</v>
      </c>
      <c r="LF14" s="270">
        <v>45243</v>
      </c>
      <c r="LG14" s="270">
        <v>45244</v>
      </c>
      <c r="LH14" s="270">
        <v>45245</v>
      </c>
      <c r="LI14" s="270">
        <v>45246</v>
      </c>
      <c r="LJ14" s="270">
        <v>45247</v>
      </c>
      <c r="LK14" s="270">
        <v>45248</v>
      </c>
      <c r="LL14" s="270">
        <v>45249</v>
      </c>
      <c r="LM14" s="270">
        <v>45250</v>
      </c>
      <c r="LN14" s="270">
        <v>45251</v>
      </c>
      <c r="LO14" s="270">
        <v>45252</v>
      </c>
      <c r="LP14" s="270">
        <v>45253</v>
      </c>
      <c r="LQ14" s="270">
        <v>45254</v>
      </c>
      <c r="LR14" s="270">
        <v>45255</v>
      </c>
      <c r="LS14" s="270">
        <v>45256</v>
      </c>
      <c r="LT14" s="270">
        <v>45257</v>
      </c>
      <c r="LU14" s="270">
        <v>45258</v>
      </c>
      <c r="LV14" s="270">
        <v>45259</v>
      </c>
      <c r="LW14" s="270">
        <v>45260</v>
      </c>
      <c r="LX14" s="270">
        <v>45261</v>
      </c>
      <c r="LY14" s="270">
        <v>45262</v>
      </c>
      <c r="LZ14" s="270">
        <v>45263</v>
      </c>
      <c r="MA14" s="270">
        <v>45264</v>
      </c>
      <c r="MB14" s="270">
        <v>45265</v>
      </c>
      <c r="MC14" s="270">
        <v>45266</v>
      </c>
      <c r="MD14" s="270">
        <v>45267</v>
      </c>
      <c r="ME14" s="270">
        <v>45268</v>
      </c>
      <c r="MF14" s="270">
        <v>45269</v>
      </c>
      <c r="MG14" s="270">
        <v>45270</v>
      </c>
      <c r="MH14" s="270">
        <v>45271</v>
      </c>
      <c r="MI14" s="270">
        <v>45272</v>
      </c>
      <c r="MJ14" s="270">
        <v>45273</v>
      </c>
      <c r="MK14" s="270">
        <v>45274</v>
      </c>
      <c r="ML14" s="270">
        <v>45275</v>
      </c>
      <c r="MM14" s="270">
        <v>45276</v>
      </c>
      <c r="MN14" s="270">
        <v>45277</v>
      </c>
      <c r="MO14" s="270">
        <v>45278</v>
      </c>
      <c r="MP14" s="270">
        <v>45279</v>
      </c>
      <c r="MQ14" s="270">
        <v>45280</v>
      </c>
      <c r="MR14" s="270">
        <v>45281</v>
      </c>
      <c r="MS14" s="270">
        <v>45282</v>
      </c>
      <c r="MT14" s="270">
        <v>45283</v>
      </c>
      <c r="MU14" s="270">
        <v>45284</v>
      </c>
      <c r="MV14" s="270">
        <v>45285</v>
      </c>
      <c r="MW14" s="270">
        <v>45286</v>
      </c>
      <c r="MX14" s="270">
        <v>45287</v>
      </c>
      <c r="MY14" s="270">
        <v>45288</v>
      </c>
      <c r="MZ14" s="270">
        <v>45289</v>
      </c>
      <c r="NA14" s="270">
        <v>45290</v>
      </c>
      <c r="NB14" s="270">
        <v>45291</v>
      </c>
      <c r="NC14" s="270">
        <v>45292</v>
      </c>
      <c r="ND14" s="270">
        <v>45293</v>
      </c>
      <c r="NE14" s="270">
        <v>45294</v>
      </c>
      <c r="NF14" s="270">
        <v>45295</v>
      </c>
      <c r="NG14" s="270">
        <v>45296</v>
      </c>
      <c r="NH14" s="270">
        <v>45297</v>
      </c>
      <c r="NI14" s="270">
        <v>45298</v>
      </c>
      <c r="NJ14" s="270">
        <v>45299</v>
      </c>
      <c r="NK14" s="270">
        <v>45300</v>
      </c>
      <c r="NL14" s="270">
        <v>45301</v>
      </c>
      <c r="NM14" s="270">
        <v>45302</v>
      </c>
      <c r="NN14" s="270">
        <v>45303</v>
      </c>
      <c r="NO14" s="270">
        <v>45304</v>
      </c>
      <c r="NP14" s="270">
        <v>45305</v>
      </c>
      <c r="NQ14" s="270">
        <v>45306</v>
      </c>
      <c r="NR14" s="270">
        <v>45307</v>
      </c>
      <c r="NS14" s="270">
        <v>45308</v>
      </c>
      <c r="NT14" s="270">
        <v>45309</v>
      </c>
      <c r="NU14" s="270">
        <v>45310</v>
      </c>
      <c r="NV14" s="270">
        <v>45311</v>
      </c>
      <c r="NW14" s="270">
        <v>45312</v>
      </c>
      <c r="NX14" s="270">
        <v>45313</v>
      </c>
      <c r="NY14" s="270">
        <v>45314</v>
      </c>
      <c r="NZ14" s="270">
        <v>45315</v>
      </c>
      <c r="OA14" s="270">
        <v>45316</v>
      </c>
      <c r="OB14" s="270">
        <v>45317</v>
      </c>
      <c r="OC14" s="270">
        <v>45318</v>
      </c>
      <c r="OD14" s="270">
        <v>45319</v>
      </c>
      <c r="OE14" s="270">
        <v>45320</v>
      </c>
      <c r="OF14" s="270">
        <v>45321</v>
      </c>
      <c r="OG14" s="270">
        <v>45322</v>
      </c>
      <c r="OH14" s="270">
        <v>45323</v>
      </c>
      <c r="OI14" s="270">
        <v>45324</v>
      </c>
      <c r="OJ14" s="270">
        <v>45325</v>
      </c>
      <c r="OK14" s="270">
        <v>45326</v>
      </c>
      <c r="OL14" s="270">
        <v>45327</v>
      </c>
      <c r="OM14" s="270">
        <v>45328</v>
      </c>
      <c r="ON14" s="270">
        <v>45329</v>
      </c>
      <c r="OO14" s="270">
        <v>45330</v>
      </c>
      <c r="OP14" s="270">
        <v>45331</v>
      </c>
      <c r="OQ14" s="270">
        <v>45332</v>
      </c>
      <c r="OR14" s="270">
        <v>45333</v>
      </c>
      <c r="OS14" s="270">
        <v>45334</v>
      </c>
      <c r="OT14" s="270">
        <v>45335</v>
      </c>
      <c r="OU14" s="270">
        <v>45336</v>
      </c>
      <c r="OV14" s="270">
        <v>45337</v>
      </c>
      <c r="OW14" s="270">
        <v>45338</v>
      </c>
      <c r="OX14" s="270">
        <v>45339</v>
      </c>
      <c r="OY14" s="270">
        <v>45340</v>
      </c>
      <c r="OZ14" s="270">
        <v>45341</v>
      </c>
      <c r="PA14" s="270">
        <v>45342</v>
      </c>
      <c r="PB14" s="270">
        <v>45343</v>
      </c>
      <c r="PC14" s="270">
        <v>45344</v>
      </c>
      <c r="PD14" s="270">
        <v>45345</v>
      </c>
      <c r="PE14" s="270">
        <v>45346</v>
      </c>
      <c r="PF14" s="270">
        <v>45347</v>
      </c>
      <c r="PG14" s="270">
        <v>45348</v>
      </c>
      <c r="PH14" s="270">
        <v>45349</v>
      </c>
      <c r="PI14" s="270">
        <v>45350</v>
      </c>
      <c r="PJ14" s="270">
        <v>45351</v>
      </c>
      <c r="PK14" s="270">
        <v>45352</v>
      </c>
      <c r="PL14" s="270">
        <v>45353</v>
      </c>
      <c r="PM14" s="270">
        <v>45354</v>
      </c>
      <c r="PN14" s="270">
        <v>45355</v>
      </c>
      <c r="PO14" s="270">
        <v>45356</v>
      </c>
      <c r="PP14" s="270">
        <v>45357</v>
      </c>
      <c r="PQ14" s="270">
        <v>45358</v>
      </c>
      <c r="PR14" s="270">
        <v>45359</v>
      </c>
      <c r="PS14" s="270">
        <v>45360</v>
      </c>
      <c r="PT14" s="270">
        <v>45361</v>
      </c>
      <c r="PU14" s="270">
        <v>45362</v>
      </c>
      <c r="PV14" s="270">
        <v>45363</v>
      </c>
      <c r="PW14" s="270">
        <v>45364</v>
      </c>
      <c r="PX14" s="270">
        <v>45365</v>
      </c>
      <c r="PY14" s="270">
        <v>45366</v>
      </c>
      <c r="PZ14" s="270">
        <v>45367</v>
      </c>
      <c r="QA14" s="270">
        <v>45368</v>
      </c>
      <c r="QB14" s="270">
        <v>45369</v>
      </c>
      <c r="QC14" s="270">
        <v>45370</v>
      </c>
      <c r="QD14" s="270">
        <v>45371</v>
      </c>
      <c r="QE14" s="270">
        <v>45372</v>
      </c>
      <c r="QF14" s="270">
        <v>45373</v>
      </c>
      <c r="QG14" s="270">
        <v>45374</v>
      </c>
      <c r="QH14" s="270">
        <v>45375</v>
      </c>
      <c r="QI14" s="270">
        <v>45376</v>
      </c>
      <c r="QJ14" s="270">
        <v>45377</v>
      </c>
      <c r="QK14" s="270">
        <v>45378</v>
      </c>
      <c r="QL14" s="270">
        <v>45379</v>
      </c>
      <c r="QM14" s="270">
        <v>45380</v>
      </c>
      <c r="QN14" s="270">
        <v>45381</v>
      </c>
      <c r="QO14" s="270">
        <v>45382</v>
      </c>
      <c r="QP14" s="270">
        <v>45383</v>
      </c>
      <c r="QQ14" s="270">
        <v>45384</v>
      </c>
      <c r="QR14" s="270">
        <v>45385</v>
      </c>
      <c r="QS14" s="270">
        <v>45386</v>
      </c>
      <c r="QT14" s="270">
        <v>45387</v>
      </c>
      <c r="QU14" s="270">
        <v>45388</v>
      </c>
      <c r="QV14" s="270">
        <v>45389</v>
      </c>
      <c r="QW14" s="270">
        <v>45390</v>
      </c>
      <c r="QX14" s="270">
        <v>45391</v>
      </c>
      <c r="QY14" s="270">
        <v>45392</v>
      </c>
      <c r="QZ14" s="270">
        <v>45393</v>
      </c>
      <c r="RA14" s="270">
        <v>45394</v>
      </c>
      <c r="RB14" s="270">
        <v>45395</v>
      </c>
      <c r="RC14" s="270">
        <v>45396</v>
      </c>
      <c r="RD14" s="270">
        <v>45397</v>
      </c>
      <c r="RE14" s="270">
        <v>45398</v>
      </c>
      <c r="RF14" s="270">
        <v>45399</v>
      </c>
      <c r="RG14" s="270">
        <v>45400</v>
      </c>
      <c r="RH14" s="270">
        <v>45401</v>
      </c>
      <c r="RI14" s="270">
        <v>45402</v>
      </c>
      <c r="RJ14" s="270">
        <v>45403</v>
      </c>
      <c r="RK14" s="270">
        <v>45404</v>
      </c>
      <c r="RL14" s="270">
        <v>45405</v>
      </c>
      <c r="RM14" s="270">
        <v>45406</v>
      </c>
      <c r="RN14" s="270">
        <v>45407</v>
      </c>
      <c r="RO14" s="270">
        <v>45408</v>
      </c>
      <c r="RP14" s="270">
        <v>45409</v>
      </c>
      <c r="RQ14" s="270">
        <v>45410</v>
      </c>
      <c r="RR14" s="270">
        <v>45411</v>
      </c>
      <c r="RS14" s="270">
        <v>45412</v>
      </c>
      <c r="RT14" s="270">
        <v>45413</v>
      </c>
      <c r="RU14" s="270">
        <v>45414</v>
      </c>
      <c r="RV14" s="270">
        <v>45415</v>
      </c>
      <c r="RW14" s="270">
        <v>45416</v>
      </c>
      <c r="RX14" s="270">
        <v>45417</v>
      </c>
      <c r="RY14" s="270">
        <v>45418</v>
      </c>
      <c r="RZ14" s="270">
        <v>45419</v>
      </c>
      <c r="SA14" s="270">
        <v>45420</v>
      </c>
      <c r="SB14" s="270">
        <v>45421</v>
      </c>
      <c r="SC14" s="270">
        <v>45422</v>
      </c>
      <c r="SD14" s="270">
        <v>45423</v>
      </c>
      <c r="SE14" s="270">
        <v>45424</v>
      </c>
      <c r="SF14" s="270">
        <v>45425</v>
      </c>
      <c r="SG14" s="270">
        <v>45426</v>
      </c>
      <c r="SH14" s="270">
        <v>45427</v>
      </c>
      <c r="SI14" s="270">
        <v>45428</v>
      </c>
      <c r="SJ14" s="270">
        <v>45429</v>
      </c>
      <c r="SK14" s="270">
        <v>45430</v>
      </c>
      <c r="SL14" s="270">
        <v>45431</v>
      </c>
      <c r="SM14" s="270">
        <v>45432</v>
      </c>
      <c r="SN14" s="270">
        <v>45433</v>
      </c>
      <c r="SO14" s="270">
        <v>45434</v>
      </c>
      <c r="SP14" s="270">
        <v>45435</v>
      </c>
      <c r="SQ14" s="270">
        <v>45436</v>
      </c>
      <c r="SR14" s="270">
        <v>45437</v>
      </c>
      <c r="SS14" s="270">
        <v>45438</v>
      </c>
      <c r="ST14" s="270">
        <v>45439</v>
      </c>
      <c r="SU14" s="270">
        <v>45440</v>
      </c>
      <c r="SV14" s="270">
        <v>45441</v>
      </c>
      <c r="SW14" s="270">
        <v>45442</v>
      </c>
      <c r="SX14" s="270">
        <v>45443</v>
      </c>
      <c r="SY14" s="270">
        <v>45444</v>
      </c>
      <c r="SZ14" s="270">
        <v>45445</v>
      </c>
      <c r="TA14" s="270">
        <v>45446</v>
      </c>
      <c r="TB14" s="270">
        <v>45447</v>
      </c>
      <c r="TC14" s="270">
        <v>45448</v>
      </c>
      <c r="TD14" s="270">
        <v>45449</v>
      </c>
      <c r="TE14" s="270">
        <v>45450</v>
      </c>
      <c r="TF14" s="270">
        <v>45451</v>
      </c>
      <c r="TG14" s="270">
        <v>45452</v>
      </c>
      <c r="TH14" s="270">
        <v>45453</v>
      </c>
      <c r="TI14" s="270">
        <v>45454</v>
      </c>
      <c r="TJ14" s="270">
        <v>45455</v>
      </c>
      <c r="TK14" s="270">
        <v>45456</v>
      </c>
      <c r="TL14" s="270">
        <v>45457</v>
      </c>
      <c r="TM14" s="270">
        <v>45458</v>
      </c>
      <c r="TN14" s="270">
        <v>45459</v>
      </c>
      <c r="TO14" s="270">
        <v>45460</v>
      </c>
      <c r="TP14" s="270">
        <v>45461</v>
      </c>
      <c r="TQ14" s="270">
        <v>45462</v>
      </c>
      <c r="TR14" s="270">
        <v>45463</v>
      </c>
      <c r="TS14" s="270">
        <v>45464</v>
      </c>
      <c r="TT14" s="270">
        <v>45465</v>
      </c>
      <c r="TU14" s="270">
        <v>45466</v>
      </c>
      <c r="TV14" s="270">
        <v>45467</v>
      </c>
      <c r="TW14" s="270">
        <v>45468</v>
      </c>
      <c r="TX14" s="270">
        <v>45469</v>
      </c>
      <c r="TY14" s="270">
        <v>45470</v>
      </c>
      <c r="TZ14" s="270">
        <v>45471</v>
      </c>
      <c r="UA14" s="270">
        <v>45472</v>
      </c>
      <c r="UB14" s="270">
        <v>45473</v>
      </c>
      <c r="UC14" s="270">
        <v>45474</v>
      </c>
      <c r="UD14" s="317">
        <v>45475</v>
      </c>
      <c r="UE14" s="270">
        <v>45476</v>
      </c>
      <c r="UF14" s="270">
        <v>45477</v>
      </c>
      <c r="UG14" s="270">
        <v>45478</v>
      </c>
      <c r="UH14" s="270">
        <v>45479</v>
      </c>
      <c r="UI14" s="270">
        <v>45480</v>
      </c>
      <c r="UJ14" s="270">
        <v>45481</v>
      </c>
      <c r="UK14" s="270">
        <v>45482</v>
      </c>
      <c r="UL14" s="270">
        <v>45483</v>
      </c>
      <c r="UM14" s="270">
        <v>45484</v>
      </c>
      <c r="UN14" s="270">
        <v>45485</v>
      </c>
      <c r="UO14" s="270">
        <v>45486</v>
      </c>
      <c r="UP14" s="270">
        <v>45487</v>
      </c>
      <c r="UQ14" s="270">
        <v>45488</v>
      </c>
      <c r="UR14" s="270">
        <v>45489</v>
      </c>
      <c r="US14" s="270">
        <v>45490</v>
      </c>
      <c r="UT14" s="270">
        <v>45491</v>
      </c>
      <c r="UU14" s="270">
        <v>45492</v>
      </c>
      <c r="UV14" s="270">
        <v>45493</v>
      </c>
      <c r="UW14" s="270">
        <v>45494</v>
      </c>
      <c r="UX14" s="270">
        <v>45495</v>
      </c>
      <c r="UY14" s="270">
        <v>45496</v>
      </c>
      <c r="UZ14" s="270">
        <v>45497</v>
      </c>
      <c r="VA14" s="270">
        <v>45498</v>
      </c>
      <c r="VB14" s="270">
        <v>45499</v>
      </c>
      <c r="VC14" s="270">
        <v>45500</v>
      </c>
      <c r="VD14" s="270">
        <v>45501</v>
      </c>
      <c r="VE14" s="270">
        <v>45502</v>
      </c>
      <c r="VF14" s="270">
        <v>45503</v>
      </c>
      <c r="VG14" s="270">
        <v>45504</v>
      </c>
      <c r="VH14" s="270">
        <v>45505</v>
      </c>
      <c r="VI14" s="270">
        <v>45506</v>
      </c>
      <c r="VJ14" s="270">
        <v>45507</v>
      </c>
      <c r="VK14" s="270">
        <v>45508</v>
      </c>
      <c r="VL14" s="270">
        <v>45509</v>
      </c>
      <c r="VM14" s="270">
        <v>45510</v>
      </c>
      <c r="VN14" s="270">
        <v>45511</v>
      </c>
      <c r="VO14" s="270">
        <v>45512</v>
      </c>
      <c r="VP14" s="270">
        <v>45513</v>
      </c>
      <c r="VQ14" s="270">
        <v>45514</v>
      </c>
      <c r="VR14" s="270">
        <v>45515</v>
      </c>
    </row>
    <row r="15" spans="1:590" x14ac:dyDescent="0.25">
      <c r="A15" s="288" t="s">
        <v>260</v>
      </c>
      <c r="B15" s="288" t="s">
        <v>261</v>
      </c>
      <c r="C15" s="288" t="s">
        <v>261</v>
      </c>
      <c r="D15" s="288" t="s">
        <v>261</v>
      </c>
      <c r="E15" s="288" t="s">
        <v>261</v>
      </c>
      <c r="F15" s="288" t="s">
        <v>261</v>
      </c>
      <c r="G15" s="288" t="s">
        <v>261</v>
      </c>
      <c r="H15" s="288" t="s">
        <v>261</v>
      </c>
      <c r="I15" s="288" t="s">
        <v>261</v>
      </c>
      <c r="J15" s="288" t="s">
        <v>261</v>
      </c>
      <c r="K15" s="288" t="s">
        <v>261</v>
      </c>
      <c r="L15" s="288" t="s">
        <v>261</v>
      </c>
      <c r="M15" s="288" t="s">
        <v>261</v>
      </c>
      <c r="N15" s="288" t="s">
        <v>261</v>
      </c>
      <c r="O15" s="288" t="s">
        <v>261</v>
      </c>
      <c r="P15" s="288" t="s">
        <v>261</v>
      </c>
      <c r="Q15" s="288" t="s">
        <v>261</v>
      </c>
      <c r="R15" s="288" t="s">
        <v>261</v>
      </c>
      <c r="S15" s="288" t="s">
        <v>261</v>
      </c>
      <c r="T15" s="288" t="s">
        <v>261</v>
      </c>
      <c r="U15" s="288" t="s">
        <v>261</v>
      </c>
      <c r="V15" s="288" t="s">
        <v>261</v>
      </c>
      <c r="W15" s="288" t="s">
        <v>261</v>
      </c>
      <c r="X15" s="288" t="s">
        <v>261</v>
      </c>
      <c r="Y15" s="288" t="s">
        <v>261</v>
      </c>
      <c r="Z15" s="288" t="s">
        <v>261</v>
      </c>
      <c r="AA15" s="288" t="s">
        <v>261</v>
      </c>
      <c r="AB15" s="288" t="s">
        <v>261</v>
      </c>
      <c r="AC15" s="288" t="s">
        <v>261</v>
      </c>
      <c r="AD15" s="288" t="s">
        <v>261</v>
      </c>
      <c r="AE15" s="288" t="s">
        <v>261</v>
      </c>
      <c r="AF15" s="288" t="s">
        <v>261</v>
      </c>
      <c r="AG15" s="288" t="s">
        <v>261</v>
      </c>
      <c r="AH15" s="288" t="s">
        <v>261</v>
      </c>
      <c r="AI15" s="288" t="s">
        <v>261</v>
      </c>
      <c r="AJ15" s="288" t="s">
        <v>261</v>
      </c>
      <c r="AK15" s="288" t="s">
        <v>261</v>
      </c>
      <c r="AL15" s="288" t="s">
        <v>261</v>
      </c>
      <c r="AM15" s="288" t="s">
        <v>261</v>
      </c>
      <c r="AN15" s="288" t="s">
        <v>261</v>
      </c>
      <c r="AO15" s="288" t="s">
        <v>261</v>
      </c>
      <c r="AP15" s="288" t="s">
        <v>261</v>
      </c>
      <c r="AQ15" s="288" t="s">
        <v>261</v>
      </c>
      <c r="AR15" s="288" t="s">
        <v>261</v>
      </c>
      <c r="AS15" s="288" t="s">
        <v>261</v>
      </c>
      <c r="AT15" s="288" t="s">
        <v>261</v>
      </c>
      <c r="AU15" s="288" t="s">
        <v>261</v>
      </c>
      <c r="AV15" s="288" t="s">
        <v>261</v>
      </c>
      <c r="AW15" s="288" t="s">
        <v>261</v>
      </c>
      <c r="AX15" s="288" t="s">
        <v>261</v>
      </c>
      <c r="AY15" s="288" t="s">
        <v>261</v>
      </c>
      <c r="AZ15" s="288" t="s">
        <v>261</v>
      </c>
      <c r="BA15" s="288" t="s">
        <v>261</v>
      </c>
      <c r="BB15" s="288" t="s">
        <v>261</v>
      </c>
      <c r="BC15" s="288" t="s">
        <v>261</v>
      </c>
      <c r="BD15" s="288" t="s">
        <v>261</v>
      </c>
      <c r="BE15" s="288" t="s">
        <v>261</v>
      </c>
      <c r="BF15" s="288" t="s">
        <v>261</v>
      </c>
      <c r="BG15" s="288" t="s">
        <v>261</v>
      </c>
      <c r="BH15" s="288" t="s">
        <v>261</v>
      </c>
      <c r="BI15" s="288" t="s">
        <v>261</v>
      </c>
      <c r="BJ15" s="288" t="s">
        <v>261</v>
      </c>
      <c r="BK15" s="288" t="s">
        <v>261</v>
      </c>
      <c r="BL15" s="288" t="s">
        <v>261</v>
      </c>
      <c r="BM15" s="288" t="s">
        <v>261</v>
      </c>
      <c r="BN15" s="288" t="s">
        <v>261</v>
      </c>
      <c r="BO15" s="288" t="s">
        <v>261</v>
      </c>
      <c r="BP15" s="288" t="s">
        <v>261</v>
      </c>
      <c r="BQ15" s="288" t="s">
        <v>261</v>
      </c>
      <c r="BR15" s="288" t="s">
        <v>261</v>
      </c>
      <c r="BS15" s="288" t="s">
        <v>261</v>
      </c>
      <c r="BT15" s="288" t="s">
        <v>261</v>
      </c>
      <c r="BU15" s="288" t="s">
        <v>261</v>
      </c>
      <c r="BV15" s="288" t="s">
        <v>261</v>
      </c>
      <c r="BW15" s="288" t="s">
        <v>261</v>
      </c>
      <c r="BX15" s="288" t="s">
        <v>261</v>
      </c>
      <c r="BY15" s="288" t="s">
        <v>261</v>
      </c>
      <c r="BZ15" s="288" t="s">
        <v>261</v>
      </c>
      <c r="CA15" s="288" t="s">
        <v>261</v>
      </c>
      <c r="CB15" s="288" t="s">
        <v>261</v>
      </c>
      <c r="CC15" s="288" t="s">
        <v>261</v>
      </c>
      <c r="CD15" s="288" t="s">
        <v>261</v>
      </c>
      <c r="CE15" s="288" t="s">
        <v>261</v>
      </c>
      <c r="CF15" s="288" t="s">
        <v>261</v>
      </c>
      <c r="CG15" s="288" t="s">
        <v>261</v>
      </c>
      <c r="CH15" s="288" t="s">
        <v>261</v>
      </c>
      <c r="CI15" s="288" t="s">
        <v>261</v>
      </c>
      <c r="CJ15" s="288" t="s">
        <v>261</v>
      </c>
      <c r="CK15" s="288" t="s">
        <v>261</v>
      </c>
      <c r="CL15" s="288" t="s">
        <v>261</v>
      </c>
      <c r="CM15" s="288" t="s">
        <v>261</v>
      </c>
      <c r="CN15" s="288" t="s">
        <v>261</v>
      </c>
      <c r="CO15" s="288" t="s">
        <v>261</v>
      </c>
      <c r="CP15" s="288" t="s">
        <v>261</v>
      </c>
      <c r="CQ15" s="288" t="s">
        <v>261</v>
      </c>
      <c r="CR15" s="288" t="s">
        <v>261</v>
      </c>
      <c r="CS15" s="288" t="s">
        <v>261</v>
      </c>
      <c r="CT15" s="288" t="s">
        <v>261</v>
      </c>
      <c r="CU15" s="288" t="s">
        <v>261</v>
      </c>
      <c r="CV15" s="288" t="s">
        <v>261</v>
      </c>
      <c r="CW15" s="288" t="s">
        <v>261</v>
      </c>
      <c r="CX15" s="288" t="s">
        <v>261</v>
      </c>
      <c r="CY15" s="288" t="s">
        <v>261</v>
      </c>
      <c r="CZ15" s="288" t="s">
        <v>261</v>
      </c>
      <c r="DA15" s="288" t="s">
        <v>261</v>
      </c>
      <c r="DB15" s="288" t="s">
        <v>261</v>
      </c>
      <c r="DC15" s="288" t="s">
        <v>261</v>
      </c>
      <c r="DD15" s="288" t="s">
        <v>261</v>
      </c>
      <c r="DE15" s="288" t="s">
        <v>261</v>
      </c>
      <c r="DF15" s="288" t="s">
        <v>261</v>
      </c>
      <c r="DG15" s="288" t="s">
        <v>261</v>
      </c>
      <c r="DH15" s="288" t="s">
        <v>261</v>
      </c>
      <c r="DI15" s="288" t="s">
        <v>261</v>
      </c>
      <c r="DJ15" s="288" t="s">
        <v>261</v>
      </c>
      <c r="DK15" s="288" t="s">
        <v>261</v>
      </c>
      <c r="DL15" s="288" t="s">
        <v>261</v>
      </c>
      <c r="DM15" s="288" t="s">
        <v>261</v>
      </c>
      <c r="DN15" s="288" t="s">
        <v>261</v>
      </c>
      <c r="DO15" s="288" t="s">
        <v>261</v>
      </c>
      <c r="DP15" s="288" t="s">
        <v>261</v>
      </c>
      <c r="DQ15" s="288" t="s">
        <v>261</v>
      </c>
      <c r="DR15" s="288" t="s">
        <v>261</v>
      </c>
      <c r="DS15" s="288" t="s">
        <v>261</v>
      </c>
      <c r="DT15" s="288" t="s">
        <v>261</v>
      </c>
      <c r="DU15" s="288" t="s">
        <v>261</v>
      </c>
      <c r="DV15" s="288" t="s">
        <v>261</v>
      </c>
      <c r="DW15" s="288" t="s">
        <v>261</v>
      </c>
      <c r="DX15" s="288" t="s">
        <v>261</v>
      </c>
      <c r="DY15" s="288" t="s">
        <v>261</v>
      </c>
      <c r="DZ15" s="288" t="s">
        <v>261</v>
      </c>
      <c r="EA15" s="288" t="s">
        <v>261</v>
      </c>
      <c r="EB15" s="288" t="s">
        <v>261</v>
      </c>
      <c r="EC15" s="288" t="s">
        <v>261</v>
      </c>
      <c r="ED15" s="288" t="s">
        <v>261</v>
      </c>
      <c r="EE15" s="288" t="s">
        <v>261</v>
      </c>
      <c r="EF15" s="288" t="s">
        <v>261</v>
      </c>
      <c r="EG15" s="288" t="s">
        <v>261</v>
      </c>
      <c r="EH15" s="288" t="s">
        <v>261</v>
      </c>
      <c r="EI15" s="288" t="s">
        <v>261</v>
      </c>
      <c r="EJ15" s="288" t="s">
        <v>261</v>
      </c>
      <c r="EK15" s="288" t="s">
        <v>261</v>
      </c>
      <c r="EL15" s="288" t="s">
        <v>261</v>
      </c>
      <c r="EM15" s="288" t="s">
        <v>261</v>
      </c>
      <c r="EN15" s="288" t="s">
        <v>261</v>
      </c>
      <c r="EO15" s="288" t="s">
        <v>261</v>
      </c>
      <c r="EP15" s="288" t="s">
        <v>261</v>
      </c>
      <c r="EQ15" s="288" t="s">
        <v>261</v>
      </c>
      <c r="ER15" s="288" t="s">
        <v>261</v>
      </c>
      <c r="ES15" s="288" t="s">
        <v>261</v>
      </c>
      <c r="ET15" s="288" t="s">
        <v>261</v>
      </c>
      <c r="EU15" s="288" t="s">
        <v>261</v>
      </c>
      <c r="EV15" s="288" t="s">
        <v>261</v>
      </c>
      <c r="EW15" s="288" t="s">
        <v>261</v>
      </c>
      <c r="EX15" s="288" t="s">
        <v>261</v>
      </c>
      <c r="EY15" s="288" t="s">
        <v>261</v>
      </c>
      <c r="EZ15" s="288" t="s">
        <v>261</v>
      </c>
      <c r="FA15" s="288" t="s">
        <v>261</v>
      </c>
      <c r="FB15" s="288" t="s">
        <v>261</v>
      </c>
      <c r="FC15" s="288" t="s">
        <v>261</v>
      </c>
      <c r="FD15" s="288" t="s">
        <v>261</v>
      </c>
      <c r="FE15" s="288" t="s">
        <v>261</v>
      </c>
      <c r="FF15" s="288" t="s">
        <v>261</v>
      </c>
      <c r="FG15" s="288" t="s">
        <v>261</v>
      </c>
      <c r="FH15" s="288" t="s">
        <v>261</v>
      </c>
      <c r="FI15" s="288" t="s">
        <v>261</v>
      </c>
      <c r="FJ15" s="288" t="s">
        <v>261</v>
      </c>
      <c r="FK15" s="288" t="s">
        <v>261</v>
      </c>
      <c r="FL15" s="288" t="s">
        <v>261</v>
      </c>
      <c r="FM15" s="288" t="s">
        <v>261</v>
      </c>
      <c r="FN15" s="288" t="s">
        <v>261</v>
      </c>
      <c r="FO15" s="288" t="s">
        <v>261</v>
      </c>
      <c r="FP15" s="288" t="s">
        <v>261</v>
      </c>
      <c r="FQ15" s="288" t="s">
        <v>261</v>
      </c>
      <c r="FR15" s="288" t="s">
        <v>261</v>
      </c>
      <c r="FS15" s="288" t="s">
        <v>261</v>
      </c>
      <c r="FT15" s="288" t="s">
        <v>261</v>
      </c>
      <c r="FU15" s="288" t="s">
        <v>261</v>
      </c>
      <c r="FV15" s="288" t="s">
        <v>261</v>
      </c>
      <c r="FW15" s="288" t="s">
        <v>261</v>
      </c>
      <c r="FX15" s="288" t="s">
        <v>261</v>
      </c>
      <c r="FY15" s="288" t="s">
        <v>261</v>
      </c>
      <c r="FZ15" s="288" t="s">
        <v>261</v>
      </c>
      <c r="GA15" s="288" t="s">
        <v>261</v>
      </c>
      <c r="GB15" s="288" t="s">
        <v>261</v>
      </c>
      <c r="GC15" s="288" t="s">
        <v>261</v>
      </c>
      <c r="GD15" s="288" t="s">
        <v>261</v>
      </c>
      <c r="GE15" s="288" t="s">
        <v>261</v>
      </c>
      <c r="GF15" s="288" t="s">
        <v>261</v>
      </c>
      <c r="GG15" s="288" t="s">
        <v>261</v>
      </c>
      <c r="GH15" s="288" t="s">
        <v>261</v>
      </c>
      <c r="GI15" s="288" t="s">
        <v>261</v>
      </c>
      <c r="GJ15" s="288" t="s">
        <v>261</v>
      </c>
      <c r="GK15" s="288" t="s">
        <v>261</v>
      </c>
      <c r="GL15" s="288" t="s">
        <v>261</v>
      </c>
      <c r="GM15" s="288" t="s">
        <v>261</v>
      </c>
      <c r="GN15" s="288" t="s">
        <v>261</v>
      </c>
      <c r="GO15" s="288" t="s">
        <v>261</v>
      </c>
      <c r="GP15" s="288" t="s">
        <v>261</v>
      </c>
      <c r="GQ15" s="288" t="s">
        <v>261</v>
      </c>
      <c r="GR15" s="288" t="s">
        <v>261</v>
      </c>
      <c r="GS15" s="288" t="s">
        <v>261</v>
      </c>
      <c r="GT15" s="288" t="s">
        <v>261</v>
      </c>
      <c r="GU15" s="288" t="s">
        <v>261</v>
      </c>
      <c r="GV15" s="288" t="s">
        <v>261</v>
      </c>
      <c r="GW15" s="288" t="s">
        <v>261</v>
      </c>
      <c r="GX15" s="288" t="s">
        <v>261</v>
      </c>
      <c r="GY15" s="288" t="s">
        <v>261</v>
      </c>
      <c r="GZ15" s="288" t="s">
        <v>261</v>
      </c>
      <c r="HA15" s="288" t="s">
        <v>261</v>
      </c>
      <c r="HB15" s="288" t="s">
        <v>261</v>
      </c>
      <c r="HC15" s="288" t="s">
        <v>261</v>
      </c>
      <c r="HD15" s="288" t="s">
        <v>261</v>
      </c>
      <c r="HE15" s="288" t="s">
        <v>261</v>
      </c>
      <c r="HF15" s="288" t="s">
        <v>261</v>
      </c>
      <c r="HG15" s="288" t="s">
        <v>261</v>
      </c>
      <c r="HH15" s="288" t="s">
        <v>261</v>
      </c>
      <c r="HI15" s="288" t="s">
        <v>261</v>
      </c>
      <c r="HJ15" s="288" t="s">
        <v>261</v>
      </c>
      <c r="HK15" s="288" t="s">
        <v>261</v>
      </c>
      <c r="HL15" s="288" t="s">
        <v>261</v>
      </c>
      <c r="HM15" s="288" t="s">
        <v>261</v>
      </c>
      <c r="HN15" s="288" t="s">
        <v>261</v>
      </c>
      <c r="HO15" s="288" t="s">
        <v>261</v>
      </c>
      <c r="HP15" s="288" t="s">
        <v>261</v>
      </c>
      <c r="HQ15" s="288" t="s">
        <v>261</v>
      </c>
      <c r="HR15" s="288" t="s">
        <v>261</v>
      </c>
      <c r="HS15" s="288" t="s">
        <v>261</v>
      </c>
      <c r="HT15" s="288" t="s">
        <v>261</v>
      </c>
      <c r="HU15" s="288" t="s">
        <v>261</v>
      </c>
      <c r="HV15" s="288" t="s">
        <v>261</v>
      </c>
      <c r="HW15" s="288" t="s">
        <v>261</v>
      </c>
      <c r="HX15" s="288" t="s">
        <v>261</v>
      </c>
      <c r="HY15" s="288" t="s">
        <v>261</v>
      </c>
      <c r="HZ15" s="288" t="s">
        <v>261</v>
      </c>
      <c r="IA15" s="288" t="s">
        <v>261</v>
      </c>
      <c r="IB15" s="288" t="s">
        <v>261</v>
      </c>
      <c r="IC15" s="288" t="s">
        <v>261</v>
      </c>
      <c r="ID15" s="288" t="s">
        <v>261</v>
      </c>
      <c r="IE15" s="288" t="s">
        <v>261</v>
      </c>
      <c r="IF15" s="288" t="s">
        <v>261</v>
      </c>
      <c r="IG15" s="288" t="s">
        <v>261</v>
      </c>
      <c r="IH15" s="288" t="s">
        <v>261</v>
      </c>
      <c r="II15" s="288" t="s">
        <v>261</v>
      </c>
      <c r="IJ15" s="288" t="s">
        <v>261</v>
      </c>
      <c r="IK15" s="288" t="s">
        <v>261</v>
      </c>
      <c r="IL15" s="288" t="s">
        <v>261</v>
      </c>
      <c r="IM15" s="288" t="s">
        <v>261</v>
      </c>
      <c r="IN15" s="288" t="s">
        <v>261</v>
      </c>
      <c r="IO15" s="288" t="s">
        <v>261</v>
      </c>
      <c r="IP15" s="288" t="s">
        <v>261</v>
      </c>
      <c r="IQ15" s="288" t="s">
        <v>261</v>
      </c>
      <c r="IR15" s="288" t="s">
        <v>261</v>
      </c>
      <c r="IS15" s="288" t="s">
        <v>261</v>
      </c>
      <c r="IT15" s="288" t="s">
        <v>261</v>
      </c>
      <c r="IU15" s="288" t="s">
        <v>261</v>
      </c>
      <c r="IV15" s="288" t="s">
        <v>261</v>
      </c>
      <c r="IW15" s="288" t="s">
        <v>261</v>
      </c>
      <c r="IX15" s="288" t="s">
        <v>261</v>
      </c>
      <c r="IY15" s="288" t="s">
        <v>261</v>
      </c>
      <c r="IZ15" s="288" t="s">
        <v>261</v>
      </c>
      <c r="JA15" s="288" t="s">
        <v>261</v>
      </c>
      <c r="JB15" s="288" t="s">
        <v>261</v>
      </c>
      <c r="JC15" s="288" t="s">
        <v>261</v>
      </c>
      <c r="JD15" s="288" t="s">
        <v>261</v>
      </c>
      <c r="JE15" s="288" t="s">
        <v>261</v>
      </c>
      <c r="JF15" s="288" t="s">
        <v>261</v>
      </c>
      <c r="JG15" s="288" t="s">
        <v>261</v>
      </c>
      <c r="JH15" s="288" t="s">
        <v>261</v>
      </c>
      <c r="JI15" s="288" t="s">
        <v>261</v>
      </c>
      <c r="JJ15" s="288" t="s">
        <v>261</v>
      </c>
      <c r="JK15" s="288" t="s">
        <v>261</v>
      </c>
      <c r="JL15" s="288" t="s">
        <v>261</v>
      </c>
      <c r="JM15" s="288" t="s">
        <v>261</v>
      </c>
      <c r="JN15" s="288" t="s">
        <v>261</v>
      </c>
      <c r="JO15" s="288" t="s">
        <v>261</v>
      </c>
      <c r="JP15" s="288" t="s">
        <v>261</v>
      </c>
      <c r="JQ15" s="288" t="s">
        <v>261</v>
      </c>
      <c r="JR15" s="288" t="s">
        <v>261</v>
      </c>
      <c r="JS15" s="288" t="s">
        <v>261</v>
      </c>
      <c r="JT15" s="288" t="s">
        <v>261</v>
      </c>
      <c r="JU15" s="288" t="s">
        <v>261</v>
      </c>
      <c r="JV15" s="288" t="s">
        <v>261</v>
      </c>
      <c r="JW15" s="288" t="s">
        <v>261</v>
      </c>
      <c r="JX15" s="288" t="s">
        <v>261</v>
      </c>
      <c r="JY15" s="288" t="s">
        <v>261</v>
      </c>
      <c r="JZ15" s="288" t="s">
        <v>261</v>
      </c>
      <c r="KA15" s="288" t="s">
        <v>261</v>
      </c>
      <c r="KB15" s="288" t="s">
        <v>261</v>
      </c>
      <c r="KC15" s="288" t="s">
        <v>261</v>
      </c>
      <c r="KD15" s="288" t="s">
        <v>261</v>
      </c>
      <c r="KE15" s="288" t="s">
        <v>261</v>
      </c>
      <c r="KF15" s="288" t="s">
        <v>261</v>
      </c>
      <c r="KG15" s="288" t="s">
        <v>261</v>
      </c>
      <c r="KH15" s="288" t="s">
        <v>261</v>
      </c>
      <c r="KI15" s="288" t="s">
        <v>261</v>
      </c>
      <c r="KJ15" s="288" t="s">
        <v>261</v>
      </c>
      <c r="KK15" s="288" t="s">
        <v>261</v>
      </c>
      <c r="KL15" s="288" t="s">
        <v>261</v>
      </c>
      <c r="KM15" s="288" t="s">
        <v>261</v>
      </c>
      <c r="KN15" s="288" t="s">
        <v>261</v>
      </c>
      <c r="KO15" s="288" t="s">
        <v>261</v>
      </c>
      <c r="KP15" s="288" t="s">
        <v>261</v>
      </c>
      <c r="KQ15" s="288" t="s">
        <v>261</v>
      </c>
      <c r="KR15" s="288" t="s">
        <v>261</v>
      </c>
      <c r="KS15" s="288" t="s">
        <v>261</v>
      </c>
      <c r="KT15" s="288" t="s">
        <v>261</v>
      </c>
      <c r="KU15" s="288" t="s">
        <v>261</v>
      </c>
      <c r="KV15" s="288" t="s">
        <v>261</v>
      </c>
      <c r="KW15" s="288" t="s">
        <v>261</v>
      </c>
      <c r="KX15" s="288" t="s">
        <v>261</v>
      </c>
      <c r="KY15" s="288" t="s">
        <v>261</v>
      </c>
      <c r="KZ15" s="288" t="s">
        <v>261</v>
      </c>
      <c r="LA15" s="288" t="s">
        <v>261</v>
      </c>
      <c r="LB15" s="288" t="s">
        <v>261</v>
      </c>
      <c r="LC15" s="288" t="s">
        <v>261</v>
      </c>
      <c r="LD15" s="288" t="s">
        <v>261</v>
      </c>
      <c r="LE15" s="288" t="s">
        <v>261</v>
      </c>
      <c r="LF15" s="288" t="s">
        <v>261</v>
      </c>
      <c r="LG15" s="288" t="s">
        <v>261</v>
      </c>
      <c r="LH15" s="288" t="s">
        <v>261</v>
      </c>
      <c r="LI15" s="288" t="s">
        <v>261</v>
      </c>
      <c r="LJ15" s="288" t="s">
        <v>261</v>
      </c>
      <c r="LK15" s="288" t="s">
        <v>261</v>
      </c>
      <c r="LL15" s="288" t="s">
        <v>261</v>
      </c>
      <c r="LM15" s="288" t="s">
        <v>261</v>
      </c>
      <c r="LN15" s="288" t="s">
        <v>261</v>
      </c>
      <c r="LO15" s="288" t="s">
        <v>261</v>
      </c>
      <c r="LP15" s="288" t="s">
        <v>261</v>
      </c>
      <c r="LQ15" s="288" t="s">
        <v>261</v>
      </c>
      <c r="LR15" s="288" t="s">
        <v>261</v>
      </c>
      <c r="LS15" s="288" t="s">
        <v>261</v>
      </c>
      <c r="LT15" s="288" t="s">
        <v>261</v>
      </c>
      <c r="LU15" s="288" t="s">
        <v>261</v>
      </c>
      <c r="LV15" s="288" t="s">
        <v>261</v>
      </c>
      <c r="LW15" s="288" t="s">
        <v>261</v>
      </c>
      <c r="LX15" s="288" t="s">
        <v>261</v>
      </c>
      <c r="LY15" s="288" t="s">
        <v>261</v>
      </c>
      <c r="LZ15" s="288" t="s">
        <v>261</v>
      </c>
      <c r="MA15" s="288" t="s">
        <v>261</v>
      </c>
      <c r="MB15" s="288" t="s">
        <v>261</v>
      </c>
      <c r="MC15" s="288" t="s">
        <v>261</v>
      </c>
      <c r="MD15" s="288" t="s">
        <v>261</v>
      </c>
      <c r="ME15" s="288" t="s">
        <v>261</v>
      </c>
      <c r="MF15" s="288" t="s">
        <v>261</v>
      </c>
      <c r="MG15" s="288" t="s">
        <v>261</v>
      </c>
      <c r="MH15" s="288" t="s">
        <v>261</v>
      </c>
      <c r="MI15" s="288" t="s">
        <v>261</v>
      </c>
      <c r="MJ15" s="288" t="s">
        <v>261</v>
      </c>
      <c r="MK15" s="288" t="s">
        <v>261</v>
      </c>
      <c r="ML15" s="288" t="s">
        <v>261</v>
      </c>
      <c r="MM15" s="288" t="s">
        <v>261</v>
      </c>
      <c r="MN15" s="288" t="s">
        <v>261</v>
      </c>
      <c r="MO15" s="288" t="s">
        <v>261</v>
      </c>
      <c r="MP15" s="288" t="s">
        <v>261</v>
      </c>
      <c r="MQ15" s="288" t="s">
        <v>261</v>
      </c>
      <c r="MR15" s="288" t="s">
        <v>261</v>
      </c>
      <c r="MS15" s="288" t="s">
        <v>261</v>
      </c>
      <c r="MT15" s="288" t="s">
        <v>261</v>
      </c>
      <c r="MU15" s="288" t="s">
        <v>261</v>
      </c>
      <c r="MV15" s="288" t="s">
        <v>261</v>
      </c>
      <c r="MW15" s="288" t="s">
        <v>261</v>
      </c>
      <c r="MX15" s="288" t="s">
        <v>261</v>
      </c>
      <c r="MY15" s="288" t="s">
        <v>261</v>
      </c>
      <c r="MZ15" s="288" t="s">
        <v>261</v>
      </c>
      <c r="NA15" s="288" t="s">
        <v>261</v>
      </c>
      <c r="NB15" s="288" t="s">
        <v>261</v>
      </c>
      <c r="NC15" s="288" t="s">
        <v>261</v>
      </c>
      <c r="ND15" s="288" t="s">
        <v>261</v>
      </c>
      <c r="NE15" s="288" t="s">
        <v>261</v>
      </c>
      <c r="NF15" s="288" t="s">
        <v>261</v>
      </c>
      <c r="NG15" s="288" t="s">
        <v>261</v>
      </c>
      <c r="NH15" s="288" t="s">
        <v>261</v>
      </c>
      <c r="NI15" s="288" t="s">
        <v>261</v>
      </c>
      <c r="NJ15" s="288" t="s">
        <v>261</v>
      </c>
      <c r="NK15" s="288" t="s">
        <v>261</v>
      </c>
      <c r="NL15" s="288" t="s">
        <v>261</v>
      </c>
      <c r="NM15" s="288" t="s">
        <v>261</v>
      </c>
      <c r="NN15" s="288" t="s">
        <v>261</v>
      </c>
      <c r="NO15" s="288" t="s">
        <v>261</v>
      </c>
      <c r="NP15" s="288" t="s">
        <v>261</v>
      </c>
      <c r="NQ15" s="288" t="s">
        <v>261</v>
      </c>
      <c r="NR15" s="288" t="s">
        <v>261</v>
      </c>
      <c r="NS15" s="288" t="s">
        <v>261</v>
      </c>
      <c r="NT15" s="288" t="s">
        <v>261</v>
      </c>
      <c r="NU15" s="288" t="s">
        <v>261</v>
      </c>
      <c r="NV15" s="288" t="s">
        <v>261</v>
      </c>
      <c r="NW15" s="288" t="s">
        <v>261</v>
      </c>
      <c r="NX15" s="288" t="s">
        <v>261</v>
      </c>
      <c r="NY15" s="288" t="s">
        <v>261</v>
      </c>
      <c r="NZ15" s="288" t="s">
        <v>261</v>
      </c>
      <c r="OA15" s="288" t="s">
        <v>261</v>
      </c>
      <c r="OB15" s="288" t="s">
        <v>261</v>
      </c>
      <c r="OC15" s="288" t="s">
        <v>261</v>
      </c>
      <c r="OD15" s="288" t="s">
        <v>261</v>
      </c>
      <c r="OE15" s="288" t="s">
        <v>261</v>
      </c>
      <c r="OF15" s="288" t="s">
        <v>261</v>
      </c>
      <c r="OG15" s="288" t="s">
        <v>261</v>
      </c>
      <c r="OH15" s="288" t="s">
        <v>261</v>
      </c>
      <c r="OI15" s="288" t="s">
        <v>261</v>
      </c>
      <c r="OJ15" s="288" t="s">
        <v>261</v>
      </c>
      <c r="OK15" s="288" t="s">
        <v>261</v>
      </c>
      <c r="OL15" s="288" t="s">
        <v>261</v>
      </c>
      <c r="OM15" s="288" t="s">
        <v>261</v>
      </c>
      <c r="ON15" s="288" t="s">
        <v>261</v>
      </c>
      <c r="OO15" s="288" t="s">
        <v>261</v>
      </c>
      <c r="OP15" s="288" t="s">
        <v>261</v>
      </c>
      <c r="OQ15" s="288" t="s">
        <v>261</v>
      </c>
      <c r="OR15" s="288" t="s">
        <v>261</v>
      </c>
      <c r="OS15" s="288" t="s">
        <v>261</v>
      </c>
      <c r="OT15" s="288" t="s">
        <v>261</v>
      </c>
      <c r="OU15" s="288" t="s">
        <v>261</v>
      </c>
      <c r="OV15" s="288" t="s">
        <v>261</v>
      </c>
      <c r="OW15" s="288" t="s">
        <v>261</v>
      </c>
      <c r="OX15" s="288" t="s">
        <v>261</v>
      </c>
      <c r="OY15" s="288" t="s">
        <v>261</v>
      </c>
      <c r="OZ15" s="288" t="s">
        <v>261</v>
      </c>
      <c r="PA15" s="288" t="s">
        <v>261</v>
      </c>
      <c r="PB15" s="288" t="s">
        <v>261</v>
      </c>
      <c r="PC15" s="288" t="s">
        <v>261</v>
      </c>
      <c r="PD15" s="288" t="s">
        <v>261</v>
      </c>
      <c r="PE15" s="288" t="s">
        <v>261</v>
      </c>
      <c r="PF15" s="288" t="s">
        <v>261</v>
      </c>
      <c r="PG15" s="288" t="s">
        <v>261</v>
      </c>
      <c r="PH15" s="288" t="s">
        <v>261</v>
      </c>
      <c r="PI15" s="288" t="s">
        <v>261</v>
      </c>
      <c r="PJ15" s="288" t="s">
        <v>261</v>
      </c>
      <c r="PK15" s="288" t="s">
        <v>261</v>
      </c>
      <c r="PL15" s="288" t="s">
        <v>261</v>
      </c>
      <c r="PM15" s="288" t="s">
        <v>261</v>
      </c>
      <c r="PN15" s="288" t="s">
        <v>261</v>
      </c>
      <c r="PO15" s="288" t="s">
        <v>261</v>
      </c>
      <c r="PP15" s="288" t="s">
        <v>261</v>
      </c>
      <c r="PQ15" s="288" t="s">
        <v>261</v>
      </c>
      <c r="PR15" s="288" t="s">
        <v>261</v>
      </c>
      <c r="PS15" s="288" t="s">
        <v>261</v>
      </c>
      <c r="PT15" s="288" t="s">
        <v>261</v>
      </c>
      <c r="PU15" s="288" t="s">
        <v>261</v>
      </c>
      <c r="PV15" s="288" t="s">
        <v>261</v>
      </c>
      <c r="PW15" s="288" t="s">
        <v>261</v>
      </c>
      <c r="PX15" s="288" t="s">
        <v>261</v>
      </c>
      <c r="PY15" s="288" t="s">
        <v>261</v>
      </c>
      <c r="PZ15" s="288" t="s">
        <v>261</v>
      </c>
      <c r="QA15" s="288" t="s">
        <v>261</v>
      </c>
      <c r="QB15" s="288" t="s">
        <v>261</v>
      </c>
      <c r="QC15" s="288" t="s">
        <v>261</v>
      </c>
      <c r="QD15" s="288" t="s">
        <v>261</v>
      </c>
      <c r="QE15" s="288" t="s">
        <v>261</v>
      </c>
      <c r="QF15" s="288" t="s">
        <v>261</v>
      </c>
      <c r="QG15" s="288" t="s">
        <v>261</v>
      </c>
      <c r="QH15" s="288" t="s">
        <v>261</v>
      </c>
      <c r="QI15" s="288" t="s">
        <v>261</v>
      </c>
      <c r="QJ15" s="288" t="s">
        <v>261</v>
      </c>
      <c r="QK15" s="288" t="s">
        <v>261</v>
      </c>
      <c r="QL15" s="288" t="s">
        <v>261</v>
      </c>
      <c r="QM15" s="288" t="s">
        <v>261</v>
      </c>
      <c r="QN15" s="288" t="s">
        <v>261</v>
      </c>
      <c r="QO15" s="288" t="s">
        <v>261</v>
      </c>
      <c r="QP15" s="288" t="s">
        <v>261</v>
      </c>
      <c r="QQ15" s="288" t="s">
        <v>261</v>
      </c>
      <c r="QR15" s="288" t="s">
        <v>261</v>
      </c>
      <c r="QS15" s="288" t="s">
        <v>261</v>
      </c>
      <c r="QT15" s="288" t="s">
        <v>261</v>
      </c>
      <c r="QU15" s="288" t="s">
        <v>261</v>
      </c>
      <c r="QV15" s="288" t="s">
        <v>261</v>
      </c>
      <c r="QW15" s="288" t="s">
        <v>261</v>
      </c>
      <c r="QX15" s="288" t="s">
        <v>261</v>
      </c>
      <c r="QY15" s="288" t="s">
        <v>261</v>
      </c>
      <c r="QZ15" s="288" t="s">
        <v>261</v>
      </c>
      <c r="RA15" s="288" t="s">
        <v>261</v>
      </c>
      <c r="RB15" s="288" t="s">
        <v>261</v>
      </c>
      <c r="RC15" s="288" t="s">
        <v>261</v>
      </c>
      <c r="RD15" s="288" t="s">
        <v>261</v>
      </c>
      <c r="RE15" s="288" t="s">
        <v>261</v>
      </c>
      <c r="RF15" s="288" t="s">
        <v>261</v>
      </c>
      <c r="RG15" s="288" t="s">
        <v>261</v>
      </c>
      <c r="RH15" s="288" t="s">
        <v>261</v>
      </c>
      <c r="RI15" s="288" t="s">
        <v>261</v>
      </c>
      <c r="RJ15" s="288" t="s">
        <v>261</v>
      </c>
      <c r="RK15" s="288" t="s">
        <v>261</v>
      </c>
      <c r="RL15" s="288" t="s">
        <v>261</v>
      </c>
      <c r="RM15" s="288" t="s">
        <v>261</v>
      </c>
      <c r="RN15" s="288" t="s">
        <v>261</v>
      </c>
      <c r="RO15" s="288" t="s">
        <v>261</v>
      </c>
      <c r="RP15" s="288" t="s">
        <v>261</v>
      </c>
      <c r="RQ15" s="288" t="s">
        <v>261</v>
      </c>
      <c r="RR15" s="288" t="s">
        <v>261</v>
      </c>
      <c r="RS15" s="288" t="s">
        <v>261</v>
      </c>
      <c r="RT15" s="288" t="s">
        <v>261</v>
      </c>
      <c r="RU15" s="288" t="s">
        <v>261</v>
      </c>
      <c r="RV15" s="288" t="s">
        <v>261</v>
      </c>
      <c r="RW15" s="288" t="s">
        <v>261</v>
      </c>
      <c r="RX15" s="288" t="s">
        <v>261</v>
      </c>
      <c r="RY15" s="288" t="s">
        <v>261</v>
      </c>
      <c r="RZ15" s="288" t="s">
        <v>261</v>
      </c>
      <c r="SA15" s="288" t="s">
        <v>261</v>
      </c>
      <c r="SB15" s="288" t="s">
        <v>261</v>
      </c>
      <c r="SC15" s="288" t="s">
        <v>261</v>
      </c>
      <c r="SD15" s="288" t="s">
        <v>261</v>
      </c>
      <c r="SE15" s="288" t="s">
        <v>261</v>
      </c>
      <c r="SF15" s="288" t="s">
        <v>261</v>
      </c>
      <c r="SG15" s="288" t="s">
        <v>261</v>
      </c>
      <c r="SH15" s="288" t="s">
        <v>261</v>
      </c>
      <c r="SI15" s="288" t="s">
        <v>261</v>
      </c>
      <c r="SJ15" s="288" t="s">
        <v>261</v>
      </c>
      <c r="SK15" s="288" t="s">
        <v>261</v>
      </c>
      <c r="SL15" s="288" t="s">
        <v>261</v>
      </c>
      <c r="SM15" s="288" t="s">
        <v>261</v>
      </c>
      <c r="SN15" s="288" t="s">
        <v>261</v>
      </c>
      <c r="SO15" s="288" t="s">
        <v>261</v>
      </c>
      <c r="SP15" s="288" t="s">
        <v>261</v>
      </c>
      <c r="SQ15" s="288" t="s">
        <v>261</v>
      </c>
      <c r="SR15" s="288" t="s">
        <v>261</v>
      </c>
      <c r="SS15" s="288" t="s">
        <v>261</v>
      </c>
      <c r="ST15" s="288" t="s">
        <v>261</v>
      </c>
      <c r="SU15" s="288" t="s">
        <v>261</v>
      </c>
      <c r="SV15" s="288" t="s">
        <v>261</v>
      </c>
      <c r="SW15" s="288" t="s">
        <v>261</v>
      </c>
      <c r="SX15" s="288" t="s">
        <v>261</v>
      </c>
      <c r="SY15" s="288" t="s">
        <v>261</v>
      </c>
      <c r="SZ15" s="288" t="s">
        <v>261</v>
      </c>
      <c r="TA15" s="288" t="s">
        <v>261</v>
      </c>
      <c r="TB15" s="288" t="s">
        <v>261</v>
      </c>
      <c r="TC15" s="288" t="s">
        <v>261</v>
      </c>
      <c r="TD15" s="288" t="s">
        <v>261</v>
      </c>
      <c r="TE15" s="288" t="s">
        <v>261</v>
      </c>
      <c r="TF15" s="288" t="s">
        <v>261</v>
      </c>
      <c r="TG15" s="288" t="s">
        <v>261</v>
      </c>
      <c r="TH15" s="288" t="s">
        <v>261</v>
      </c>
      <c r="TI15" s="288" t="s">
        <v>261</v>
      </c>
      <c r="TJ15" s="288" t="s">
        <v>261</v>
      </c>
      <c r="TK15" s="288" t="s">
        <v>261</v>
      </c>
      <c r="TL15" s="288" t="s">
        <v>261</v>
      </c>
      <c r="TM15" s="288" t="s">
        <v>261</v>
      </c>
      <c r="TN15" s="288" t="s">
        <v>261</v>
      </c>
      <c r="TO15" s="288" t="s">
        <v>261</v>
      </c>
      <c r="TP15" s="288" t="s">
        <v>261</v>
      </c>
      <c r="TQ15" s="288" t="s">
        <v>261</v>
      </c>
      <c r="TR15" s="288" t="s">
        <v>261</v>
      </c>
      <c r="TS15" s="288" t="s">
        <v>261</v>
      </c>
      <c r="TT15" s="288" t="s">
        <v>261</v>
      </c>
      <c r="TU15" s="288" t="s">
        <v>261</v>
      </c>
      <c r="TV15" s="288" t="s">
        <v>261</v>
      </c>
      <c r="TW15" s="288" t="s">
        <v>261</v>
      </c>
      <c r="TX15" s="288" t="s">
        <v>261</v>
      </c>
      <c r="TY15" s="288" t="s">
        <v>261</v>
      </c>
      <c r="TZ15" s="288" t="s">
        <v>261</v>
      </c>
      <c r="UA15" s="288" t="s">
        <v>261</v>
      </c>
      <c r="UB15" s="288" t="s">
        <v>261</v>
      </c>
      <c r="UC15" s="288" t="s">
        <v>261</v>
      </c>
      <c r="UD15" s="340" t="s">
        <v>261</v>
      </c>
      <c r="UE15" s="288" t="s">
        <v>261</v>
      </c>
      <c r="UF15" s="288" t="s">
        <v>261</v>
      </c>
      <c r="UG15" s="288" t="s">
        <v>261</v>
      </c>
      <c r="UH15" s="288" t="s">
        <v>261</v>
      </c>
      <c r="UI15" s="288" t="s">
        <v>261</v>
      </c>
      <c r="UJ15" s="288" t="s">
        <v>261</v>
      </c>
      <c r="UK15" s="288" t="s">
        <v>261</v>
      </c>
      <c r="UL15" s="288" t="s">
        <v>261</v>
      </c>
      <c r="UM15" s="288" t="s">
        <v>261</v>
      </c>
      <c r="UN15" s="288" t="s">
        <v>261</v>
      </c>
      <c r="UO15" s="288" t="s">
        <v>261</v>
      </c>
      <c r="UP15" s="288" t="s">
        <v>261</v>
      </c>
      <c r="UQ15" s="288" t="s">
        <v>261</v>
      </c>
      <c r="UR15" s="288" t="s">
        <v>261</v>
      </c>
      <c r="US15" s="288" t="s">
        <v>261</v>
      </c>
      <c r="UT15" s="288" t="s">
        <v>261</v>
      </c>
      <c r="UU15" s="288" t="s">
        <v>261</v>
      </c>
      <c r="UV15" s="288" t="s">
        <v>261</v>
      </c>
      <c r="UW15" s="288" t="s">
        <v>261</v>
      </c>
      <c r="UX15" s="288" t="s">
        <v>261</v>
      </c>
      <c r="UY15" s="288" t="s">
        <v>261</v>
      </c>
      <c r="UZ15" s="288" t="s">
        <v>261</v>
      </c>
      <c r="VA15" s="288" t="s">
        <v>261</v>
      </c>
      <c r="VB15" s="288" t="s">
        <v>261</v>
      </c>
      <c r="VC15" s="288" t="s">
        <v>261</v>
      </c>
      <c r="VD15" s="288" t="s">
        <v>261</v>
      </c>
      <c r="VE15" s="288" t="s">
        <v>261</v>
      </c>
      <c r="VF15" s="288" t="s">
        <v>261</v>
      </c>
      <c r="VG15" s="288" t="s">
        <v>261</v>
      </c>
      <c r="VH15" s="288" t="s">
        <v>261</v>
      </c>
      <c r="VI15" s="288" t="s">
        <v>261</v>
      </c>
      <c r="VJ15" s="288" t="s">
        <v>261</v>
      </c>
      <c r="VK15" s="288" t="s">
        <v>261</v>
      </c>
      <c r="VL15" s="288" t="s">
        <v>261</v>
      </c>
      <c r="VM15" s="288" t="s">
        <v>261</v>
      </c>
      <c r="VN15" s="288" t="s">
        <v>261</v>
      </c>
      <c r="VO15" s="288" t="s">
        <v>261</v>
      </c>
      <c r="VP15" s="288" t="s">
        <v>261</v>
      </c>
      <c r="VQ15" s="288" t="s">
        <v>261</v>
      </c>
      <c r="VR15" s="288" t="s">
        <v>261</v>
      </c>
    </row>
    <row r="16" spans="1:590" x14ac:dyDescent="0.25">
      <c r="A16" s="289" t="s">
        <v>262</v>
      </c>
      <c r="B16" s="64">
        <f>(B2*B9)/B11</f>
        <v>80.64705882352942</v>
      </c>
      <c r="C16" s="64">
        <f t="shared" ref="C16:T16" si="101">(C2*C9)/C11</f>
        <v>84.877105143377335</v>
      </c>
      <c r="D16" s="64">
        <f t="shared" si="101"/>
        <v>85.168230716411088</v>
      </c>
      <c r="E16" s="64">
        <f t="shared" si="101"/>
        <v>84.920998397068914</v>
      </c>
      <c r="F16" s="64">
        <f t="shared" si="101"/>
        <v>85.552245646196155</v>
      </c>
      <c r="G16" s="64">
        <f t="shared" si="101"/>
        <v>85.741986996692177</v>
      </c>
      <c r="H16" s="64">
        <f t="shared" si="101"/>
        <v>85.795778665145463</v>
      </c>
      <c r="I16" s="64">
        <f t="shared" si="101"/>
        <v>86.261006999322632</v>
      </c>
      <c r="J16" s="64">
        <f t="shared" si="101"/>
        <v>85.65415244596133</v>
      </c>
      <c r="K16" s="64">
        <f t="shared" si="101"/>
        <v>85.087919616350746</v>
      </c>
      <c r="L16" s="64">
        <f t="shared" si="101"/>
        <v>83.27402135231317</v>
      </c>
      <c r="M16" s="64">
        <f t="shared" si="101"/>
        <v>84.924450549450555</v>
      </c>
      <c r="N16" s="64">
        <f t="shared" si="101"/>
        <v>85.471934418763524</v>
      </c>
      <c r="O16" s="64">
        <f t="shared" si="101"/>
        <v>85.683445063061015</v>
      </c>
      <c r="P16" s="64">
        <f t="shared" si="101"/>
        <v>85.849802371541486</v>
      </c>
      <c r="Q16" s="64">
        <f t="shared" si="101"/>
        <v>85.519125683060096</v>
      </c>
      <c r="R16" s="64">
        <f t="shared" si="101"/>
        <v>85.425932261375294</v>
      </c>
      <c r="S16" s="64">
        <f t="shared" si="101"/>
        <v>85.356366548449842</v>
      </c>
      <c r="T16" s="64">
        <f t="shared" si="101"/>
        <v>85.553643144004596</v>
      </c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>
        <f t="shared" ref="CB16:EM16" si="102">(CB2*CB9)/CB11</f>
        <v>86.124956531818697</v>
      </c>
      <c r="CC16" s="64">
        <f t="shared" si="102"/>
        <v>86.289661632127405</v>
      </c>
      <c r="CD16" s="64">
        <f t="shared" si="102"/>
        <v>85.687861271676312</v>
      </c>
      <c r="CE16" s="64">
        <f t="shared" si="102"/>
        <v>85.884118190212362</v>
      </c>
      <c r="CF16" s="64">
        <f t="shared" si="102"/>
        <v>85.912560721721036</v>
      </c>
      <c r="CG16" s="64">
        <f t="shared" si="102"/>
        <v>85.889004269066575</v>
      </c>
      <c r="CH16" s="64">
        <f t="shared" si="102"/>
        <v>86.51492622669565</v>
      </c>
      <c r="CI16" s="64">
        <f t="shared" si="102"/>
        <v>85.983482610212874</v>
      </c>
      <c r="CJ16" s="64">
        <f t="shared" si="102"/>
        <v>85.443332557598339</v>
      </c>
      <c r="CK16" s="64">
        <f t="shared" si="102"/>
        <v>85.936051899907326</v>
      </c>
      <c r="CL16" s="64">
        <f t="shared" si="102"/>
        <v>85.69756554307115</v>
      </c>
      <c r="CM16" s="64">
        <f t="shared" si="102"/>
        <v>85.754255071112155</v>
      </c>
      <c r="CN16" s="64">
        <f t="shared" si="102"/>
        <v>85.126069858894283</v>
      </c>
      <c r="CO16" s="64">
        <f t="shared" si="102"/>
        <v>85.81204379562044</v>
      </c>
      <c r="CP16" s="64">
        <f t="shared" si="102"/>
        <v>85.625366999412819</v>
      </c>
      <c r="CQ16" s="64">
        <f t="shared" si="102"/>
        <v>85.490059295430754</v>
      </c>
      <c r="CR16" s="64">
        <f t="shared" si="102"/>
        <v>85.389346640362064</v>
      </c>
      <c r="CS16" s="64">
        <f t="shared" si="102"/>
        <v>85.86818023861926</v>
      </c>
      <c r="CT16" s="64">
        <f t="shared" si="102"/>
        <v>85.831125446377158</v>
      </c>
      <c r="CU16" s="64">
        <f t="shared" si="102"/>
        <v>85.877598152424937</v>
      </c>
      <c r="CV16" s="64">
        <f t="shared" si="102"/>
        <v>85.624571820050235</v>
      </c>
      <c r="CW16" s="64">
        <f t="shared" si="102"/>
        <v>85.888800091334645</v>
      </c>
      <c r="CX16" s="64">
        <f t="shared" si="102"/>
        <v>85.659810492257904</v>
      </c>
      <c r="CY16" s="64">
        <f t="shared" si="102"/>
        <v>85.789594315837718</v>
      </c>
      <c r="CZ16" s="64">
        <f t="shared" si="102"/>
        <v>85.804816223067164</v>
      </c>
      <c r="DA16" s="64" t="e">
        <f t="shared" si="102"/>
        <v>#DIV/0!</v>
      </c>
      <c r="DB16" s="64" t="e">
        <f t="shared" si="102"/>
        <v>#DIV/0!</v>
      </c>
      <c r="DC16" s="64" t="e">
        <f t="shared" si="102"/>
        <v>#DIV/0!</v>
      </c>
      <c r="DD16" s="64" t="e">
        <f t="shared" si="102"/>
        <v>#DIV/0!</v>
      </c>
      <c r="DE16" s="64" t="e">
        <f t="shared" si="102"/>
        <v>#DIV/0!</v>
      </c>
      <c r="DF16" s="64" t="e">
        <f t="shared" si="102"/>
        <v>#DIV/0!</v>
      </c>
      <c r="DG16" s="64" t="e">
        <f t="shared" si="102"/>
        <v>#DIV/0!</v>
      </c>
      <c r="DH16" s="64" t="e">
        <f t="shared" si="102"/>
        <v>#DIV/0!</v>
      </c>
      <c r="DI16" s="64" t="e">
        <f t="shared" si="102"/>
        <v>#DIV/0!</v>
      </c>
      <c r="DJ16" s="64" t="e">
        <f t="shared" si="102"/>
        <v>#DIV/0!</v>
      </c>
      <c r="DK16" s="64" t="e">
        <f t="shared" si="102"/>
        <v>#DIV/0!</v>
      </c>
      <c r="DL16" s="64" t="e">
        <f t="shared" si="102"/>
        <v>#DIV/0!</v>
      </c>
      <c r="DM16" s="64" t="e">
        <f t="shared" si="102"/>
        <v>#DIV/0!</v>
      </c>
      <c r="DN16" s="64" t="e">
        <f t="shared" si="102"/>
        <v>#DIV/0!</v>
      </c>
      <c r="DO16" s="64" t="e">
        <f t="shared" si="102"/>
        <v>#DIV/0!</v>
      </c>
      <c r="DP16" s="64" t="e">
        <f t="shared" si="102"/>
        <v>#DIV/0!</v>
      </c>
      <c r="DQ16" s="64" t="e">
        <f t="shared" si="102"/>
        <v>#DIV/0!</v>
      </c>
      <c r="DR16" s="64" t="e">
        <f t="shared" si="102"/>
        <v>#DIV/0!</v>
      </c>
      <c r="DS16" s="64" t="e">
        <f t="shared" si="102"/>
        <v>#DIV/0!</v>
      </c>
      <c r="DT16" s="64" t="e">
        <f t="shared" si="102"/>
        <v>#DIV/0!</v>
      </c>
      <c r="DU16" s="64" t="e">
        <f t="shared" si="102"/>
        <v>#DIV/0!</v>
      </c>
      <c r="DV16" s="64" t="e">
        <f t="shared" si="102"/>
        <v>#DIV/0!</v>
      </c>
      <c r="DW16" s="64" t="e">
        <f t="shared" si="102"/>
        <v>#DIV/0!</v>
      </c>
      <c r="DX16" s="64" t="e">
        <f t="shared" si="102"/>
        <v>#DIV/0!</v>
      </c>
      <c r="DY16" s="64" t="e">
        <f t="shared" si="102"/>
        <v>#DIV/0!</v>
      </c>
      <c r="DZ16" s="64">
        <f t="shared" si="102"/>
        <v>84.828222273460923</v>
      </c>
      <c r="EA16" s="64">
        <f t="shared" si="102"/>
        <v>84.753207721650668</v>
      </c>
      <c r="EB16" s="64">
        <f t="shared" si="102"/>
        <v>84.813753581661885</v>
      </c>
      <c r="EC16" s="64">
        <f t="shared" si="102"/>
        <v>84.947344322344321</v>
      </c>
      <c r="ED16" s="64">
        <f t="shared" si="102"/>
        <v>84.833524684270941</v>
      </c>
      <c r="EE16" s="64">
        <f t="shared" si="102"/>
        <v>85.040263128048082</v>
      </c>
      <c r="EF16" s="64">
        <f t="shared" si="102"/>
        <v>83.826247689463955</v>
      </c>
      <c r="EG16" s="64">
        <f t="shared" si="102"/>
        <v>84.848137535816619</v>
      </c>
      <c r="EH16" s="64">
        <f t="shared" si="102"/>
        <v>85.053665220369936</v>
      </c>
      <c r="EI16" s="64">
        <f t="shared" si="102"/>
        <v>85.058649356565311</v>
      </c>
      <c r="EJ16" s="64">
        <f t="shared" si="102"/>
        <v>85.057734080256083</v>
      </c>
      <c r="EK16" s="64">
        <f t="shared" si="102"/>
        <v>85.247208931419451</v>
      </c>
      <c r="EL16" s="64">
        <f t="shared" si="102"/>
        <v>85.256845440144815</v>
      </c>
      <c r="EM16" s="64">
        <f t="shared" si="102"/>
        <v>82.611194115618872</v>
      </c>
      <c r="EN16" s="64">
        <f t="shared" ref="EN16:GY16" si="103">(EN2*EN9)/EN11</f>
        <v>84.833581150634785</v>
      </c>
      <c r="EO16" s="64">
        <f t="shared" si="103"/>
        <v>84.797800435330515</v>
      </c>
      <c r="EP16" s="64">
        <f t="shared" si="103"/>
        <v>84.813884448504226</v>
      </c>
      <c r="EQ16" s="64">
        <f t="shared" si="103"/>
        <v>85.502113561064775</v>
      </c>
      <c r="ER16" s="64">
        <f t="shared" si="103"/>
        <v>85.520465169307954</v>
      </c>
      <c r="ES16" s="64">
        <f t="shared" si="103"/>
        <v>85.568529645164958</v>
      </c>
      <c r="ET16" s="64">
        <f t="shared" si="103"/>
        <v>84.330321399977137</v>
      </c>
      <c r="EU16" s="64">
        <f t="shared" si="103"/>
        <v>82.597173144876322</v>
      </c>
      <c r="EV16" s="64">
        <f t="shared" si="103"/>
        <v>84.950902032427507</v>
      </c>
      <c r="EW16" s="64">
        <f t="shared" si="103"/>
        <v>81.099500227169472</v>
      </c>
      <c r="EX16" s="64">
        <f t="shared" si="103"/>
        <v>84.209898628503282</v>
      </c>
      <c r="EY16" s="64">
        <f t="shared" si="103"/>
        <v>81.088293305487895</v>
      </c>
      <c r="EZ16" s="64">
        <f t="shared" si="103"/>
        <v>81.683280471227931</v>
      </c>
      <c r="FA16" s="64">
        <f t="shared" si="103"/>
        <v>84.516573001491011</v>
      </c>
      <c r="FB16" s="64">
        <f t="shared" si="103"/>
        <v>83.978730782568491</v>
      </c>
      <c r="FC16" s="64">
        <f t="shared" si="103"/>
        <v>84.562052230182573</v>
      </c>
      <c r="FD16" s="64">
        <f t="shared" si="103"/>
        <v>84.478986758779513</v>
      </c>
      <c r="FE16" s="64">
        <f t="shared" si="103"/>
        <v>84.797880916733845</v>
      </c>
      <c r="FF16" s="64">
        <f t="shared" si="103"/>
        <v>84.748300886994585</v>
      </c>
      <c r="FG16" s="64">
        <f t="shared" si="103"/>
        <v>84.435261707988985</v>
      </c>
      <c r="FH16" s="64">
        <f t="shared" si="103"/>
        <v>84.968372627947105</v>
      </c>
      <c r="FI16" s="64">
        <f t="shared" si="103"/>
        <v>84.465907784293435</v>
      </c>
      <c r="FJ16" s="64">
        <f t="shared" si="103"/>
        <v>84.883319921830079</v>
      </c>
      <c r="FK16" s="64">
        <f t="shared" si="103"/>
        <v>84.893971884679544</v>
      </c>
      <c r="FL16" s="64">
        <f t="shared" si="103"/>
        <v>86.244593945218668</v>
      </c>
      <c r="FM16" s="64">
        <f t="shared" si="103"/>
        <v>85.694714008448443</v>
      </c>
      <c r="FN16" s="64">
        <f t="shared" si="103"/>
        <v>84.786305407550188</v>
      </c>
      <c r="FO16" s="64">
        <f t="shared" si="103"/>
        <v>85.209185993633483</v>
      </c>
      <c r="FP16" s="64">
        <f t="shared" si="103"/>
        <v>85.658914728682177</v>
      </c>
      <c r="FQ16" s="64">
        <f t="shared" si="103"/>
        <v>83.365836870482966</v>
      </c>
      <c r="FR16" s="64">
        <f t="shared" si="103"/>
        <v>85.536188387394645</v>
      </c>
      <c r="FS16" s="64">
        <f t="shared" si="103"/>
        <v>85.65286263860601</v>
      </c>
      <c r="FT16" s="64">
        <f t="shared" si="103"/>
        <v>85.303150949835043</v>
      </c>
      <c r="FU16" s="64">
        <f t="shared" si="103"/>
        <v>85.614351799616372</v>
      </c>
      <c r="FV16" s="64">
        <f t="shared" si="103"/>
        <v>85.763020241073448</v>
      </c>
      <c r="FW16" s="64">
        <f t="shared" si="103"/>
        <v>85.787554137223609</v>
      </c>
      <c r="FX16" s="64">
        <f t="shared" si="103"/>
        <v>84.613638942471354</v>
      </c>
      <c r="FY16" s="64">
        <f t="shared" si="103"/>
        <v>84.890701098652173</v>
      </c>
      <c r="FZ16" s="64">
        <f t="shared" si="103"/>
        <v>85.352847742228278</v>
      </c>
      <c r="GA16" s="64">
        <f t="shared" si="103"/>
        <v>85.597362737296805</v>
      </c>
      <c r="GB16" s="64">
        <f t="shared" si="103"/>
        <v>85.60914855072464</v>
      </c>
      <c r="GC16" s="64">
        <f t="shared" si="103"/>
        <v>85.212802569691391</v>
      </c>
      <c r="GD16" s="64">
        <f t="shared" si="103"/>
        <v>85.482210273424087</v>
      </c>
      <c r="GE16" s="64">
        <f t="shared" si="103"/>
        <v>85.05747126436782</v>
      </c>
      <c r="GF16" s="64">
        <f t="shared" si="103"/>
        <v>85.475945606216442</v>
      </c>
      <c r="GG16" s="64">
        <f t="shared" si="103"/>
        <v>85.573507505442905</v>
      </c>
      <c r="GH16" s="64">
        <f t="shared" si="103"/>
        <v>84.973509187239316</v>
      </c>
      <c r="GI16" s="64">
        <f t="shared" si="103"/>
        <v>86.183232300125795</v>
      </c>
      <c r="GJ16" s="64">
        <f t="shared" si="103"/>
        <v>85.697887970615241</v>
      </c>
      <c r="GK16" s="64">
        <f t="shared" si="103"/>
        <v>85.481651376146786</v>
      </c>
      <c r="GL16" s="64">
        <f t="shared" si="103"/>
        <v>85.630867872681463</v>
      </c>
      <c r="GM16" s="64">
        <f t="shared" si="103"/>
        <v>84.487281852401026</v>
      </c>
      <c r="GN16" s="64">
        <f t="shared" si="103"/>
        <v>85.521808632107792</v>
      </c>
      <c r="GO16" s="64">
        <f t="shared" si="103"/>
        <v>85.850664848278228</v>
      </c>
      <c r="GP16" s="64">
        <f t="shared" si="103"/>
        <v>85.939968404423382</v>
      </c>
      <c r="GQ16" s="64">
        <f t="shared" si="103"/>
        <v>85.55936073059361</v>
      </c>
      <c r="GR16" s="64">
        <f t="shared" si="103"/>
        <v>85.720787347821144</v>
      </c>
      <c r="GS16" s="64">
        <f t="shared" si="103"/>
        <v>85.698005698005716</v>
      </c>
      <c r="GT16" s="64">
        <f t="shared" si="103"/>
        <v>85.891596447278545</v>
      </c>
      <c r="GU16" s="64">
        <f t="shared" si="103"/>
        <v>85.654104520095643</v>
      </c>
      <c r="GV16" s="64">
        <f t="shared" si="103"/>
        <v>85.644464651057035</v>
      </c>
      <c r="GW16" s="64">
        <f t="shared" si="103"/>
        <v>86.168287717710925</v>
      </c>
      <c r="GX16" s="64">
        <f t="shared" si="103"/>
        <v>85.585585585585562</v>
      </c>
      <c r="GY16" s="64">
        <f t="shared" si="103"/>
        <v>85.547229791098985</v>
      </c>
      <c r="GZ16" s="64">
        <f t="shared" ref="GZ16:JK16" si="104">(GZ2*GZ9)/GZ11</f>
        <v>84.696659850034067</v>
      </c>
      <c r="HA16" s="64">
        <f t="shared" si="104"/>
        <v>85.626841985944225</v>
      </c>
      <c r="HB16" s="64">
        <f t="shared" si="104"/>
        <v>85.198637911464232</v>
      </c>
      <c r="HC16" s="64">
        <f t="shared" si="104"/>
        <v>85.1540297828805</v>
      </c>
      <c r="HD16" s="64">
        <f t="shared" si="104"/>
        <v>85.786916732572607</v>
      </c>
      <c r="HE16" s="64">
        <f t="shared" si="104"/>
        <v>83.957097215883152</v>
      </c>
      <c r="HF16" s="64">
        <f t="shared" si="104"/>
        <v>80.385038503850382</v>
      </c>
      <c r="HG16" s="64">
        <f t="shared" si="104"/>
        <v>83.964544721998379</v>
      </c>
      <c r="HH16" s="64">
        <f t="shared" si="104"/>
        <v>84.2924930040151</v>
      </c>
      <c r="HI16" s="64">
        <f t="shared" si="104"/>
        <v>84.402141582391423</v>
      </c>
      <c r="HJ16" s="64">
        <f t="shared" si="104"/>
        <v>86.073215097771694</v>
      </c>
      <c r="HK16" s="64">
        <f t="shared" si="104"/>
        <v>86.479476770410471</v>
      </c>
      <c r="HL16" s="64">
        <f t="shared" si="104"/>
        <v>86.229173750425034</v>
      </c>
      <c r="HM16" s="64">
        <f t="shared" si="104"/>
        <v>85.737033666969964</v>
      </c>
      <c r="HN16" s="64">
        <f t="shared" si="104"/>
        <v>85.258601048074723</v>
      </c>
      <c r="HO16" s="64">
        <f t="shared" si="104"/>
        <v>86.094977792962069</v>
      </c>
      <c r="HP16" s="64">
        <f t="shared" si="104"/>
        <v>86.09595270577536</v>
      </c>
      <c r="HQ16" s="64">
        <f t="shared" si="104"/>
        <v>86.343411294923001</v>
      </c>
      <c r="HR16" s="64">
        <f t="shared" si="104"/>
        <v>86.755716549694355</v>
      </c>
      <c r="HS16" s="64">
        <f t="shared" si="104"/>
        <v>86.341961852861033</v>
      </c>
      <c r="HT16" s="64">
        <f t="shared" si="104"/>
        <v>86.442800227660797</v>
      </c>
      <c r="HU16" s="64">
        <f t="shared" si="104"/>
        <v>85.828388863532609</v>
      </c>
      <c r="HV16" s="64">
        <f t="shared" si="104"/>
        <v>86.452641165755935</v>
      </c>
      <c r="HW16" s="64">
        <f t="shared" si="104"/>
        <v>86.338735448527743</v>
      </c>
      <c r="HX16" s="64">
        <f t="shared" si="104"/>
        <v>86.584671449720972</v>
      </c>
      <c r="HY16" s="64">
        <f t="shared" si="104"/>
        <v>87.03033046627435</v>
      </c>
      <c r="HZ16" s="64">
        <f t="shared" si="104"/>
        <v>85.883965280950207</v>
      </c>
      <c r="IA16" s="64">
        <f t="shared" si="104"/>
        <v>85.809109636072336</v>
      </c>
      <c r="IB16" s="64">
        <f t="shared" si="104"/>
        <v>85.988352175402525</v>
      </c>
      <c r="IC16" s="64">
        <f t="shared" si="104"/>
        <v>86.033711730306166</v>
      </c>
      <c r="ID16" s="64">
        <f t="shared" si="104"/>
        <v>85.989952043845619</v>
      </c>
      <c r="IE16" s="64">
        <f t="shared" si="104"/>
        <v>86.066697121973505</v>
      </c>
      <c r="IF16" s="64">
        <f t="shared" si="104"/>
        <v>85.411711405595199</v>
      </c>
      <c r="IG16" s="64">
        <f t="shared" si="104"/>
        <v>85.58672009158559</v>
      </c>
      <c r="IH16" s="64">
        <f t="shared" si="104"/>
        <v>85.605022831050221</v>
      </c>
      <c r="II16" s="64">
        <f t="shared" si="104"/>
        <v>85.811590856615084</v>
      </c>
      <c r="IJ16" s="64">
        <f t="shared" si="104"/>
        <v>86.065949164185938</v>
      </c>
      <c r="IK16" s="64">
        <f t="shared" si="104"/>
        <v>85.97093488957546</v>
      </c>
      <c r="IL16" s="64">
        <f t="shared" si="104"/>
        <v>84.921633680356933</v>
      </c>
      <c r="IM16" s="64">
        <f t="shared" si="104"/>
        <v>86.49932157394845</v>
      </c>
      <c r="IN16" s="64">
        <f t="shared" si="104"/>
        <v>85.512245601931696</v>
      </c>
      <c r="IO16" s="64">
        <f t="shared" si="104"/>
        <v>85.763529817304374</v>
      </c>
      <c r="IP16" s="64">
        <f t="shared" si="104"/>
        <v>85.895221646516973</v>
      </c>
      <c r="IQ16" s="64">
        <f t="shared" si="104"/>
        <v>86.038774807846735</v>
      </c>
      <c r="IR16" s="64">
        <f t="shared" si="104"/>
        <v>86.080292805673125</v>
      </c>
      <c r="IS16" s="64">
        <f t="shared" si="104"/>
        <v>86.352780620948494</v>
      </c>
      <c r="IT16" s="64">
        <f t="shared" si="104"/>
        <v>86.645612452064071</v>
      </c>
      <c r="IU16" s="64">
        <f t="shared" si="104"/>
        <v>86.291519232964262</v>
      </c>
      <c r="IV16" s="64">
        <f t="shared" si="104"/>
        <v>86.215567493427827</v>
      </c>
      <c r="IW16" s="64">
        <f t="shared" si="104"/>
        <v>86.083180987202923</v>
      </c>
      <c r="IX16" s="64">
        <f t="shared" si="104"/>
        <v>85.255457766601893</v>
      </c>
      <c r="IY16" s="64">
        <f t="shared" si="104"/>
        <v>86.400911161731202</v>
      </c>
      <c r="IZ16" s="64">
        <f t="shared" si="104"/>
        <v>86.388983725958809</v>
      </c>
      <c r="JA16" s="64">
        <f t="shared" si="104"/>
        <v>86.197564276048709</v>
      </c>
      <c r="JB16" s="64">
        <f t="shared" si="104"/>
        <v>86.49880369146635</v>
      </c>
      <c r="JC16" s="64">
        <f t="shared" si="104"/>
        <v>86.179698216735247</v>
      </c>
      <c r="JD16" s="64">
        <f t="shared" si="104"/>
        <v>86.377673567425362</v>
      </c>
      <c r="JE16" s="64">
        <f t="shared" si="104"/>
        <v>86.406214302033362</v>
      </c>
      <c r="JF16" s="64">
        <f t="shared" si="104"/>
        <v>86.539118551417829</v>
      </c>
      <c r="JG16" s="64">
        <f t="shared" si="104"/>
        <v>83.291342189647281</v>
      </c>
      <c r="JH16" s="64">
        <f t="shared" si="104"/>
        <v>86.817304416941084</v>
      </c>
      <c r="JI16" s="64">
        <f t="shared" si="104"/>
        <v>86.643012475678148</v>
      </c>
      <c r="JJ16" s="64">
        <f t="shared" si="104"/>
        <v>86.319515815918692</v>
      </c>
      <c r="JK16" s="64">
        <f t="shared" si="104"/>
        <v>86.624203821656053</v>
      </c>
      <c r="JL16" s="64">
        <f t="shared" ref="JL16:LW16" si="105">(JL2*JL9)/JL11</f>
        <v>86.701822767396536</v>
      </c>
      <c r="JM16" s="64">
        <f t="shared" si="105"/>
        <v>86.551249713368492</v>
      </c>
      <c r="JN16" s="64">
        <f t="shared" si="105"/>
        <v>86.563425187884306</v>
      </c>
      <c r="JO16" s="64">
        <f t="shared" si="105"/>
        <v>86.395939086294419</v>
      </c>
      <c r="JP16" s="64">
        <f t="shared" si="105"/>
        <v>86.89805769451786</v>
      </c>
      <c r="JQ16" s="64">
        <f t="shared" si="105"/>
        <v>86.676768854178817</v>
      </c>
      <c r="JR16" s="64">
        <f t="shared" si="105"/>
        <v>86.890487609912071</v>
      </c>
      <c r="JS16" s="64">
        <f t="shared" si="105"/>
        <v>86.853448275862078</v>
      </c>
      <c r="JT16" s="64">
        <f t="shared" si="105"/>
        <v>88.695455573140407</v>
      </c>
      <c r="JU16" s="71">
        <v>86.676768854178817</v>
      </c>
      <c r="JV16" s="64">
        <f t="shared" si="105"/>
        <v>87.237860266905898</v>
      </c>
      <c r="JW16" s="64">
        <f t="shared" si="105"/>
        <v>86.739505462909719</v>
      </c>
      <c r="JX16" s="64">
        <f t="shared" si="105"/>
        <v>87.301226715129474</v>
      </c>
      <c r="JY16" s="64">
        <f t="shared" si="105"/>
        <v>87.079807912188429</v>
      </c>
      <c r="JZ16" s="64">
        <f t="shared" si="105"/>
        <v>87.495764147746513</v>
      </c>
      <c r="KA16" s="64">
        <f t="shared" si="105"/>
        <v>87.381060262800176</v>
      </c>
      <c r="KB16" s="64">
        <f t="shared" si="105"/>
        <v>87.265112067013831</v>
      </c>
      <c r="KC16" s="64">
        <f t="shared" si="105"/>
        <v>87.098945479021765</v>
      </c>
      <c r="KD16" s="64">
        <f t="shared" si="105"/>
        <v>87.526979438827681</v>
      </c>
      <c r="KE16" s="64">
        <f t="shared" si="105"/>
        <v>87.417669770610942</v>
      </c>
      <c r="KF16" s="64">
        <f t="shared" si="105"/>
        <v>87.234283129805519</v>
      </c>
      <c r="KG16" s="64">
        <f t="shared" si="105"/>
        <v>86.383701188454992</v>
      </c>
      <c r="KH16" s="64">
        <f t="shared" si="105"/>
        <v>87.456130420015853</v>
      </c>
      <c r="KI16" s="64">
        <f t="shared" si="105"/>
        <v>87.296380090497735</v>
      </c>
      <c r="KJ16" s="64">
        <f t="shared" si="105"/>
        <v>87.571125739149835</v>
      </c>
      <c r="KK16" s="64">
        <f t="shared" si="105"/>
        <v>87.43939564776187</v>
      </c>
      <c r="KL16" s="64">
        <f t="shared" si="105"/>
        <v>87.312168116597007</v>
      </c>
      <c r="KM16" s="64">
        <f t="shared" si="105"/>
        <v>87.32570003400977</v>
      </c>
      <c r="KN16" s="64">
        <f t="shared" si="105"/>
        <v>87.375678119349004</v>
      </c>
      <c r="KO16" s="64">
        <f t="shared" si="105"/>
        <v>87.178038861274274</v>
      </c>
      <c r="KP16" s="64">
        <f t="shared" si="105"/>
        <v>87.380281690140848</v>
      </c>
      <c r="KQ16" s="64">
        <f t="shared" si="105"/>
        <v>87.842656563405384</v>
      </c>
      <c r="KR16" s="64">
        <f t="shared" si="105"/>
        <v>87.584497521406036</v>
      </c>
      <c r="KS16" s="64">
        <f t="shared" si="105"/>
        <v>87.100417937422336</v>
      </c>
      <c r="KT16" s="64">
        <f t="shared" si="105"/>
        <v>87.355548075844268</v>
      </c>
      <c r="KU16" s="64">
        <f t="shared" si="105"/>
        <v>87.329654240342393</v>
      </c>
      <c r="KV16" s="64">
        <f t="shared" si="105"/>
        <v>86.983983758177317</v>
      </c>
      <c r="KW16" s="64">
        <f t="shared" si="105"/>
        <v>87.704728950403691</v>
      </c>
      <c r="KX16" s="64">
        <f t="shared" si="105"/>
        <v>86.88373167070776</v>
      </c>
      <c r="KY16" s="64">
        <f t="shared" si="105"/>
        <v>86.122351820995007</v>
      </c>
      <c r="KZ16" s="64">
        <f t="shared" si="105"/>
        <v>86.43476303050771</v>
      </c>
      <c r="LA16" s="64">
        <f t="shared" si="105"/>
        <v>87.31343283582089</v>
      </c>
      <c r="LB16" s="64">
        <f t="shared" si="105"/>
        <v>87.31032932449142</v>
      </c>
      <c r="LC16" s="64">
        <f t="shared" si="105"/>
        <v>86.022482116498239</v>
      </c>
      <c r="LD16" s="64">
        <f t="shared" si="105"/>
        <v>87.657515751575147</v>
      </c>
      <c r="LE16" s="64">
        <f t="shared" si="105"/>
        <v>87.776783717289192</v>
      </c>
      <c r="LF16" s="64">
        <f t="shared" si="105"/>
        <v>86.784987565001131</v>
      </c>
      <c r="LG16" s="64">
        <f t="shared" si="105"/>
        <v>86.797562626946501</v>
      </c>
      <c r="LH16" s="64">
        <f t="shared" si="105"/>
        <v>87.232373052348379</v>
      </c>
      <c r="LI16" s="64">
        <f t="shared" si="105"/>
        <v>87.39713673768459</v>
      </c>
      <c r="LJ16" s="64">
        <f t="shared" si="105"/>
        <v>87.659334461364907</v>
      </c>
      <c r="LK16" s="64">
        <f t="shared" si="105"/>
        <v>87.272932415660591</v>
      </c>
      <c r="LL16" s="64">
        <f t="shared" si="105"/>
        <v>86.807269463764868</v>
      </c>
      <c r="LM16" s="64">
        <f t="shared" si="105"/>
        <v>87.097137705656991</v>
      </c>
      <c r="LN16" s="64">
        <f t="shared" si="105"/>
        <v>87.156066756878673</v>
      </c>
      <c r="LO16" s="64">
        <f t="shared" si="105"/>
        <v>84.654760550563083</v>
      </c>
      <c r="LP16" s="64">
        <f t="shared" si="105"/>
        <v>86.755565600632849</v>
      </c>
      <c r="LQ16" s="64">
        <f t="shared" si="105"/>
        <v>87.210348706411708</v>
      </c>
      <c r="LR16" s="64">
        <f t="shared" si="105"/>
        <v>87.365107913669064</v>
      </c>
      <c r="LS16" s="64">
        <f t="shared" si="105"/>
        <v>86.9885982562039</v>
      </c>
      <c r="LT16" s="64">
        <f t="shared" si="105"/>
        <v>87.140439932318102</v>
      </c>
      <c r="LU16" s="64">
        <f t="shared" si="105"/>
        <v>87.025745257452556</v>
      </c>
      <c r="LV16" s="64">
        <f t="shared" si="105"/>
        <v>86.971235194585432</v>
      </c>
      <c r="LW16" s="64">
        <f t="shared" si="105"/>
        <v>87.158037531087501</v>
      </c>
      <c r="LX16" s="64">
        <f t="shared" ref="LX16:OD16" si="106">(LX2*LX9)/LX11</f>
        <v>87.079986423803589</v>
      </c>
      <c r="LY16" s="64">
        <f t="shared" si="106"/>
        <v>87.213891081294378</v>
      </c>
      <c r="LZ16" s="64">
        <f t="shared" si="106"/>
        <v>87.12782628162077</v>
      </c>
      <c r="MA16" s="64">
        <f t="shared" si="106"/>
        <v>86.27229622939717</v>
      </c>
      <c r="MB16" s="64">
        <f t="shared" si="106"/>
        <v>85.384876229230258</v>
      </c>
      <c r="MC16" s="64">
        <f t="shared" si="106"/>
        <v>86.290868094701253</v>
      </c>
      <c r="MD16" s="64">
        <f t="shared" si="106"/>
        <v>86.371341394507851</v>
      </c>
      <c r="ME16" s="64">
        <f t="shared" si="106"/>
        <v>86.454093170511072</v>
      </c>
      <c r="MF16" s="64">
        <f t="shared" si="106"/>
        <v>86.710288808664259</v>
      </c>
      <c r="MG16" s="64">
        <f t="shared" si="106"/>
        <v>86.373306460642709</v>
      </c>
      <c r="MH16" s="64">
        <f t="shared" si="106"/>
        <v>84.861189801699709</v>
      </c>
      <c r="MI16" s="64">
        <f t="shared" si="106"/>
        <v>86.14402917046489</v>
      </c>
      <c r="MJ16" s="64">
        <f t="shared" si="106"/>
        <v>86.615419398598249</v>
      </c>
      <c r="MK16" s="64">
        <f t="shared" si="106"/>
        <v>84.598953326925127</v>
      </c>
      <c r="ML16" s="64">
        <f t="shared" si="106"/>
        <v>84.41344463971879</v>
      </c>
      <c r="MM16" s="64">
        <f t="shared" si="106"/>
        <v>84.592018435110504</v>
      </c>
      <c r="MN16" s="64">
        <f t="shared" si="106"/>
        <v>84.710474951203636</v>
      </c>
      <c r="MO16" s="64">
        <f t="shared" si="106"/>
        <v>84.395917919455712</v>
      </c>
      <c r="MP16" s="64">
        <f t="shared" si="106"/>
        <v>86.815780600202316</v>
      </c>
      <c r="MQ16" s="64">
        <f t="shared" si="106"/>
        <v>85.087321388069853</v>
      </c>
      <c r="MR16" s="64">
        <f t="shared" si="106"/>
        <v>86.882300089847249</v>
      </c>
      <c r="MS16" s="64">
        <f t="shared" si="106"/>
        <v>87.126823793490445</v>
      </c>
      <c r="MT16" s="64">
        <f t="shared" si="106"/>
        <v>87.521533161068049</v>
      </c>
      <c r="MU16" s="64">
        <f t="shared" si="106"/>
        <v>87.302118171683389</v>
      </c>
      <c r="MV16" s="64">
        <f t="shared" si="106"/>
        <v>85.781671159029642</v>
      </c>
      <c r="MW16" s="64">
        <f t="shared" si="106"/>
        <v>86.734579648494346</v>
      </c>
      <c r="MX16" s="64">
        <f t="shared" si="106"/>
        <v>86.525937570177405</v>
      </c>
      <c r="MY16" s="64">
        <f t="shared" si="106"/>
        <v>81.416930737890453</v>
      </c>
      <c r="MZ16" s="64">
        <f t="shared" si="106"/>
        <v>86.398832903153405</v>
      </c>
      <c r="NA16" s="64">
        <f t="shared" si="106"/>
        <v>86.585776879002339</v>
      </c>
      <c r="NB16" s="64">
        <f t="shared" si="106"/>
        <v>86.360076088172775</v>
      </c>
      <c r="NC16" s="64">
        <f t="shared" si="106"/>
        <v>83.135309724304975</v>
      </c>
      <c r="ND16" s="64">
        <f t="shared" si="106"/>
        <v>85.948188852753162</v>
      </c>
      <c r="NE16" s="64">
        <f t="shared" si="106"/>
        <v>86.097096087005269</v>
      </c>
      <c r="NF16" s="64">
        <f t="shared" si="106"/>
        <v>86.163665374971501</v>
      </c>
      <c r="NG16" s="64">
        <f t="shared" si="106"/>
        <v>86.095238095238116</v>
      </c>
      <c r="NH16" s="64">
        <f t="shared" si="106"/>
        <v>85.834172541121177</v>
      </c>
      <c r="NI16" s="64">
        <f t="shared" si="106"/>
        <v>86.66814798355739</v>
      </c>
      <c r="NJ16" s="64">
        <f t="shared" si="106"/>
        <v>86.343316942333487</v>
      </c>
      <c r="NK16" s="64">
        <f t="shared" si="106"/>
        <v>86.407440609592115</v>
      </c>
      <c r="NL16" s="64">
        <f t="shared" si="106"/>
        <v>86.576354679802947</v>
      </c>
      <c r="NM16" s="64">
        <f t="shared" si="106"/>
        <v>86.76799284756369</v>
      </c>
      <c r="NN16" s="64">
        <f t="shared" si="106"/>
        <v>87.015308973069622</v>
      </c>
      <c r="NO16" s="64">
        <f t="shared" si="106"/>
        <v>87.825506343200544</v>
      </c>
      <c r="NP16" s="64">
        <f t="shared" si="106"/>
        <v>87.384003535130361</v>
      </c>
      <c r="NQ16" s="64">
        <f t="shared" si="106"/>
        <v>87.340924313462835</v>
      </c>
      <c r="NR16" s="64">
        <f t="shared" si="106"/>
        <v>87.119777158774369</v>
      </c>
      <c r="NS16" s="64">
        <f t="shared" si="106"/>
        <v>86.728326275908159</v>
      </c>
      <c r="NT16" s="64">
        <f t="shared" si="106"/>
        <v>87.021797153024906</v>
      </c>
      <c r="NU16" s="64">
        <f t="shared" si="106"/>
        <v>87.282657155595189</v>
      </c>
      <c r="NV16" s="64">
        <f t="shared" si="106"/>
        <v>87.282017105409309</v>
      </c>
      <c r="NW16" s="64">
        <f t="shared" si="106"/>
        <v>87.12958867757628</v>
      </c>
      <c r="NX16" s="64">
        <f t="shared" si="106"/>
        <v>87.332589285714292</v>
      </c>
      <c r="NY16" s="64">
        <f t="shared" si="106"/>
        <v>86.651760760201242</v>
      </c>
      <c r="NZ16" s="64">
        <f t="shared" si="106"/>
        <v>86.779812416257244</v>
      </c>
      <c r="OA16" s="64">
        <f t="shared" si="106"/>
        <v>87.037037037037038</v>
      </c>
      <c r="OB16" s="64">
        <f t="shared" si="106"/>
        <v>87.167694896242267</v>
      </c>
      <c r="OC16" s="64">
        <f t="shared" si="106"/>
        <v>87.141905396402393</v>
      </c>
      <c r="OD16" s="64">
        <f t="shared" si="106"/>
        <v>87.411738746690204</v>
      </c>
      <c r="OE16" s="64">
        <f>(OE2*OE9)/OE11</f>
        <v>87.955431754874652</v>
      </c>
      <c r="OF16" s="64">
        <f>(OF2*OF9)/OF11</f>
        <v>85.585284280936435</v>
      </c>
      <c r="OG16" s="64">
        <f>(OG2*OG9)/OG11</f>
        <v>86.76355505869202</v>
      </c>
      <c r="OH16" s="64">
        <f>(OH2*OH9)/OH11</f>
        <v>86.881408827463218</v>
      </c>
      <c r="OI16" s="64">
        <f t="shared" ref="OI16:PG16" si="107">(OI2*OI9)/OI11</f>
        <v>87.065788004021002</v>
      </c>
      <c r="OJ16" s="64">
        <f t="shared" si="107"/>
        <v>87.597503900155999</v>
      </c>
      <c r="OK16" s="64">
        <f t="shared" si="107"/>
        <v>86.965174129353244</v>
      </c>
      <c r="OL16" s="64">
        <f t="shared" si="107"/>
        <v>87.035590762021656</v>
      </c>
      <c r="OM16" s="64">
        <f t="shared" si="107"/>
        <v>87.198929527207852</v>
      </c>
      <c r="ON16" s="64">
        <f t="shared" si="107"/>
        <v>87.958231504110202</v>
      </c>
      <c r="OO16" s="64">
        <f t="shared" si="107"/>
        <v>87.252722827294946</v>
      </c>
      <c r="OP16" s="64">
        <f t="shared" si="107"/>
        <v>87.40113623705021</v>
      </c>
      <c r="OQ16" s="64">
        <f t="shared" si="107"/>
        <v>87.408149632598551</v>
      </c>
      <c r="OR16" s="64">
        <f t="shared" si="107"/>
        <v>88.105483835374599</v>
      </c>
      <c r="OS16" s="64">
        <f t="shared" si="107"/>
        <v>87.541491480416028</v>
      </c>
      <c r="OT16" s="64">
        <f t="shared" si="107"/>
        <v>87.184055227702927</v>
      </c>
      <c r="OU16" s="64">
        <f t="shared" si="107"/>
        <v>86.181777429115769</v>
      </c>
      <c r="OV16" s="64">
        <f t="shared" si="107"/>
        <v>87.21525885558583</v>
      </c>
      <c r="OW16" s="64">
        <f t="shared" si="107"/>
        <v>86.40733288620612</v>
      </c>
      <c r="OX16" s="64">
        <f t="shared" si="107"/>
        <v>86.724977856510165</v>
      </c>
      <c r="OY16" s="64">
        <f t="shared" si="107"/>
        <v>86.568811389471364</v>
      </c>
      <c r="OZ16" s="64">
        <f t="shared" si="107"/>
        <v>86.916509590863726</v>
      </c>
      <c r="PA16" s="64">
        <f t="shared" si="107"/>
        <v>86.80338831921533</v>
      </c>
      <c r="PB16" s="64">
        <f t="shared" si="107"/>
        <v>86.868799464942597</v>
      </c>
      <c r="PC16" s="64">
        <f t="shared" si="107"/>
        <v>86.980670962008432</v>
      </c>
      <c r="PD16" s="64">
        <f t="shared" si="107"/>
        <v>87.067618835081475</v>
      </c>
      <c r="PE16" s="64">
        <f t="shared" si="107"/>
        <v>86.987364220793609</v>
      </c>
      <c r="PF16" s="64">
        <f t="shared" si="107"/>
        <v>87.035607981479444</v>
      </c>
      <c r="PG16" s="64">
        <f t="shared" si="107"/>
        <v>85.714285714285722</v>
      </c>
      <c r="PH16" s="64">
        <f>(PH2*PH9)/PH11</f>
        <v>86.155555555555566</v>
      </c>
      <c r="PI16" s="64">
        <f>(PI2*PI9)/PI11</f>
        <v>86.428650626455266</v>
      </c>
      <c r="PJ16" s="64">
        <f>(PJ2*PJ9)/PJ11</f>
        <v>86.007130124777177</v>
      </c>
      <c r="PK16" s="64">
        <f t="shared" ref="PK16:RG16" si="108">(PK2*PK9)/PK11</f>
        <v>86.504227859368044</v>
      </c>
      <c r="PL16" s="64">
        <f t="shared" si="108"/>
        <v>86.223752916342633</v>
      </c>
      <c r="PM16" s="64">
        <f t="shared" si="108"/>
        <v>85.9993348852677</v>
      </c>
      <c r="PN16" s="64">
        <f t="shared" si="108"/>
        <v>86.621137483206454</v>
      </c>
      <c r="PO16" s="64">
        <f t="shared" si="108"/>
        <v>89.629629629629633</v>
      </c>
      <c r="PP16" s="64">
        <f t="shared" si="108"/>
        <v>89.780452468516657</v>
      </c>
      <c r="PQ16" s="64">
        <f t="shared" si="108"/>
        <v>89.891897915970134</v>
      </c>
      <c r="PR16" s="64">
        <f t="shared" si="108"/>
        <v>87.272330679463408</v>
      </c>
      <c r="PS16" s="64">
        <f t="shared" si="108"/>
        <v>89.977678571428569</v>
      </c>
      <c r="PT16" s="64">
        <f t="shared" si="108"/>
        <v>91.017042330951085</v>
      </c>
      <c r="PU16" s="64">
        <f t="shared" si="108"/>
        <v>89.657473309608548</v>
      </c>
      <c r="PV16" s="64">
        <f t="shared" si="108"/>
        <v>89.622115706164323</v>
      </c>
      <c r="PW16" s="64">
        <f t="shared" si="108"/>
        <v>89.992224813950884</v>
      </c>
      <c r="PX16" s="64">
        <f t="shared" si="108"/>
        <v>91.463146314631459</v>
      </c>
      <c r="PY16" s="64">
        <f t="shared" si="108"/>
        <v>90.231220267728744</v>
      </c>
      <c r="PZ16" s="64">
        <f t="shared" si="108"/>
        <v>89.199420999888659</v>
      </c>
      <c r="QA16" s="64">
        <f t="shared" si="108"/>
        <v>89.560318161732198</v>
      </c>
      <c r="QB16" s="64">
        <f t="shared" si="108"/>
        <v>89.765529503278117</v>
      </c>
      <c r="QC16" s="64">
        <f t="shared" si="108"/>
        <v>89.749582637729546</v>
      </c>
      <c r="QD16" s="64">
        <f t="shared" si="108"/>
        <v>89.526574363555198</v>
      </c>
      <c r="QE16" s="64">
        <f t="shared" si="108"/>
        <v>89.777282850779514</v>
      </c>
      <c r="QF16" s="64">
        <f t="shared" si="108"/>
        <v>89.814400715563508</v>
      </c>
      <c r="QG16" s="64">
        <f t="shared" si="108"/>
        <v>89.64784795975406</v>
      </c>
      <c r="QH16" s="64">
        <f t="shared" si="108"/>
        <v>89.146341463414629</v>
      </c>
      <c r="QI16" s="64">
        <f t="shared" si="108"/>
        <v>89.200623469160547</v>
      </c>
      <c r="QJ16" s="64">
        <f t="shared" si="108"/>
        <v>89.51721054984354</v>
      </c>
      <c r="QK16" s="64">
        <f t="shared" si="108"/>
        <v>89.895821664612967</v>
      </c>
      <c r="QL16" s="64">
        <f t="shared" si="108"/>
        <v>90.004472271914139</v>
      </c>
      <c r="QM16" s="64">
        <f t="shared" si="108"/>
        <v>89.895470383275267</v>
      </c>
      <c r="QN16" s="64">
        <f t="shared" si="108"/>
        <v>89.681828366569562</v>
      </c>
      <c r="QO16" s="64">
        <f t="shared" si="108"/>
        <v>89.397159154457015</v>
      </c>
      <c r="QP16" s="64">
        <f t="shared" si="108"/>
        <v>89.478980322003579</v>
      </c>
      <c r="QQ16" s="64">
        <f t="shared" si="108"/>
        <v>89.340499384167515</v>
      </c>
      <c r="QR16" s="64">
        <f t="shared" si="108"/>
        <v>89.325842696629223</v>
      </c>
      <c r="QS16" s="64">
        <f t="shared" si="108"/>
        <v>89.32766528694485</v>
      </c>
      <c r="QT16" s="64">
        <f t="shared" si="108"/>
        <v>89.48955657321568</v>
      </c>
      <c r="QU16" s="64">
        <f t="shared" si="108"/>
        <v>89.486007358679899</v>
      </c>
      <c r="QV16" s="64">
        <f t="shared" si="108"/>
        <v>89.423397400288863</v>
      </c>
      <c r="QW16" s="64">
        <f t="shared" si="108"/>
        <v>89.762116496220543</v>
      </c>
      <c r="QX16" s="64">
        <f t="shared" si="108"/>
        <v>89.60329841765099</v>
      </c>
      <c r="QY16" s="64">
        <f t="shared" si="108"/>
        <v>89.013552543879129</v>
      </c>
      <c r="QZ16" s="64">
        <f t="shared" si="108"/>
        <v>89.33570317707175</v>
      </c>
      <c r="RA16" s="64">
        <f t="shared" si="108"/>
        <v>89.23315259488767</v>
      </c>
      <c r="RB16" s="64">
        <f t="shared" si="108"/>
        <v>89.431074636797163</v>
      </c>
      <c r="RC16" s="64">
        <f t="shared" si="108"/>
        <v>89.250165892501656</v>
      </c>
      <c r="RD16" s="64">
        <f t="shared" si="108"/>
        <v>89.197872811876792</v>
      </c>
      <c r="RE16" s="64">
        <f t="shared" si="108"/>
        <v>89.345172031076586</v>
      </c>
      <c r="RF16" s="64">
        <f t="shared" si="108"/>
        <v>89.560683381406719</v>
      </c>
      <c r="RG16" s="64">
        <f t="shared" si="108"/>
        <v>88.536233492398182</v>
      </c>
      <c r="RH16" s="64">
        <f t="shared" ref="RH16:RJ16" si="109">(RH2*RH9)/RH11</f>
        <v>89.505214111382301</v>
      </c>
      <c r="RI16" s="64">
        <f t="shared" si="109"/>
        <v>89.571096087775658</v>
      </c>
      <c r="RJ16" s="64">
        <f t="shared" si="109"/>
        <v>89.263227659339435</v>
      </c>
      <c r="RK16" s="64">
        <f t="shared" ref="RK16:RL16" si="110">(RK2*RK9)/RK11</f>
        <v>88.979092526690394</v>
      </c>
      <c r="RL16" s="64">
        <f t="shared" si="110"/>
        <v>89.078801331853512</v>
      </c>
      <c r="RM16" s="64">
        <f t="shared" ref="RM16:RZ16" si="111">(RM2*RM9)/RM11</f>
        <v>88.58508391686118</v>
      </c>
      <c r="RN16" s="64">
        <f t="shared" si="111"/>
        <v>88.205185267608755</v>
      </c>
      <c r="RO16" s="64">
        <f t="shared" si="111"/>
        <v>87.181200579129083</v>
      </c>
      <c r="RP16" s="64">
        <f t="shared" si="111"/>
        <v>89.204733989602943</v>
      </c>
      <c r="RQ16" s="64">
        <f t="shared" si="111"/>
        <v>88.080495356037147</v>
      </c>
      <c r="RR16" s="64">
        <f t="shared" si="111"/>
        <v>89.089499335400987</v>
      </c>
      <c r="RS16" s="64">
        <f t="shared" si="111"/>
        <v>87.714824259895764</v>
      </c>
      <c r="RT16" s="64">
        <f t="shared" si="111"/>
        <v>88.811420982735726</v>
      </c>
      <c r="RU16" s="64">
        <f t="shared" si="111"/>
        <v>88.94182825484765</v>
      </c>
      <c r="RV16" s="64">
        <f t="shared" si="111"/>
        <v>89.289665855277718</v>
      </c>
      <c r="RW16" s="64">
        <f t="shared" si="111"/>
        <v>89.412024756852347</v>
      </c>
      <c r="RX16" s="64">
        <f t="shared" si="111"/>
        <v>89.323059988992838</v>
      </c>
      <c r="RY16" s="64">
        <f t="shared" si="111"/>
        <v>89.193370165745847</v>
      </c>
      <c r="RZ16" s="64">
        <f t="shared" si="111"/>
        <v>89.279787587122485</v>
      </c>
      <c r="SA16" s="64" t="e">
        <f t="shared" ref="SA16:SI16" si="112">(SA2*SA9)/SA11</f>
        <v>#DIV/0!</v>
      </c>
      <c r="SB16" s="64" t="e">
        <f t="shared" si="112"/>
        <v>#DIV/0!</v>
      </c>
      <c r="SC16" s="64" t="e">
        <f t="shared" si="112"/>
        <v>#DIV/0!</v>
      </c>
      <c r="SD16" s="64" t="e">
        <f t="shared" si="112"/>
        <v>#DIV/0!</v>
      </c>
      <c r="SE16" s="64" t="e">
        <f t="shared" si="112"/>
        <v>#DIV/0!</v>
      </c>
      <c r="SF16" s="64" t="e">
        <f t="shared" si="112"/>
        <v>#DIV/0!</v>
      </c>
      <c r="SG16" s="64">
        <f t="shared" si="112"/>
        <v>42.248265713685093</v>
      </c>
      <c r="SH16" s="64">
        <f t="shared" si="112"/>
        <v>88.637163986383385</v>
      </c>
      <c r="SI16" s="64">
        <f t="shared" si="112"/>
        <v>88.41103086014445</v>
      </c>
      <c r="SJ16" s="64">
        <f t="shared" ref="SJ16:SM16" si="113">(SJ2*SJ9)/SJ11</f>
        <v>87.20062381641975</v>
      </c>
      <c r="SK16" s="64">
        <f t="shared" si="113"/>
        <v>86.005897028804725</v>
      </c>
      <c r="SL16" s="64">
        <f t="shared" si="113"/>
        <v>88.368496630951071</v>
      </c>
      <c r="SM16" s="64">
        <f t="shared" si="113"/>
        <v>89.176340519624119</v>
      </c>
      <c r="SN16" s="64">
        <f>(SN2*SN9)/SN11</f>
        <v>88.037041025088826</v>
      </c>
      <c r="SO16" s="64">
        <f>(SO2*SO9)/SO11</f>
        <v>88.225108225108215</v>
      </c>
      <c r="SP16" s="64">
        <f>(SP2*SP9)/SP11</f>
        <v>88.631555506068366</v>
      </c>
      <c r="SQ16" s="64">
        <f t="shared" ref="SQ16:SR16" si="114">(SQ2*SQ9)/SQ11</f>
        <v>89.318439221894508</v>
      </c>
      <c r="SR16" s="64">
        <f t="shared" si="114"/>
        <v>89.220315464523225</v>
      </c>
      <c r="SS16" s="64">
        <f t="shared" ref="SS16:ST16" si="115">(SS2*SS9)/SS11</f>
        <v>90.117178863586119</v>
      </c>
      <c r="ST16" s="64">
        <f t="shared" si="115"/>
        <v>89.269911504424797</v>
      </c>
      <c r="SU16" s="64">
        <f t="shared" ref="SU16:SW16" si="116">(SU2*SU9)/SU11</f>
        <v>88.830096610663219</v>
      </c>
      <c r="SV16" s="64">
        <f t="shared" si="116"/>
        <v>89.70410295897041</v>
      </c>
      <c r="SW16" s="64">
        <f t="shared" si="116"/>
        <v>88.34940934214805</v>
      </c>
      <c r="SX16" s="64">
        <f t="shared" ref="SX16:SZ16" si="117">(SX2*SX9)/SX11</f>
        <v>90.127142067440573</v>
      </c>
      <c r="SY16" s="64">
        <f t="shared" si="117"/>
        <v>88.02756244616711</v>
      </c>
      <c r="SZ16" s="64">
        <f t="shared" si="117"/>
        <v>88.499727223131487</v>
      </c>
      <c r="TA16" s="64">
        <f t="shared" ref="TA16:TB16" si="118">(TA2*TA9)/TA11</f>
        <v>88.03704102508884</v>
      </c>
      <c r="TB16" s="64">
        <f t="shared" si="118"/>
        <v>89.945404913557795</v>
      </c>
      <c r="TC16" s="64">
        <f t="shared" ref="TC16:TD16" si="119">(TC2*TC9)/TC11</f>
        <v>90.028932376373106</v>
      </c>
      <c r="TD16" s="64">
        <f t="shared" si="119"/>
        <v>90.129000545453849</v>
      </c>
      <c r="TE16" s="64">
        <f t="shared" ref="TE16:TF16" si="120">(TE2*TE9)/TE11</f>
        <v>90.247952818416621</v>
      </c>
      <c r="TF16" s="64">
        <f t="shared" si="120"/>
        <v>91.223848511879638</v>
      </c>
      <c r="TG16" s="64">
        <f t="shared" ref="TG16:TH16" si="121">(TG2*TG9)/TG11</f>
        <v>89.896757054432996</v>
      </c>
      <c r="TH16" s="64">
        <f t="shared" si="121"/>
        <v>88.451472191930193</v>
      </c>
      <c r="TI16" s="64">
        <f t="shared" ref="TI16:TM16" si="122">(TI2*TI9)/TI11</f>
        <v>88.820409777536696</v>
      </c>
      <c r="TJ16" s="64">
        <f t="shared" si="122"/>
        <v>89.644937891612628</v>
      </c>
      <c r="TK16" s="64">
        <f t="shared" si="122"/>
        <v>88.311125555194437</v>
      </c>
      <c r="TL16" s="64">
        <f t="shared" si="122"/>
        <v>89.717084664212805</v>
      </c>
      <c r="TM16" s="64">
        <f t="shared" si="122"/>
        <v>89.984880771425381</v>
      </c>
      <c r="TN16" s="64">
        <f t="shared" ref="TN16:TY16" si="123">(TN2*TN9)/TN11</f>
        <v>89.090636419566408</v>
      </c>
      <c r="TO16" s="64">
        <f t="shared" si="123"/>
        <v>89.683671335497408</v>
      </c>
      <c r="TP16" s="64">
        <f t="shared" si="123"/>
        <v>89.322590072657121</v>
      </c>
      <c r="TQ16" s="64">
        <f t="shared" si="123"/>
        <v>89.924725388320326</v>
      </c>
      <c r="TR16" s="64">
        <f t="shared" si="123"/>
        <v>88.933138743203756</v>
      </c>
      <c r="TS16" s="64">
        <f t="shared" si="123"/>
        <v>89.856087447707409</v>
      </c>
      <c r="TT16" s="64">
        <f t="shared" si="123"/>
        <v>90.083771733787984</v>
      </c>
      <c r="TU16" s="64">
        <f t="shared" si="123"/>
        <v>90.03496503496504</v>
      </c>
      <c r="TV16" s="64">
        <f t="shared" si="123"/>
        <v>90.183847669074197</v>
      </c>
      <c r="TW16" s="64">
        <f t="shared" si="123"/>
        <v>89.937451991660254</v>
      </c>
      <c r="TX16" s="64">
        <f t="shared" si="123"/>
        <v>90.134972017996276</v>
      </c>
      <c r="TY16" s="64">
        <f t="shared" si="123"/>
        <v>90.050571679859274</v>
      </c>
      <c r="TZ16" s="64">
        <f t="shared" ref="TZ16:UA16" si="124">(TZ2*TZ9)/TZ11</f>
        <v>90.393109540636047</v>
      </c>
      <c r="UA16" s="64">
        <f t="shared" si="124"/>
        <v>90.548746825659705</v>
      </c>
      <c r="UB16" s="64">
        <f t="shared" ref="UB16:UC16" si="125">(UB2*UB9)/UB11</f>
        <v>89.936417452313094</v>
      </c>
      <c r="UC16" s="64">
        <f t="shared" si="125"/>
        <v>90.161414296694844</v>
      </c>
      <c r="UD16" s="72">
        <f t="shared" ref="UD16:UE16" si="126">(UD2*UD9)/UD11</f>
        <v>89.851566794942272</v>
      </c>
      <c r="UE16" s="64">
        <f t="shared" si="126"/>
        <v>89.934138309549937</v>
      </c>
      <c r="UF16" s="64">
        <f t="shared" ref="UF16:UL16" si="127">(UF2*UF9)/UF11</f>
        <v>90.116279069767444</v>
      </c>
      <c r="UG16" s="64">
        <f t="shared" si="127"/>
        <v>90.290729566648395</v>
      </c>
      <c r="UH16" s="64">
        <f t="shared" si="127"/>
        <v>90.134972017996262</v>
      </c>
      <c r="UI16" s="64">
        <f t="shared" si="127"/>
        <v>89.948538267819998</v>
      </c>
      <c r="UJ16" s="64">
        <f t="shared" si="127"/>
        <v>90.041998231653395</v>
      </c>
      <c r="UK16" s="64">
        <f t="shared" si="127"/>
        <v>90.028678579307311</v>
      </c>
      <c r="UL16" s="64">
        <f t="shared" si="127"/>
        <v>90.222514523731235</v>
      </c>
      <c r="UM16" s="64">
        <f t="shared" ref="UM16:UP16" si="128">(UM2*UM9)/UM11</f>
        <v>90.251916757940862</v>
      </c>
      <c r="UN16" s="64">
        <f t="shared" si="128"/>
        <v>90.179548938033733</v>
      </c>
      <c r="UO16" s="64">
        <f t="shared" si="128"/>
        <v>90.311266988163098</v>
      </c>
      <c r="UP16" s="64">
        <f t="shared" si="128"/>
        <v>89.988986784140977</v>
      </c>
      <c r="UQ16" s="64">
        <f t="shared" ref="UQ16:UR16" si="129">(UQ2*UQ9)/UQ11</f>
        <v>90.388615216201401</v>
      </c>
      <c r="UR16" s="64">
        <f t="shared" si="129"/>
        <v>89.789658194566158</v>
      </c>
      <c r="US16" s="64">
        <f t="shared" ref="US16:VA16" si="130">(US2*US9)/US11</f>
        <v>90.211553217143475</v>
      </c>
      <c r="UT16" s="64">
        <f t="shared" si="130"/>
        <v>90.245506356861029</v>
      </c>
      <c r="UU16" s="64">
        <f t="shared" si="130"/>
        <v>90.158730158730165</v>
      </c>
      <c r="UV16" s="64">
        <f t="shared" si="130"/>
        <v>90.278386672512056</v>
      </c>
      <c r="UW16" s="64">
        <f t="shared" si="130"/>
        <v>90.088611749261574</v>
      </c>
      <c r="UX16" s="64">
        <f t="shared" si="130"/>
        <v>90.269559500328725</v>
      </c>
      <c r="UY16" s="64">
        <f t="shared" si="130"/>
        <v>90.006567425569187</v>
      </c>
      <c r="UZ16" s="64">
        <f t="shared" si="130"/>
        <v>90.076754385964904</v>
      </c>
      <c r="VA16" s="64">
        <f t="shared" si="130"/>
        <v>90.371991247264745</v>
      </c>
      <c r="VB16" s="64">
        <f t="shared" ref="VB16:VD16" si="131">(VB2*VB9)/VB11</f>
        <v>89.665354330708652</v>
      </c>
      <c r="VC16" s="64">
        <f t="shared" si="131"/>
        <v>90.39177062814619</v>
      </c>
      <c r="VD16" s="64">
        <f t="shared" si="131"/>
        <v>90.026218046755503</v>
      </c>
      <c r="VE16" s="64">
        <f>(VE2*VE9)/VE11</f>
        <v>90.284638908492141</v>
      </c>
      <c r="VF16" s="64">
        <f>(VF2*VF9)/VF11</f>
        <v>89.862505456132695</v>
      </c>
      <c r="VG16" s="64">
        <f>(VG2*VG9)/VG11</f>
        <v>89.794804627810521</v>
      </c>
      <c r="VH16" s="64">
        <f>(VH2*VH9)/VH11</f>
        <v>90.069132009217597</v>
      </c>
      <c r="VI16" s="64">
        <f t="shared" ref="VI16:VR16" si="132">(VI2*VI9)/VI11</f>
        <v>89.60609069844422</v>
      </c>
      <c r="VJ16" s="64">
        <f t="shared" si="132"/>
        <v>89.698299506308302</v>
      </c>
      <c r="VK16" s="64">
        <f t="shared" si="132"/>
        <v>89.797482211275309</v>
      </c>
      <c r="VL16" s="64">
        <f t="shared" si="132"/>
        <v>90.100744634253189</v>
      </c>
      <c r="VM16" s="64">
        <f t="shared" si="132"/>
        <v>89.923161361141595</v>
      </c>
      <c r="VN16" s="64">
        <f t="shared" si="132"/>
        <v>89.801513323829383</v>
      </c>
      <c r="VO16" s="64">
        <f t="shared" si="132"/>
        <v>90.135756514123059</v>
      </c>
      <c r="VP16" s="64">
        <f t="shared" si="132"/>
        <v>90.187685215673369</v>
      </c>
      <c r="VQ16" s="64">
        <f t="shared" si="132"/>
        <v>90.133245237308643</v>
      </c>
      <c r="VR16" s="64">
        <f t="shared" si="132"/>
        <v>89.754232659748766</v>
      </c>
    </row>
    <row r="17" spans="1:590" x14ac:dyDescent="0.25">
      <c r="A17" s="289" t="s">
        <v>263</v>
      </c>
      <c r="B17" s="64">
        <f>(B3*B9)/B11</f>
        <v>93.600000000000009</v>
      </c>
      <c r="C17" s="64">
        <f t="shared" ref="C17:T17" si="133">(C3*C9)/C11</f>
        <v>95.323167956304047</v>
      </c>
      <c r="D17" s="64">
        <f t="shared" si="133"/>
        <v>95.548180361638828</v>
      </c>
      <c r="E17" s="64">
        <f t="shared" si="133"/>
        <v>95.614838561941838</v>
      </c>
      <c r="F17" s="64">
        <f t="shared" si="133"/>
        <v>95.783684692942245</v>
      </c>
      <c r="G17" s="64">
        <f t="shared" si="133"/>
        <v>95.836660203034128</v>
      </c>
      <c r="H17" s="64">
        <f t="shared" si="133"/>
        <v>95.904164289788952</v>
      </c>
      <c r="I17" s="64">
        <f t="shared" si="133"/>
        <v>96.037480243847369</v>
      </c>
      <c r="J17" s="64">
        <f t="shared" si="133"/>
        <v>95.836177474402717</v>
      </c>
      <c r="K17" s="64">
        <f t="shared" si="133"/>
        <v>95.615437314455349</v>
      </c>
      <c r="L17" s="64">
        <f t="shared" si="133"/>
        <v>94.994834117782119</v>
      </c>
      <c r="M17" s="64">
        <f t="shared" si="133"/>
        <v>95.455586080586087</v>
      </c>
      <c r="N17" s="64">
        <f t="shared" si="133"/>
        <v>95.741773881361723</v>
      </c>
      <c r="O17" s="64">
        <f t="shared" si="133"/>
        <v>95.852744006362926</v>
      </c>
      <c r="P17" s="64">
        <f t="shared" si="133"/>
        <v>95.832862789384521</v>
      </c>
      <c r="Q17" s="64">
        <f t="shared" si="133"/>
        <v>95.730874316939875</v>
      </c>
      <c r="R17" s="64">
        <f t="shared" si="133"/>
        <v>95.689360246322266</v>
      </c>
      <c r="S17" s="64">
        <f t="shared" si="133"/>
        <v>95.618350303168981</v>
      </c>
      <c r="T17" s="64">
        <f t="shared" si="133"/>
        <v>95.63970166379805</v>
      </c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>
        <f t="shared" ref="CB17:EM17" si="134">(CB3*CB9)/CB11</f>
        <v>96.058884896255933</v>
      </c>
      <c r="CC17" s="64">
        <f t="shared" si="134"/>
        <v>96.124575576630377</v>
      </c>
      <c r="CD17" s="64">
        <f t="shared" si="134"/>
        <v>95.815028901734095</v>
      </c>
      <c r="CE17" s="64">
        <f t="shared" si="134"/>
        <v>95.856417359187432</v>
      </c>
      <c r="CF17" s="64">
        <f t="shared" si="134"/>
        <v>95.940319222761985</v>
      </c>
      <c r="CG17" s="64">
        <f t="shared" si="134"/>
        <v>96.077073958693902</v>
      </c>
      <c r="CH17" s="64">
        <f t="shared" si="134"/>
        <v>96.145487818826496</v>
      </c>
      <c r="CI17" s="64">
        <f t="shared" si="134"/>
        <v>95.998604164243332</v>
      </c>
      <c r="CJ17" s="64">
        <f t="shared" si="134"/>
        <v>95.892483127763555</v>
      </c>
      <c r="CK17" s="64">
        <f t="shared" si="134"/>
        <v>96.014828544949012</v>
      </c>
      <c r="CL17" s="64">
        <f t="shared" si="134"/>
        <v>95.962078651685374</v>
      </c>
      <c r="CM17" s="64">
        <f t="shared" si="134"/>
        <v>96.05968757286081</v>
      </c>
      <c r="CN17" s="64">
        <f t="shared" si="134"/>
        <v>95.951885264862355</v>
      </c>
      <c r="CO17" s="64">
        <f t="shared" si="134"/>
        <v>96.088047445255484</v>
      </c>
      <c r="CP17" s="64">
        <f t="shared" si="134"/>
        <v>96.007046388725783</v>
      </c>
      <c r="CQ17" s="64">
        <f t="shared" si="134"/>
        <v>95.907452621788153</v>
      </c>
      <c r="CR17" s="64">
        <f t="shared" si="134"/>
        <v>95.857026807473588</v>
      </c>
      <c r="CS17" s="64">
        <f t="shared" si="134"/>
        <v>96.050040542105876</v>
      </c>
      <c r="CT17" s="64">
        <f t="shared" si="134"/>
        <v>96.129478170717661</v>
      </c>
      <c r="CU17" s="64">
        <f t="shared" si="134"/>
        <v>96.14318706697459</v>
      </c>
      <c r="CV17" s="64">
        <f t="shared" si="134"/>
        <v>96.072162594199597</v>
      </c>
      <c r="CW17" s="64">
        <f t="shared" si="134"/>
        <v>96.049777371846091</v>
      </c>
      <c r="CX17" s="64">
        <f t="shared" si="134"/>
        <v>96.128957707418536</v>
      </c>
      <c r="CY17" s="64">
        <f t="shared" si="134"/>
        <v>96.183818473527396</v>
      </c>
      <c r="CZ17" s="64">
        <f t="shared" si="134"/>
        <v>96.094020048392665</v>
      </c>
      <c r="DA17" s="64" t="e">
        <f t="shared" si="134"/>
        <v>#DIV/0!</v>
      </c>
      <c r="DB17" s="64" t="e">
        <f t="shared" si="134"/>
        <v>#DIV/0!</v>
      </c>
      <c r="DC17" s="64" t="e">
        <f t="shared" si="134"/>
        <v>#DIV/0!</v>
      </c>
      <c r="DD17" s="64" t="e">
        <f t="shared" si="134"/>
        <v>#DIV/0!</v>
      </c>
      <c r="DE17" s="64" t="e">
        <f t="shared" si="134"/>
        <v>#DIV/0!</v>
      </c>
      <c r="DF17" s="64" t="e">
        <f t="shared" si="134"/>
        <v>#DIV/0!</v>
      </c>
      <c r="DG17" s="64" t="e">
        <f t="shared" si="134"/>
        <v>#DIV/0!</v>
      </c>
      <c r="DH17" s="64" t="e">
        <f t="shared" si="134"/>
        <v>#DIV/0!</v>
      </c>
      <c r="DI17" s="64" t="e">
        <f t="shared" si="134"/>
        <v>#DIV/0!</v>
      </c>
      <c r="DJ17" s="64" t="e">
        <f t="shared" si="134"/>
        <v>#DIV/0!</v>
      </c>
      <c r="DK17" s="64" t="e">
        <f t="shared" si="134"/>
        <v>#DIV/0!</v>
      </c>
      <c r="DL17" s="64" t="e">
        <f t="shared" si="134"/>
        <v>#DIV/0!</v>
      </c>
      <c r="DM17" s="64" t="e">
        <f t="shared" si="134"/>
        <v>#DIV/0!</v>
      </c>
      <c r="DN17" s="64" t="e">
        <f t="shared" si="134"/>
        <v>#DIV/0!</v>
      </c>
      <c r="DO17" s="64" t="e">
        <f t="shared" si="134"/>
        <v>#DIV/0!</v>
      </c>
      <c r="DP17" s="64" t="e">
        <f t="shared" si="134"/>
        <v>#DIV/0!</v>
      </c>
      <c r="DQ17" s="64" t="e">
        <f t="shared" si="134"/>
        <v>#DIV/0!</v>
      </c>
      <c r="DR17" s="64" t="e">
        <f t="shared" si="134"/>
        <v>#DIV/0!</v>
      </c>
      <c r="DS17" s="64" t="e">
        <f t="shared" si="134"/>
        <v>#DIV/0!</v>
      </c>
      <c r="DT17" s="64" t="e">
        <f t="shared" si="134"/>
        <v>#DIV/0!</v>
      </c>
      <c r="DU17" s="64" t="e">
        <f t="shared" si="134"/>
        <v>#DIV/0!</v>
      </c>
      <c r="DV17" s="64" t="e">
        <f t="shared" si="134"/>
        <v>#DIV/0!</v>
      </c>
      <c r="DW17" s="64" t="e">
        <f t="shared" si="134"/>
        <v>#DIV/0!</v>
      </c>
      <c r="DX17" s="64" t="e">
        <f t="shared" si="134"/>
        <v>#DIV/0!</v>
      </c>
      <c r="DY17" s="64" t="e">
        <f t="shared" si="134"/>
        <v>#DIV/0!</v>
      </c>
      <c r="DZ17" s="64">
        <f t="shared" si="134"/>
        <v>95.688263776804249</v>
      </c>
      <c r="EA17" s="64">
        <f t="shared" si="134"/>
        <v>95.676800369899425</v>
      </c>
      <c r="EB17" s="64">
        <f t="shared" si="134"/>
        <v>95.679083094555878</v>
      </c>
      <c r="EC17" s="64">
        <f t="shared" si="134"/>
        <v>95.753205128205124</v>
      </c>
      <c r="ED17" s="64">
        <f t="shared" si="134"/>
        <v>95.820895522388042</v>
      </c>
      <c r="EE17" s="64">
        <f t="shared" si="134"/>
        <v>95.622093682658488</v>
      </c>
      <c r="EF17" s="64">
        <f t="shared" si="134"/>
        <v>93.842421441774505</v>
      </c>
      <c r="EG17" s="64">
        <f t="shared" si="134"/>
        <v>95.702005730659025</v>
      </c>
      <c r="EH17" s="64">
        <f t="shared" si="134"/>
        <v>95.786709294359426</v>
      </c>
      <c r="EI17" s="64">
        <f t="shared" si="134"/>
        <v>95.752192233230843</v>
      </c>
      <c r="EJ17" s="64">
        <f t="shared" si="134"/>
        <v>95.781410769406648</v>
      </c>
      <c r="EK17" s="64">
        <f t="shared" si="134"/>
        <v>95.910230120756424</v>
      </c>
      <c r="EL17" s="64">
        <f t="shared" si="134"/>
        <v>95.779588142113596</v>
      </c>
      <c r="EM17" s="64">
        <f t="shared" si="134"/>
        <v>95.276405010918282</v>
      </c>
      <c r="EN17" s="64">
        <f t="shared" ref="EN17:GY17" si="135">(EN3*EN9)/EN11</f>
        <v>95.710854397803956</v>
      </c>
      <c r="EO17" s="64">
        <f t="shared" si="135"/>
        <v>95.761255584832185</v>
      </c>
      <c r="EP17" s="64">
        <f t="shared" si="135"/>
        <v>95.7296186343914</v>
      </c>
      <c r="EQ17" s="64">
        <f t="shared" si="135"/>
        <v>95.989946304124288</v>
      </c>
      <c r="ER17" s="64">
        <f t="shared" si="135"/>
        <v>96.032379432219813</v>
      </c>
      <c r="ES17" s="64">
        <f t="shared" si="135"/>
        <v>95.975512980387705</v>
      </c>
      <c r="ET17" s="64">
        <f t="shared" si="135"/>
        <v>95.630790346562975</v>
      </c>
      <c r="EU17" s="64">
        <f t="shared" si="135"/>
        <v>92.811395759717314</v>
      </c>
      <c r="EV17" s="64">
        <f t="shared" si="135"/>
        <v>95.900890614295506</v>
      </c>
      <c r="EW17" s="64">
        <f t="shared" si="135"/>
        <v>91.322126306224447</v>
      </c>
      <c r="EX17" s="64">
        <f t="shared" si="135"/>
        <v>94.275491949910545</v>
      </c>
      <c r="EY17" s="64">
        <f t="shared" si="135"/>
        <v>90.845805777932483</v>
      </c>
      <c r="EZ17" s="64">
        <f t="shared" si="135"/>
        <v>93.486633439057556</v>
      </c>
      <c r="FA17" s="64">
        <f t="shared" si="135"/>
        <v>95.790801697442362</v>
      </c>
      <c r="FB17" s="64">
        <f t="shared" si="135"/>
        <v>95.584325511501547</v>
      </c>
      <c r="FC17" s="64">
        <f t="shared" si="135"/>
        <v>95.724520452969728</v>
      </c>
      <c r="FD17" s="64">
        <f t="shared" si="135"/>
        <v>95.670696603339096</v>
      </c>
      <c r="FE17" s="64">
        <f t="shared" si="135"/>
        <v>95.773350224576774</v>
      </c>
      <c r="FF17" s="64">
        <f t="shared" si="135"/>
        <v>95.66870176246978</v>
      </c>
      <c r="FG17" s="64">
        <f t="shared" si="135"/>
        <v>95.42011019283747</v>
      </c>
      <c r="FH17" s="64">
        <f t="shared" si="135"/>
        <v>95.698677400805053</v>
      </c>
      <c r="FI17" s="64">
        <f t="shared" si="135"/>
        <v>95.389214671725881</v>
      </c>
      <c r="FJ17" s="64">
        <f t="shared" si="135"/>
        <v>95.298310150592016</v>
      </c>
      <c r="FK17" s="64">
        <f t="shared" si="135"/>
        <v>95.639742673338105</v>
      </c>
      <c r="FL17" s="64">
        <f t="shared" si="135"/>
        <v>95.927438731379155</v>
      </c>
      <c r="FM17" s="64">
        <f t="shared" si="135"/>
        <v>96.118278342276511</v>
      </c>
      <c r="FN17" s="64">
        <f t="shared" si="135"/>
        <v>95.839473982541676</v>
      </c>
      <c r="FO17" s="64">
        <f t="shared" si="135"/>
        <v>96.066393815370631</v>
      </c>
      <c r="FP17" s="64">
        <f t="shared" si="135"/>
        <v>96.101231190150472</v>
      </c>
      <c r="FQ17" s="64">
        <f t="shared" si="135"/>
        <v>95.847195135941263</v>
      </c>
      <c r="FR17" s="64">
        <f t="shared" si="135"/>
        <v>96.086805956366135</v>
      </c>
      <c r="FS17" s="64">
        <f t="shared" si="135"/>
        <v>96.186920117673679</v>
      </c>
      <c r="FT17" s="64">
        <f t="shared" si="135"/>
        <v>96.05278125355477</v>
      </c>
      <c r="FU17" s="64">
        <f t="shared" si="135"/>
        <v>96.062281394561651</v>
      </c>
      <c r="FV17" s="64">
        <f t="shared" si="135"/>
        <v>96.224698658176024</v>
      </c>
      <c r="FW17" s="64">
        <f t="shared" si="135"/>
        <v>96.261682242990659</v>
      </c>
      <c r="FX17" s="64">
        <f t="shared" si="135"/>
        <v>95.903778509020768</v>
      </c>
      <c r="FY17" s="64">
        <f t="shared" si="135"/>
        <v>96.103749008947787</v>
      </c>
      <c r="FZ17" s="64">
        <f t="shared" si="135"/>
        <v>96.199228500113463</v>
      </c>
      <c r="GA17" s="64">
        <f t="shared" si="135"/>
        <v>96.169148573377271</v>
      </c>
      <c r="GB17" s="64">
        <f t="shared" si="135"/>
        <v>96.082427536231876</v>
      </c>
      <c r="GC17" s="64">
        <f t="shared" si="135"/>
        <v>95.916026155787534</v>
      </c>
      <c r="GD17" s="64">
        <f t="shared" si="135"/>
        <v>96.110284864432003</v>
      </c>
      <c r="GE17" s="64">
        <f t="shared" si="135"/>
        <v>96</v>
      </c>
      <c r="GF17" s="64">
        <f t="shared" si="135"/>
        <v>96.171866072448864</v>
      </c>
      <c r="GG17" s="64">
        <f t="shared" si="135"/>
        <v>96.195714449409891</v>
      </c>
      <c r="GH17" s="64">
        <f t="shared" si="135"/>
        <v>95.400743997294541</v>
      </c>
      <c r="GI17" s="64">
        <f t="shared" si="135"/>
        <v>96.477181745396308</v>
      </c>
      <c r="GJ17" s="64">
        <f t="shared" si="135"/>
        <v>96.189164370982567</v>
      </c>
      <c r="GK17" s="64">
        <f t="shared" si="135"/>
        <v>95.997706422018339</v>
      </c>
      <c r="GL17" s="64">
        <f t="shared" si="135"/>
        <v>96.027020838103951</v>
      </c>
      <c r="GM17" s="64">
        <f t="shared" si="135"/>
        <v>95.243526862096488</v>
      </c>
      <c r="GN17" s="64">
        <f t="shared" si="135"/>
        <v>96.174925782142054</v>
      </c>
      <c r="GO17" s="64">
        <f t="shared" si="135"/>
        <v>96.408682804864213</v>
      </c>
      <c r="GP17" s="64">
        <f t="shared" si="135"/>
        <v>96.456781764838638</v>
      </c>
      <c r="GQ17" s="64">
        <f t="shared" si="135"/>
        <v>96.278538812785399</v>
      </c>
      <c r="GR17" s="64">
        <f t="shared" si="135"/>
        <v>96.35908522016156</v>
      </c>
      <c r="GS17" s="64">
        <f t="shared" si="135"/>
        <v>96.364672364672387</v>
      </c>
      <c r="GT17" s="64">
        <f t="shared" si="135"/>
        <v>96.356183101799147</v>
      </c>
      <c r="GU17" s="64">
        <f t="shared" si="135"/>
        <v>96.197199134692013</v>
      </c>
      <c r="GV17" s="64">
        <f t="shared" si="135"/>
        <v>96.249147533530348</v>
      </c>
      <c r="GW17" s="64">
        <f t="shared" si="135"/>
        <v>96.39221895498757</v>
      </c>
      <c r="GX17" s="64">
        <f t="shared" si="135"/>
        <v>96.236743072186087</v>
      </c>
      <c r="GY17" s="64">
        <f t="shared" si="135"/>
        <v>96.139872842870105</v>
      </c>
      <c r="GZ17" s="64">
        <f t="shared" ref="GZ17:JK17" si="136">(GZ3*GZ9)/GZ11</f>
        <v>95.875937286980204</v>
      </c>
      <c r="HA17" s="64">
        <f t="shared" si="136"/>
        <v>96.145998639764201</v>
      </c>
      <c r="HB17" s="64">
        <f t="shared" si="136"/>
        <v>96.09534619750282</v>
      </c>
      <c r="HC17" s="64">
        <f t="shared" si="136"/>
        <v>96.146413550073873</v>
      </c>
      <c r="HD17" s="64">
        <f t="shared" si="136"/>
        <v>96.226415094339629</v>
      </c>
      <c r="HE17" s="64">
        <f t="shared" si="136"/>
        <v>96.063441350981279</v>
      </c>
      <c r="HF17" s="64">
        <f t="shared" si="136"/>
        <v>92.068206820682079</v>
      </c>
      <c r="HG17" s="64">
        <f t="shared" si="136"/>
        <v>95.280303902382869</v>
      </c>
      <c r="HH17" s="64">
        <f t="shared" si="136"/>
        <v>95.461735004258429</v>
      </c>
      <c r="HI17" s="64">
        <f t="shared" si="136"/>
        <v>95.716835217132655</v>
      </c>
      <c r="HJ17" s="64">
        <f t="shared" si="136"/>
        <v>96.350613915416091</v>
      </c>
      <c r="HK17" s="64">
        <f t="shared" si="136"/>
        <v>96.368967072620663</v>
      </c>
      <c r="HL17" s="64">
        <f t="shared" si="136"/>
        <v>96.327779666780003</v>
      </c>
      <c r="HM17" s="64">
        <f t="shared" si="136"/>
        <v>96.269335759781612</v>
      </c>
      <c r="HN17" s="64">
        <f t="shared" si="136"/>
        <v>96.20642515379356</v>
      </c>
      <c r="HO17" s="64">
        <f t="shared" si="136"/>
        <v>96.321603462020263</v>
      </c>
      <c r="HP17" s="64">
        <f t="shared" si="136"/>
        <v>96.350613915416091</v>
      </c>
      <c r="HQ17" s="64">
        <f t="shared" si="136"/>
        <v>96.440387906446105</v>
      </c>
      <c r="HR17" s="64">
        <f t="shared" si="136"/>
        <v>96.547430382612632</v>
      </c>
      <c r="HS17" s="64">
        <f t="shared" si="136"/>
        <v>96.412352406902812</v>
      </c>
      <c r="HT17" s="64">
        <f t="shared" si="136"/>
        <v>96.448491747296544</v>
      </c>
      <c r="HU17" s="64">
        <f t="shared" si="136"/>
        <v>96.337288909173893</v>
      </c>
      <c r="HV17" s="64">
        <f t="shared" si="136"/>
        <v>96.413934426229531</v>
      </c>
      <c r="HW17" s="64">
        <f t="shared" si="136"/>
        <v>96.370691622917136</v>
      </c>
      <c r="HX17" s="64">
        <f t="shared" si="136"/>
        <v>96.458262156929734</v>
      </c>
      <c r="HY17" s="64">
        <f t="shared" si="136"/>
        <v>96.593481213218652</v>
      </c>
      <c r="HZ17" s="64">
        <f t="shared" si="136"/>
        <v>96.368204659661927</v>
      </c>
      <c r="IA17" s="64">
        <f t="shared" si="136"/>
        <v>96.337834744792872</v>
      </c>
      <c r="IB17" s="64">
        <f t="shared" si="136"/>
        <v>96.345780518442382</v>
      </c>
      <c r="IC17" s="64">
        <f t="shared" si="136"/>
        <v>96.330696021098518</v>
      </c>
      <c r="ID17" s="64">
        <f t="shared" si="136"/>
        <v>96.403288422014157</v>
      </c>
      <c r="IE17" s="64">
        <f t="shared" si="136"/>
        <v>96.448149840109636</v>
      </c>
      <c r="IF17" s="64">
        <f t="shared" si="136"/>
        <v>96.420885717521813</v>
      </c>
      <c r="IG17" s="64">
        <f t="shared" si="136"/>
        <v>96.187750429307386</v>
      </c>
      <c r="IH17" s="64">
        <f t="shared" si="136"/>
        <v>96.24429223744292</v>
      </c>
      <c r="II17" s="64">
        <f t="shared" si="136"/>
        <v>96.201800969752924</v>
      </c>
      <c r="IJ17" s="64">
        <f t="shared" si="136"/>
        <v>96.313258529883228</v>
      </c>
      <c r="IK17" s="64">
        <f t="shared" si="136"/>
        <v>96.269596063622842</v>
      </c>
      <c r="IL17" s="64">
        <f t="shared" si="136"/>
        <v>96.247568928040266</v>
      </c>
      <c r="IM17" s="64">
        <f t="shared" si="136"/>
        <v>96.325192220714612</v>
      </c>
      <c r="IN17" s="64">
        <f t="shared" si="136"/>
        <v>96.309072093825449</v>
      </c>
      <c r="IO17" s="64">
        <f t="shared" si="136"/>
        <v>96.346087556015149</v>
      </c>
      <c r="IP17" s="64">
        <f t="shared" si="136"/>
        <v>96.315486470926885</v>
      </c>
      <c r="IQ17" s="64">
        <f t="shared" si="136"/>
        <v>96.271653091659971</v>
      </c>
      <c r="IR17" s="64">
        <f t="shared" si="136"/>
        <v>96.317053642914331</v>
      </c>
      <c r="IS17" s="64">
        <f t="shared" si="136"/>
        <v>96.337996133287831</v>
      </c>
      <c r="IT17" s="64">
        <f t="shared" si="136"/>
        <v>96.323031806902804</v>
      </c>
      <c r="IU17" s="64">
        <f t="shared" si="136"/>
        <v>96.347448921356005</v>
      </c>
      <c r="IV17" s="64">
        <f t="shared" si="136"/>
        <v>96.342439135901259</v>
      </c>
      <c r="IW17" s="64">
        <f t="shared" si="136"/>
        <v>96.286563071297977</v>
      </c>
      <c r="IX17" s="64">
        <f t="shared" si="136"/>
        <v>96.239570236598468</v>
      </c>
      <c r="IY17" s="64">
        <f t="shared" si="136"/>
        <v>96.321184510250546</v>
      </c>
      <c r="IZ17" s="64">
        <f t="shared" si="136"/>
        <v>96.301354273358385</v>
      </c>
      <c r="JA17" s="64">
        <f t="shared" si="136"/>
        <v>96.278755074424879</v>
      </c>
      <c r="JB17" s="64">
        <f t="shared" si="136"/>
        <v>96.36550074057196</v>
      </c>
      <c r="JC17" s="64">
        <f t="shared" si="136"/>
        <v>96.284865112025599</v>
      </c>
      <c r="JD17" s="64">
        <f t="shared" si="136"/>
        <v>96.305615921308473</v>
      </c>
      <c r="JE17" s="64">
        <f t="shared" si="136"/>
        <v>96.253141421064669</v>
      </c>
      <c r="JF17" s="64">
        <f t="shared" si="136"/>
        <v>96.389932809474999</v>
      </c>
      <c r="JG17" s="64">
        <f t="shared" si="136"/>
        <v>95.797068254695375</v>
      </c>
      <c r="JH17" s="64">
        <f t="shared" si="136"/>
        <v>96.264335187918718</v>
      </c>
      <c r="JI17" s="64">
        <f t="shared" si="136"/>
        <v>96.303078860020605</v>
      </c>
      <c r="JJ17" s="64">
        <f t="shared" si="136"/>
        <v>96.277263903163188</v>
      </c>
      <c r="JK17" s="64">
        <f t="shared" si="136"/>
        <v>96.360327570518663</v>
      </c>
      <c r="JL17" s="64">
        <f t="shared" ref="JL17:LW17" si="137">(JL3*JL9)/JL11</f>
        <v>96.297145477473336</v>
      </c>
      <c r="JM17" s="64">
        <f t="shared" si="137"/>
        <v>96.376977757395096</v>
      </c>
      <c r="JN17" s="64">
        <f t="shared" si="137"/>
        <v>96.299248462764723</v>
      </c>
      <c r="JO17" s="64">
        <f t="shared" si="137"/>
        <v>96.243654822335017</v>
      </c>
      <c r="JP17" s="64">
        <f t="shared" si="137"/>
        <v>96.529134582231904</v>
      </c>
      <c r="JQ17" s="64">
        <f t="shared" si="137"/>
        <v>96.141741461708847</v>
      </c>
      <c r="JR17" s="64">
        <f t="shared" si="137"/>
        <v>96.459974877241052</v>
      </c>
      <c r="JS17" s="64">
        <f t="shared" si="137"/>
        <v>96.426950998185148</v>
      </c>
      <c r="JT17" s="64">
        <f t="shared" si="137"/>
        <v>96.744291205064442</v>
      </c>
      <c r="JU17" s="64">
        <v>96.297145477473336</v>
      </c>
      <c r="JV17" s="64">
        <f t="shared" si="137"/>
        <v>96.635639789166746</v>
      </c>
      <c r="JW17" s="64">
        <f t="shared" si="137"/>
        <v>96.446233467510069</v>
      </c>
      <c r="JX17" s="64">
        <f t="shared" si="137"/>
        <v>96.581099500227154</v>
      </c>
      <c r="JY17" s="64">
        <f t="shared" si="137"/>
        <v>96.512691516121663</v>
      </c>
      <c r="JZ17" s="64">
        <f t="shared" si="137"/>
        <v>96.046537896758153</v>
      </c>
      <c r="KA17" s="64">
        <f t="shared" si="137"/>
        <v>96.647032170366998</v>
      </c>
      <c r="KB17" s="64">
        <f t="shared" si="137"/>
        <v>96.63798958569167</v>
      </c>
      <c r="KC17" s="64">
        <f t="shared" si="137"/>
        <v>96.645725824545679</v>
      </c>
      <c r="KD17" s="64">
        <f t="shared" si="137"/>
        <v>96.648869703510172</v>
      </c>
      <c r="KE17" s="64">
        <f t="shared" si="137"/>
        <v>96.615943674767195</v>
      </c>
      <c r="KF17" s="64">
        <f t="shared" si="137"/>
        <v>96.596562641338764</v>
      </c>
      <c r="KG17" s="64">
        <f t="shared" si="137"/>
        <v>96.366723259762296</v>
      </c>
      <c r="KH17" s="64">
        <f t="shared" si="137"/>
        <v>96.6489301483075</v>
      </c>
      <c r="KI17" s="64">
        <f t="shared" si="137"/>
        <v>96.651583710407238</v>
      </c>
      <c r="KJ17" s="64">
        <f t="shared" si="137"/>
        <v>96.686377329019294</v>
      </c>
      <c r="KK17" s="64">
        <f t="shared" si="137"/>
        <v>96.628706731311311</v>
      </c>
      <c r="KL17" s="64">
        <f t="shared" si="137"/>
        <v>96.621850638345947</v>
      </c>
      <c r="KM17" s="64">
        <f t="shared" si="137"/>
        <v>96.64437138646413</v>
      </c>
      <c r="KN17" s="64">
        <f t="shared" si="137"/>
        <v>96.643309222423142</v>
      </c>
      <c r="KO17" s="64">
        <f t="shared" si="137"/>
        <v>96.599638499774059</v>
      </c>
      <c r="KP17" s="64">
        <f t="shared" si="137"/>
        <v>96.664788732394385</v>
      </c>
      <c r="KQ17" s="64">
        <f t="shared" si="137"/>
        <v>96.623579228883429</v>
      </c>
      <c r="KR17" s="64">
        <f t="shared" si="137"/>
        <v>96.597566471383502</v>
      </c>
      <c r="KS17" s="64">
        <f t="shared" si="137"/>
        <v>96.577431379193499</v>
      </c>
      <c r="KT17" s="64">
        <f t="shared" si="137"/>
        <v>96.611690788735558</v>
      </c>
      <c r="KU17" s="64">
        <f t="shared" si="137"/>
        <v>96.632503660322115</v>
      </c>
      <c r="KV17" s="64">
        <f t="shared" si="137"/>
        <v>96.57117076471917</v>
      </c>
      <c r="KW17" s="64">
        <f t="shared" si="137"/>
        <v>96.539792387543258</v>
      </c>
      <c r="KX17" s="64">
        <f t="shared" si="137"/>
        <v>95.901166147096177</v>
      </c>
      <c r="KY17" s="64">
        <f t="shared" si="137"/>
        <v>95.739109735777191</v>
      </c>
      <c r="KZ17" s="64">
        <f t="shared" si="137"/>
        <v>96.082404593042881</v>
      </c>
      <c r="LA17" s="64">
        <f t="shared" si="137"/>
        <v>96.54002713704206</v>
      </c>
      <c r="LB17" s="64">
        <f t="shared" si="137"/>
        <v>96.571878161177949</v>
      </c>
      <c r="LC17" s="64">
        <f t="shared" si="137"/>
        <v>96.332462813670944</v>
      </c>
      <c r="LD17" s="64">
        <f t="shared" si="137"/>
        <v>96.68091809180919</v>
      </c>
      <c r="LE17" s="64">
        <f t="shared" si="137"/>
        <v>96.656229031536569</v>
      </c>
      <c r="LF17" s="64">
        <f t="shared" si="137"/>
        <v>96.201673072575176</v>
      </c>
      <c r="LG17" s="64">
        <f t="shared" si="137"/>
        <v>96.456781764838638</v>
      </c>
      <c r="LH17" s="64">
        <f t="shared" si="137"/>
        <v>96.513843739491065</v>
      </c>
      <c r="LI17" s="64">
        <f t="shared" si="137"/>
        <v>96.561830684252044</v>
      </c>
      <c r="LJ17" s="64">
        <f t="shared" si="137"/>
        <v>96.661026508742239</v>
      </c>
      <c r="LK17" s="64">
        <f t="shared" si="137"/>
        <v>96.55872729324156</v>
      </c>
      <c r="LL17" s="64">
        <f t="shared" si="137"/>
        <v>96.30917657617232</v>
      </c>
      <c r="LM17" s="64">
        <f t="shared" si="137"/>
        <v>96.439035384268649</v>
      </c>
      <c r="LN17" s="64">
        <f t="shared" si="137"/>
        <v>96.425349571493015</v>
      </c>
      <c r="LO17" s="64">
        <f t="shared" si="137"/>
        <v>96.121032874530769</v>
      </c>
      <c r="LP17" s="64">
        <f t="shared" si="137"/>
        <v>96.361170753757492</v>
      </c>
      <c r="LQ17" s="64">
        <f t="shared" si="137"/>
        <v>96.400449943757039</v>
      </c>
      <c r="LR17" s="64">
        <f t="shared" si="137"/>
        <v>96.51528776978418</v>
      </c>
      <c r="LS17" s="64">
        <f t="shared" si="137"/>
        <v>96.266487815783606</v>
      </c>
      <c r="LT17" s="64">
        <f t="shared" si="137"/>
        <v>96.44670050761421</v>
      </c>
      <c r="LU17" s="64">
        <f t="shared" si="137"/>
        <v>96.443089430894304</v>
      </c>
      <c r="LV17" s="64">
        <f t="shared" si="137"/>
        <v>96.390298928370001</v>
      </c>
      <c r="LW17" s="64">
        <f t="shared" si="137"/>
        <v>96.450373049966075</v>
      </c>
      <c r="LX17" s="64">
        <f t="shared" ref="LX17:OD17" si="138">(LX3*LX9)/LX11</f>
        <v>96.413621450390309</v>
      </c>
      <c r="LY17" s="64">
        <f t="shared" si="138"/>
        <v>96.403202164843819</v>
      </c>
      <c r="LZ17" s="64">
        <f t="shared" si="138"/>
        <v>96.250279829863445</v>
      </c>
      <c r="MA17" s="64">
        <f t="shared" si="138"/>
        <v>96.28584330548658</v>
      </c>
      <c r="MB17" s="64">
        <f t="shared" si="138"/>
        <v>96.077766474511137</v>
      </c>
      <c r="MC17" s="64">
        <f t="shared" si="138"/>
        <v>96.065388951521982</v>
      </c>
      <c r="MD17" s="64">
        <f t="shared" si="138"/>
        <v>96.202960786529545</v>
      </c>
      <c r="ME17" s="64">
        <f t="shared" si="138"/>
        <v>96.223428312980545</v>
      </c>
      <c r="MF17" s="64">
        <f t="shared" si="138"/>
        <v>96.356046931407931</v>
      </c>
      <c r="MG17" s="64">
        <f t="shared" si="138"/>
        <v>96.181838539917152</v>
      </c>
      <c r="MH17" s="64">
        <f t="shared" si="138"/>
        <v>95.852691218130303</v>
      </c>
      <c r="MI17" s="64">
        <f t="shared" si="138"/>
        <v>96.046034639927072</v>
      </c>
      <c r="MJ17" s="64">
        <f t="shared" si="138"/>
        <v>96.269500339136329</v>
      </c>
      <c r="MK17" s="64">
        <f t="shared" si="138"/>
        <v>93.613158175798375</v>
      </c>
      <c r="ML17" s="64">
        <f t="shared" si="138"/>
        <v>93.760984182776795</v>
      </c>
      <c r="MM17" s="64">
        <f t="shared" si="138"/>
        <v>93.830522677280797</v>
      </c>
      <c r="MN17" s="64">
        <f t="shared" si="138"/>
        <v>93.927564519626969</v>
      </c>
      <c r="MO17" s="64">
        <f t="shared" si="138"/>
        <v>94.129265883902107</v>
      </c>
      <c r="MP17" s="64">
        <f t="shared" si="138"/>
        <v>96.459480723839491</v>
      </c>
      <c r="MQ17" s="64">
        <f t="shared" si="138"/>
        <v>96.053526876842824</v>
      </c>
      <c r="MR17" s="64">
        <f t="shared" si="138"/>
        <v>96.507187780772682</v>
      </c>
      <c r="MS17" s="64">
        <f t="shared" si="138"/>
        <v>96.509539842873153</v>
      </c>
      <c r="MT17" s="64">
        <f t="shared" si="138"/>
        <v>96.5869939707149</v>
      </c>
      <c r="MU17" s="64">
        <f t="shared" si="138"/>
        <v>96.443701226309926</v>
      </c>
      <c r="MV17" s="64">
        <f t="shared" si="138"/>
        <v>96.013027852650481</v>
      </c>
      <c r="MW17" s="64">
        <f t="shared" si="138"/>
        <v>96.451360125377803</v>
      </c>
      <c r="MX17" s="64">
        <f t="shared" si="138"/>
        <v>96.440601841455205</v>
      </c>
      <c r="MY17" s="64">
        <f t="shared" si="138"/>
        <v>93.266183793571756</v>
      </c>
      <c r="MZ17" s="64">
        <f t="shared" si="138"/>
        <v>96.375266524520256</v>
      </c>
      <c r="NA17" s="64">
        <f t="shared" si="138"/>
        <v>96.404898326030775</v>
      </c>
      <c r="NB17" s="64">
        <f t="shared" si="138"/>
        <v>96.10607586438401</v>
      </c>
      <c r="NC17" s="64">
        <f t="shared" si="138"/>
        <v>94.878301995616553</v>
      </c>
      <c r="ND17" s="64">
        <f t="shared" si="138"/>
        <v>96.175843893686206</v>
      </c>
      <c r="NE17" s="64">
        <f t="shared" si="138"/>
        <v>96.232761520349811</v>
      </c>
      <c r="NF17" s="64">
        <f t="shared" si="138"/>
        <v>96.090722589468882</v>
      </c>
      <c r="NG17" s="64">
        <f t="shared" si="138"/>
        <v>96.212885154061638</v>
      </c>
      <c r="NH17" s="64">
        <f t="shared" si="138"/>
        <v>96.184401924583184</v>
      </c>
      <c r="NI17" s="64">
        <f t="shared" si="138"/>
        <v>96.189312298633482</v>
      </c>
      <c r="NJ17" s="64">
        <f t="shared" si="138"/>
        <v>96.267322306660702</v>
      </c>
      <c r="NK17" s="64">
        <f t="shared" si="138"/>
        <v>96.190049305244287</v>
      </c>
      <c r="NL17" s="64">
        <f t="shared" si="138"/>
        <v>96.227048813255692</v>
      </c>
      <c r="NM17" s="64">
        <f t="shared" si="138"/>
        <v>96.31202503352705</v>
      </c>
      <c r="NN17" s="64">
        <f t="shared" si="138"/>
        <v>96.401832606995185</v>
      </c>
      <c r="NO17" s="64">
        <f t="shared" si="138"/>
        <v>96.672601825061236</v>
      </c>
      <c r="NP17" s="64">
        <f t="shared" si="138"/>
        <v>96.387538665488293</v>
      </c>
      <c r="NQ17" s="64">
        <f t="shared" si="138"/>
        <v>96.483590087073026</v>
      </c>
      <c r="NR17" s="64">
        <f t="shared" si="138"/>
        <v>96.490250696378837</v>
      </c>
      <c r="NS17" s="64">
        <f t="shared" si="138"/>
        <v>96.367283262759074</v>
      </c>
      <c r="NT17" s="64">
        <f t="shared" si="138"/>
        <v>96.463523131672588</v>
      </c>
      <c r="NU17" s="64">
        <f t="shared" si="138"/>
        <v>96.444493981275087</v>
      </c>
      <c r="NV17" s="64">
        <f t="shared" si="138"/>
        <v>96.401199600133296</v>
      </c>
      <c r="NW17" s="64">
        <f t="shared" si="138"/>
        <v>96.318000884564356</v>
      </c>
      <c r="NX17" s="64">
        <f t="shared" si="138"/>
        <v>96.517857142857153</v>
      </c>
      <c r="NY17" s="64">
        <f t="shared" si="138"/>
        <v>96.243711570709891</v>
      </c>
      <c r="NZ17" s="64">
        <f t="shared" si="138"/>
        <v>96.404644930772662</v>
      </c>
      <c r="OA17" s="64">
        <f t="shared" si="138"/>
        <v>96.329763498438197</v>
      </c>
      <c r="OB17" s="64">
        <f t="shared" si="138"/>
        <v>96.432978126752658</v>
      </c>
      <c r="OC17" s="64">
        <f t="shared" si="138"/>
        <v>96.413502109704638</v>
      </c>
      <c r="OD17" s="64">
        <f t="shared" si="138"/>
        <v>96.381288614298327</v>
      </c>
      <c r="OE17" s="64">
        <f>(OE3*OE9)/OE11</f>
        <v>96.635097493036227</v>
      </c>
      <c r="OF17" s="64">
        <f>(OF3*OF9)/OF11</f>
        <v>96.24303232998885</v>
      </c>
      <c r="OG17" s="64">
        <f>(OG3*OG9)/OG11</f>
        <v>96.321967579653432</v>
      </c>
      <c r="OH17" s="64">
        <f>(OH3*OH9)/OH11</f>
        <v>96.210432456531422</v>
      </c>
      <c r="OI17" s="64">
        <f t="shared" ref="OI17:PG17" si="139">(OI3*OI9)/OI11</f>
        <v>96.436948508879709</v>
      </c>
      <c r="OJ17" s="64">
        <f t="shared" si="139"/>
        <v>96.567862714508564</v>
      </c>
      <c r="OK17" s="64">
        <f t="shared" si="139"/>
        <v>96.207849640685481</v>
      </c>
      <c r="OL17" s="64">
        <f t="shared" si="139"/>
        <v>96.463237755215886</v>
      </c>
      <c r="OM17" s="64">
        <f t="shared" si="139"/>
        <v>96.543264942016066</v>
      </c>
      <c r="ON17" s="64">
        <f t="shared" si="139"/>
        <v>96.834036880693162</v>
      </c>
      <c r="OO17" s="64">
        <f t="shared" si="139"/>
        <v>96.588130695710149</v>
      </c>
      <c r="OP17" s="64">
        <f t="shared" si="139"/>
        <v>96.724963796368471</v>
      </c>
      <c r="OQ17" s="64">
        <f t="shared" si="139"/>
        <v>96.7156535292808</v>
      </c>
      <c r="OR17" s="64">
        <f t="shared" si="139"/>
        <v>96.789142667990731</v>
      </c>
      <c r="OS17" s="64">
        <f t="shared" si="139"/>
        <v>96.680681566718292</v>
      </c>
      <c r="OT17" s="64">
        <f t="shared" si="139"/>
        <v>96.570537802026507</v>
      </c>
      <c r="OU17" s="64">
        <f t="shared" si="139"/>
        <v>95.965482461055686</v>
      </c>
      <c r="OV17" s="64">
        <f t="shared" si="139"/>
        <v>96.305177111716631</v>
      </c>
      <c r="OW17" s="64">
        <f t="shared" si="139"/>
        <v>96.210596914822261</v>
      </c>
      <c r="OX17" s="64">
        <f t="shared" si="139"/>
        <v>96.235606731620891</v>
      </c>
      <c r="OY17" s="64">
        <f t="shared" si="139"/>
        <v>96.12625538020086</v>
      </c>
      <c r="OZ17" s="64">
        <f t="shared" si="139"/>
        <v>96.274531544517131</v>
      </c>
      <c r="PA17" s="64">
        <f t="shared" si="139"/>
        <v>96.210432456531422</v>
      </c>
      <c r="PB17" s="64">
        <f t="shared" si="139"/>
        <v>96.143127856426275</v>
      </c>
      <c r="PC17" s="64">
        <f t="shared" si="139"/>
        <v>96.223061541879574</v>
      </c>
      <c r="PD17" s="64">
        <f t="shared" si="139"/>
        <v>96.295469761214036</v>
      </c>
      <c r="PE17" s="64">
        <f t="shared" si="139"/>
        <v>96.242518288627792</v>
      </c>
      <c r="PF17" s="64">
        <f t="shared" si="139"/>
        <v>96.185646565979496</v>
      </c>
      <c r="PG17" s="64">
        <f t="shared" si="139"/>
        <v>96.144417205259657</v>
      </c>
      <c r="PH17" s="64">
        <f>(PH3*PH9)/PH11</f>
        <v>96.133333333333326</v>
      </c>
      <c r="PI17" s="64">
        <f>(PI3*PI9)/PI11</f>
        <v>96.174742210888112</v>
      </c>
      <c r="PJ17" s="64">
        <f>(PJ3*PJ9)/PJ11</f>
        <v>96.223262032085557</v>
      </c>
      <c r="PK17" s="64">
        <f t="shared" ref="PK17:RG17" si="140">(PK3*PK9)/PK11</f>
        <v>96.228304405874496</v>
      </c>
      <c r="PL17" s="64">
        <f t="shared" si="140"/>
        <v>96.089323408510168</v>
      </c>
      <c r="PM17" s="64">
        <f t="shared" si="140"/>
        <v>95.920629641946562</v>
      </c>
      <c r="PN17" s="64">
        <f t="shared" si="140"/>
        <v>96.4845499328258</v>
      </c>
      <c r="PO17" s="64">
        <f t="shared" si="140"/>
        <v>96.588103254769919</v>
      </c>
      <c r="PP17" s="64">
        <f t="shared" si="140"/>
        <v>96.645492031650491</v>
      </c>
      <c r="PQ17" s="64">
        <f t="shared" si="140"/>
        <v>96.7123593001226</v>
      </c>
      <c r="PR17" s="64">
        <f t="shared" si="140"/>
        <v>96.368197186170804</v>
      </c>
      <c r="PS17" s="64">
        <f t="shared" si="140"/>
        <v>96.819196428571416</v>
      </c>
      <c r="PT17" s="64">
        <f t="shared" si="140"/>
        <v>97.097306212204515</v>
      </c>
      <c r="PU17" s="64">
        <f t="shared" si="140"/>
        <v>96.485765124555172</v>
      </c>
      <c r="PV17" s="64">
        <f t="shared" si="140"/>
        <v>96.42180358934344</v>
      </c>
      <c r="PW17" s="64">
        <f t="shared" si="140"/>
        <v>96.590025547039858</v>
      </c>
      <c r="PX17" s="64">
        <f t="shared" si="140"/>
        <v>97.238723872387226</v>
      </c>
      <c r="PY17" s="64">
        <f t="shared" si="140"/>
        <v>96.54829074012612</v>
      </c>
      <c r="PZ17" s="64">
        <f t="shared" si="140"/>
        <v>96.281037746353419</v>
      </c>
      <c r="QA17" s="64">
        <f t="shared" si="140"/>
        <v>96.266018559434386</v>
      </c>
      <c r="QB17" s="64">
        <f t="shared" si="140"/>
        <v>96.432936992999203</v>
      </c>
      <c r="QC17" s="64">
        <f t="shared" si="140"/>
        <v>96.438508625486918</v>
      </c>
      <c r="QD17" s="64">
        <f t="shared" si="140"/>
        <v>96.449307726663704</v>
      </c>
      <c r="QE17" s="64">
        <f t="shared" si="140"/>
        <v>96.503340757238306</v>
      </c>
      <c r="QF17" s="64">
        <f t="shared" si="140"/>
        <v>96.925313059033982</v>
      </c>
      <c r="QG17" s="64">
        <f t="shared" si="140"/>
        <v>96.903297931805483</v>
      </c>
      <c r="QH17" s="64">
        <f t="shared" si="140"/>
        <v>96.463414634146346</v>
      </c>
      <c r="QI17" s="64">
        <f t="shared" si="140"/>
        <v>96.448452460476489</v>
      </c>
      <c r="QJ17" s="64">
        <f t="shared" si="140"/>
        <v>96.736700938757266</v>
      </c>
      <c r="QK17" s="64">
        <f t="shared" si="140"/>
        <v>96.863447966842145</v>
      </c>
      <c r="QL17" s="64">
        <f t="shared" si="140"/>
        <v>96.791144901610025</v>
      </c>
      <c r="QM17" s="64">
        <f t="shared" si="140"/>
        <v>96.830392267056325</v>
      </c>
      <c r="QN17" s="64">
        <f t="shared" si="140"/>
        <v>96.482186869818506</v>
      </c>
      <c r="QO17" s="64">
        <f t="shared" si="140"/>
        <v>96.398613130522321</v>
      </c>
      <c r="QP17" s="64">
        <f t="shared" si="140"/>
        <v>96.411001788908777</v>
      </c>
      <c r="QQ17" s="64">
        <f t="shared" si="140"/>
        <v>96.372186765199856</v>
      </c>
      <c r="QR17" s="64">
        <f t="shared" si="140"/>
        <v>96.393258426966298</v>
      </c>
      <c r="QS17" s="64">
        <f t="shared" si="140"/>
        <v>96.39780736100235</v>
      </c>
      <c r="QT17" s="64">
        <f t="shared" si="140"/>
        <v>96.470456830112809</v>
      </c>
      <c r="QU17" s="64">
        <f t="shared" si="140"/>
        <v>96.421005686252656</v>
      </c>
      <c r="QV17" s="64">
        <f t="shared" si="140"/>
        <v>96.367070325519393</v>
      </c>
      <c r="QW17" s="64">
        <f t="shared" si="140"/>
        <v>96.487327701200542</v>
      </c>
      <c r="QX17" s="64">
        <f t="shared" si="140"/>
        <v>96.467572988633819</v>
      </c>
      <c r="QY17" s="64">
        <f t="shared" si="140"/>
        <v>96.178626971784041</v>
      </c>
      <c r="QZ17" s="64">
        <f t="shared" si="140"/>
        <v>96.323039324594518</v>
      </c>
      <c r="RA17" s="64">
        <f t="shared" si="140"/>
        <v>96.115967688392161</v>
      </c>
      <c r="RB17" s="64">
        <f t="shared" si="140"/>
        <v>96.351336364644567</v>
      </c>
      <c r="RC17" s="64">
        <f t="shared" si="140"/>
        <v>96.217650962176506</v>
      </c>
      <c r="RD17" s="64">
        <f t="shared" si="140"/>
        <v>96.310658098825613</v>
      </c>
      <c r="RE17" s="64">
        <f t="shared" si="140"/>
        <v>96.315205327413992</v>
      </c>
      <c r="RF17" s="64">
        <f t="shared" si="140"/>
        <v>96.394497448413574</v>
      </c>
      <c r="RG17" s="64">
        <f t="shared" si="140"/>
        <v>96.104760847852617</v>
      </c>
      <c r="RH17" s="64">
        <f t="shared" ref="RH17:RJ17" si="141">(RH3*RH9)/RH11</f>
        <v>96.361215886398938</v>
      </c>
      <c r="RI17" s="64">
        <f t="shared" si="141"/>
        <v>96.364845395101412</v>
      </c>
      <c r="RJ17" s="64">
        <f t="shared" si="141"/>
        <v>96.189108582790226</v>
      </c>
      <c r="RK17" s="64">
        <f t="shared" ref="RK17:RL17" si="142">(RK3*RK9)/RK11</f>
        <v>96.141014234875442</v>
      </c>
      <c r="RL17" s="64">
        <f t="shared" si="142"/>
        <v>96.104328523862392</v>
      </c>
      <c r="RM17" s="64">
        <f t="shared" ref="RM17:RZ17" si="143">(RM3*RM9)/RM11</f>
        <v>95.965321773924657</v>
      </c>
      <c r="RN17" s="64">
        <f t="shared" si="143"/>
        <v>96.005341048180696</v>
      </c>
      <c r="RO17" s="64">
        <f t="shared" si="143"/>
        <v>95.912685154248805</v>
      </c>
      <c r="RP17" s="64">
        <f t="shared" si="143"/>
        <v>96.239354053755136</v>
      </c>
      <c r="RQ17" s="64">
        <f t="shared" si="143"/>
        <v>95.88677576293675</v>
      </c>
      <c r="RR17" s="64">
        <f t="shared" si="143"/>
        <v>96.123172352680555</v>
      </c>
      <c r="RS17" s="64">
        <f t="shared" si="143"/>
        <v>95.786672580108657</v>
      </c>
      <c r="RT17" s="64">
        <f t="shared" si="143"/>
        <v>96.01593625498009</v>
      </c>
      <c r="RU17" s="64">
        <f t="shared" si="143"/>
        <v>96.121883656509695</v>
      </c>
      <c r="RV17" s="64">
        <f t="shared" si="143"/>
        <v>96.238105775614088</v>
      </c>
      <c r="RW17" s="64">
        <f t="shared" si="143"/>
        <v>96.253315649867361</v>
      </c>
      <c r="RX17" s="64">
        <f t="shared" si="143"/>
        <v>96.158503026967523</v>
      </c>
      <c r="RY17" s="64">
        <f t="shared" si="143"/>
        <v>96.132596685082873</v>
      </c>
      <c r="RZ17" s="64">
        <f t="shared" si="143"/>
        <v>96.216395618984393</v>
      </c>
      <c r="SA17" s="64" t="e">
        <f t="shared" ref="SA17:SI17" si="144">(SA3*SA9)/SA11</f>
        <v>#DIV/0!</v>
      </c>
      <c r="SB17" s="64" t="e">
        <f t="shared" si="144"/>
        <v>#DIV/0!</v>
      </c>
      <c r="SC17" s="64" t="e">
        <f t="shared" si="144"/>
        <v>#DIV/0!</v>
      </c>
      <c r="SD17" s="64" t="e">
        <f t="shared" si="144"/>
        <v>#DIV/0!</v>
      </c>
      <c r="SE17" s="64" t="e">
        <f t="shared" si="144"/>
        <v>#DIV/0!</v>
      </c>
      <c r="SF17" s="64" t="e">
        <f t="shared" si="144"/>
        <v>#DIV/0!</v>
      </c>
      <c r="SG17" s="64">
        <f t="shared" si="144"/>
        <v>45.743115408871141</v>
      </c>
      <c r="SH17" s="64">
        <f t="shared" si="144"/>
        <v>95.609813358375391</v>
      </c>
      <c r="SI17" s="64">
        <f t="shared" si="144"/>
        <v>95.152112059531618</v>
      </c>
      <c r="SJ17" s="64">
        <f t="shared" ref="SJ17:SM17" si="145">(SJ3*SJ9)/SJ11</f>
        <v>95.934053692770419</v>
      </c>
      <c r="SK17" s="64">
        <f t="shared" si="145"/>
        <v>95.339079156271268</v>
      </c>
      <c r="SL17" s="64">
        <f t="shared" si="145"/>
        <v>95.968187341212854</v>
      </c>
      <c r="SM17" s="64">
        <f t="shared" si="145"/>
        <v>96.218905472636834</v>
      </c>
      <c r="SN17" s="64">
        <f>(SN3*SN9)/SN11</f>
        <v>96.005168515128659</v>
      </c>
      <c r="SO17" s="64">
        <f>(SO3*SO9)/SO11</f>
        <v>95.779220779220779</v>
      </c>
      <c r="SP17" s="64">
        <f>(SP3*SP9)/SP11</f>
        <v>96.080614630887439</v>
      </c>
      <c r="SQ17" s="64">
        <f t="shared" ref="SQ17:SR17" si="146">(SQ3*SQ9)/SQ11</f>
        <v>96.263068931600927</v>
      </c>
      <c r="SR17" s="64">
        <f t="shared" si="146"/>
        <v>96.155192725977713</v>
      </c>
      <c r="SS17" s="64">
        <f t="shared" ref="SS17:ST17" si="147">(SS3*SS9)/SS11</f>
        <v>97.833296484634104</v>
      </c>
      <c r="ST17" s="64">
        <f t="shared" si="147"/>
        <v>96.205752212389385</v>
      </c>
      <c r="SU17" s="64">
        <f t="shared" ref="SU17:SW17" si="148">(SU3*SU9)/SU11</f>
        <v>95.700932812592967</v>
      </c>
      <c r="SV17" s="64">
        <f t="shared" si="148"/>
        <v>96.16103838961611</v>
      </c>
      <c r="SW17" s="64">
        <f t="shared" si="148"/>
        <v>95.079657526823468</v>
      </c>
      <c r="SX17" s="64">
        <f t="shared" ref="SX17:SZ17" si="149">(SX3*SX9)/SX11</f>
        <v>97.844112769485918</v>
      </c>
      <c r="SY17" s="64">
        <f t="shared" si="149"/>
        <v>95.99483204134367</v>
      </c>
      <c r="SZ17" s="64">
        <f t="shared" si="149"/>
        <v>95.242771412984197</v>
      </c>
      <c r="TA17" s="64">
        <f t="shared" ref="TA17:TB17" si="150">(TA3*TA9)/TA11</f>
        <v>96.005168515128673</v>
      </c>
      <c r="TB17" s="64">
        <f t="shared" si="150"/>
        <v>96.439945404913587</v>
      </c>
      <c r="TC17" s="64">
        <f t="shared" ref="TC17:TD17" si="151">(TC3*TC9)/TC11</f>
        <v>96.522416503541081</v>
      </c>
      <c r="TD17" s="64">
        <f t="shared" si="151"/>
        <v>96.597037125568789</v>
      </c>
      <c r="TE17" s="64">
        <f t="shared" ref="TE17:TF17" si="152">(TE3*TE9)/TE11</f>
        <v>96.613759478701112</v>
      </c>
      <c r="TF17" s="64">
        <f t="shared" si="152"/>
        <v>97.776559514264733</v>
      </c>
      <c r="TG17" s="64">
        <f t="shared" ref="TG17:TH17" si="153">(TG3*TG9)/TG11</f>
        <v>96.367511210394241</v>
      </c>
      <c r="TH17" s="64">
        <f t="shared" si="153"/>
        <v>95.190839694656489</v>
      </c>
      <c r="TI17" s="64">
        <f t="shared" ref="TI17:TM17" si="154">(TI3*TI9)/TI11</f>
        <v>95.690496721655563</v>
      </c>
      <c r="TJ17" s="64">
        <f t="shared" si="154"/>
        <v>96.097614598219209</v>
      </c>
      <c r="TK17" s="64">
        <f t="shared" si="154"/>
        <v>95.038457371899028</v>
      </c>
      <c r="TL17" s="64">
        <f t="shared" si="154"/>
        <v>96.378339777471808</v>
      </c>
      <c r="TM17" s="64">
        <f t="shared" si="154"/>
        <v>96.550183063498423</v>
      </c>
      <c r="TN17" s="64">
        <f t="shared" ref="TN17:TY17" si="155">(TN3*TN9)/TN11</f>
        <v>96.10063993164546</v>
      </c>
      <c r="TO17" s="64">
        <f t="shared" si="155"/>
        <v>96.376314638667552</v>
      </c>
      <c r="TP17" s="64">
        <f t="shared" si="155"/>
        <v>96.341036553187067</v>
      </c>
      <c r="TQ17" s="64">
        <f t="shared" si="155"/>
        <v>96.555949770460501</v>
      </c>
      <c r="TR17" s="64">
        <f t="shared" si="155"/>
        <v>95.999291274602101</v>
      </c>
      <c r="TS17" s="64">
        <f t="shared" si="155"/>
        <v>96.431428158973446</v>
      </c>
      <c r="TT17" s="64">
        <f t="shared" si="155"/>
        <v>96.529726919967985</v>
      </c>
      <c r="TU17" s="64">
        <f t="shared" si="155"/>
        <v>96.536276223776213</v>
      </c>
      <c r="TV17" s="64">
        <f t="shared" si="155"/>
        <v>96.60757277303567</v>
      </c>
      <c r="TW17" s="64">
        <f t="shared" si="155"/>
        <v>96.543399539119946</v>
      </c>
      <c r="TX17" s="64">
        <f t="shared" si="155"/>
        <v>96.642159552287936</v>
      </c>
      <c r="TY17" s="64">
        <f t="shared" si="155"/>
        <v>96.580914687774836</v>
      </c>
      <c r="TZ17" s="64">
        <f t="shared" ref="TZ17:UA17" si="156">(TZ3*TZ9)/TZ11</f>
        <v>97.029593639575978</v>
      </c>
      <c r="UA17" s="64">
        <f t="shared" si="156"/>
        <v>97.052003974826093</v>
      </c>
      <c r="UB17" s="64">
        <f t="shared" ref="UB17:UC17" si="157">(UB3*UB9)/UB11</f>
        <v>96.470072352554268</v>
      </c>
      <c r="UC17" s="64">
        <f t="shared" si="157"/>
        <v>96.585044471285812</v>
      </c>
      <c r="UD17" s="72">
        <f t="shared" ref="UD17:UE17" si="158">(UD3*UD9)/UD11</f>
        <v>96.481583287520621</v>
      </c>
      <c r="UE17" s="64">
        <f t="shared" si="158"/>
        <v>96.465422612513706</v>
      </c>
      <c r="UF17" s="64">
        <f t="shared" ref="UF17:UL17" si="159">(UF3*UF9)/UF11</f>
        <v>96.610355419043415</v>
      </c>
      <c r="UG17" s="64">
        <f t="shared" si="159"/>
        <v>96.686780032912779</v>
      </c>
      <c r="UH17" s="64">
        <f t="shared" si="159"/>
        <v>96.642159552287936</v>
      </c>
      <c r="UI17" s="64">
        <f t="shared" si="159"/>
        <v>96.507171794591045</v>
      </c>
      <c r="UJ17" s="64">
        <f t="shared" si="159"/>
        <v>96.540671971706445</v>
      </c>
      <c r="UK17" s="64">
        <f t="shared" si="159"/>
        <v>96.591661151555257</v>
      </c>
      <c r="UL17" s="64">
        <f t="shared" si="159"/>
        <v>96.645840184149961</v>
      </c>
      <c r="UM17" s="64">
        <f t="shared" ref="UM17:UP17" si="160">(UM3*UM9)/UM11</f>
        <v>96.637458926615551</v>
      </c>
      <c r="UN17" s="64">
        <f t="shared" si="160"/>
        <v>96.61703525290126</v>
      </c>
      <c r="UO17" s="64">
        <f t="shared" si="160"/>
        <v>96.722928540113983</v>
      </c>
      <c r="UP17" s="64">
        <f t="shared" si="160"/>
        <v>96.519823788546276</v>
      </c>
      <c r="UQ17" s="64">
        <f t="shared" ref="UQ17:UR17" si="161">(UQ3*UQ9)/UQ11</f>
        <v>96.704980842911866</v>
      </c>
      <c r="UR17" s="64">
        <f t="shared" si="161"/>
        <v>96.49430324276949</v>
      </c>
      <c r="US17" s="64">
        <f t="shared" ref="US17:VA17" si="162">(US3*US9)/US11</f>
        <v>96.645840184149947</v>
      </c>
      <c r="UT17" s="64">
        <f t="shared" si="162"/>
        <v>96.646207803594919</v>
      </c>
      <c r="UU17" s="64">
        <f t="shared" si="162"/>
        <v>96.584564860426937</v>
      </c>
      <c r="UV17" s="64">
        <f t="shared" si="162"/>
        <v>96.701008329679965</v>
      </c>
      <c r="UW17" s="64">
        <f t="shared" si="162"/>
        <v>96.575866972978886</v>
      </c>
      <c r="UX17" s="64">
        <f t="shared" si="162"/>
        <v>96.679815910585148</v>
      </c>
      <c r="UY17" s="64">
        <f t="shared" si="162"/>
        <v>96.497373029772334</v>
      </c>
      <c r="UZ17" s="64">
        <f t="shared" si="162"/>
        <v>96.61184210526315</v>
      </c>
      <c r="VA17" s="64">
        <f t="shared" si="162"/>
        <v>96.750547045951862</v>
      </c>
      <c r="VB17" s="64">
        <f t="shared" ref="VB17:VD17" si="163">(VB3*VB9)/VB11</f>
        <v>96.445756780402448</v>
      </c>
      <c r="VC17" s="64">
        <f t="shared" si="163"/>
        <v>96.727949223024723</v>
      </c>
      <c r="VD17" s="64">
        <f t="shared" si="163"/>
        <v>96.558881363338429</v>
      </c>
      <c r="VE17" s="64">
        <f>(VE3*VE9)/VE11</f>
        <v>96.741943072218319</v>
      </c>
      <c r="VF17" s="64">
        <f>(VF3*VF9)/VF11</f>
        <v>96.344391095591462</v>
      </c>
      <c r="VG17" s="64">
        <f>(VG3*VG9)/VG11</f>
        <v>96.332678454485929</v>
      </c>
      <c r="VH17" s="64">
        <f>(VH3*VH9)/VH11</f>
        <v>96.598266213102164</v>
      </c>
      <c r="VI17" s="64">
        <f t="shared" ref="VI17:VR17" si="164">(VI3*VI9)/VI11</f>
        <v>96.469160322189126</v>
      </c>
      <c r="VJ17" s="64">
        <f t="shared" si="164"/>
        <v>96.41250685682941</v>
      </c>
      <c r="VK17" s="64">
        <f t="shared" si="164"/>
        <v>96.431308155446089</v>
      </c>
      <c r="VL17" s="64">
        <f t="shared" si="164"/>
        <v>96.583442838370573</v>
      </c>
      <c r="VM17" s="64">
        <f t="shared" si="164"/>
        <v>96.597145993413832</v>
      </c>
      <c r="VN17" s="64">
        <f t="shared" si="164"/>
        <v>96.589538326570903</v>
      </c>
      <c r="VO17" s="64">
        <f t="shared" si="164"/>
        <v>96.638931464856569</v>
      </c>
      <c r="VP17" s="64">
        <f t="shared" si="164"/>
        <v>96.652398199978052</v>
      </c>
      <c r="VQ17" s="64">
        <f t="shared" si="164"/>
        <v>96.674375068825029</v>
      </c>
      <c r="VR17" s="64">
        <f t="shared" si="164"/>
        <v>96.39541234298197</v>
      </c>
    </row>
    <row r="18" spans="1:590" x14ac:dyDescent="0.25">
      <c r="A18" s="289" t="s">
        <v>264</v>
      </c>
      <c r="B18" s="64">
        <f>(B4*B9)/B11</f>
        <v>97.235294117647072</v>
      </c>
      <c r="C18" s="64">
        <f t="shared" ref="C18:T18" si="165">(C4*C9)/C11</f>
        <v>98.020027309968143</v>
      </c>
      <c r="D18" s="64">
        <f t="shared" si="165"/>
        <v>98.283360036621659</v>
      </c>
      <c r="E18" s="64">
        <f t="shared" si="165"/>
        <v>98.328371880009144</v>
      </c>
      <c r="F18" s="64">
        <f t="shared" si="165"/>
        <v>98.441796516956927</v>
      </c>
      <c r="G18" s="64">
        <f t="shared" si="165"/>
        <v>98.460134595642771</v>
      </c>
      <c r="H18" s="64">
        <f t="shared" si="165"/>
        <v>98.494010268111808</v>
      </c>
      <c r="I18" s="64">
        <f t="shared" si="165"/>
        <v>98.543689320388353</v>
      </c>
      <c r="J18" s="64">
        <f t="shared" si="165"/>
        <v>98.418657565415245</v>
      </c>
      <c r="K18" s="64">
        <f t="shared" si="165"/>
        <v>98.367207124914358</v>
      </c>
      <c r="L18" s="64">
        <f t="shared" si="165"/>
        <v>98.002525542417644</v>
      </c>
      <c r="M18" s="64">
        <f t="shared" si="165"/>
        <v>98.271520146520146</v>
      </c>
      <c r="N18" s="64">
        <f t="shared" si="165"/>
        <v>98.394625982010709</v>
      </c>
      <c r="O18" s="64">
        <f t="shared" si="165"/>
        <v>98.46608339961368</v>
      </c>
      <c r="P18" s="64">
        <f t="shared" si="165"/>
        <v>98.452851496329757</v>
      </c>
      <c r="Q18" s="64">
        <f t="shared" si="165"/>
        <v>98.406193078324208</v>
      </c>
      <c r="R18" s="64">
        <f t="shared" si="165"/>
        <v>98.403466757897135</v>
      </c>
      <c r="S18" s="64">
        <f t="shared" si="165"/>
        <v>98.352591236700619</v>
      </c>
      <c r="T18" s="64">
        <f t="shared" si="165"/>
        <v>98.35915088927139</v>
      </c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>
        <f t="shared" ref="CB18:EM18" si="166">(CB4*CB9)/CB11</f>
        <v>98.701750318766656</v>
      </c>
      <c r="CC18" s="64">
        <f t="shared" si="166"/>
        <v>98.735511064278199</v>
      </c>
      <c r="CD18" s="64">
        <f t="shared" si="166"/>
        <v>98.589595375722539</v>
      </c>
      <c r="CE18" s="64">
        <f t="shared" si="166"/>
        <v>98.638042474607559</v>
      </c>
      <c r="CF18" s="64">
        <f t="shared" si="166"/>
        <v>98.658339116354384</v>
      </c>
      <c r="CG18" s="64">
        <f t="shared" si="166"/>
        <v>98.719280027691255</v>
      </c>
      <c r="CH18" s="64">
        <f t="shared" si="166"/>
        <v>98.535971634450433</v>
      </c>
      <c r="CI18" s="64">
        <f t="shared" si="166"/>
        <v>98.662324066534822</v>
      </c>
      <c r="CJ18" s="64">
        <f t="shared" si="166"/>
        <v>98.638585059343725</v>
      </c>
      <c r="CK18" s="64">
        <f t="shared" si="166"/>
        <v>98.679332715477301</v>
      </c>
      <c r="CL18" s="64">
        <f t="shared" si="166"/>
        <v>98.665730337078628</v>
      </c>
      <c r="CM18" s="64">
        <f t="shared" si="166"/>
        <v>98.705992072744237</v>
      </c>
      <c r="CN18" s="64">
        <f t="shared" si="166"/>
        <v>98.658339116354384</v>
      </c>
      <c r="CO18" s="64">
        <f t="shared" si="166"/>
        <v>98.688412408759135</v>
      </c>
      <c r="CP18" s="64">
        <f t="shared" si="166"/>
        <v>98.672930123311801</v>
      </c>
      <c r="CQ18" s="64">
        <f t="shared" si="166"/>
        <v>98.616439948843151</v>
      </c>
      <c r="CR18" s="64">
        <f t="shared" si="166"/>
        <v>98.537774167343628</v>
      </c>
      <c r="CS18" s="64">
        <f t="shared" si="166"/>
        <v>98.633151859145158</v>
      </c>
      <c r="CT18" s="64">
        <f t="shared" si="166"/>
        <v>98.675267826287296</v>
      </c>
      <c r="CU18" s="64">
        <f t="shared" si="166"/>
        <v>98.695150115473439</v>
      </c>
      <c r="CV18" s="64">
        <f t="shared" si="166"/>
        <v>98.641242292760907</v>
      </c>
      <c r="CW18" s="64">
        <f t="shared" si="166"/>
        <v>98.550062792556233</v>
      </c>
      <c r="CX18" s="64">
        <f t="shared" si="166"/>
        <v>98.717356135890924</v>
      </c>
      <c r="CY18" s="64">
        <f t="shared" si="166"/>
        <v>98.727939491175789</v>
      </c>
      <c r="CZ18" s="64">
        <f t="shared" si="166"/>
        <v>98.651918423781524</v>
      </c>
      <c r="DA18" s="64" t="e">
        <f t="shared" si="166"/>
        <v>#DIV/0!</v>
      </c>
      <c r="DB18" s="64" t="e">
        <f t="shared" si="166"/>
        <v>#DIV/0!</v>
      </c>
      <c r="DC18" s="64" t="e">
        <f t="shared" si="166"/>
        <v>#DIV/0!</v>
      </c>
      <c r="DD18" s="64" t="e">
        <f t="shared" si="166"/>
        <v>#DIV/0!</v>
      </c>
      <c r="DE18" s="64" t="e">
        <f t="shared" si="166"/>
        <v>#DIV/0!</v>
      </c>
      <c r="DF18" s="64" t="e">
        <f t="shared" si="166"/>
        <v>#DIV/0!</v>
      </c>
      <c r="DG18" s="64" t="e">
        <f t="shared" si="166"/>
        <v>#DIV/0!</v>
      </c>
      <c r="DH18" s="64" t="e">
        <f t="shared" si="166"/>
        <v>#DIV/0!</v>
      </c>
      <c r="DI18" s="64" t="e">
        <f t="shared" si="166"/>
        <v>#DIV/0!</v>
      </c>
      <c r="DJ18" s="64" t="e">
        <f t="shared" si="166"/>
        <v>#DIV/0!</v>
      </c>
      <c r="DK18" s="64" t="e">
        <f t="shared" si="166"/>
        <v>#DIV/0!</v>
      </c>
      <c r="DL18" s="64" t="e">
        <f t="shared" si="166"/>
        <v>#DIV/0!</v>
      </c>
      <c r="DM18" s="64" t="e">
        <f t="shared" si="166"/>
        <v>#DIV/0!</v>
      </c>
      <c r="DN18" s="64" t="e">
        <f t="shared" si="166"/>
        <v>#DIV/0!</v>
      </c>
      <c r="DO18" s="64" t="e">
        <f t="shared" si="166"/>
        <v>#DIV/0!</v>
      </c>
      <c r="DP18" s="64" t="e">
        <f t="shared" si="166"/>
        <v>#DIV/0!</v>
      </c>
      <c r="DQ18" s="64" t="e">
        <f t="shared" si="166"/>
        <v>#DIV/0!</v>
      </c>
      <c r="DR18" s="64" t="e">
        <f t="shared" si="166"/>
        <v>#DIV/0!</v>
      </c>
      <c r="DS18" s="64" t="e">
        <f t="shared" si="166"/>
        <v>#DIV/0!</v>
      </c>
      <c r="DT18" s="64" t="e">
        <f t="shared" si="166"/>
        <v>#DIV/0!</v>
      </c>
      <c r="DU18" s="64" t="e">
        <f t="shared" si="166"/>
        <v>#DIV/0!</v>
      </c>
      <c r="DV18" s="64" t="e">
        <f t="shared" si="166"/>
        <v>#DIV/0!</v>
      </c>
      <c r="DW18" s="64" t="e">
        <f t="shared" si="166"/>
        <v>#DIV/0!</v>
      </c>
      <c r="DX18" s="64" t="e">
        <f t="shared" si="166"/>
        <v>#DIV/0!</v>
      </c>
      <c r="DY18" s="64" t="e">
        <f t="shared" si="166"/>
        <v>#DIV/0!</v>
      </c>
      <c r="DZ18" s="64">
        <f t="shared" si="166"/>
        <v>98.478210744754435</v>
      </c>
      <c r="EA18" s="64">
        <f t="shared" si="166"/>
        <v>98.497283551034542</v>
      </c>
      <c r="EB18" s="64">
        <f t="shared" si="166"/>
        <v>98.49856733524355</v>
      </c>
      <c r="EC18" s="64">
        <f t="shared" si="166"/>
        <v>98.546245421245416</v>
      </c>
      <c r="ED18" s="64">
        <f t="shared" si="166"/>
        <v>98.553386911595865</v>
      </c>
      <c r="EE18" s="64">
        <f t="shared" si="166"/>
        <v>98.35544969944425</v>
      </c>
      <c r="EF18" s="64">
        <f t="shared" si="166"/>
        <v>96.430221811460257</v>
      </c>
      <c r="EG18" s="64">
        <f t="shared" si="166"/>
        <v>98.510028653295137</v>
      </c>
      <c r="EH18" s="64">
        <f t="shared" si="166"/>
        <v>98.549897236812043</v>
      </c>
      <c r="EI18" s="64">
        <f t="shared" si="166"/>
        <v>98.530919029723265</v>
      </c>
      <c r="EJ18" s="64">
        <f t="shared" si="166"/>
        <v>98.536641134103107</v>
      </c>
      <c r="EK18" s="64">
        <f t="shared" si="166"/>
        <v>98.598769651401227</v>
      </c>
      <c r="EL18" s="64">
        <f t="shared" si="166"/>
        <v>98.449875537451902</v>
      </c>
      <c r="EM18" s="64">
        <f t="shared" si="166"/>
        <v>98.356510745891256</v>
      </c>
      <c r="EN18" s="64">
        <f t="shared" ref="EN18:GY18" si="167">(EN4*EN9)/EN11</f>
        <v>98.524533912844561</v>
      </c>
      <c r="EO18" s="64">
        <f t="shared" si="167"/>
        <v>98.533623553671688</v>
      </c>
      <c r="EP18" s="64">
        <f t="shared" si="167"/>
        <v>98.492806576844018</v>
      </c>
      <c r="EQ18" s="64">
        <f t="shared" si="167"/>
        <v>98.640466125899692</v>
      </c>
      <c r="ER18" s="64">
        <f t="shared" si="167"/>
        <v>98.666058602211834</v>
      </c>
      <c r="ES18" s="64">
        <f t="shared" si="167"/>
        <v>98.582927105770324</v>
      </c>
      <c r="ET18" s="64">
        <f t="shared" si="167"/>
        <v>98.30721720233332</v>
      </c>
      <c r="EU18" s="64">
        <f t="shared" si="167"/>
        <v>95.384275618374559</v>
      </c>
      <c r="EV18" s="64">
        <f t="shared" si="167"/>
        <v>98.595569764786475</v>
      </c>
      <c r="EW18" s="64">
        <f t="shared" si="167"/>
        <v>93.900499772830528</v>
      </c>
      <c r="EX18" s="64">
        <f t="shared" si="167"/>
        <v>96.899224806201545</v>
      </c>
      <c r="EY18" s="64">
        <f t="shared" si="167"/>
        <v>93.398306067989338</v>
      </c>
      <c r="EZ18" s="64">
        <f t="shared" si="167"/>
        <v>96.454463072043524</v>
      </c>
      <c r="FA18" s="64">
        <f t="shared" si="167"/>
        <v>98.520472531253603</v>
      </c>
      <c r="FB18" s="64">
        <f t="shared" si="167"/>
        <v>98.427927407236155</v>
      </c>
      <c r="FC18" s="64">
        <f t="shared" si="167"/>
        <v>98.509359833602957</v>
      </c>
      <c r="FD18" s="64">
        <f t="shared" si="167"/>
        <v>98.468624064478973</v>
      </c>
      <c r="FE18" s="64">
        <f t="shared" si="167"/>
        <v>98.502821605435926</v>
      </c>
      <c r="FF18" s="64">
        <f t="shared" si="167"/>
        <v>98.502476673194352</v>
      </c>
      <c r="FG18" s="64">
        <f t="shared" si="167"/>
        <v>98.25528007346189</v>
      </c>
      <c r="FH18" s="64">
        <f t="shared" si="167"/>
        <v>98.401380103507776</v>
      </c>
      <c r="FI18" s="64">
        <f t="shared" si="167"/>
        <v>98.206278026905835</v>
      </c>
      <c r="FJ18" s="64">
        <f t="shared" si="167"/>
        <v>98.137716978963084</v>
      </c>
      <c r="FK18" s="64">
        <f t="shared" si="167"/>
        <v>98.35596854896356</v>
      </c>
      <c r="FL18" s="64">
        <f t="shared" si="167"/>
        <v>98.534358481499282</v>
      </c>
      <c r="FM18" s="64">
        <f t="shared" si="167"/>
        <v>98.68706473341706</v>
      </c>
      <c r="FN18" s="64">
        <f t="shared" si="167"/>
        <v>98.526244190001123</v>
      </c>
      <c r="FO18" s="64">
        <f t="shared" si="167"/>
        <v>98.647112323783531</v>
      </c>
      <c r="FP18" s="64">
        <f t="shared" si="167"/>
        <v>98.689010487916079</v>
      </c>
      <c r="FQ18" s="64">
        <f t="shared" si="167"/>
        <v>98.577492256510283</v>
      </c>
      <c r="FR18" s="64">
        <f t="shared" si="167"/>
        <v>98.718688675978285</v>
      </c>
      <c r="FS18" s="64">
        <f t="shared" si="167"/>
        <v>98.744059742023069</v>
      </c>
      <c r="FT18" s="64">
        <f t="shared" si="167"/>
        <v>98.691843931293363</v>
      </c>
      <c r="FU18" s="64">
        <f t="shared" si="167"/>
        <v>98.657339501297514</v>
      </c>
      <c r="FV18" s="64">
        <f t="shared" si="167"/>
        <v>98.760518535365009</v>
      </c>
      <c r="FW18" s="64">
        <f t="shared" si="167"/>
        <v>98.757693184408481</v>
      </c>
      <c r="FX18" s="64">
        <f t="shared" si="167"/>
        <v>98.581640757971172</v>
      </c>
      <c r="FY18" s="64">
        <f t="shared" si="167"/>
        <v>98.697474232642435</v>
      </c>
      <c r="FZ18" s="64">
        <f t="shared" si="167"/>
        <v>98.740639891082367</v>
      </c>
      <c r="GA18" s="64">
        <f t="shared" si="167"/>
        <v>98.715471183357963</v>
      </c>
      <c r="GB18" s="64">
        <f t="shared" si="167"/>
        <v>98.663949275362313</v>
      </c>
      <c r="GC18" s="64">
        <f t="shared" si="167"/>
        <v>98.543076746587118</v>
      </c>
      <c r="GD18" s="64">
        <f t="shared" si="167"/>
        <v>98.695801395721318</v>
      </c>
      <c r="GE18" s="64">
        <f t="shared" si="167"/>
        <v>98.609195402298866</v>
      </c>
      <c r="GF18" s="64">
        <f t="shared" si="167"/>
        <v>98.708719003542456</v>
      </c>
      <c r="GG18" s="64">
        <f t="shared" si="167"/>
        <v>98.705167869829282</v>
      </c>
      <c r="GH18" s="64">
        <f t="shared" si="167"/>
        <v>97.846916920302093</v>
      </c>
      <c r="GI18" s="64">
        <f t="shared" si="167"/>
        <v>98.821914674596826</v>
      </c>
      <c r="GJ18" s="64">
        <f t="shared" si="167"/>
        <v>98.645546372819112</v>
      </c>
      <c r="GK18" s="64">
        <f t="shared" si="167"/>
        <v>98.463302752293572</v>
      </c>
      <c r="GL18" s="64">
        <f t="shared" si="167"/>
        <v>98.465765972063195</v>
      </c>
      <c r="GM18" s="64">
        <f t="shared" si="167"/>
        <v>97.718717919470734</v>
      </c>
      <c r="GN18" s="64">
        <f t="shared" si="167"/>
        <v>98.686914820735339</v>
      </c>
      <c r="GO18" s="64">
        <f t="shared" si="167"/>
        <v>98.806682577565638</v>
      </c>
      <c r="GP18" s="64">
        <f t="shared" si="167"/>
        <v>98.792597607763483</v>
      </c>
      <c r="GQ18" s="64">
        <f t="shared" si="167"/>
        <v>98.732876712328775</v>
      </c>
      <c r="GR18" s="64">
        <f t="shared" si="167"/>
        <v>98.793946979178514</v>
      </c>
      <c r="GS18" s="64">
        <f t="shared" si="167"/>
        <v>98.792022792022806</v>
      </c>
      <c r="GT18" s="64">
        <f t="shared" si="167"/>
        <v>98.758824869050358</v>
      </c>
      <c r="GU18" s="64">
        <f t="shared" si="167"/>
        <v>98.66788113400888</v>
      </c>
      <c r="GV18" s="64">
        <f t="shared" si="167"/>
        <v>98.738349624914747</v>
      </c>
      <c r="GW18" s="64">
        <f t="shared" si="167"/>
        <v>98.789866546030325</v>
      </c>
      <c r="GX18" s="64">
        <f t="shared" si="167"/>
        <v>98.722773406317685</v>
      </c>
      <c r="GY18" s="64">
        <f t="shared" si="167"/>
        <v>98.671662125340575</v>
      </c>
      <c r="GZ18" s="64">
        <f t="shared" ref="GZ18:JK18" si="168">(GZ4*GZ9)/GZ11</f>
        <v>98.454896614405797</v>
      </c>
      <c r="HA18" s="64">
        <f t="shared" si="168"/>
        <v>98.617093629562447</v>
      </c>
      <c r="HB18" s="64">
        <f t="shared" si="168"/>
        <v>98.592508513053332</v>
      </c>
      <c r="HC18" s="64">
        <f t="shared" si="168"/>
        <v>98.670001136751139</v>
      </c>
      <c r="HD18" s="64">
        <f t="shared" si="168"/>
        <v>98.644220991978315</v>
      </c>
      <c r="HE18" s="64">
        <f t="shared" si="168"/>
        <v>98.653582838886351</v>
      </c>
      <c r="HF18" s="64">
        <f t="shared" si="168"/>
        <v>94.763476347634779</v>
      </c>
      <c r="HG18" s="64">
        <f t="shared" si="168"/>
        <v>98.365373546678953</v>
      </c>
      <c r="HH18" s="64">
        <f t="shared" si="168"/>
        <v>98.393965202579395</v>
      </c>
      <c r="HI18" s="64">
        <f t="shared" si="168"/>
        <v>99.58358120166568</v>
      </c>
      <c r="HJ18" s="64">
        <f t="shared" si="168"/>
        <v>99.704411095952693</v>
      </c>
      <c r="HK18" s="64">
        <f t="shared" si="168"/>
        <v>99.605322507893561</v>
      </c>
      <c r="HL18" s="64">
        <f t="shared" si="168"/>
        <v>98.741924515470927</v>
      </c>
      <c r="HM18" s="64">
        <f t="shared" si="168"/>
        <v>98.72611464968152</v>
      </c>
      <c r="HN18" s="64">
        <f t="shared" si="168"/>
        <v>98.71269081795397</v>
      </c>
      <c r="HO18" s="64">
        <f t="shared" si="168"/>
        <v>98.7814599703906</v>
      </c>
      <c r="HP18" s="64">
        <f t="shared" si="168"/>
        <v>98.794906775807192</v>
      </c>
      <c r="HQ18" s="64">
        <f t="shared" si="168"/>
        <v>98.893325727324594</v>
      </c>
      <c r="HR18" s="64">
        <f t="shared" si="168"/>
        <v>98.913289563051833</v>
      </c>
      <c r="HS18" s="64">
        <f t="shared" si="168"/>
        <v>98.853315168029056</v>
      </c>
      <c r="HT18" s="64">
        <f t="shared" si="168"/>
        <v>98.873079112122952</v>
      </c>
      <c r="HU18" s="64">
        <f t="shared" si="168"/>
        <v>98.85896850753079</v>
      </c>
      <c r="HV18" s="64">
        <f t="shared" si="168"/>
        <v>98.872950819672155</v>
      </c>
      <c r="HW18" s="64">
        <f t="shared" si="168"/>
        <v>98.847295138096314</v>
      </c>
      <c r="HX18" s="64">
        <f t="shared" si="168"/>
        <v>98.895342216148492</v>
      </c>
      <c r="HY18" s="64">
        <f t="shared" si="168"/>
        <v>98.936170212765958</v>
      </c>
      <c r="HZ18" s="64">
        <f t="shared" si="168"/>
        <v>98.835084513476474</v>
      </c>
      <c r="IA18" s="64">
        <f t="shared" si="168"/>
        <v>98.844129091325257</v>
      </c>
      <c r="IB18" s="64">
        <f t="shared" si="168"/>
        <v>98.846636976133368</v>
      </c>
      <c r="IC18" s="64">
        <f t="shared" si="168"/>
        <v>98.784543056988895</v>
      </c>
      <c r="ID18" s="64">
        <f t="shared" si="168"/>
        <v>98.835350536652186</v>
      </c>
      <c r="IE18" s="64">
        <f t="shared" si="168"/>
        <v>98.846505253540414</v>
      </c>
      <c r="IF18" s="64">
        <f t="shared" si="168"/>
        <v>98.799411031826949</v>
      </c>
      <c r="IG18" s="64">
        <f t="shared" si="168"/>
        <v>98.660560961648557</v>
      </c>
      <c r="IH18" s="64">
        <f t="shared" si="168"/>
        <v>98.767123287671225</v>
      </c>
      <c r="II18" s="64">
        <f t="shared" si="168"/>
        <v>98.706996074809496</v>
      </c>
      <c r="IJ18" s="64">
        <f t="shared" si="168"/>
        <v>98.763453171513632</v>
      </c>
      <c r="IK18" s="64">
        <f t="shared" si="168"/>
        <v>98.752717702254259</v>
      </c>
      <c r="IL18" s="64">
        <f t="shared" si="168"/>
        <v>98.707241734355335</v>
      </c>
      <c r="IM18" s="64">
        <f t="shared" si="168"/>
        <v>98.688376300316605</v>
      </c>
      <c r="IN18" s="64">
        <f t="shared" si="168"/>
        <v>98.792687133494297</v>
      </c>
      <c r="IO18" s="64">
        <f t="shared" si="168"/>
        <v>98.805009766747077</v>
      </c>
      <c r="IP18" s="64">
        <f t="shared" si="168"/>
        <v>98.791018998272875</v>
      </c>
      <c r="IQ18" s="64">
        <f t="shared" si="168"/>
        <v>98.726626132843876</v>
      </c>
      <c r="IR18" s="64">
        <f t="shared" si="168"/>
        <v>98.764726066567547</v>
      </c>
      <c r="IS18" s="64">
        <f t="shared" si="168"/>
        <v>98.714886841805978</v>
      </c>
      <c r="IT18" s="64">
        <f t="shared" si="168"/>
        <v>98.646514775547033</v>
      </c>
      <c r="IU18" s="64">
        <f t="shared" si="168"/>
        <v>98.755849788836883</v>
      </c>
      <c r="IV18" s="64">
        <f t="shared" si="168"/>
        <v>98.788432963767292</v>
      </c>
      <c r="IW18" s="64">
        <f t="shared" si="168"/>
        <v>98.743144424131614</v>
      </c>
      <c r="IX18" s="64">
        <f t="shared" si="168"/>
        <v>98.754143330666352</v>
      </c>
      <c r="IY18" s="64">
        <f t="shared" si="168"/>
        <v>98.747152619589968</v>
      </c>
      <c r="IZ18" s="64">
        <f t="shared" si="168"/>
        <v>98.714009331967674</v>
      </c>
      <c r="JA18" s="64">
        <f t="shared" si="168"/>
        <v>98.646820027063598</v>
      </c>
      <c r="JB18" s="64">
        <f t="shared" si="168"/>
        <v>98.815084880938826</v>
      </c>
      <c r="JC18" s="64">
        <f t="shared" si="168"/>
        <v>98.788294467306812</v>
      </c>
      <c r="JD18" s="64">
        <f t="shared" si="168"/>
        <v>98.764726066567533</v>
      </c>
      <c r="JE18" s="64">
        <f t="shared" si="168"/>
        <v>98.697738176833468</v>
      </c>
      <c r="JF18" s="64">
        <f t="shared" si="168"/>
        <v>98.781459970390614</v>
      </c>
      <c r="JG18" s="64">
        <f t="shared" si="168"/>
        <v>98.39670178653229</v>
      </c>
      <c r="JH18" s="64">
        <f t="shared" si="168"/>
        <v>98.626092880663123</v>
      </c>
      <c r="JI18" s="64">
        <f t="shared" si="168"/>
        <v>98.706649879821441</v>
      </c>
      <c r="JJ18" s="64">
        <f t="shared" si="168"/>
        <v>98.709603745574967</v>
      </c>
      <c r="JK18" s="64">
        <f t="shared" si="168"/>
        <v>98.771610555050074</v>
      </c>
      <c r="JL18" s="64">
        <f t="shared" ref="JL18:LW18" si="169">(JL4*JL9)/JL11</f>
        <v>98.693110168519993</v>
      </c>
      <c r="JM18" s="64">
        <f t="shared" si="169"/>
        <v>98.796147672552181</v>
      </c>
      <c r="JN18" s="64">
        <f t="shared" si="169"/>
        <v>98.724664085629684</v>
      </c>
      <c r="JO18" s="64">
        <f t="shared" si="169"/>
        <v>98.589960518894529</v>
      </c>
      <c r="JP18" s="64">
        <f t="shared" si="169"/>
        <v>98.896678542696222</v>
      </c>
      <c r="JQ18" s="64">
        <f t="shared" si="169"/>
        <v>98.496328243385037</v>
      </c>
      <c r="JR18" s="64">
        <f t="shared" si="169"/>
        <v>98.83521754025351</v>
      </c>
      <c r="JS18" s="64">
        <f t="shared" si="169"/>
        <v>98.820326678765909</v>
      </c>
      <c r="JT18" s="64">
        <f t="shared" si="169"/>
        <v>98.948677368302071</v>
      </c>
      <c r="JU18" s="71">
        <v>98.67</v>
      </c>
      <c r="JV18" s="64">
        <f t="shared" si="169"/>
        <v>98.923404732533342</v>
      </c>
      <c r="JW18" s="64">
        <f t="shared" si="169"/>
        <v>98.815411155836699</v>
      </c>
      <c r="JX18" s="64">
        <f t="shared" si="169"/>
        <v>98.898228078146275</v>
      </c>
      <c r="JY18" s="64">
        <f t="shared" si="169"/>
        <v>98.856620169220207</v>
      </c>
      <c r="JZ18" s="64">
        <f t="shared" si="169"/>
        <v>98.35084152264767</v>
      </c>
      <c r="KA18" s="64">
        <f t="shared" si="169"/>
        <v>98.946533756230167</v>
      </c>
      <c r="KB18" s="64">
        <f t="shared" si="169"/>
        <v>98.947249264206491</v>
      </c>
      <c r="KC18" s="64">
        <f t="shared" si="169"/>
        <v>98.945479021763532</v>
      </c>
      <c r="KD18" s="64">
        <f t="shared" si="169"/>
        <v>98.966261501760769</v>
      </c>
      <c r="KE18" s="64">
        <f t="shared" si="169"/>
        <v>98.943901885078347</v>
      </c>
      <c r="KF18" s="64">
        <f t="shared" si="169"/>
        <v>98.92582541836272</v>
      </c>
      <c r="KG18" s="64">
        <f t="shared" si="169"/>
        <v>98.845500848896435</v>
      </c>
      <c r="KH18" s="64">
        <f t="shared" si="169"/>
        <v>98.958451262311783</v>
      </c>
      <c r="KI18" s="64">
        <f t="shared" si="169"/>
        <v>98.970588235294102</v>
      </c>
      <c r="KJ18" s="64">
        <f t="shared" si="169"/>
        <v>98.928930045743613</v>
      </c>
      <c r="KK18" s="64">
        <f t="shared" si="169"/>
        <v>98.917578080956147</v>
      </c>
      <c r="KL18" s="64">
        <f t="shared" si="169"/>
        <v>98.926674951982832</v>
      </c>
      <c r="KM18" s="64">
        <f t="shared" si="169"/>
        <v>98.957034349846978</v>
      </c>
      <c r="KN18" s="64">
        <f t="shared" si="169"/>
        <v>98.926311030741402</v>
      </c>
      <c r="KO18" s="64">
        <f t="shared" si="169"/>
        <v>98.938093086308157</v>
      </c>
      <c r="KP18" s="64">
        <f t="shared" si="169"/>
        <v>98.963380281690135</v>
      </c>
      <c r="KQ18" s="64">
        <f t="shared" si="169"/>
        <v>98.863383106752849</v>
      </c>
      <c r="KR18" s="64">
        <f t="shared" si="169"/>
        <v>98.895899053627772</v>
      </c>
      <c r="KS18" s="64">
        <f t="shared" si="169"/>
        <v>98.904326217101541</v>
      </c>
      <c r="KT18" s="64">
        <f t="shared" si="169"/>
        <v>98.934141142151915</v>
      </c>
      <c r="KU18" s="64">
        <f t="shared" si="169"/>
        <v>98.941322220970847</v>
      </c>
      <c r="KV18" s="64">
        <f t="shared" si="169"/>
        <v>98.905932776900514</v>
      </c>
      <c r="KW18" s="64">
        <f t="shared" si="169"/>
        <v>98.846597462514424</v>
      </c>
      <c r="KX18" s="64">
        <f t="shared" si="169"/>
        <v>98.233460339452705</v>
      </c>
      <c r="KY18" s="64">
        <f t="shared" si="169"/>
        <v>98.048083789573909</v>
      </c>
      <c r="KZ18" s="64">
        <f t="shared" si="169"/>
        <v>98.446470786896327</v>
      </c>
      <c r="LA18" s="64">
        <f t="shared" si="169"/>
        <v>98.846675712347349</v>
      </c>
      <c r="LB18" s="64">
        <f t="shared" si="169"/>
        <v>98.887265370349567</v>
      </c>
      <c r="LC18" s="64">
        <f t="shared" si="169"/>
        <v>98.796411945043715</v>
      </c>
      <c r="LD18" s="64">
        <f t="shared" si="169"/>
        <v>98.976147614761487</v>
      </c>
      <c r="LE18" s="64">
        <f t="shared" si="169"/>
        <v>98.937597852829327</v>
      </c>
      <c r="LF18" s="64">
        <f t="shared" si="169"/>
        <v>98.609541035496264</v>
      </c>
      <c r="LG18" s="64">
        <f t="shared" si="169"/>
        <v>98.871586549311672</v>
      </c>
      <c r="LH18" s="64">
        <f t="shared" si="169"/>
        <v>98.879049433919945</v>
      </c>
      <c r="LI18" s="64">
        <f t="shared" si="169"/>
        <v>98.895276744448196</v>
      </c>
      <c r="LJ18" s="64">
        <f t="shared" si="169"/>
        <v>98.939650310208677</v>
      </c>
      <c r="LK18" s="64">
        <f t="shared" si="169"/>
        <v>98.860431005302942</v>
      </c>
      <c r="LL18" s="64">
        <f t="shared" si="169"/>
        <v>98.631366389948383</v>
      </c>
      <c r="LM18" s="64">
        <f t="shared" si="169"/>
        <v>98.816768086544968</v>
      </c>
      <c r="LN18" s="64">
        <f t="shared" si="169"/>
        <v>98.782138024357224</v>
      </c>
      <c r="LO18" s="64">
        <f t="shared" si="169"/>
        <v>98.578091229666711</v>
      </c>
      <c r="LP18" s="64">
        <f t="shared" si="169"/>
        <v>98.700418126341987</v>
      </c>
      <c r="LQ18" s="64">
        <f t="shared" si="169"/>
        <v>98.706411698537678</v>
      </c>
      <c r="LR18" s="64">
        <f t="shared" si="169"/>
        <v>98.808453237410077</v>
      </c>
      <c r="LS18" s="64">
        <f t="shared" si="169"/>
        <v>98.580371115582395</v>
      </c>
      <c r="LT18" s="64">
        <f t="shared" si="169"/>
        <v>98.804286520022558</v>
      </c>
      <c r="LU18" s="64">
        <f t="shared" si="169"/>
        <v>98.814363143631439</v>
      </c>
      <c r="LV18" s="64">
        <f t="shared" si="169"/>
        <v>98.759165256627185</v>
      </c>
      <c r="LW18" s="64">
        <f t="shared" si="169"/>
        <v>98.801718290752888</v>
      </c>
      <c r="LX18" s="64">
        <f t="shared" ref="LX18:OD18" si="170">(LX4*LX9)/LX11</f>
        <v>98.800769317796124</v>
      </c>
      <c r="LY18" s="64">
        <f t="shared" si="170"/>
        <v>98.72589919945878</v>
      </c>
      <c r="LZ18" s="64">
        <f t="shared" si="170"/>
        <v>98.55607790463398</v>
      </c>
      <c r="MA18" s="64">
        <f t="shared" si="170"/>
        <v>98.701738541431482</v>
      </c>
      <c r="MB18" s="64">
        <f t="shared" si="170"/>
        <v>98.666214536000922</v>
      </c>
      <c r="MC18" s="64">
        <f t="shared" si="170"/>
        <v>98.568207440811747</v>
      </c>
      <c r="MD18" s="64">
        <f t="shared" si="170"/>
        <v>98.723019550231655</v>
      </c>
      <c r="ME18" s="64">
        <f t="shared" si="170"/>
        <v>98.75621890547265</v>
      </c>
      <c r="MF18" s="64">
        <f t="shared" si="170"/>
        <v>98.815433212996396</v>
      </c>
      <c r="MG18" s="64">
        <f t="shared" si="170"/>
        <v>98.689956331877738</v>
      </c>
      <c r="MH18" s="64">
        <f t="shared" si="170"/>
        <v>98.583569405099141</v>
      </c>
      <c r="MI18" s="64">
        <f t="shared" si="170"/>
        <v>98.621239744758427</v>
      </c>
      <c r="MJ18" s="64">
        <f t="shared" si="170"/>
        <v>98.677368302057431</v>
      </c>
      <c r="MK18" s="64">
        <f t="shared" si="170"/>
        <v>95.759906013030019</v>
      </c>
      <c r="ML18" s="64">
        <f t="shared" si="170"/>
        <v>96.023725834797887</v>
      </c>
      <c r="MM18" s="64">
        <f t="shared" si="170"/>
        <v>96.030166544464223</v>
      </c>
      <c r="MN18" s="64">
        <f t="shared" si="170"/>
        <v>96.150509650834948</v>
      </c>
      <c r="MO18" s="64">
        <f t="shared" si="170"/>
        <v>96.477559530341267</v>
      </c>
      <c r="MP18" s="64">
        <f t="shared" si="170"/>
        <v>98.808587164212653</v>
      </c>
      <c r="MQ18" s="64">
        <f t="shared" si="170"/>
        <v>98.525742798820573</v>
      </c>
      <c r="MR18" s="64">
        <f t="shared" si="170"/>
        <v>98.80952380952381</v>
      </c>
      <c r="MS18" s="64">
        <f t="shared" si="170"/>
        <v>98.787878787878768</v>
      </c>
      <c r="MT18" s="64">
        <f t="shared" si="170"/>
        <v>98.826442721791565</v>
      </c>
      <c r="MU18" s="64">
        <f t="shared" si="170"/>
        <v>98.617614269788163</v>
      </c>
      <c r="MV18" s="64">
        <f t="shared" si="170"/>
        <v>98.427672955974856</v>
      </c>
      <c r="MW18" s="64">
        <f t="shared" si="170"/>
        <v>98.757416321504522</v>
      </c>
      <c r="MX18" s="64">
        <f t="shared" si="170"/>
        <v>98.776105995957778</v>
      </c>
      <c r="MY18" s="64">
        <f t="shared" si="170"/>
        <v>95.789950203712095</v>
      </c>
      <c r="MZ18" s="64">
        <f t="shared" si="170"/>
        <v>98.720682302771863</v>
      </c>
      <c r="NA18" s="64">
        <f t="shared" si="170"/>
        <v>98.719245028648459</v>
      </c>
      <c r="NB18" s="64">
        <f t="shared" si="170"/>
        <v>98.433478796016558</v>
      </c>
      <c r="NC18" s="64">
        <f t="shared" si="170"/>
        <v>97.923635944168879</v>
      </c>
      <c r="ND18" s="64">
        <f t="shared" si="170"/>
        <v>98.59818324548614</v>
      </c>
      <c r="NE18" s="64">
        <f t="shared" si="170"/>
        <v>98.632133647269882</v>
      </c>
      <c r="NF18" s="64">
        <f t="shared" si="170"/>
        <v>98.461363118304078</v>
      </c>
      <c r="NG18" s="64">
        <f t="shared" si="170"/>
        <v>98.599439775910369</v>
      </c>
      <c r="NH18" s="64">
        <f t="shared" si="170"/>
        <v>98.545373167729664</v>
      </c>
      <c r="NI18" s="64">
        <f t="shared" si="170"/>
        <v>98.466837018109089</v>
      </c>
      <c r="NJ18" s="64">
        <f t="shared" si="170"/>
        <v>98.636566830576669</v>
      </c>
      <c r="NK18" s="64">
        <f t="shared" si="170"/>
        <v>98.554459883460339</v>
      </c>
      <c r="NL18" s="64">
        <f t="shared" si="170"/>
        <v>98.578145991939067</v>
      </c>
      <c r="NM18" s="64">
        <f t="shared" si="170"/>
        <v>98.614215467143481</v>
      </c>
      <c r="NN18" s="64">
        <f t="shared" si="170"/>
        <v>98.647893619398815</v>
      </c>
      <c r="NO18" s="64">
        <f t="shared" si="170"/>
        <v>98.775873581126206</v>
      </c>
      <c r="NP18" s="64">
        <f t="shared" si="170"/>
        <v>98.552806009721593</v>
      </c>
      <c r="NQ18" s="64">
        <f t="shared" si="170"/>
        <v>98.671578477338699</v>
      </c>
      <c r="NR18" s="64">
        <f t="shared" si="170"/>
        <v>98.718662952646241</v>
      </c>
      <c r="NS18" s="64">
        <f t="shared" si="170"/>
        <v>98.62937374637842</v>
      </c>
      <c r="NT18" s="64">
        <f t="shared" si="170"/>
        <v>98.67660142348754</v>
      </c>
      <c r="NU18" s="64">
        <f t="shared" si="170"/>
        <v>98.617922425323229</v>
      </c>
      <c r="NV18" s="64">
        <f t="shared" si="170"/>
        <v>98.589359102521371</v>
      </c>
      <c r="NW18" s="64">
        <f t="shared" si="170"/>
        <v>99.303405572755423</v>
      </c>
      <c r="NX18" s="64">
        <f t="shared" si="170"/>
        <v>98.705357142857153</v>
      </c>
      <c r="NY18" s="64">
        <f t="shared" si="170"/>
        <v>98.490776970374498</v>
      </c>
      <c r="NZ18" s="64">
        <f t="shared" si="170"/>
        <v>98.593121929432769</v>
      </c>
      <c r="OA18" s="64">
        <f t="shared" si="170"/>
        <v>98.560910307898254</v>
      </c>
      <c r="OB18" s="64">
        <f t="shared" si="170"/>
        <v>98.642736960179462</v>
      </c>
      <c r="OC18" s="64">
        <f t="shared" si="170"/>
        <v>98.578725294248272</v>
      </c>
      <c r="OD18" s="64">
        <f t="shared" si="170"/>
        <v>98.521624007060908</v>
      </c>
      <c r="OE18" s="64">
        <f>(OE4*OE9)/OE11</f>
        <v>98.696378830083589</v>
      </c>
      <c r="OF18" s="64">
        <f>(OF4*OF9)/OF11</f>
        <v>98.517279821627653</v>
      </c>
      <c r="OG18" s="64">
        <f>(OG4*OG9)/OG11</f>
        <v>98.580212409167146</v>
      </c>
      <c r="OH18" s="64">
        <f>(OH4*OH9)/OH11</f>
        <v>98.473027195720007</v>
      </c>
      <c r="OI18" s="64">
        <f>(OI4*OI9)/OI11</f>
        <v>98.614989389031621</v>
      </c>
      <c r="OJ18" s="64">
        <f t="shared" ref="OJ18:PG18" si="171">(OJ4*OJ9)/OJ11</f>
        <v>98.66280365500333</v>
      </c>
      <c r="OK18" s="64">
        <f t="shared" si="171"/>
        <v>98.43007186290771</v>
      </c>
      <c r="OL18" s="64">
        <f t="shared" si="171"/>
        <v>98.683476514559857</v>
      </c>
      <c r="OM18" s="64">
        <f t="shared" si="171"/>
        <v>98.773416592328289</v>
      </c>
      <c r="ON18" s="64">
        <f t="shared" si="171"/>
        <v>98.911353032659406</v>
      </c>
      <c r="OO18" s="64">
        <f t="shared" si="171"/>
        <v>98.777506112469425</v>
      </c>
      <c r="OP18" s="64">
        <f t="shared" si="171"/>
        <v>98.919460844380055</v>
      </c>
      <c r="OQ18" s="64">
        <f t="shared" si="171"/>
        <v>98.864395457581836</v>
      </c>
      <c r="OR18" s="64">
        <f t="shared" si="171"/>
        <v>98.775239986759345</v>
      </c>
      <c r="OS18" s="64">
        <f t="shared" si="171"/>
        <v>98.849302943129032</v>
      </c>
      <c r="OT18" s="64">
        <f t="shared" si="171"/>
        <v>98.808595924729985</v>
      </c>
      <c r="OU18" s="64">
        <f t="shared" si="171"/>
        <v>98.520676902387066</v>
      </c>
      <c r="OV18" s="64">
        <f t="shared" si="171"/>
        <v>98.528610354223446</v>
      </c>
      <c r="OW18" s="64">
        <f t="shared" si="171"/>
        <v>98.423876592890679</v>
      </c>
      <c r="OX18" s="64">
        <f t="shared" si="171"/>
        <v>98.405668733392361</v>
      </c>
      <c r="OY18" s="64">
        <f t="shared" si="171"/>
        <v>98.289372033991839</v>
      </c>
      <c r="OZ18" s="64">
        <f t="shared" si="171"/>
        <v>98.447721476882137</v>
      </c>
      <c r="PA18" s="64">
        <f t="shared" si="171"/>
        <v>98.395006687472133</v>
      </c>
      <c r="PB18" s="64">
        <f t="shared" si="171"/>
        <v>98.339092631813628</v>
      </c>
      <c r="PC18" s="64">
        <f t="shared" si="171"/>
        <v>98.400355476560762</v>
      </c>
      <c r="PD18" s="64">
        <f t="shared" si="171"/>
        <v>98.460165141709467</v>
      </c>
      <c r="PE18" s="64">
        <f t="shared" si="171"/>
        <v>98.381733540234976</v>
      </c>
      <c r="PF18" s="64">
        <f t="shared" si="171"/>
        <v>98.335354426193376</v>
      </c>
      <c r="PG18" s="64">
        <f t="shared" si="171"/>
        <v>98.350791174504138</v>
      </c>
      <c r="PH18" s="64">
        <f>(PH4*PH9)/PH11</f>
        <v>98.37777777777778</v>
      </c>
      <c r="PI18" s="64">
        <f>(PI4*PI9)/PI11</f>
        <v>98.414458365672488</v>
      </c>
      <c r="PJ18" s="64">
        <f>(PJ4*PJ9)/PJ11</f>
        <v>98.429144385026717</v>
      </c>
      <c r="PK18" s="64">
        <f t="shared" ref="PK18:RG18" si="172">(PK4*PK9)/PK11</f>
        <v>98.46461949265688</v>
      </c>
      <c r="PL18" s="64">
        <f t="shared" si="172"/>
        <v>98.333518497944681</v>
      </c>
      <c r="PM18" s="64">
        <f t="shared" si="172"/>
        <v>98.204190222813438</v>
      </c>
      <c r="PN18" s="64">
        <f t="shared" si="172"/>
        <v>98.734885803851313</v>
      </c>
      <c r="PO18" s="64">
        <f t="shared" si="172"/>
        <v>98.76543209876543</v>
      </c>
      <c r="PP18" s="64">
        <f t="shared" si="172"/>
        <v>98.785244622757162</v>
      </c>
      <c r="PQ18" s="64">
        <f t="shared" si="172"/>
        <v>98.863256435974591</v>
      </c>
      <c r="PR18" s="64">
        <f t="shared" si="172"/>
        <v>98.593085396444565</v>
      </c>
      <c r="PS18" s="64">
        <f t="shared" si="172"/>
        <v>98.939732142857125</v>
      </c>
      <c r="PT18" s="64">
        <f t="shared" si="172"/>
        <v>99.032435404068167</v>
      </c>
      <c r="PU18" s="64">
        <f t="shared" si="172"/>
        <v>98.59875444839858</v>
      </c>
      <c r="PV18" s="64">
        <f t="shared" si="172"/>
        <v>98.562033218147377</v>
      </c>
      <c r="PW18" s="64">
        <f t="shared" si="172"/>
        <v>98.66711096301232</v>
      </c>
      <c r="PX18" s="64">
        <f t="shared" si="172"/>
        <v>99.04290429042905</v>
      </c>
      <c r="PY18" s="64">
        <f t="shared" si="172"/>
        <v>98.517535125566994</v>
      </c>
      <c r="PZ18" s="64">
        <f t="shared" si="172"/>
        <v>98.40774969379801</v>
      </c>
      <c r="QA18" s="64">
        <f t="shared" si="172"/>
        <v>98.353954927087941</v>
      </c>
      <c r="QB18" s="64">
        <f t="shared" si="172"/>
        <v>98.522058006445135</v>
      </c>
      <c r="QC18" s="64">
        <f t="shared" si="172"/>
        <v>98.56427378964942</v>
      </c>
      <c r="QD18" s="64">
        <f t="shared" si="172"/>
        <v>98.559624832514544</v>
      </c>
      <c r="QE18" s="64">
        <f t="shared" si="172"/>
        <v>98.619153674832958</v>
      </c>
      <c r="QF18" s="64">
        <f t="shared" si="172"/>
        <v>99.049642218246873</v>
      </c>
      <c r="QG18" s="64">
        <f t="shared" si="172"/>
        <v>99.027389603130246</v>
      </c>
      <c r="QH18" s="64">
        <f t="shared" si="172"/>
        <v>98.569844789356992</v>
      </c>
      <c r="QI18" s="64">
        <f t="shared" si="172"/>
        <v>98.55266087731016</v>
      </c>
      <c r="QJ18" s="64">
        <f t="shared" si="172"/>
        <v>98.84890478319177</v>
      </c>
      <c r="QK18" s="64">
        <f t="shared" si="172"/>
        <v>98.991822560770686</v>
      </c>
      <c r="QL18" s="64">
        <f t="shared" si="172"/>
        <v>98.915474060822902</v>
      </c>
      <c r="QM18" s="64">
        <f t="shared" si="172"/>
        <v>98.965943576486453</v>
      </c>
      <c r="QN18" s="64">
        <f t="shared" si="172"/>
        <v>98.599596683844936</v>
      </c>
      <c r="QO18" s="64">
        <f t="shared" si="172"/>
        <v>98.546023934682921</v>
      </c>
      <c r="QP18" s="64">
        <f t="shared" si="172"/>
        <v>98.580053667262987</v>
      </c>
      <c r="QQ18" s="64">
        <f t="shared" si="172"/>
        <v>98.555592878736974</v>
      </c>
      <c r="QR18" s="64">
        <f t="shared" si="172"/>
        <v>98.584269662921344</v>
      </c>
      <c r="QS18" s="64">
        <f t="shared" si="172"/>
        <v>98.579259424991619</v>
      </c>
      <c r="QT18" s="64">
        <f t="shared" si="172"/>
        <v>98.603819948620568</v>
      </c>
      <c r="QU18" s="64">
        <f t="shared" si="172"/>
        <v>98.572862080499505</v>
      </c>
      <c r="QV18" s="64">
        <f t="shared" si="172"/>
        <v>98.500166648150213</v>
      </c>
      <c r="QW18" s="64">
        <f t="shared" si="172"/>
        <v>98.610493552690087</v>
      </c>
      <c r="QX18" s="64">
        <f t="shared" si="172"/>
        <v>98.61823044350345</v>
      </c>
      <c r="QY18" s="64">
        <f t="shared" si="172"/>
        <v>98.478115974227947</v>
      </c>
      <c r="QZ18" s="64">
        <f t="shared" si="172"/>
        <v>98.533659186847359</v>
      </c>
      <c r="RA18" s="64">
        <f t="shared" si="172"/>
        <v>98.273763417063179</v>
      </c>
      <c r="RB18" s="64">
        <f t="shared" si="172"/>
        <v>98.547188643673053</v>
      </c>
      <c r="RC18" s="64">
        <f t="shared" si="172"/>
        <v>98.462729484627303</v>
      </c>
      <c r="RD18" s="64">
        <f t="shared" si="172"/>
        <v>98.515399955683577</v>
      </c>
      <c r="RE18" s="64">
        <f t="shared" si="172"/>
        <v>98.568257491675922</v>
      </c>
      <c r="RF18" s="64">
        <f t="shared" si="172"/>
        <v>98.602174395384949</v>
      </c>
      <c r="RG18" s="64">
        <f t="shared" si="172"/>
        <v>98.435245810675838</v>
      </c>
      <c r="RH18" s="64">
        <f t="shared" ref="RH18:RJ18" si="173">(RH4*RH9)/RH11</f>
        <v>98.579986687375197</v>
      </c>
      <c r="RI18" s="64">
        <f t="shared" si="173"/>
        <v>98.570320292585606</v>
      </c>
      <c r="RJ18" s="64">
        <f t="shared" si="173"/>
        <v>98.464597371037215</v>
      </c>
      <c r="RK18" s="64">
        <f t="shared" ref="RK18:RL18" si="174">(RK4*RK9)/RK11</f>
        <v>98.487544483985772</v>
      </c>
      <c r="RL18" s="64">
        <f t="shared" si="174"/>
        <v>98.457269700332972</v>
      </c>
      <c r="RM18" s="64">
        <f t="shared" ref="RM18:RZ18" si="175">(RM4*RM9)/RM11</f>
        <v>98.355007224630441</v>
      </c>
      <c r="RN18" s="64">
        <f t="shared" si="175"/>
        <v>98.36430399465894</v>
      </c>
      <c r="RO18" s="64">
        <f t="shared" si="175"/>
        <v>98.251475665441589</v>
      </c>
      <c r="RP18" s="64">
        <f t="shared" si="175"/>
        <v>98.473620174759432</v>
      </c>
      <c r="RQ18" s="64">
        <f t="shared" si="175"/>
        <v>98.230871295886772</v>
      </c>
      <c r="RR18" s="64">
        <f t="shared" si="175"/>
        <v>98.449268941072233</v>
      </c>
      <c r="RS18" s="64">
        <f t="shared" si="175"/>
        <v>98.203791994677886</v>
      </c>
      <c r="RT18" s="64">
        <f t="shared" si="175"/>
        <v>98.406374501992033</v>
      </c>
      <c r="RU18" s="64">
        <f t="shared" si="175"/>
        <v>98.459833795013864</v>
      </c>
      <c r="RV18" s="64">
        <f t="shared" si="175"/>
        <v>98.506306705023249</v>
      </c>
      <c r="RW18" s="64">
        <f t="shared" si="175"/>
        <v>98.474801061007952</v>
      </c>
      <c r="RX18" s="64">
        <f t="shared" si="175"/>
        <v>98.403962575674186</v>
      </c>
      <c r="RY18" s="64">
        <f t="shared" si="175"/>
        <v>98.464088397790064</v>
      </c>
      <c r="RZ18" s="64">
        <f t="shared" si="175"/>
        <v>98.51753512556698</v>
      </c>
      <c r="SA18" s="64" t="e">
        <f t="shared" ref="SA18:SI18" si="176">(SA4*SA9)/SA11</f>
        <v>#DIV/0!</v>
      </c>
      <c r="SB18" s="64" t="e">
        <f t="shared" si="176"/>
        <v>#DIV/0!</v>
      </c>
      <c r="SC18" s="64" t="e">
        <f t="shared" si="176"/>
        <v>#DIV/0!</v>
      </c>
      <c r="SD18" s="64" t="e">
        <f t="shared" si="176"/>
        <v>#DIV/0!</v>
      </c>
      <c r="SE18" s="64" t="e">
        <f t="shared" si="176"/>
        <v>#DIV/0!</v>
      </c>
      <c r="SF18" s="64" t="e">
        <f t="shared" si="176"/>
        <v>#DIV/0!</v>
      </c>
      <c r="SG18" s="64">
        <f t="shared" si="176"/>
        <v>46.731133067059069</v>
      </c>
      <c r="SH18" s="64">
        <f t="shared" si="176"/>
        <v>97.945768282662286</v>
      </c>
      <c r="SI18" s="64">
        <f t="shared" si="176"/>
        <v>97.855110527467716</v>
      </c>
      <c r="SJ18" s="64">
        <f t="shared" ref="SJ18:SM18" si="177">(SJ4*SJ9)/SJ11</f>
        <v>98.273365266792936</v>
      </c>
      <c r="SK18" s="64">
        <f t="shared" si="177"/>
        <v>98.219550918575649</v>
      </c>
      <c r="SL18" s="64">
        <f t="shared" si="177"/>
        <v>98.22158400530212</v>
      </c>
      <c r="SM18" s="64">
        <f t="shared" si="177"/>
        <v>98.463239358761768</v>
      </c>
      <c r="SN18" s="64">
        <f>(SN4*SN9)/SN11</f>
        <v>98.417142241843422</v>
      </c>
      <c r="SO18" s="64">
        <f>(SO4*SO9)/SO11</f>
        <v>98.333333333333343</v>
      </c>
      <c r="SP18" s="64">
        <f>(SP4*SP9)/SP11</f>
        <v>98.430018928849819</v>
      </c>
      <c r="SQ18" s="64">
        <f t="shared" ref="SQ18:SR18" si="178">(SQ4*SQ9)/SQ11</f>
        <v>98.523891535642093</v>
      </c>
      <c r="SR18" s="64">
        <f t="shared" si="178"/>
        <v>98.430732076475607</v>
      </c>
      <c r="SS18" s="64">
        <f t="shared" ref="SS18:ST18" si="179">(SS4*SS9)/SS11</f>
        <v>100.66327658633651</v>
      </c>
      <c r="ST18" s="64">
        <f t="shared" si="179"/>
        <v>98.506637168141594</v>
      </c>
      <c r="SU18" s="64">
        <f t="shared" ref="SU18:SW18" si="180">(SU4*SU9)/SU11</f>
        <v>98.111178527873079</v>
      </c>
      <c r="SV18" s="64">
        <f t="shared" si="180"/>
        <v>98.328016719832803</v>
      </c>
      <c r="SW18" s="64">
        <f t="shared" si="180"/>
        <v>97.680719627181105</v>
      </c>
      <c r="SX18" s="64">
        <v>98.05</v>
      </c>
      <c r="SY18" s="64">
        <f t="shared" ref="SY18:SZ18" si="181">(SY4*SY9)/SY11</f>
        <v>98.406546080964702</v>
      </c>
      <c r="SZ18" s="64">
        <f t="shared" si="181"/>
        <v>97.457719585379166</v>
      </c>
      <c r="TA18" s="64">
        <f t="shared" ref="TA18:TB18" si="182">(TA4*TA9)/TA11</f>
        <v>98.417142241843436</v>
      </c>
      <c r="TB18" s="64">
        <f t="shared" si="182"/>
        <v>98.532757051865346</v>
      </c>
      <c r="TC18" s="64">
        <f t="shared" ref="TC18:TD18" si="183">(TC4*TC9)/TC11</f>
        <v>98.594652777396306</v>
      </c>
      <c r="TD18" s="64">
        <f t="shared" si="183"/>
        <v>98.662773116028418</v>
      </c>
      <c r="TE18" s="64">
        <f t="shared" ref="TE18:TF18" si="184">(TE4*TE9)/TE11</f>
        <v>98.648698302656271</v>
      </c>
      <c r="TF18" s="64">
        <f t="shared" si="184"/>
        <v>99.854580873265846</v>
      </c>
      <c r="TG18" s="64">
        <f t="shared" ref="TG18:TH18" si="185">(TG4*TG9)/TG11</f>
        <v>98.411632886094338</v>
      </c>
      <c r="TH18" s="64">
        <f t="shared" si="185"/>
        <v>97.404580152671741</v>
      </c>
      <c r="TI18" s="64">
        <f t="shared" ref="TI18:TM18" si="186">(TI4*TI9)/TI11</f>
        <v>98.100479602052815</v>
      </c>
      <c r="TJ18" s="64">
        <f t="shared" si="186"/>
        <v>98.263163680334188</v>
      </c>
      <c r="TK18" s="64">
        <f t="shared" si="186"/>
        <v>97.63839237352397</v>
      </c>
      <c r="TL18" s="64">
        <f t="shared" si="186"/>
        <v>98.53126749759781</v>
      </c>
      <c r="TM18" s="64">
        <f t="shared" si="186"/>
        <v>98.613044101845247</v>
      </c>
      <c r="TN18" s="64">
        <f t="shared" ref="TN18:TY18" si="187">(TN4*TN9)/TN11</f>
        <v>98.326447857049146</v>
      </c>
      <c r="TO18" s="64">
        <f t="shared" si="187"/>
        <v>98.512629829716715</v>
      </c>
      <c r="TP18" s="64">
        <f t="shared" si="187"/>
        <v>98.506652503801604</v>
      </c>
      <c r="TQ18" s="64">
        <f t="shared" si="187"/>
        <v>98.651297206481772</v>
      </c>
      <c r="TR18" s="64">
        <f t="shared" si="187"/>
        <v>98.27683248196567</v>
      </c>
      <c r="TS18" s="64">
        <f t="shared" si="187"/>
        <v>98.533116113350559</v>
      </c>
      <c r="TT18" s="64">
        <f t="shared" si="187"/>
        <v>98.571219063976073</v>
      </c>
      <c r="TU18" s="64">
        <f t="shared" si="187"/>
        <v>98.546765734265719</v>
      </c>
      <c r="TV18" s="64">
        <f t="shared" si="187"/>
        <v>98.643029109214268</v>
      </c>
      <c r="TW18" s="64">
        <f t="shared" si="187"/>
        <v>98.617359815647973</v>
      </c>
      <c r="TX18" s="64">
        <f t="shared" si="187"/>
        <v>98.694173159223084</v>
      </c>
      <c r="TY18" s="64">
        <f t="shared" si="187"/>
        <v>98.669744942832011</v>
      </c>
      <c r="TZ18" s="64">
        <f t="shared" ref="TZ18:UA18" si="188">(TZ4*TZ9)/TZ11</f>
        <v>99.105565371024738</v>
      </c>
      <c r="UA18" s="64">
        <f t="shared" si="188"/>
        <v>99.094622943579537</v>
      </c>
      <c r="UB18" s="64">
        <f t="shared" ref="UB18:UC18" si="189">(UB4*UB9)/UB11</f>
        <v>98.520061390046052</v>
      </c>
      <c r="UC18" s="64">
        <f t="shared" si="189"/>
        <v>98.660371143076745</v>
      </c>
      <c r="UD18" s="72">
        <f t="shared" ref="UD18:UE18" si="190">(UD4*UD9)/UD11</f>
        <v>98.570643210555261</v>
      </c>
      <c r="UE18" s="64">
        <f t="shared" si="190"/>
        <v>98.529088913282109</v>
      </c>
      <c r="UF18" s="64">
        <f t="shared" ref="UF18:UL18" si="191">(UF4*UF9)/UF11</f>
        <v>98.650724001755165</v>
      </c>
      <c r="UG18" s="64">
        <f t="shared" si="191"/>
        <v>98.705430608886459</v>
      </c>
      <c r="UH18" s="64">
        <f t="shared" si="191"/>
        <v>98.672226489630191</v>
      </c>
      <c r="UI18" s="64">
        <f t="shared" si="191"/>
        <v>98.532793167633841</v>
      </c>
      <c r="UJ18" s="64">
        <f t="shared" si="191"/>
        <v>98.55216622458002</v>
      </c>
      <c r="UK18" s="64">
        <f t="shared" si="191"/>
        <v>98.621222148687394</v>
      </c>
      <c r="UL18" s="64">
        <f t="shared" si="191"/>
        <v>98.673681902882834</v>
      </c>
      <c r="UM18" s="64">
        <f t="shared" ref="UM18:UP18" si="192">(UM4*UM9)/UM11</f>
        <v>98.641840087623223</v>
      </c>
      <c r="UN18" s="64">
        <f t="shared" si="192"/>
        <v>98.620538646814111</v>
      </c>
      <c r="UO18" s="64">
        <f t="shared" si="192"/>
        <v>98.717667689609812</v>
      </c>
      <c r="UP18" s="64">
        <f t="shared" si="192"/>
        <v>98.546255506607949</v>
      </c>
      <c r="UQ18" s="64">
        <f t="shared" ref="UQ18:UR18" si="193">(UQ4*UQ9)/UQ11</f>
        <v>98.686371100164195</v>
      </c>
      <c r="UR18" s="64">
        <f t="shared" si="193"/>
        <v>98.597721297107796</v>
      </c>
      <c r="US18" s="64">
        <f t="shared" ref="US18:VA18" si="194">(US4*US9)/US11</f>
        <v>98.673681902882819</v>
      </c>
      <c r="UT18" s="64">
        <f t="shared" si="194"/>
        <v>98.673827268741789</v>
      </c>
      <c r="UU18" s="64">
        <f t="shared" si="194"/>
        <v>98.587848932676522</v>
      </c>
      <c r="UV18" s="64">
        <f t="shared" si="194"/>
        <v>98.717667689609812</v>
      </c>
      <c r="UW18" s="64">
        <f t="shared" si="194"/>
        <v>98.577836122962495</v>
      </c>
      <c r="UX18" s="64">
        <f t="shared" si="194"/>
        <v>98.696033311417921</v>
      </c>
      <c r="UY18" s="64">
        <f t="shared" si="194"/>
        <v>98.522329246935215</v>
      </c>
      <c r="UZ18" s="64">
        <f t="shared" si="194"/>
        <v>98.640350877192958</v>
      </c>
      <c r="VA18" s="64">
        <f t="shared" si="194"/>
        <v>98.741794310722085</v>
      </c>
      <c r="VB18" s="64">
        <f t="shared" ref="VB18:VD18" si="195">(VB4*VB9)/VB11</f>
        <v>98.512685914260715</v>
      </c>
      <c r="VC18" s="64">
        <f t="shared" si="195"/>
        <v>98.697745677391097</v>
      </c>
      <c r="VD18" s="64">
        <f t="shared" si="195"/>
        <v>98.536159056150311</v>
      </c>
      <c r="VE18" s="64">
        <f>(VE4*VE9)/VE11</f>
        <v>98.729710656316172</v>
      </c>
      <c r="VF18" s="64">
        <f>(VF4*VF9)/VF11</f>
        <v>98.352247926669577</v>
      </c>
      <c r="VG18" s="64">
        <f>(VG4*VG9)/VG11</f>
        <v>98.351888234010033</v>
      </c>
      <c r="VH18" s="64">
        <f>(VH4*VH9)/VH11</f>
        <v>98.628333150444419</v>
      </c>
      <c r="VI18" s="64">
        <f t="shared" ref="VI18:VR18" si="196">(VI4*VI9)/VI11</f>
        <v>98.554562506896161</v>
      </c>
      <c r="VJ18" s="64">
        <f t="shared" si="196"/>
        <v>98.442128359846421</v>
      </c>
      <c r="VK18" s="64">
        <f t="shared" si="196"/>
        <v>98.423645320197039</v>
      </c>
      <c r="VL18" s="64">
        <f t="shared" si="196"/>
        <v>98.554533508541411</v>
      </c>
      <c r="VM18" s="64">
        <f t="shared" si="196"/>
        <v>98.6059275521405</v>
      </c>
      <c r="VN18" s="64">
        <f t="shared" si="196"/>
        <v>98.640201776510594</v>
      </c>
      <c r="VO18" s="64">
        <f t="shared" si="196"/>
        <v>98.64243485876942</v>
      </c>
      <c r="VP18" s="64">
        <f t="shared" si="196"/>
        <v>98.628032049171338</v>
      </c>
      <c r="VQ18" s="64">
        <f t="shared" si="196"/>
        <v>98.656535623829967</v>
      </c>
      <c r="VR18" s="64">
        <f t="shared" si="196"/>
        <v>98.394320043691977</v>
      </c>
    </row>
    <row r="19" spans="1:590" x14ac:dyDescent="0.25">
      <c r="A19" s="289" t="s">
        <v>265</v>
      </c>
      <c r="B19" s="64">
        <f>(B5*B9)/B11</f>
        <v>99.4</v>
      </c>
      <c r="C19" s="64">
        <f t="shared" ref="C19:T19" si="197">(C5*C9)/C11</f>
        <v>99.442421483841599</v>
      </c>
      <c r="D19" s="64">
        <f t="shared" si="197"/>
        <v>99.599450675211727</v>
      </c>
      <c r="E19" s="64">
        <f t="shared" si="197"/>
        <v>99.576368216166685</v>
      </c>
      <c r="F19" s="64">
        <f t="shared" si="197"/>
        <v>99.587534372135664</v>
      </c>
      <c r="G19" s="64">
        <f t="shared" si="197"/>
        <v>99.600775635907397</v>
      </c>
      <c r="H19" s="64">
        <f t="shared" si="197"/>
        <v>99.623502567027941</v>
      </c>
      <c r="I19" s="64">
        <f t="shared" si="197"/>
        <v>99.650033867690226</v>
      </c>
      <c r="J19" s="64">
        <f t="shared" si="197"/>
        <v>99.613196814561988</v>
      </c>
      <c r="K19" s="64">
        <f t="shared" si="197"/>
        <v>99.623201644210994</v>
      </c>
      <c r="L19" s="64">
        <f t="shared" si="197"/>
        <v>99.621168637355083</v>
      </c>
      <c r="M19" s="64">
        <f t="shared" si="197"/>
        <v>99.610805860805854</v>
      </c>
      <c r="N19" s="64">
        <f t="shared" si="197"/>
        <v>99.612888534669253</v>
      </c>
      <c r="O19" s="64">
        <f t="shared" si="197"/>
        <v>99.636404953982506</v>
      </c>
      <c r="P19" s="64">
        <f t="shared" si="197"/>
        <v>99.661208356860527</v>
      </c>
      <c r="Q19" s="64">
        <f t="shared" si="197"/>
        <v>99.624316939890704</v>
      </c>
      <c r="R19" s="64">
        <f t="shared" si="197"/>
        <v>99.657885733835101</v>
      </c>
      <c r="S19" s="64">
        <f t="shared" si="197"/>
        <v>99.622468825077235</v>
      </c>
      <c r="T19" s="64">
        <f t="shared" si="197"/>
        <v>99.621342512908782</v>
      </c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>
        <f t="shared" ref="CB19:EM19" si="198">(CB5*CB9)/CB11</f>
        <v>99.826127274834803</v>
      </c>
      <c r="CC19" s="64">
        <f t="shared" si="198"/>
        <v>99.812668305819003</v>
      </c>
      <c r="CD19" s="64">
        <f t="shared" si="198"/>
        <v>99.826589595375708</v>
      </c>
      <c r="CE19" s="64">
        <f t="shared" si="198"/>
        <v>99.838411819021232</v>
      </c>
      <c r="CF19" s="64">
        <f t="shared" si="198"/>
        <v>99.849641452694897</v>
      </c>
      <c r="CG19" s="64">
        <f t="shared" si="198"/>
        <v>99.850005769008902</v>
      </c>
      <c r="CH19" s="64">
        <f t="shared" si="198"/>
        <v>99.851309619123867</v>
      </c>
      <c r="CI19" s="64">
        <f t="shared" si="198"/>
        <v>99.860416424334076</v>
      </c>
      <c r="CJ19" s="64">
        <f t="shared" si="198"/>
        <v>99.837095648126606</v>
      </c>
      <c r="CK19" s="64">
        <f t="shared" si="198"/>
        <v>99.837812789620031</v>
      </c>
      <c r="CL19" s="64">
        <f t="shared" si="198"/>
        <v>99.824438202247194</v>
      </c>
      <c r="CM19" s="64">
        <f t="shared" si="198"/>
        <v>99.848449522033107</v>
      </c>
      <c r="CN19" s="64">
        <f t="shared" si="198"/>
        <v>99.849641452694897</v>
      </c>
      <c r="CO19" s="64">
        <f t="shared" si="198"/>
        <v>99.851733576642332</v>
      </c>
      <c r="CP19" s="64">
        <f t="shared" si="198"/>
        <v>99.847328244274806</v>
      </c>
      <c r="CQ19" s="64">
        <f t="shared" si="198"/>
        <v>99.825601674223918</v>
      </c>
      <c r="CR19" s="64">
        <f t="shared" si="198"/>
        <v>99.721480793779747</v>
      </c>
      <c r="CS19" s="64">
        <f t="shared" si="198"/>
        <v>99.837831576508748</v>
      </c>
      <c r="CT19" s="64">
        <f t="shared" si="198"/>
        <v>99.81568943670085</v>
      </c>
      <c r="CU19" s="64">
        <f t="shared" si="198"/>
        <v>99.826789838337177</v>
      </c>
      <c r="CV19" s="64">
        <f t="shared" si="198"/>
        <v>99.851564284083125</v>
      </c>
      <c r="CW19" s="64">
        <f t="shared" si="198"/>
        <v>99.851581230734098</v>
      </c>
      <c r="CX19" s="64">
        <f t="shared" si="198"/>
        <v>99.861335798474698</v>
      </c>
      <c r="CY19" s="64">
        <f t="shared" si="198"/>
        <v>99.839559935823971</v>
      </c>
      <c r="CZ19" s="64">
        <f t="shared" si="198"/>
        <v>99.86173522295195</v>
      </c>
      <c r="DA19" s="64" t="e">
        <f t="shared" si="198"/>
        <v>#DIV/0!</v>
      </c>
      <c r="DB19" s="64" t="e">
        <f t="shared" si="198"/>
        <v>#DIV/0!</v>
      </c>
      <c r="DC19" s="64" t="e">
        <f t="shared" si="198"/>
        <v>#DIV/0!</v>
      </c>
      <c r="DD19" s="64" t="e">
        <f t="shared" si="198"/>
        <v>#DIV/0!</v>
      </c>
      <c r="DE19" s="64" t="e">
        <f t="shared" si="198"/>
        <v>#DIV/0!</v>
      </c>
      <c r="DF19" s="64" t="e">
        <f t="shared" si="198"/>
        <v>#DIV/0!</v>
      </c>
      <c r="DG19" s="64" t="e">
        <f t="shared" si="198"/>
        <v>#DIV/0!</v>
      </c>
      <c r="DH19" s="64" t="e">
        <f t="shared" si="198"/>
        <v>#DIV/0!</v>
      </c>
      <c r="DI19" s="64" t="e">
        <f t="shared" si="198"/>
        <v>#DIV/0!</v>
      </c>
      <c r="DJ19" s="64" t="e">
        <f t="shared" si="198"/>
        <v>#DIV/0!</v>
      </c>
      <c r="DK19" s="64" t="e">
        <f t="shared" si="198"/>
        <v>#DIV/0!</v>
      </c>
      <c r="DL19" s="64" t="e">
        <f t="shared" si="198"/>
        <v>#DIV/0!</v>
      </c>
      <c r="DM19" s="64" t="e">
        <f t="shared" si="198"/>
        <v>#DIV/0!</v>
      </c>
      <c r="DN19" s="64" t="e">
        <f t="shared" si="198"/>
        <v>#DIV/0!</v>
      </c>
      <c r="DO19" s="64" t="e">
        <f t="shared" si="198"/>
        <v>#DIV/0!</v>
      </c>
      <c r="DP19" s="64" t="e">
        <f t="shared" si="198"/>
        <v>#DIV/0!</v>
      </c>
      <c r="DQ19" s="64" t="e">
        <f t="shared" si="198"/>
        <v>#DIV/0!</v>
      </c>
      <c r="DR19" s="64" t="e">
        <f t="shared" si="198"/>
        <v>#DIV/0!</v>
      </c>
      <c r="DS19" s="64" t="e">
        <f t="shared" si="198"/>
        <v>#DIV/0!</v>
      </c>
      <c r="DT19" s="64" t="e">
        <f t="shared" si="198"/>
        <v>#DIV/0!</v>
      </c>
      <c r="DU19" s="64" t="e">
        <f t="shared" si="198"/>
        <v>#DIV/0!</v>
      </c>
      <c r="DV19" s="64" t="e">
        <f t="shared" si="198"/>
        <v>#DIV/0!</v>
      </c>
      <c r="DW19" s="64" t="e">
        <f t="shared" si="198"/>
        <v>#DIV/0!</v>
      </c>
      <c r="DX19" s="64" t="e">
        <f t="shared" si="198"/>
        <v>#DIV/0!</v>
      </c>
      <c r="DY19" s="64" t="e">
        <f t="shared" si="198"/>
        <v>#DIV/0!</v>
      </c>
      <c r="DZ19" s="64">
        <f t="shared" si="198"/>
        <v>99.74636845745907</v>
      </c>
      <c r="EA19" s="64">
        <f t="shared" si="198"/>
        <v>99.734134782106111</v>
      </c>
      <c r="EB19" s="64">
        <f t="shared" si="198"/>
        <v>99.770773638968478</v>
      </c>
      <c r="EC19" s="64">
        <f t="shared" si="198"/>
        <v>99.782509157509153</v>
      </c>
      <c r="ED19" s="64">
        <f t="shared" si="198"/>
        <v>99.770378874856476</v>
      </c>
      <c r="EE19" s="64">
        <f t="shared" si="198"/>
        <v>99.784507201996135</v>
      </c>
      <c r="EF19" s="64">
        <f t="shared" si="198"/>
        <v>97.597042513863229</v>
      </c>
      <c r="EG19" s="64">
        <f t="shared" si="198"/>
        <v>99.770773638968478</v>
      </c>
      <c r="EH19" s="64">
        <f t="shared" si="198"/>
        <v>99.760219228134275</v>
      </c>
      <c r="EI19" s="64">
        <f t="shared" si="198"/>
        <v>99.772235508484229</v>
      </c>
      <c r="EJ19" s="64">
        <f t="shared" si="198"/>
        <v>99.759917686063787</v>
      </c>
      <c r="EK19" s="64">
        <f t="shared" si="198"/>
        <v>99.783549783549788</v>
      </c>
      <c r="EL19" s="64">
        <f t="shared" si="198"/>
        <v>99.796334012219944</v>
      </c>
      <c r="EM19" s="64">
        <f t="shared" si="198"/>
        <v>99.793127226755516</v>
      </c>
      <c r="EN19" s="64">
        <f t="shared" ref="EN19:GY19" si="199">(EN5*EN9)/EN11</f>
        <v>99.794121011094589</v>
      </c>
      <c r="EO19" s="64">
        <f t="shared" si="199"/>
        <v>99.759422614274271</v>
      </c>
      <c r="EP19" s="64">
        <f t="shared" si="199"/>
        <v>99.725964832153451</v>
      </c>
      <c r="EQ19" s="64">
        <f t="shared" si="199"/>
        <v>99.771506911915907</v>
      </c>
      <c r="ER19" s="64">
        <f t="shared" si="199"/>
        <v>99.783377037966019</v>
      </c>
      <c r="ES19" s="64">
        <f t="shared" si="199"/>
        <v>99.784604920077101</v>
      </c>
      <c r="ET19" s="64">
        <f t="shared" si="199"/>
        <v>99.78268328948873</v>
      </c>
      <c r="EU19" s="64">
        <f t="shared" si="199"/>
        <v>96.488515901060069</v>
      </c>
      <c r="EV19" s="64">
        <f t="shared" si="199"/>
        <v>99.760219228134289</v>
      </c>
      <c r="EW19" s="64">
        <f t="shared" si="199"/>
        <v>95.161290322580641</v>
      </c>
      <c r="EX19" s="64">
        <f t="shared" si="199"/>
        <v>98.127608825283247</v>
      </c>
      <c r="EY19" s="64">
        <f t="shared" si="199"/>
        <v>94.558533472560626</v>
      </c>
      <c r="EZ19" s="64">
        <f t="shared" si="199"/>
        <v>97.938377888536493</v>
      </c>
      <c r="FA19" s="64">
        <f t="shared" si="199"/>
        <v>99.736208280766149</v>
      </c>
      <c r="FB19" s="64">
        <f t="shared" si="199"/>
        <v>99.734134782106111</v>
      </c>
      <c r="FC19" s="64">
        <f t="shared" si="199"/>
        <v>99.734226947076493</v>
      </c>
      <c r="FD19" s="64">
        <f t="shared" si="199"/>
        <v>99.735175590097882</v>
      </c>
      <c r="FE19" s="64">
        <f t="shared" si="199"/>
        <v>99.758148105493518</v>
      </c>
      <c r="FF19" s="64">
        <f t="shared" si="199"/>
        <v>99.758092385669869</v>
      </c>
      <c r="FG19" s="64">
        <f t="shared" si="199"/>
        <v>99.758953168044073</v>
      </c>
      <c r="FH19" s="64">
        <f t="shared" si="199"/>
        <v>99.758481886141467</v>
      </c>
      <c r="FI19" s="64">
        <f t="shared" si="199"/>
        <v>99.747039208922615</v>
      </c>
      <c r="FJ19" s="64">
        <f t="shared" si="199"/>
        <v>99.73560179330957</v>
      </c>
      <c r="FK19" s="64">
        <f t="shared" si="199"/>
        <v>99.737908029544911</v>
      </c>
      <c r="FL19" s="64">
        <f t="shared" si="199"/>
        <v>99.735703988467094</v>
      </c>
      <c r="FM19" s="64">
        <f t="shared" si="199"/>
        <v>99.783080260303691</v>
      </c>
      <c r="FN19" s="64">
        <f t="shared" si="199"/>
        <v>99.761931753769417</v>
      </c>
      <c r="FO19" s="64">
        <f t="shared" si="199"/>
        <v>99.78399272396544</v>
      </c>
      <c r="FP19" s="64">
        <f t="shared" si="199"/>
        <v>99.783401732786132</v>
      </c>
      <c r="FQ19" s="64">
        <f t="shared" si="199"/>
        <v>99.793506940461171</v>
      </c>
      <c r="FR19" s="64">
        <f t="shared" si="199"/>
        <v>99.792219785293767</v>
      </c>
      <c r="FS19" s="64">
        <f t="shared" si="199"/>
        <v>99.796334012219958</v>
      </c>
      <c r="FT19" s="64">
        <f t="shared" si="199"/>
        <v>99.783869866909328</v>
      </c>
      <c r="FU19" s="64">
        <f t="shared" si="199"/>
        <v>99.796908495994572</v>
      </c>
      <c r="FV19" s="64">
        <f t="shared" si="199"/>
        <v>99.795314987491466</v>
      </c>
      <c r="FW19" s="64">
        <f t="shared" si="199"/>
        <v>99.760656485069532</v>
      </c>
      <c r="FX19" s="64">
        <f t="shared" si="199"/>
        <v>99.761715647339173</v>
      </c>
      <c r="FY19" s="64">
        <f t="shared" si="199"/>
        <v>99.784800090610489</v>
      </c>
      <c r="FZ19" s="64">
        <f t="shared" si="199"/>
        <v>99.784433855230318</v>
      </c>
      <c r="GA19" s="64">
        <f t="shared" si="199"/>
        <v>99.784017278617711</v>
      </c>
      <c r="GB19" s="64">
        <f t="shared" si="199"/>
        <v>99.807518115942031</v>
      </c>
      <c r="GC19" s="64">
        <f t="shared" si="199"/>
        <v>99.782035103820121</v>
      </c>
      <c r="GD19" s="64">
        <f t="shared" si="199"/>
        <v>99.782633565953546</v>
      </c>
      <c r="GE19" s="64">
        <f t="shared" si="199"/>
        <v>99.781609195402311</v>
      </c>
      <c r="GF19" s="64">
        <f t="shared" si="199"/>
        <v>99.78288195634785</v>
      </c>
      <c r="GG19" s="64">
        <f t="shared" si="199"/>
        <v>99.747908788816332</v>
      </c>
      <c r="GH19" s="64">
        <f t="shared" si="199"/>
        <v>98.827640626761351</v>
      </c>
      <c r="GI19" s="64">
        <f t="shared" si="199"/>
        <v>99.839871897518009</v>
      </c>
      <c r="GJ19" s="64">
        <f t="shared" si="199"/>
        <v>99.690082644628106</v>
      </c>
      <c r="GK19" s="64">
        <f t="shared" si="199"/>
        <v>99.483944954128432</v>
      </c>
      <c r="GL19" s="64">
        <f t="shared" si="199"/>
        <v>99.519120677810847</v>
      </c>
      <c r="GM19" s="64">
        <f t="shared" si="199"/>
        <v>98.802326907722133</v>
      </c>
      <c r="GN19" s="64">
        <f t="shared" si="199"/>
        <v>99.783055492121491</v>
      </c>
      <c r="GO19" s="64">
        <f t="shared" si="199"/>
        <v>99.78406637117854</v>
      </c>
      <c r="GP19" s="64">
        <f t="shared" si="199"/>
        <v>99.7968855788761</v>
      </c>
      <c r="GQ19" s="64">
        <f t="shared" si="199"/>
        <v>99.783105022831052</v>
      </c>
      <c r="GR19" s="64">
        <f t="shared" si="199"/>
        <v>99.772442826260104</v>
      </c>
      <c r="GS19" s="64">
        <f t="shared" si="199"/>
        <v>99.783475783475808</v>
      </c>
      <c r="GT19" s="64">
        <f t="shared" si="199"/>
        <v>99.749487588248698</v>
      </c>
      <c r="GU19" s="64">
        <f t="shared" si="199"/>
        <v>99.749516110668338</v>
      </c>
      <c r="GV19" s="64">
        <f t="shared" si="199"/>
        <v>99.77267560809274</v>
      </c>
      <c r="GW19" s="64">
        <f t="shared" si="199"/>
        <v>99.785116489482022</v>
      </c>
      <c r="GX19" s="64">
        <f t="shared" si="199"/>
        <v>99.794731440301049</v>
      </c>
      <c r="GY19" s="64">
        <f t="shared" si="199"/>
        <v>99.795640326975473</v>
      </c>
      <c r="GZ19" s="64">
        <f t="shared" ref="GZ19:JK19" si="200">(GZ5*GZ9)/GZ11</f>
        <v>99.795501022494875</v>
      </c>
      <c r="HA19" s="64">
        <f t="shared" si="200"/>
        <v>99.795964633869858</v>
      </c>
      <c r="HB19" s="64">
        <f t="shared" si="200"/>
        <v>99.807037457434717</v>
      </c>
      <c r="HC19" s="64">
        <f t="shared" si="200"/>
        <v>99.795384790269395</v>
      </c>
      <c r="HD19" s="64">
        <f t="shared" si="200"/>
        <v>99.796633148796744</v>
      </c>
      <c r="HE19" s="64">
        <f t="shared" si="200"/>
        <v>99.794614331355547</v>
      </c>
      <c r="HF19" s="64">
        <f t="shared" si="200"/>
        <v>95.940594059405939</v>
      </c>
      <c r="HG19" s="64">
        <f t="shared" si="200"/>
        <v>99.735236560377572</v>
      </c>
      <c r="HH19" s="64">
        <f t="shared" si="200"/>
        <v>99.707993673196256</v>
      </c>
      <c r="HI19" s="64">
        <f t="shared" si="200"/>
        <v>99.69066032123736</v>
      </c>
      <c r="HJ19" s="64">
        <f t="shared" si="200"/>
        <v>99.795361527967245</v>
      </c>
      <c r="HK19" s="64">
        <f t="shared" si="200"/>
        <v>99.79702300405954</v>
      </c>
      <c r="HL19" s="64">
        <f t="shared" si="200"/>
        <v>99.807321772639696</v>
      </c>
      <c r="HM19" s="64">
        <f t="shared" si="200"/>
        <v>99.79526842584167</v>
      </c>
      <c r="HN19" s="64">
        <f t="shared" si="200"/>
        <v>99.794941900205046</v>
      </c>
      <c r="HO19" s="64">
        <f t="shared" si="200"/>
        <v>99.772235508484215</v>
      </c>
      <c r="HP19" s="64">
        <f t="shared" si="200"/>
        <v>99.795361527967259</v>
      </c>
      <c r="HQ19" s="64">
        <f t="shared" si="200"/>
        <v>99.863091842555633</v>
      </c>
      <c r="HR19" s="64">
        <f t="shared" si="200"/>
        <v>99.86416119538147</v>
      </c>
      <c r="HS19" s="64">
        <f t="shared" si="200"/>
        <v>99.85240690281563</v>
      </c>
      <c r="HT19" s="64">
        <f t="shared" si="200"/>
        <v>99.874786568013661</v>
      </c>
      <c r="HU19" s="64">
        <f t="shared" si="200"/>
        <v>99.851665905979004</v>
      </c>
      <c r="HV19" s="64">
        <f t="shared" si="200"/>
        <v>99.85200364298727</v>
      </c>
      <c r="HW19" s="64">
        <f t="shared" si="200"/>
        <v>99.863044966902535</v>
      </c>
      <c r="HX19" s="64">
        <f t="shared" si="200"/>
        <v>99.863341305090529</v>
      </c>
      <c r="HY19" s="64">
        <f t="shared" si="200"/>
        <v>99.875509280217301</v>
      </c>
      <c r="HZ19" s="64">
        <f t="shared" si="200"/>
        <v>99.85153037916858</v>
      </c>
      <c r="IA19" s="64">
        <f t="shared" si="200"/>
        <v>99.874113069352262</v>
      </c>
      <c r="IB19" s="64">
        <f t="shared" si="200"/>
        <v>99.862966769441584</v>
      </c>
      <c r="IC19" s="64">
        <f t="shared" si="200"/>
        <v>99.839467950923066</v>
      </c>
      <c r="ID19" s="64">
        <f t="shared" si="200"/>
        <v>99.862982416076719</v>
      </c>
      <c r="IE19" s="64">
        <f t="shared" si="200"/>
        <v>99.874371859296474</v>
      </c>
      <c r="IF19" s="64">
        <f t="shared" si="200"/>
        <v>99.852757956733484</v>
      </c>
      <c r="IG19" s="64">
        <f t="shared" si="200"/>
        <v>99.874069834001133</v>
      </c>
      <c r="IH19" s="64">
        <f t="shared" si="200"/>
        <v>99.863013698630127</v>
      </c>
      <c r="II19" s="64">
        <f t="shared" si="200"/>
        <v>99.792195797737222</v>
      </c>
      <c r="IJ19" s="64">
        <f t="shared" si="200"/>
        <v>99.851156400274775</v>
      </c>
      <c r="IK19" s="64">
        <f t="shared" si="200"/>
        <v>99.862684517679355</v>
      </c>
      <c r="IL19" s="64">
        <f t="shared" si="200"/>
        <v>99.862715936391723</v>
      </c>
      <c r="IM19" s="64">
        <f t="shared" si="200"/>
        <v>99.864314789687924</v>
      </c>
      <c r="IN19" s="64">
        <f t="shared" si="200"/>
        <v>99.896516040013779</v>
      </c>
      <c r="IO19" s="64">
        <f t="shared" si="200"/>
        <v>99.885097092956443</v>
      </c>
      <c r="IP19" s="64">
        <f t="shared" si="200"/>
        <v>99.861830742659762</v>
      </c>
      <c r="IQ19" s="64">
        <f t="shared" si="200"/>
        <v>99.885281633589528</v>
      </c>
      <c r="IR19" s="64">
        <f t="shared" si="200"/>
        <v>99.885622783941443</v>
      </c>
      <c r="IS19" s="64">
        <f t="shared" si="200"/>
        <v>99.886273171841239</v>
      </c>
      <c r="IT19" s="64">
        <f t="shared" si="200"/>
        <v>99.898488608166033</v>
      </c>
      <c r="IU19" s="64">
        <f t="shared" si="200"/>
        <v>99.885857778792385</v>
      </c>
      <c r="IV19" s="64">
        <f t="shared" si="200"/>
        <v>99.885701222996914</v>
      </c>
      <c r="IW19" s="64">
        <f t="shared" si="200"/>
        <v>99.897166361974413</v>
      </c>
      <c r="IX19" s="64">
        <f t="shared" si="200"/>
        <v>99.874271345296592</v>
      </c>
      <c r="IY19" s="64">
        <f t="shared" si="200"/>
        <v>99.88610478359908</v>
      </c>
      <c r="IZ19" s="64">
        <f t="shared" si="200"/>
        <v>99.897575964493001</v>
      </c>
      <c r="JA19" s="64">
        <f t="shared" si="200"/>
        <v>99.898511502029777</v>
      </c>
      <c r="JB19" s="64">
        <f t="shared" si="200"/>
        <v>99.886065853936444</v>
      </c>
      <c r="JC19" s="64">
        <f t="shared" si="200"/>
        <v>99.862825788751707</v>
      </c>
      <c r="JD19" s="64">
        <f t="shared" si="200"/>
        <v>99.885622783941429</v>
      </c>
      <c r="JE19" s="64">
        <f t="shared" si="200"/>
        <v>99.885766506739785</v>
      </c>
      <c r="JF19" s="64">
        <f t="shared" si="200"/>
        <v>99.874729529666325</v>
      </c>
      <c r="JG19" s="64">
        <f t="shared" si="200"/>
        <v>99.839670178653236</v>
      </c>
      <c r="JH19" s="64">
        <f t="shared" si="200"/>
        <v>99.875099352787572</v>
      </c>
      <c r="JI19" s="64">
        <f t="shared" si="200"/>
        <v>99.896989813437116</v>
      </c>
      <c r="JJ19" s="64">
        <f t="shared" si="200"/>
        <v>99.88580564120133</v>
      </c>
      <c r="JK19" s="64">
        <f t="shared" si="200"/>
        <v>99.886260236578721</v>
      </c>
      <c r="JL19" s="64">
        <f t="shared" ref="JL19:LW19" si="201">(JL5*JL9)/JL11</f>
        <v>99.83950475753754</v>
      </c>
      <c r="JM19" s="64">
        <f t="shared" si="201"/>
        <v>99.885347397385928</v>
      </c>
      <c r="JN19" s="64">
        <f t="shared" si="201"/>
        <v>99.897517649738091</v>
      </c>
      <c r="JO19" s="64">
        <f t="shared" si="201"/>
        <v>99.898477157360404</v>
      </c>
      <c r="JP19" s="64">
        <f t="shared" si="201"/>
        <v>99.896563613377751</v>
      </c>
      <c r="JQ19" s="64">
        <f t="shared" si="201"/>
        <v>99.48711971092203</v>
      </c>
      <c r="JR19" s="64">
        <f t="shared" si="201"/>
        <v>99.862966769441584</v>
      </c>
      <c r="JS19" s="64">
        <f t="shared" si="201"/>
        <v>99.875226860254102</v>
      </c>
      <c r="JT19" s="64">
        <f t="shared" si="201"/>
        <v>99.920868189011983</v>
      </c>
      <c r="JU19" s="71">
        <v>99.48711971092203</v>
      </c>
      <c r="JV19" s="64">
        <f t="shared" si="201"/>
        <v>99.876640125602776</v>
      </c>
      <c r="JW19" s="64">
        <f t="shared" si="201"/>
        <v>99.781483611270858</v>
      </c>
      <c r="JX19" s="64">
        <f t="shared" si="201"/>
        <v>99.840981372103585</v>
      </c>
      <c r="JY19" s="64">
        <f t="shared" si="201"/>
        <v>99.794191630459636</v>
      </c>
      <c r="JZ19" s="64">
        <f t="shared" si="201"/>
        <v>99.84186151587032</v>
      </c>
      <c r="KA19" s="64">
        <f t="shared" si="201"/>
        <v>99.841413683733577</v>
      </c>
      <c r="KB19" s="64">
        <f t="shared" si="201"/>
        <v>99.852841294996622</v>
      </c>
      <c r="KC19" s="64">
        <f t="shared" si="201"/>
        <v>99.876598608929783</v>
      </c>
      <c r="KD19" s="64">
        <f t="shared" si="201"/>
        <v>99.875042599113954</v>
      </c>
      <c r="KE19" s="64">
        <f t="shared" si="201"/>
        <v>99.852373381785142</v>
      </c>
      <c r="KF19" s="64">
        <f t="shared" si="201"/>
        <v>99.841700587969243</v>
      </c>
      <c r="KG19" s="64">
        <f t="shared" si="201"/>
        <v>99.841539332201449</v>
      </c>
      <c r="KH19" s="64">
        <f t="shared" si="201"/>
        <v>99.864145816823267</v>
      </c>
      <c r="KI19" s="64">
        <f t="shared" si="201"/>
        <v>99.864253393665152</v>
      </c>
      <c r="KJ19" s="64">
        <f t="shared" si="201"/>
        <v>99.877273234408122</v>
      </c>
      <c r="KK19" s="64">
        <f t="shared" si="201"/>
        <v>99.853422031796143</v>
      </c>
      <c r="KL19" s="64">
        <f t="shared" si="201"/>
        <v>99.841825782397478</v>
      </c>
      <c r="KM19" s="64">
        <f t="shared" si="201"/>
        <v>99.852624419000122</v>
      </c>
      <c r="KN19" s="64">
        <f t="shared" si="201"/>
        <v>99.864376130198906</v>
      </c>
      <c r="KO19" s="64">
        <f t="shared" si="201"/>
        <v>99.864437415273372</v>
      </c>
      <c r="KP19" s="64">
        <f t="shared" si="201"/>
        <v>99.853521126760569</v>
      </c>
      <c r="KQ19" s="64">
        <f t="shared" si="201"/>
        <v>99.788277245375525</v>
      </c>
      <c r="KR19" s="64">
        <f t="shared" si="201"/>
        <v>99.831004957187929</v>
      </c>
      <c r="KS19" s="64">
        <f t="shared" si="201"/>
        <v>99.83056590986105</v>
      </c>
      <c r="KT19" s="64">
        <f t="shared" si="201"/>
        <v>99.854145629978689</v>
      </c>
      <c r="KU19" s="64">
        <f t="shared" si="201"/>
        <v>99.853587115666187</v>
      </c>
      <c r="KV19" s="64">
        <f t="shared" si="201"/>
        <v>99.819535303406269</v>
      </c>
      <c r="KW19" s="64">
        <f t="shared" si="201"/>
        <v>99.734717416378317</v>
      </c>
      <c r="KX19" s="64">
        <f t="shared" si="201"/>
        <v>99.272601316245243</v>
      </c>
      <c r="KY19" s="64">
        <f t="shared" si="201"/>
        <v>99.20257081647226</v>
      </c>
      <c r="KZ19" s="64">
        <f t="shared" si="201"/>
        <v>99.425869638635589</v>
      </c>
      <c r="LA19" s="64">
        <f t="shared" si="201"/>
        <v>99.80777928539122</v>
      </c>
      <c r="LB19" s="64">
        <f t="shared" si="201"/>
        <v>99.831403843992362</v>
      </c>
      <c r="LC19" s="64">
        <f t="shared" si="201"/>
        <v>99.806971727035318</v>
      </c>
      <c r="LD19" s="64">
        <f t="shared" si="201"/>
        <v>99.842484248424839</v>
      </c>
      <c r="LE19" s="64">
        <f t="shared" si="201"/>
        <v>99.843435473048544</v>
      </c>
      <c r="LF19" s="64">
        <f t="shared" si="201"/>
        <v>99.81912728917024</v>
      </c>
      <c r="LG19" s="64">
        <f t="shared" si="201"/>
        <v>99.842022116903635</v>
      </c>
      <c r="LH19" s="64">
        <f t="shared" si="201"/>
        <v>99.831857415087981</v>
      </c>
      <c r="LI19" s="64">
        <f t="shared" si="201"/>
        <v>99.842182392064018</v>
      </c>
      <c r="LJ19" s="64">
        <f t="shared" si="201"/>
        <v>99.83079526226733</v>
      </c>
      <c r="LK19" s="64">
        <f t="shared" si="201"/>
        <v>99.830757079995493</v>
      </c>
      <c r="LL19" s="64">
        <f t="shared" si="201"/>
        <v>99.831725375813335</v>
      </c>
      <c r="LM19" s="64">
        <f t="shared" si="201"/>
        <v>99.808429118773958</v>
      </c>
      <c r="LN19" s="64">
        <f t="shared" si="201"/>
        <v>99.79702300405954</v>
      </c>
      <c r="LO19" s="64">
        <f t="shared" si="201"/>
        <v>99.772494596746668</v>
      </c>
      <c r="LP19" s="64">
        <f t="shared" si="201"/>
        <v>99.807887896937515</v>
      </c>
      <c r="LQ19" s="64">
        <f t="shared" si="201"/>
        <v>99.808773903262107</v>
      </c>
      <c r="LR19" s="64">
        <f t="shared" si="201"/>
        <v>99.82014388489209</v>
      </c>
      <c r="LS19" s="64">
        <f t="shared" si="201"/>
        <v>99.821149116923763</v>
      </c>
      <c r="LT19" s="64">
        <f t="shared" si="201"/>
        <v>99.808234630569657</v>
      </c>
      <c r="LU19" s="64">
        <f t="shared" si="201"/>
        <v>99.774164408310739</v>
      </c>
      <c r="LV19" s="64">
        <f t="shared" si="201"/>
        <v>99.808234630569672</v>
      </c>
      <c r="LW19" s="64">
        <f t="shared" si="201"/>
        <v>99.796518200316527</v>
      </c>
      <c r="LX19" s="64">
        <f t="shared" ref="LX19:OD19" si="202">(LX5*LX9)/LX11</f>
        <v>99.796357053965366</v>
      </c>
      <c r="LY19" s="64">
        <f t="shared" si="202"/>
        <v>99.797045890179263</v>
      </c>
      <c r="LZ19" s="64">
        <f t="shared" si="202"/>
        <v>99.79852249832102</v>
      </c>
      <c r="MA19" s="64">
        <f t="shared" si="202"/>
        <v>99.774215398509824</v>
      </c>
      <c r="MB19" s="64">
        <f t="shared" si="202"/>
        <v>99.773934667118795</v>
      </c>
      <c r="MC19" s="64">
        <f t="shared" si="202"/>
        <v>99.774520856820743</v>
      </c>
      <c r="MD19" s="64">
        <f t="shared" si="202"/>
        <v>99.773985761102949</v>
      </c>
      <c r="ME19" s="64">
        <f t="shared" si="202"/>
        <v>99.75124378109453</v>
      </c>
      <c r="MF19" s="64">
        <f t="shared" si="202"/>
        <v>99.774368231046921</v>
      </c>
      <c r="MG19" s="64">
        <f t="shared" si="202"/>
        <v>99.820848729145681</v>
      </c>
      <c r="MH19" s="64">
        <f t="shared" si="202"/>
        <v>99.750708215297436</v>
      </c>
      <c r="MI19" s="64">
        <f t="shared" si="202"/>
        <v>99.669553327256139</v>
      </c>
      <c r="MJ19" s="64">
        <f t="shared" si="202"/>
        <v>99.706081844901647</v>
      </c>
      <c r="MK19" s="64">
        <f t="shared" si="202"/>
        <v>96.710456050411196</v>
      </c>
      <c r="ML19" s="64">
        <f t="shared" si="202"/>
        <v>96.968365553602808</v>
      </c>
      <c r="MM19" s="64">
        <f t="shared" si="202"/>
        <v>96.930973080548853</v>
      </c>
      <c r="MN19" s="64">
        <f t="shared" si="202"/>
        <v>97.093905877250052</v>
      </c>
      <c r="MO19" s="64">
        <f t="shared" si="202"/>
        <v>97.476132996817725</v>
      </c>
      <c r="MP19" s="64">
        <f t="shared" si="202"/>
        <v>99.752725637855463</v>
      </c>
      <c r="MQ19" s="64">
        <f t="shared" si="202"/>
        <v>99.682467679745983</v>
      </c>
      <c r="MR19" s="64">
        <f t="shared" si="202"/>
        <v>99.741689128481568</v>
      </c>
      <c r="MS19" s="64">
        <f t="shared" si="202"/>
        <v>99.708193041526357</v>
      </c>
      <c r="MT19" s="64">
        <f t="shared" si="202"/>
        <v>99.73083548664944</v>
      </c>
      <c r="MU19" s="64">
        <f t="shared" si="202"/>
        <v>99.743589743589737</v>
      </c>
      <c r="MV19" s="64">
        <f t="shared" si="202"/>
        <v>99.741689128481582</v>
      </c>
      <c r="MW19" s="64">
        <f t="shared" si="202"/>
        <v>99.753722153811708</v>
      </c>
      <c r="MX19" s="64">
        <f t="shared" si="202"/>
        <v>99.741747136761717</v>
      </c>
      <c r="MY19" s="64">
        <f t="shared" si="202"/>
        <v>97.215934812132204</v>
      </c>
      <c r="MZ19" s="64">
        <f t="shared" si="202"/>
        <v>99.719447873414893</v>
      </c>
      <c r="NA19" s="64">
        <f t="shared" si="202"/>
        <v>99.719132681721149</v>
      </c>
      <c r="NB19" s="64">
        <f t="shared" si="202"/>
        <v>99.709074633545939</v>
      </c>
      <c r="NC19" s="64">
        <f t="shared" si="202"/>
        <v>99.700080747491057</v>
      </c>
      <c r="ND19" s="64">
        <f t="shared" si="202"/>
        <v>99.708422115061111</v>
      </c>
      <c r="NE19" s="64">
        <f t="shared" si="202"/>
        <v>99.719699517883171</v>
      </c>
      <c r="NF19" s="64">
        <f t="shared" si="202"/>
        <v>99.612491452017338</v>
      </c>
      <c r="NG19" s="64">
        <f t="shared" si="202"/>
        <v>99.686274509803923</v>
      </c>
      <c r="NH19" s="64">
        <f t="shared" si="202"/>
        <v>99.709074633545939</v>
      </c>
      <c r="NI19" s="64">
        <f t="shared" si="202"/>
        <v>99.722253082990775</v>
      </c>
      <c r="NJ19" s="64">
        <f t="shared" si="202"/>
        <v>99.709432275368798</v>
      </c>
      <c r="NK19" s="64">
        <f t="shared" si="202"/>
        <v>99.686239354549542</v>
      </c>
      <c r="NL19" s="64">
        <f t="shared" si="202"/>
        <v>99.686520376175537</v>
      </c>
      <c r="NM19" s="64">
        <f t="shared" si="202"/>
        <v>99.687080911935624</v>
      </c>
      <c r="NN19" s="64">
        <f t="shared" si="202"/>
        <v>99.698290311766684</v>
      </c>
      <c r="NO19" s="64">
        <f t="shared" si="202"/>
        <v>99.699532606276449</v>
      </c>
      <c r="NP19" s="64">
        <f t="shared" si="202"/>
        <v>99.72381794078656</v>
      </c>
      <c r="NQ19" s="64">
        <f t="shared" si="202"/>
        <v>99.698593436034841</v>
      </c>
      <c r="NR19" s="64">
        <f t="shared" si="202"/>
        <v>99.710306406685234</v>
      </c>
      <c r="NS19" s="64">
        <f t="shared" si="202"/>
        <v>99.71027412525072</v>
      </c>
      <c r="NT19" s="64">
        <f t="shared" si="202"/>
        <v>99.710854092526674</v>
      </c>
      <c r="NU19" s="64">
        <f t="shared" si="202"/>
        <v>99.699063753901029</v>
      </c>
      <c r="NV19" s="64">
        <f t="shared" si="202"/>
        <v>99.711207375319333</v>
      </c>
      <c r="NW19" s="64">
        <f t="shared" si="202"/>
        <v>99.701459531180888</v>
      </c>
      <c r="NX19" s="64">
        <f t="shared" si="202"/>
        <v>99.687500000000014</v>
      </c>
      <c r="NY19" s="64">
        <f t="shared" si="202"/>
        <v>99.664617104527665</v>
      </c>
      <c r="NZ19" s="64">
        <f t="shared" si="202"/>
        <v>99.676194729790069</v>
      </c>
      <c r="OA19" s="64">
        <f t="shared" si="202"/>
        <v>99.676483712628297</v>
      </c>
      <c r="OB19" s="64">
        <f t="shared" si="202"/>
        <v>99.652271452607962</v>
      </c>
      <c r="OC19" s="64">
        <f t="shared" si="202"/>
        <v>99.689096158116797</v>
      </c>
      <c r="OD19" s="64">
        <f t="shared" si="202"/>
        <v>99.680052956751979</v>
      </c>
      <c r="OE19" s="64">
        <f>(OE5*OE9)/OE11</f>
        <v>99.632311977715887</v>
      </c>
      <c r="OF19" s="64">
        <f>(OF5*OF9)/OF11</f>
        <v>99.654403567447034</v>
      </c>
      <c r="OG19" s="64">
        <f>(OG5*OG9)/OG11</f>
        <v>99.64225824482952</v>
      </c>
      <c r="OH19" s="64">
        <f>(OH5*OH9)/OH11</f>
        <v>99.643334819438252</v>
      </c>
      <c r="OI19" s="64">
        <f t="shared" ref="OI19:PG19" si="203">(OI5*OI9)/OI11</f>
        <v>99.642577906846867</v>
      </c>
      <c r="OJ19" s="64">
        <f t="shared" si="203"/>
        <v>99.621127702250931</v>
      </c>
      <c r="OK19" s="64">
        <f t="shared" si="203"/>
        <v>99.646213377556691</v>
      </c>
      <c r="OL19" s="64">
        <f t="shared" si="203"/>
        <v>99.754546468816244</v>
      </c>
      <c r="OM19" s="64">
        <f t="shared" si="203"/>
        <v>99.8884924174844</v>
      </c>
      <c r="ON19" s="64">
        <f t="shared" si="203"/>
        <v>99.900022217285056</v>
      </c>
      <c r="OO19" s="64">
        <f t="shared" si="203"/>
        <v>99.911091353634134</v>
      </c>
      <c r="OP19" s="64">
        <f t="shared" si="203"/>
        <v>99.89974378968472</v>
      </c>
      <c r="OQ19" s="64">
        <f t="shared" si="203"/>
        <v>99.888666221331562</v>
      </c>
      <c r="OR19" s="64">
        <f t="shared" si="203"/>
        <v>99.878627386075237</v>
      </c>
      <c r="OS19" s="64">
        <f t="shared" si="203"/>
        <v>99.922549236556762</v>
      </c>
      <c r="OT19" s="64">
        <f t="shared" si="203"/>
        <v>99.89978844226701</v>
      </c>
      <c r="OU19" s="64">
        <f t="shared" si="203"/>
        <v>99.899137061526389</v>
      </c>
      <c r="OV19" s="64">
        <f t="shared" si="203"/>
        <v>99.836512261580381</v>
      </c>
      <c r="OW19" s="64">
        <f t="shared" si="203"/>
        <v>99.888218198077354</v>
      </c>
      <c r="OX19" s="64">
        <f t="shared" si="203"/>
        <v>99.900354295837005</v>
      </c>
      <c r="OY19" s="64">
        <f t="shared" si="203"/>
        <v>99.900673214876946</v>
      </c>
      <c r="OZ19" s="64">
        <f t="shared" si="203"/>
        <v>99.900210666370995</v>
      </c>
      <c r="PA19" s="64">
        <f t="shared" si="203"/>
        <v>99.877396344181889</v>
      </c>
      <c r="PB19" s="64">
        <f t="shared" si="203"/>
        <v>99.877382677516451</v>
      </c>
      <c r="PC19" s="64">
        <f t="shared" si="203"/>
        <v>99.888913574761162</v>
      </c>
      <c r="PD19" s="64">
        <f t="shared" si="203"/>
        <v>99.888417763891994</v>
      </c>
      <c r="PE19" s="64">
        <f t="shared" si="203"/>
        <v>99.889159831522946</v>
      </c>
      <c r="PF19" s="64">
        <f t="shared" si="203"/>
        <v>99.900782714143986</v>
      </c>
      <c r="PG19" s="64">
        <f t="shared" si="203"/>
        <v>99.888566971250285</v>
      </c>
      <c r="PH19" s="64">
        <f>(PH5*PH9)/PH11</f>
        <v>99.855555555555554</v>
      </c>
      <c r="PI19" s="64">
        <f>(PI5*PI9)/PI11</f>
        <v>99.889122962634445</v>
      </c>
      <c r="PJ19" s="64">
        <f>(PJ5*PJ9)/PJ11</f>
        <v>99.910873440285201</v>
      </c>
      <c r="PK19" s="64">
        <f t="shared" ref="PK19:RG19" si="204">(PK5*PK9)/PK11</f>
        <v>99.89986648865154</v>
      </c>
      <c r="PL19" s="64">
        <f t="shared" si="204"/>
        <v>99.888901233196322</v>
      </c>
      <c r="PM19" s="64">
        <f t="shared" si="204"/>
        <v>99.900232790156295</v>
      </c>
      <c r="PN19" s="64">
        <f t="shared" si="204"/>
        <v>99.787281683833399</v>
      </c>
      <c r="PO19" s="64">
        <f t="shared" si="204"/>
        <v>99.887766554433227</v>
      </c>
      <c r="PP19" s="64">
        <f t="shared" si="204"/>
        <v>99.899699097291872</v>
      </c>
      <c r="PQ19" s="64">
        <f t="shared" si="204"/>
        <v>99.888554552546523</v>
      </c>
      <c r="PR19" s="64">
        <f t="shared" si="204"/>
        <v>99.901843167193817</v>
      </c>
      <c r="PS19" s="64">
        <f t="shared" si="204"/>
        <v>99.899553571428555</v>
      </c>
      <c r="PT19" s="64">
        <f t="shared" si="204"/>
        <v>99.934029686641011</v>
      </c>
      <c r="PU19" s="64">
        <f t="shared" si="204"/>
        <v>99.888790035587192</v>
      </c>
      <c r="PV19" s="64">
        <f t="shared" si="204"/>
        <v>99.877382677516451</v>
      </c>
      <c r="PW19" s="64">
        <f t="shared" si="204"/>
        <v>99.900033322225923</v>
      </c>
      <c r="PX19" s="64">
        <f t="shared" si="204"/>
        <v>99.86798679867988</v>
      </c>
      <c r="PY19" s="64">
        <f t="shared" si="204"/>
        <v>99.800862927314967</v>
      </c>
      <c r="PZ19" s="64">
        <f t="shared" si="204"/>
        <v>99.788442267008122</v>
      </c>
      <c r="QA19" s="64">
        <f t="shared" si="204"/>
        <v>99.790101634997782</v>
      </c>
      <c r="QB19" s="64">
        <f t="shared" si="204"/>
        <v>99.833314812756953</v>
      </c>
      <c r="QC19" s="64">
        <f t="shared" si="204"/>
        <v>99.810795770729001</v>
      </c>
      <c r="QD19" s="64">
        <f t="shared" si="204"/>
        <v>99.888343010272465</v>
      </c>
      <c r="QE19" s="64">
        <f t="shared" si="204"/>
        <v>99.866369710467708</v>
      </c>
      <c r="QF19" s="64">
        <f t="shared" si="204"/>
        <v>99.888193202146695</v>
      </c>
      <c r="QG19" s="64">
        <f t="shared" si="204"/>
        <v>99.888205701509222</v>
      </c>
      <c r="QH19" s="64">
        <f t="shared" si="204"/>
        <v>99.900221729490028</v>
      </c>
      <c r="QI19" s="64">
        <f t="shared" si="204"/>
        <v>99.899799599198388</v>
      </c>
      <c r="QJ19" s="64">
        <f t="shared" si="204"/>
        <v>99.910594546267319</v>
      </c>
      <c r="QK19" s="64">
        <f t="shared" si="204"/>
        <v>99.899182256077069</v>
      </c>
      <c r="QL19" s="64">
        <f t="shared" si="204"/>
        <v>99.899373881932021</v>
      </c>
      <c r="QM19" s="64">
        <f t="shared" si="204"/>
        <v>99.910082050129262</v>
      </c>
      <c r="QN19" s="64">
        <f t="shared" si="204"/>
        <v>99.899170961236834</v>
      </c>
      <c r="QO19" s="64">
        <f t="shared" si="204"/>
        <v>99.89934011855496</v>
      </c>
      <c r="QP19" s="64">
        <f t="shared" si="204"/>
        <v>99.899373881932021</v>
      </c>
      <c r="QQ19" s="64">
        <f t="shared" si="204"/>
        <v>99.899227410144448</v>
      </c>
      <c r="QR19" s="64">
        <f t="shared" si="204"/>
        <v>99.910112359550567</v>
      </c>
      <c r="QS19" s="64">
        <f t="shared" si="204"/>
        <v>99.899317597046661</v>
      </c>
      <c r="QT19" s="64">
        <f t="shared" si="204"/>
        <v>99.899475036300672</v>
      </c>
      <c r="QU19" s="64">
        <f t="shared" si="204"/>
        <v>99.888504850039027</v>
      </c>
      <c r="QV19" s="64">
        <f t="shared" si="204"/>
        <v>99.888901233196322</v>
      </c>
      <c r="QW19" s="64">
        <f t="shared" si="204"/>
        <v>99.888839484215211</v>
      </c>
      <c r="QX19" s="64">
        <f t="shared" si="204"/>
        <v>99.910853577000225</v>
      </c>
      <c r="QY19" s="64">
        <f t="shared" si="204"/>
        <v>99.900022217285056</v>
      </c>
      <c r="QZ19" s="64">
        <f t="shared" si="204"/>
        <v>99.900022217285041</v>
      </c>
      <c r="RA19" s="64">
        <f t="shared" si="204"/>
        <v>99.656965807236915</v>
      </c>
      <c r="RB19" s="64">
        <f t="shared" si="204"/>
        <v>99.911278695796838</v>
      </c>
      <c r="RC19" s="64">
        <f t="shared" si="204"/>
        <v>99.911523999115232</v>
      </c>
      <c r="RD19" s="64">
        <f t="shared" si="204"/>
        <v>99.900288056725017</v>
      </c>
      <c r="RE19" s="64">
        <f t="shared" si="204"/>
        <v>99.922308546059938</v>
      </c>
      <c r="RF19" s="64">
        <f t="shared" si="204"/>
        <v>99.91124916796096</v>
      </c>
      <c r="RG19" s="64">
        <f t="shared" si="204"/>
        <v>99.911219620463882</v>
      </c>
      <c r="RH19" s="64">
        <f t="shared" ref="RH19:RJ19" si="205">(RH5*RH9)/RH11</f>
        <v>99.91124916796096</v>
      </c>
      <c r="RI19" s="64">
        <f t="shared" si="205"/>
        <v>99.91133769256345</v>
      </c>
      <c r="RJ19" s="64">
        <f t="shared" si="205"/>
        <v>99.900585441290175</v>
      </c>
      <c r="RK19" s="64">
        <f t="shared" ref="RK19:RL19" si="206">(RK5*RK9)/RK11</f>
        <v>99.922153024911026</v>
      </c>
      <c r="RL19" s="64">
        <f t="shared" si="206"/>
        <v>99.922308546059938</v>
      </c>
      <c r="RM19" s="64">
        <f t="shared" ref="RM19:RZ19" si="207">(RM5*RM9)/RM11</f>
        <v>99.89996665555185</v>
      </c>
      <c r="RN19" s="64">
        <f t="shared" si="207"/>
        <v>99.910982530321562</v>
      </c>
      <c r="RO19" s="64">
        <f t="shared" si="207"/>
        <v>99.910903218621229</v>
      </c>
      <c r="RP19" s="64">
        <f t="shared" si="207"/>
        <v>99.911514213029548</v>
      </c>
      <c r="RQ19" s="64">
        <f t="shared" si="207"/>
        <v>99.922600619195052</v>
      </c>
      <c r="RR19" s="64">
        <f t="shared" si="207"/>
        <v>99.92246344705363</v>
      </c>
      <c r="RS19" s="64">
        <f t="shared" si="207"/>
        <v>99.83368444395164</v>
      </c>
      <c r="RT19" s="64">
        <f t="shared" si="207"/>
        <v>99.91146525011068</v>
      </c>
      <c r="RU19" s="64">
        <f t="shared" si="207"/>
        <v>99.922437673130204</v>
      </c>
      <c r="RV19" s="64">
        <f t="shared" si="207"/>
        <v>99.911484841779171</v>
      </c>
      <c r="RW19" s="64">
        <f t="shared" si="207"/>
        <v>99.911582670203359</v>
      </c>
      <c r="RX19" s="64">
        <f t="shared" si="207"/>
        <v>99.922949917446346</v>
      </c>
      <c r="RY19" s="64">
        <f t="shared" si="207"/>
        <v>99.922651933701658</v>
      </c>
      <c r="RZ19" s="64">
        <f t="shared" si="207"/>
        <v>99.93362097577166</v>
      </c>
      <c r="SA19" s="64" t="e">
        <f t="shared" ref="SA19:SI19" si="208">(SA5*SA9)/SA11</f>
        <v>#DIV/0!</v>
      </c>
      <c r="SB19" s="64" t="e">
        <f t="shared" si="208"/>
        <v>#DIV/0!</v>
      </c>
      <c r="SC19" s="64" t="e">
        <f t="shared" si="208"/>
        <v>#DIV/0!</v>
      </c>
      <c r="SD19" s="64" t="e">
        <f t="shared" si="208"/>
        <v>#DIV/0!</v>
      </c>
      <c r="SE19" s="64" t="e">
        <f t="shared" si="208"/>
        <v>#DIV/0!</v>
      </c>
      <c r="SF19" s="64" t="e">
        <f t="shared" si="208"/>
        <v>#DIV/0!</v>
      </c>
      <c r="SG19" s="64">
        <f t="shared" si="208"/>
        <v>47.445869245322683</v>
      </c>
      <c r="SH19" s="64">
        <f t="shared" si="208"/>
        <v>99.906092264350292</v>
      </c>
      <c r="SI19" s="64">
        <f t="shared" si="208"/>
        <v>99.047931713722903</v>
      </c>
      <c r="SJ19" s="64">
        <f t="shared" ref="SJ19:SM19" si="209">(SJ5*SJ9)/SJ11</f>
        <v>99.933162526456499</v>
      </c>
      <c r="SK19" s="64">
        <f t="shared" si="209"/>
        <v>99.920616919936492</v>
      </c>
      <c r="SL19" s="64">
        <f t="shared" si="209"/>
        <v>99.856401192974701</v>
      </c>
      <c r="SM19" s="64">
        <f t="shared" si="209"/>
        <v>99.922609176340529</v>
      </c>
      <c r="SN19" s="64">
        <f>(SN5*SN9)/SN11</f>
        <v>99.935393560891555</v>
      </c>
      <c r="SO19" s="64">
        <f>(SO5*SO9)/SO11</f>
        <v>99.924242424242422</v>
      </c>
      <c r="SP19" s="64">
        <f>(SP5*SP9)/SP11</f>
        <v>99.910923059792907</v>
      </c>
      <c r="SQ19" s="64">
        <f t="shared" ref="SQ19:SR19" si="210">(SQ5*SQ9)/SQ11</f>
        <v>99.914232966051102</v>
      </c>
      <c r="SR19" s="64">
        <f t="shared" si="210"/>
        <v>99.924765138860025</v>
      </c>
      <c r="SS19" s="64">
        <f t="shared" ref="SS19:ST19" si="211">(SS5*SS9)/SS11</f>
        <v>99.911563121821814</v>
      </c>
      <c r="ST19" s="64">
        <f t="shared" si="211"/>
        <v>99.922566371681427</v>
      </c>
      <c r="SU19" s="64">
        <f t="shared" ref="SU19:SW19" si="212">(SU5*SU9)/SU11</f>
        <v>99.880033018696466</v>
      </c>
      <c r="SV19" s="64">
        <f t="shared" si="212"/>
        <v>99.923000769992314</v>
      </c>
      <c r="SW19" s="64">
        <f t="shared" si="212"/>
        <v>99.91329792998809</v>
      </c>
      <c r="SX19" s="64">
        <f t="shared" ref="SX19:SZ19" si="213">(SX5*SX9)/SX11</f>
        <v>99.922609176340529</v>
      </c>
      <c r="SY19" s="64">
        <f t="shared" si="213"/>
        <v>99.924633936261856</v>
      </c>
      <c r="SZ19" s="64">
        <f t="shared" si="213"/>
        <v>99.923622476813975</v>
      </c>
      <c r="TA19" s="64">
        <f t="shared" ref="TA19:TB19" si="214">(TA5*TA9)/TA11</f>
        <v>99.935393560891569</v>
      </c>
      <c r="TB19" s="64">
        <f t="shared" si="214"/>
        <v>99.920382165605105</v>
      </c>
      <c r="TC19" s="64">
        <f t="shared" ref="TC19:TD19" si="215">(TC5*TC9)/TC11</f>
        <v>99.867197641239514</v>
      </c>
      <c r="TD19" s="64">
        <f t="shared" si="215"/>
        <v>99.867572436525876</v>
      </c>
      <c r="TE19" s="64">
        <f t="shared" ref="TE19:TF19" si="216">(TE5*TE9)/TE11</f>
        <v>99.86729456427372</v>
      </c>
      <c r="TF19" s="64">
        <f t="shared" si="216"/>
        <v>99.854580873265846</v>
      </c>
      <c r="TG19" s="64">
        <f t="shared" ref="TG19:TH19" si="217">(TG5*TG9)/TG11</f>
        <v>99.866986276651218</v>
      </c>
      <c r="TH19" s="64">
        <f t="shared" si="217"/>
        <v>99.869138495092685</v>
      </c>
      <c r="TI19" s="64">
        <f t="shared" ref="TI19:TM19" si="218">(TI5*TI9)/TI11</f>
        <v>99.869141201064394</v>
      </c>
      <c r="TJ19" s="64">
        <f t="shared" si="218"/>
        <v>99.857095745850287</v>
      </c>
      <c r="TK19" s="64">
        <f t="shared" si="218"/>
        <v>99.870003249918739</v>
      </c>
      <c r="TL19" s="64">
        <f t="shared" si="218"/>
        <v>99.935281197955248</v>
      </c>
      <c r="TM19" s="64">
        <f t="shared" si="218"/>
        <v>99.924908835892595</v>
      </c>
      <c r="TN19" s="64">
        <f t="shared" ref="TN19:TY19" si="219">(TN5*TN9)/TN11</f>
        <v>99.924529064056912</v>
      </c>
      <c r="TO19" s="64">
        <f t="shared" si="219"/>
        <v>99.935469512167032</v>
      </c>
      <c r="TP19" s="64">
        <f t="shared" si="219"/>
        <v>99.934974944367482</v>
      </c>
      <c r="TQ19" s="64">
        <f t="shared" si="219"/>
        <v>99.924877787399438</v>
      </c>
      <c r="TR19" s="64">
        <f t="shared" si="219"/>
        <v>99.935116798404124</v>
      </c>
      <c r="TS19" s="64">
        <f t="shared" si="219"/>
        <v>99.914098469343983</v>
      </c>
      <c r="TT19" s="64">
        <f t="shared" si="219"/>
        <v>99.935644724879495</v>
      </c>
      <c r="TU19" s="64">
        <f t="shared" si="219"/>
        <v>99.945367132867119</v>
      </c>
      <c r="TV19" s="64">
        <f t="shared" si="219"/>
        <v>99.945283431823157</v>
      </c>
      <c r="TW19" s="64">
        <f t="shared" si="219"/>
        <v>99.945133326017782</v>
      </c>
      <c r="TX19" s="64">
        <f t="shared" si="219"/>
        <v>99.945133326017782</v>
      </c>
      <c r="TY19" s="64">
        <f t="shared" si="219"/>
        <v>99.945030782761648</v>
      </c>
      <c r="TZ19" s="64">
        <f t="shared" ref="TZ19:UA19" si="220">(TZ5*TZ9)/TZ11</f>
        <v>99.933745583038871</v>
      </c>
      <c r="UA19" s="64">
        <f t="shared" si="220"/>
        <v>99.933752898310701</v>
      </c>
      <c r="UB19" s="64">
        <f t="shared" ref="UB19:UC19" si="221">(UB5*UB9)/UB11</f>
        <v>99.934224950668707</v>
      </c>
      <c r="UC19" s="64">
        <f t="shared" si="221"/>
        <v>99.934116613593929</v>
      </c>
      <c r="UD19" s="72">
        <f t="shared" ref="UD19:UE19" si="222">(UD5*UD9)/UD11</f>
        <v>99.934029686641011</v>
      </c>
      <c r="UE19" s="64">
        <f t="shared" si="222"/>
        <v>99.934138309549937</v>
      </c>
      <c r="UF19" s="64">
        <f t="shared" ref="UF19:UL19" si="223">(UF5*UF9)/UF11</f>
        <v>99.934181658622194</v>
      </c>
      <c r="UG19" s="64">
        <f t="shared" si="223"/>
        <v>99.945145364783329</v>
      </c>
      <c r="UH19" s="64">
        <f t="shared" si="223"/>
        <v>99.934159991221321</v>
      </c>
      <c r="UI19" s="64">
        <f t="shared" si="223"/>
        <v>99.934304171685099</v>
      </c>
      <c r="UJ19" s="64">
        <f t="shared" si="223"/>
        <v>99.933687002652519</v>
      </c>
      <c r="UK19" s="64">
        <f t="shared" si="223"/>
        <v>99.922788440326499</v>
      </c>
      <c r="UL19" s="64">
        <f t="shared" si="223"/>
        <v>99.923270853885796</v>
      </c>
      <c r="UM19" s="64">
        <f t="shared" ref="UM19:UP19" si="224">(UM5*UM9)/UM11</f>
        <v>99.934282584884983</v>
      </c>
      <c r="UN19" s="64">
        <f t="shared" si="224"/>
        <v>99.934311364134004</v>
      </c>
      <c r="UO19" s="64">
        <f t="shared" si="224"/>
        <v>99.94519947391494</v>
      </c>
      <c r="UP19" s="64">
        <f t="shared" si="224"/>
        <v>99.933920704845832</v>
      </c>
      <c r="UQ19" s="64">
        <f t="shared" ref="UQ19:UR19" si="225">(UQ5*UQ9)/UQ11</f>
        <v>99.934318555008204</v>
      </c>
      <c r="UR19" s="64">
        <f t="shared" si="225"/>
        <v>99.945223488168267</v>
      </c>
      <c r="US19" s="64">
        <f t="shared" ref="US19:VA19" si="226">(US5*US9)/US11</f>
        <v>99.945193467061273</v>
      </c>
      <c r="UT19" s="64">
        <f t="shared" si="226"/>
        <v>99.94519947391494</v>
      </c>
      <c r="UU19" s="64">
        <f t="shared" si="226"/>
        <v>99.879584017515057</v>
      </c>
      <c r="UV19" s="64">
        <f t="shared" si="226"/>
        <v>99.94519947391494</v>
      </c>
      <c r="UW19" s="64">
        <f t="shared" si="226"/>
        <v>99.934361667213651</v>
      </c>
      <c r="UX19" s="64">
        <f t="shared" si="226"/>
        <v>99.93425378040763</v>
      </c>
      <c r="UY19" s="64">
        <f t="shared" si="226"/>
        <v>99.781085814360779</v>
      </c>
      <c r="UZ19" s="64">
        <f t="shared" si="226"/>
        <v>99.93421052631578</v>
      </c>
      <c r="VA19" s="64">
        <f t="shared" si="226"/>
        <v>99.934354485776794</v>
      </c>
      <c r="VB19" s="64">
        <f t="shared" ref="VB19:VD19" si="227">(VB5*VB9)/VB11</f>
        <v>99.934383202099738</v>
      </c>
      <c r="VC19" s="64">
        <f t="shared" si="227"/>
        <v>99.901510177281679</v>
      </c>
      <c r="VD19" s="64">
        <f t="shared" si="227"/>
        <v>99.934454883111215</v>
      </c>
      <c r="VE19" s="64">
        <f>(VE5*VE9)/VE11</f>
        <v>99.929428369795346</v>
      </c>
      <c r="VF19" s="64">
        <f>(VF5*VF9)/VF11</f>
        <v>99.628982976865984</v>
      </c>
      <c r="VG19" s="64">
        <f>(VG5*VG9)/VG11</f>
        <v>99.628901986465834</v>
      </c>
      <c r="VH19" s="64">
        <f>(VH5*VH9)/VH11</f>
        <v>99.923186656424889</v>
      </c>
      <c r="VI19" s="64">
        <f t="shared" ref="VI19:VR19" si="228">(VI5*VI9)/VI11</f>
        <v>99.933796756041033</v>
      </c>
      <c r="VJ19" s="64">
        <f t="shared" si="228"/>
        <v>99.76961053208997</v>
      </c>
      <c r="VK19" s="64">
        <f t="shared" si="228"/>
        <v>99.912424740010948</v>
      </c>
      <c r="VL19" s="64">
        <f t="shared" si="228"/>
        <v>99.85764345159879</v>
      </c>
      <c r="VM19" s="64">
        <f t="shared" si="228"/>
        <v>99.901207464324926</v>
      </c>
      <c r="VN19" s="64">
        <f t="shared" si="228"/>
        <v>99.934203311766652</v>
      </c>
      <c r="VO19" s="64">
        <f t="shared" si="228"/>
        <v>99.901467046201006</v>
      </c>
      <c r="VP19" s="64">
        <f t="shared" si="228"/>
        <v>99.934145538360227</v>
      </c>
      <c r="VQ19" s="64">
        <f t="shared" si="228"/>
        <v>99.933927981499835</v>
      </c>
      <c r="VR19" s="64">
        <f t="shared" si="228"/>
        <v>99.847078099399226</v>
      </c>
    </row>
    <row r="20" spans="1:590" x14ac:dyDescent="0.25">
      <c r="A20" s="289" t="s">
        <v>266</v>
      </c>
      <c r="B20" s="64">
        <v>99.99</v>
      </c>
      <c r="C20" s="64">
        <v>99.99</v>
      </c>
      <c r="D20" s="64">
        <v>99.99</v>
      </c>
      <c r="E20" s="64">
        <v>99.99</v>
      </c>
      <c r="F20" s="64">
        <v>99.99</v>
      </c>
      <c r="G20" s="64">
        <v>99.99</v>
      </c>
      <c r="H20" s="64">
        <v>99.99</v>
      </c>
      <c r="I20" s="64">
        <v>99.99</v>
      </c>
      <c r="J20" s="64">
        <v>99.99</v>
      </c>
      <c r="K20" s="64">
        <v>99.99</v>
      </c>
      <c r="L20" s="64">
        <v>99.99</v>
      </c>
      <c r="M20" s="64">
        <v>99.99</v>
      </c>
      <c r="N20" s="64">
        <v>99.99</v>
      </c>
      <c r="O20" s="64">
        <v>99.99</v>
      </c>
      <c r="P20" s="64">
        <v>99.99</v>
      </c>
      <c r="Q20" s="64">
        <v>99.99</v>
      </c>
      <c r="R20" s="64">
        <v>99.99</v>
      </c>
      <c r="S20" s="64">
        <v>99.99</v>
      </c>
      <c r="T20" s="64">
        <v>99.99</v>
      </c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>
        <v>99.99</v>
      </c>
      <c r="CC20" s="64">
        <v>99.99</v>
      </c>
      <c r="CD20" s="64">
        <v>99.99</v>
      </c>
      <c r="CE20" s="64">
        <v>99.99</v>
      </c>
      <c r="CF20" s="64">
        <v>99.99</v>
      </c>
      <c r="CG20" s="64">
        <v>99.99</v>
      </c>
      <c r="CH20" s="64">
        <v>99.99</v>
      </c>
      <c r="CI20" s="64">
        <v>99.99</v>
      </c>
      <c r="CJ20" s="64">
        <v>99.99</v>
      </c>
      <c r="CK20" s="64">
        <v>99.99</v>
      </c>
      <c r="CL20" s="64">
        <v>99.99</v>
      </c>
      <c r="CM20" s="64">
        <v>99.99</v>
      </c>
      <c r="CN20" s="64">
        <v>99.99</v>
      </c>
      <c r="CO20" s="64">
        <v>99.99</v>
      </c>
      <c r="CP20" s="64">
        <v>99.99</v>
      </c>
      <c r="CQ20" s="64">
        <v>99.99</v>
      </c>
      <c r="CR20" s="64">
        <v>99.99</v>
      </c>
      <c r="CS20" s="64">
        <v>99.99</v>
      </c>
      <c r="CT20" s="64">
        <v>99.99</v>
      </c>
      <c r="CU20" s="64">
        <v>99.99</v>
      </c>
      <c r="CV20" s="64">
        <v>99.99</v>
      </c>
      <c r="CW20" s="64">
        <v>99.99</v>
      </c>
      <c r="CX20" s="64">
        <v>99.99</v>
      </c>
      <c r="CY20" s="64">
        <v>99.99</v>
      </c>
      <c r="CZ20" s="64">
        <v>99.99</v>
      </c>
      <c r="DA20" s="64">
        <v>100.99</v>
      </c>
      <c r="DB20" s="64">
        <v>101.99</v>
      </c>
      <c r="DC20" s="64">
        <v>102.99</v>
      </c>
      <c r="DD20" s="64">
        <v>103.99</v>
      </c>
      <c r="DE20" s="64">
        <v>104.99</v>
      </c>
      <c r="DF20" s="64">
        <v>105.99</v>
      </c>
      <c r="DG20" s="64">
        <v>106.99</v>
      </c>
      <c r="DH20" s="64">
        <v>107.99</v>
      </c>
      <c r="DI20" s="64">
        <v>108.99</v>
      </c>
      <c r="DJ20" s="64">
        <v>109.99</v>
      </c>
      <c r="DK20" s="64">
        <v>110.99</v>
      </c>
      <c r="DL20" s="64">
        <v>111.99</v>
      </c>
      <c r="DM20" s="64">
        <v>112.99</v>
      </c>
      <c r="DN20" s="64">
        <v>113.99</v>
      </c>
      <c r="DO20" s="64">
        <v>114.99</v>
      </c>
      <c r="DP20" s="64">
        <v>115.99</v>
      </c>
      <c r="DQ20" s="64">
        <v>116.99</v>
      </c>
      <c r="DR20" s="64">
        <v>117.99</v>
      </c>
      <c r="DS20" s="64">
        <v>118.99</v>
      </c>
      <c r="DT20" s="64">
        <v>119.99</v>
      </c>
      <c r="DU20" s="64">
        <v>120.99</v>
      </c>
      <c r="DV20" s="64">
        <v>121.99</v>
      </c>
      <c r="DW20" s="64">
        <v>122.99</v>
      </c>
      <c r="DX20" s="64">
        <v>123.99</v>
      </c>
      <c r="DY20" s="64">
        <v>124.99</v>
      </c>
      <c r="DZ20" s="64">
        <v>99.99</v>
      </c>
      <c r="EA20" s="64">
        <v>99.99</v>
      </c>
      <c r="EB20" s="64">
        <v>99.99</v>
      </c>
      <c r="EC20" s="64">
        <v>99.99</v>
      </c>
      <c r="ED20" s="64">
        <v>99.99</v>
      </c>
      <c r="EE20" s="64">
        <v>99.99</v>
      </c>
      <c r="EF20" s="64">
        <v>99.99</v>
      </c>
      <c r="EG20" s="64">
        <v>99.99</v>
      </c>
      <c r="EH20" s="64">
        <v>99.99</v>
      </c>
      <c r="EI20" s="64">
        <v>99.99</v>
      </c>
      <c r="EJ20" s="64">
        <v>99.99</v>
      </c>
      <c r="EK20" s="64">
        <v>99.99</v>
      </c>
      <c r="EL20" s="64">
        <v>99.99</v>
      </c>
      <c r="EM20" s="64">
        <v>99.99</v>
      </c>
      <c r="EN20" s="64">
        <v>99.99</v>
      </c>
      <c r="EO20" s="64">
        <v>99.99</v>
      </c>
      <c r="EP20" s="64">
        <v>99.99</v>
      </c>
      <c r="EQ20" s="64">
        <v>99.99</v>
      </c>
      <c r="ER20" s="64">
        <v>99.99</v>
      </c>
      <c r="ES20" s="64">
        <v>99.99</v>
      </c>
      <c r="ET20" s="64">
        <v>99.99</v>
      </c>
      <c r="EU20" s="64">
        <v>99.99</v>
      </c>
      <c r="EV20" s="64">
        <v>99.99</v>
      </c>
      <c r="EW20" s="64">
        <v>99.99</v>
      </c>
      <c r="EX20" s="64">
        <v>99.99</v>
      </c>
      <c r="EY20" s="64">
        <v>99.99</v>
      </c>
      <c r="EZ20" s="64">
        <v>99.99</v>
      </c>
      <c r="FA20" s="64">
        <v>99.99</v>
      </c>
      <c r="FB20" s="64">
        <v>99.99</v>
      </c>
      <c r="FC20" s="64">
        <v>99.99</v>
      </c>
      <c r="FD20" s="64">
        <v>99.99</v>
      </c>
      <c r="FE20" s="64">
        <v>99.99</v>
      </c>
      <c r="FF20" s="64">
        <v>99.99</v>
      </c>
      <c r="FG20" s="64">
        <v>99.99</v>
      </c>
      <c r="FH20" s="64">
        <v>99.99</v>
      </c>
      <c r="FI20" s="64">
        <v>99.99</v>
      </c>
      <c r="FJ20" s="64">
        <v>99.99</v>
      </c>
      <c r="FK20" s="64">
        <v>99.99</v>
      </c>
      <c r="FL20" s="64">
        <v>99.99</v>
      </c>
      <c r="FM20" s="64">
        <v>99.99</v>
      </c>
      <c r="FN20" s="64">
        <v>99.99</v>
      </c>
      <c r="FO20" s="64">
        <v>99.99</v>
      </c>
      <c r="FP20" s="64">
        <v>99.99</v>
      </c>
      <c r="FQ20" s="64">
        <v>99.99</v>
      </c>
      <c r="FR20" s="64">
        <v>99.99</v>
      </c>
      <c r="FS20" s="64">
        <v>99.99</v>
      </c>
      <c r="FT20" s="64">
        <v>99.99</v>
      </c>
      <c r="FU20" s="64">
        <v>99.99</v>
      </c>
      <c r="FV20" s="64">
        <v>99.99</v>
      </c>
      <c r="FW20" s="64">
        <v>99.99</v>
      </c>
      <c r="FX20" s="64">
        <v>99.99</v>
      </c>
      <c r="FY20" s="64">
        <v>99.99</v>
      </c>
      <c r="FZ20" s="64">
        <v>99.99</v>
      </c>
      <c r="GA20" s="64">
        <v>99.99</v>
      </c>
      <c r="GB20" s="64">
        <v>99.99</v>
      </c>
      <c r="GC20" s="64">
        <v>99.99</v>
      </c>
      <c r="GD20" s="64">
        <v>99.99</v>
      </c>
      <c r="GE20" s="64">
        <v>99.99</v>
      </c>
      <c r="GF20" s="64">
        <v>99.99</v>
      </c>
      <c r="GG20" s="64">
        <v>99.99</v>
      </c>
      <c r="GH20" s="64">
        <v>99.99</v>
      </c>
      <c r="GI20" s="64">
        <v>99.99</v>
      </c>
      <c r="GJ20" s="64">
        <v>99.99</v>
      </c>
      <c r="GK20" s="64">
        <v>99.99</v>
      </c>
      <c r="GL20" s="64">
        <v>99.99</v>
      </c>
      <c r="GM20" s="64">
        <v>99.99</v>
      </c>
      <c r="GN20" s="64">
        <v>99.99</v>
      </c>
      <c r="GO20" s="64">
        <v>99.99</v>
      </c>
      <c r="GP20" s="64">
        <v>99.99</v>
      </c>
      <c r="GQ20" s="64">
        <v>99.99</v>
      </c>
      <c r="GR20" s="64">
        <v>99.99</v>
      </c>
      <c r="GS20" s="64">
        <v>99.99</v>
      </c>
      <c r="GT20" s="64">
        <v>99.99</v>
      </c>
      <c r="GU20" s="64">
        <v>99.99</v>
      </c>
      <c r="GV20" s="64">
        <v>99.99</v>
      </c>
      <c r="GW20" s="64">
        <v>99.99</v>
      </c>
      <c r="GX20" s="64">
        <v>99.99</v>
      </c>
      <c r="GY20" s="64">
        <v>99.99</v>
      </c>
      <c r="GZ20" s="64">
        <v>99.99</v>
      </c>
      <c r="HA20" s="64">
        <v>99.99</v>
      </c>
      <c r="HB20" s="64">
        <v>99.99</v>
      </c>
      <c r="HC20" s="64">
        <v>99.99</v>
      </c>
      <c r="HD20" s="64">
        <v>99.99</v>
      </c>
      <c r="HE20" s="64">
        <v>99.99</v>
      </c>
      <c r="HF20" s="64">
        <v>99.99</v>
      </c>
      <c r="HG20" s="64">
        <v>99.99</v>
      </c>
      <c r="HH20" s="64">
        <v>99.99</v>
      </c>
      <c r="HI20" s="64">
        <v>99.99</v>
      </c>
      <c r="HJ20" s="64">
        <v>99.99</v>
      </c>
      <c r="HK20" s="64">
        <v>99.99</v>
      </c>
      <c r="HL20" s="64">
        <v>99.99</v>
      </c>
      <c r="HM20" s="64">
        <v>99.99</v>
      </c>
      <c r="HN20" s="64">
        <v>99.99</v>
      </c>
      <c r="HO20" s="64">
        <v>99.99</v>
      </c>
      <c r="HP20" s="64">
        <v>99.99</v>
      </c>
      <c r="HQ20" s="64">
        <v>99.99</v>
      </c>
      <c r="HR20" s="64">
        <v>99.99</v>
      </c>
      <c r="HS20" s="64">
        <v>99.99</v>
      </c>
      <c r="HT20" s="64">
        <v>99.99</v>
      </c>
      <c r="HU20" s="64">
        <v>99.99</v>
      </c>
      <c r="HV20" s="64">
        <v>99.99</v>
      </c>
      <c r="HW20" s="64">
        <v>99.99</v>
      </c>
      <c r="HX20" s="64">
        <v>99.99</v>
      </c>
      <c r="HY20" s="64">
        <v>99.99</v>
      </c>
      <c r="HZ20" s="64">
        <v>99.99</v>
      </c>
      <c r="IA20" s="64">
        <v>99.99</v>
      </c>
      <c r="IB20" s="64">
        <v>99.99</v>
      </c>
      <c r="IC20" s="64">
        <v>99.99</v>
      </c>
      <c r="ID20" s="64">
        <v>99.99</v>
      </c>
      <c r="IE20" s="64">
        <v>99.99</v>
      </c>
      <c r="IF20" s="64">
        <v>99.99</v>
      </c>
      <c r="IG20" s="64">
        <v>99.99</v>
      </c>
      <c r="IH20" s="64">
        <v>99.99</v>
      </c>
      <c r="II20" s="64">
        <v>99.99</v>
      </c>
      <c r="IJ20" s="64">
        <v>99.99</v>
      </c>
      <c r="IK20" s="64">
        <v>99.99</v>
      </c>
      <c r="IL20" s="64">
        <v>99.99</v>
      </c>
      <c r="IM20" s="64">
        <v>99.99</v>
      </c>
      <c r="IN20" s="64">
        <v>99.99</v>
      </c>
      <c r="IO20" s="64">
        <v>99.99</v>
      </c>
      <c r="IP20" s="64">
        <v>99.99</v>
      </c>
      <c r="IQ20" s="64">
        <v>99.99</v>
      </c>
      <c r="IR20" s="64">
        <v>99.99</v>
      </c>
      <c r="IS20" s="64">
        <v>99.99</v>
      </c>
      <c r="IT20" s="64">
        <v>99.99</v>
      </c>
      <c r="IU20" s="64">
        <v>99.99</v>
      </c>
      <c r="IV20" s="64">
        <v>99.99</v>
      </c>
      <c r="IW20" s="64">
        <v>99.99</v>
      </c>
      <c r="IX20" s="64">
        <v>99.99</v>
      </c>
      <c r="IY20" s="64">
        <v>99.99</v>
      </c>
      <c r="IZ20" s="64">
        <v>99.99</v>
      </c>
      <c r="JA20" s="64">
        <v>99.99</v>
      </c>
      <c r="JB20" s="64">
        <v>99.99</v>
      </c>
      <c r="JC20" s="64">
        <v>99.99</v>
      </c>
      <c r="JD20" s="64">
        <v>99.99</v>
      </c>
      <c r="JE20" s="64">
        <v>99.99</v>
      </c>
      <c r="JF20" s="64">
        <v>99.99</v>
      </c>
      <c r="JG20" s="64">
        <v>99.99</v>
      </c>
      <c r="JH20" s="64">
        <v>99.99</v>
      </c>
      <c r="JI20" s="64">
        <v>99.99</v>
      </c>
      <c r="JJ20" s="64">
        <v>99.99</v>
      </c>
      <c r="JK20" s="64">
        <v>99.99</v>
      </c>
      <c r="JL20" s="64">
        <v>99.99</v>
      </c>
      <c r="JM20" s="64">
        <v>99.99</v>
      </c>
      <c r="JN20" s="64">
        <v>99.99</v>
      </c>
      <c r="JO20" s="64">
        <v>99.99</v>
      </c>
      <c r="JP20" s="64">
        <v>99.99</v>
      </c>
      <c r="JQ20" s="64">
        <v>99.99</v>
      </c>
      <c r="JR20" s="64">
        <v>99.99</v>
      </c>
      <c r="JS20" s="64">
        <v>99.99</v>
      </c>
      <c r="JT20" s="64">
        <v>99.99</v>
      </c>
      <c r="JU20" s="71">
        <v>99.99</v>
      </c>
      <c r="JV20" s="64">
        <v>99.99</v>
      </c>
      <c r="JW20" s="64">
        <v>99.99</v>
      </c>
      <c r="JX20" s="64">
        <v>99.99</v>
      </c>
      <c r="JY20" s="64">
        <v>99.99</v>
      </c>
      <c r="JZ20" s="64">
        <v>99.99</v>
      </c>
      <c r="KA20" s="64">
        <v>99.99</v>
      </c>
      <c r="KB20" s="64">
        <v>99.99</v>
      </c>
      <c r="KC20" s="64">
        <v>99.99</v>
      </c>
      <c r="KD20" s="64">
        <v>99.99</v>
      </c>
      <c r="KE20" s="64">
        <v>99.99</v>
      </c>
      <c r="KF20" s="64">
        <v>99.99</v>
      </c>
      <c r="KG20" s="64">
        <v>99.99</v>
      </c>
      <c r="KH20" s="64">
        <v>99.99</v>
      </c>
      <c r="KI20" s="64">
        <v>99.99</v>
      </c>
      <c r="KJ20" s="64">
        <v>99.99</v>
      </c>
      <c r="KK20" s="64">
        <v>99.99</v>
      </c>
      <c r="KL20" s="64">
        <v>99.99</v>
      </c>
      <c r="KM20" s="64">
        <v>99.99</v>
      </c>
      <c r="KN20" s="64">
        <v>99.99</v>
      </c>
      <c r="KO20" s="64">
        <v>99.99</v>
      </c>
      <c r="KP20" s="64">
        <v>99.99</v>
      </c>
      <c r="KQ20" s="64">
        <v>99.99</v>
      </c>
      <c r="KR20" s="64">
        <v>99.99</v>
      </c>
      <c r="KS20" s="64">
        <v>99.99</v>
      </c>
      <c r="KT20" s="64">
        <v>99.99</v>
      </c>
      <c r="KU20" s="64">
        <v>99.99</v>
      </c>
      <c r="KV20" s="64">
        <v>99.99</v>
      </c>
      <c r="KW20" s="64">
        <v>99.99</v>
      </c>
      <c r="KX20" s="64">
        <v>99.99</v>
      </c>
      <c r="KY20" s="64">
        <v>99.99</v>
      </c>
      <c r="KZ20" s="64">
        <v>99.99</v>
      </c>
      <c r="LA20" s="64">
        <v>99.99</v>
      </c>
      <c r="LB20" s="64">
        <v>99.99</v>
      </c>
      <c r="LC20" s="64">
        <v>99.99</v>
      </c>
      <c r="LD20" s="64">
        <v>99.99</v>
      </c>
      <c r="LE20" s="64">
        <v>99.99</v>
      </c>
      <c r="LF20" s="64">
        <v>99.99</v>
      </c>
      <c r="LG20" s="64">
        <v>99.99</v>
      </c>
      <c r="LH20" s="64">
        <v>99.99</v>
      </c>
      <c r="LI20" s="64">
        <v>99.99</v>
      </c>
      <c r="LJ20" s="64">
        <v>99.99</v>
      </c>
      <c r="LK20" s="64">
        <v>99.99</v>
      </c>
      <c r="LL20" s="64">
        <v>99.99</v>
      </c>
      <c r="LM20" s="64">
        <v>99.99</v>
      </c>
      <c r="LN20" s="64">
        <v>99.99</v>
      </c>
      <c r="LO20" s="64">
        <v>99.99</v>
      </c>
      <c r="LP20" s="64">
        <v>99.99</v>
      </c>
      <c r="LQ20" s="64">
        <v>99.99</v>
      </c>
      <c r="LR20" s="64">
        <v>99.99</v>
      </c>
      <c r="LS20" s="64">
        <v>99.99</v>
      </c>
      <c r="LT20" s="64">
        <v>99.99</v>
      </c>
      <c r="LU20" s="64">
        <v>99.99</v>
      </c>
      <c r="LV20" s="64">
        <v>99.99</v>
      </c>
      <c r="LW20" s="64">
        <v>99.99</v>
      </c>
      <c r="LX20" s="64">
        <v>99.99</v>
      </c>
      <c r="LY20" s="64">
        <v>99.99</v>
      </c>
      <c r="LZ20" s="64">
        <v>99.99</v>
      </c>
      <c r="MA20" s="64">
        <v>99.99</v>
      </c>
      <c r="MB20" s="64">
        <v>99.99</v>
      </c>
      <c r="MC20" s="64">
        <v>99.99</v>
      </c>
      <c r="MD20" s="64">
        <v>99.99</v>
      </c>
      <c r="ME20" s="64">
        <v>99.99</v>
      </c>
      <c r="MF20" s="64">
        <v>99.99</v>
      </c>
      <c r="MG20" s="64">
        <v>99.99</v>
      </c>
      <c r="MH20" s="64">
        <v>99.99</v>
      </c>
      <c r="MI20" s="64">
        <v>99.99</v>
      </c>
      <c r="MJ20" s="64">
        <v>99.99</v>
      </c>
      <c r="MK20" s="64">
        <v>99.99</v>
      </c>
      <c r="ML20" s="64">
        <v>99.99</v>
      </c>
      <c r="MM20" s="64">
        <v>99.99</v>
      </c>
      <c r="MN20" s="64">
        <v>99.99</v>
      </c>
      <c r="MO20" s="64">
        <v>99.99</v>
      </c>
      <c r="MP20" s="64">
        <v>99.99</v>
      </c>
      <c r="MQ20" s="64">
        <v>99.99</v>
      </c>
      <c r="MR20" s="64">
        <v>99.99</v>
      </c>
      <c r="MS20" s="64">
        <v>99.99</v>
      </c>
      <c r="MT20" s="64">
        <v>99.99</v>
      </c>
      <c r="MU20" s="64">
        <v>99.99</v>
      </c>
      <c r="MV20" s="64">
        <v>99.99</v>
      </c>
      <c r="MW20" s="64">
        <v>99.99</v>
      </c>
      <c r="MX20" s="64">
        <v>99.99</v>
      </c>
      <c r="MY20" s="64">
        <v>99.99</v>
      </c>
      <c r="MZ20" s="64">
        <v>99.99</v>
      </c>
      <c r="NA20" s="64">
        <v>99.99</v>
      </c>
      <c r="NB20" s="64">
        <v>99.99</v>
      </c>
      <c r="NC20" s="64">
        <v>99.99</v>
      </c>
      <c r="ND20" s="64">
        <v>99.99</v>
      </c>
      <c r="NE20" s="64">
        <v>99.99</v>
      </c>
      <c r="NF20" s="64">
        <v>99.99</v>
      </c>
      <c r="NG20" s="64">
        <v>99.99</v>
      </c>
      <c r="NH20" s="64">
        <v>99.99</v>
      </c>
      <c r="NI20" s="64">
        <v>99.99</v>
      </c>
      <c r="NJ20" s="64">
        <v>99.99</v>
      </c>
      <c r="NK20" s="64">
        <v>99.99</v>
      </c>
      <c r="NL20" s="64">
        <v>99.99</v>
      </c>
      <c r="NM20" s="64">
        <v>99.99</v>
      </c>
      <c r="NN20" s="64">
        <v>99.99</v>
      </c>
      <c r="NO20" s="64">
        <v>99.99</v>
      </c>
      <c r="NP20" s="64">
        <v>99.99</v>
      </c>
      <c r="NQ20" s="64">
        <v>99.99</v>
      </c>
      <c r="NR20" s="64">
        <v>99.99</v>
      </c>
      <c r="NS20" s="64">
        <v>99.99</v>
      </c>
      <c r="NT20" s="64">
        <v>99.99</v>
      </c>
      <c r="NU20" s="64">
        <v>99.99</v>
      </c>
      <c r="NV20" s="64">
        <v>99.99</v>
      </c>
      <c r="NW20" s="64">
        <v>99.99</v>
      </c>
      <c r="NX20" s="64">
        <v>99.99</v>
      </c>
      <c r="NY20" s="64">
        <v>99.99</v>
      </c>
      <c r="NZ20" s="64">
        <v>99.99</v>
      </c>
      <c r="OA20" s="64">
        <v>99.99</v>
      </c>
      <c r="OB20" s="64">
        <v>99.99</v>
      </c>
      <c r="OC20" s="64">
        <v>99.99</v>
      </c>
      <c r="OD20" s="64">
        <v>99.99</v>
      </c>
      <c r="OE20" s="64">
        <v>99.99</v>
      </c>
      <c r="OF20" s="64">
        <v>99.99</v>
      </c>
      <c r="OG20" s="64">
        <v>99.99</v>
      </c>
      <c r="OH20" s="64">
        <v>99.99</v>
      </c>
      <c r="OI20" s="64">
        <v>99.99</v>
      </c>
      <c r="OJ20" s="64">
        <v>99.99</v>
      </c>
      <c r="OK20" s="64">
        <v>99.99</v>
      </c>
      <c r="OL20" s="64">
        <v>99.99</v>
      </c>
      <c r="OM20" s="64">
        <v>99.99</v>
      </c>
      <c r="ON20" s="64">
        <v>99.99</v>
      </c>
      <c r="OO20" s="64">
        <v>99.99</v>
      </c>
      <c r="OP20" s="64">
        <v>99.99</v>
      </c>
      <c r="OQ20" s="64">
        <v>99.99</v>
      </c>
      <c r="OR20" s="64">
        <v>99.99</v>
      </c>
      <c r="OS20" s="64">
        <v>99.99</v>
      </c>
      <c r="OT20" s="64">
        <v>99.99</v>
      </c>
      <c r="OU20" s="64">
        <v>99.99</v>
      </c>
      <c r="OV20" s="64">
        <v>99.99</v>
      </c>
      <c r="OW20" s="64">
        <v>99.99</v>
      </c>
      <c r="OX20" s="64">
        <v>99.99</v>
      </c>
      <c r="OY20" s="64">
        <v>99.99</v>
      </c>
      <c r="OZ20" s="64">
        <v>99.99</v>
      </c>
      <c r="PA20" s="64">
        <v>99.99</v>
      </c>
      <c r="PB20" s="64">
        <v>99.99</v>
      </c>
      <c r="PC20" s="64">
        <v>99.99</v>
      </c>
      <c r="PD20" s="64">
        <v>99.99</v>
      </c>
      <c r="PE20" s="64">
        <v>99.99</v>
      </c>
      <c r="PF20" s="64">
        <v>99.99</v>
      </c>
      <c r="PG20" s="64">
        <v>99.99</v>
      </c>
      <c r="PH20" s="64">
        <v>99.99</v>
      </c>
      <c r="PI20" s="64">
        <v>99.99</v>
      </c>
      <c r="PJ20" s="64">
        <v>99.99</v>
      </c>
      <c r="PK20" s="64">
        <v>99.99</v>
      </c>
      <c r="PL20" s="64">
        <v>99.99</v>
      </c>
      <c r="PM20" s="64">
        <v>99.99</v>
      </c>
      <c r="PN20" s="64">
        <v>99.99</v>
      </c>
      <c r="PO20" s="64">
        <v>99.99</v>
      </c>
      <c r="PP20" s="64">
        <v>99.99</v>
      </c>
      <c r="PQ20" s="64">
        <v>99.99</v>
      </c>
      <c r="PR20" s="64">
        <v>99.99</v>
      </c>
      <c r="PS20" s="64">
        <v>99.99</v>
      </c>
      <c r="PT20" s="64">
        <v>99.99</v>
      </c>
      <c r="PU20" s="64">
        <v>99.99</v>
      </c>
      <c r="PV20" s="64">
        <v>99.99</v>
      </c>
      <c r="PW20" s="64">
        <v>99.99</v>
      </c>
      <c r="PX20" s="64">
        <v>99.99</v>
      </c>
      <c r="PY20" s="64">
        <v>99.99</v>
      </c>
      <c r="PZ20" s="64">
        <v>99.99</v>
      </c>
      <c r="QA20" s="64">
        <v>99.99</v>
      </c>
      <c r="QB20" s="64">
        <v>99.99</v>
      </c>
      <c r="QC20" s="64">
        <v>99.99</v>
      </c>
      <c r="QD20" s="64">
        <v>99.99</v>
      </c>
      <c r="QE20" s="64">
        <v>99.99</v>
      </c>
      <c r="QF20" s="64">
        <v>99.99</v>
      </c>
      <c r="QG20" s="64">
        <v>99.99</v>
      </c>
      <c r="QH20" s="64">
        <v>99.99</v>
      </c>
      <c r="QI20" s="64">
        <v>99.99</v>
      </c>
      <c r="QJ20" s="64">
        <v>99.99</v>
      </c>
      <c r="QK20" s="64">
        <v>99.99</v>
      </c>
      <c r="QL20" s="64">
        <v>99.99</v>
      </c>
      <c r="QM20" s="64">
        <v>99.99</v>
      </c>
      <c r="QN20" s="64">
        <v>99.99</v>
      </c>
      <c r="QO20" s="64">
        <v>99.99</v>
      </c>
      <c r="QP20" s="64">
        <v>99.99</v>
      </c>
      <c r="QQ20" s="64">
        <v>99.99</v>
      </c>
      <c r="QR20" s="64">
        <v>99.99</v>
      </c>
      <c r="QS20" s="64">
        <v>99.99</v>
      </c>
      <c r="QT20" s="64">
        <v>99.99</v>
      </c>
      <c r="QU20" s="64">
        <v>99.99</v>
      </c>
      <c r="QV20" s="64">
        <v>99.99</v>
      </c>
      <c r="QW20" s="64">
        <v>99.99</v>
      </c>
      <c r="QX20" s="64">
        <v>99.99</v>
      </c>
      <c r="QY20" s="64">
        <v>99.99</v>
      </c>
      <c r="QZ20" s="64">
        <v>99.99</v>
      </c>
      <c r="RA20" s="64">
        <v>99.99</v>
      </c>
      <c r="RB20" s="64">
        <v>99.99</v>
      </c>
      <c r="RC20" s="64">
        <v>99.99</v>
      </c>
      <c r="RD20" s="64">
        <v>99.99</v>
      </c>
      <c r="RE20" s="64">
        <v>99.99</v>
      </c>
      <c r="RF20" s="64">
        <v>99.99</v>
      </c>
      <c r="RG20" s="64">
        <v>99.99</v>
      </c>
      <c r="RH20" s="64">
        <v>99.99</v>
      </c>
      <c r="RI20" s="64">
        <v>99.99</v>
      </c>
      <c r="RJ20" s="64">
        <v>99.99</v>
      </c>
      <c r="RK20" s="64">
        <v>99.99</v>
      </c>
      <c r="RL20" s="64">
        <v>99.99</v>
      </c>
      <c r="RM20" s="64">
        <v>99.99</v>
      </c>
      <c r="RN20" s="64">
        <v>99.99</v>
      </c>
      <c r="RO20" s="64">
        <v>99.99</v>
      </c>
      <c r="RP20" s="64">
        <v>99.99</v>
      </c>
      <c r="RQ20" s="64">
        <v>99.99</v>
      </c>
      <c r="RR20" s="64">
        <v>99.99</v>
      </c>
      <c r="RS20" s="64">
        <v>99.99</v>
      </c>
      <c r="RT20" s="64">
        <v>99.99</v>
      </c>
      <c r="RU20" s="64">
        <v>99.99</v>
      </c>
      <c r="RV20" s="64">
        <v>99.99</v>
      </c>
      <c r="RW20" s="64">
        <v>99.99</v>
      </c>
      <c r="RX20" s="64">
        <v>99.99</v>
      </c>
      <c r="RY20" s="64">
        <v>99.99</v>
      </c>
      <c r="RZ20" s="64">
        <v>99.99</v>
      </c>
      <c r="SA20" s="64">
        <v>99.99</v>
      </c>
      <c r="SB20" s="64">
        <v>99.99</v>
      </c>
      <c r="SC20" s="64">
        <v>99.99</v>
      </c>
      <c r="SD20" s="64">
        <v>99.99</v>
      </c>
      <c r="SE20" s="64">
        <v>99.99</v>
      </c>
      <c r="SF20" s="64">
        <v>99.99</v>
      </c>
      <c r="SG20" s="64">
        <v>99.99</v>
      </c>
      <c r="SH20" s="64">
        <v>99.99</v>
      </c>
      <c r="SI20" s="64">
        <v>99.99</v>
      </c>
      <c r="SJ20" s="64">
        <v>99.99</v>
      </c>
      <c r="SK20" s="64">
        <v>99.99</v>
      </c>
      <c r="SL20" s="64">
        <v>99.99</v>
      </c>
      <c r="SM20" s="64">
        <v>99.99</v>
      </c>
      <c r="SN20" s="64">
        <v>99.99</v>
      </c>
      <c r="SO20" s="64">
        <v>99.99</v>
      </c>
      <c r="SP20" s="64">
        <v>99.99</v>
      </c>
      <c r="SQ20" s="64">
        <v>99.99</v>
      </c>
      <c r="SR20" s="64">
        <v>99.99</v>
      </c>
      <c r="SS20" s="64">
        <v>99.99</v>
      </c>
      <c r="ST20" s="64">
        <v>99.99</v>
      </c>
      <c r="SU20" s="64">
        <v>99.99</v>
      </c>
      <c r="SV20" s="64">
        <v>99.99</v>
      </c>
      <c r="SW20" s="64">
        <v>99.99</v>
      </c>
      <c r="SX20" s="64">
        <v>99.99</v>
      </c>
      <c r="SY20" s="64">
        <v>99.99</v>
      </c>
      <c r="SZ20" s="64">
        <v>99.99</v>
      </c>
      <c r="TA20" s="64">
        <v>99.99</v>
      </c>
      <c r="TB20" s="64">
        <v>99.99</v>
      </c>
      <c r="TC20" s="64">
        <v>99.99</v>
      </c>
      <c r="TD20" s="64">
        <v>99.99</v>
      </c>
      <c r="TE20" s="64">
        <v>99.99</v>
      </c>
      <c r="TF20" s="64">
        <v>99.99</v>
      </c>
      <c r="TG20" s="64">
        <v>99.99</v>
      </c>
      <c r="TH20" s="64">
        <v>99.99</v>
      </c>
      <c r="TI20" s="64">
        <v>99.99</v>
      </c>
      <c r="TJ20" s="64">
        <v>99.99</v>
      </c>
      <c r="TK20" s="64">
        <v>99.99</v>
      </c>
      <c r="TL20" s="64">
        <v>99.99</v>
      </c>
      <c r="TM20" s="64">
        <v>99.99</v>
      </c>
      <c r="TN20" s="64">
        <v>99.99</v>
      </c>
      <c r="TO20" s="64">
        <v>99.99</v>
      </c>
      <c r="TP20" s="64">
        <v>99.99</v>
      </c>
      <c r="TQ20" s="64">
        <v>99.99</v>
      </c>
      <c r="TR20" s="64">
        <v>99.99</v>
      </c>
      <c r="TS20" s="64">
        <v>99.99</v>
      </c>
      <c r="TT20" s="64">
        <v>99.99</v>
      </c>
      <c r="TU20" s="64">
        <v>99.99</v>
      </c>
      <c r="TV20" s="64">
        <v>99.99</v>
      </c>
      <c r="TW20" s="64">
        <v>99.99</v>
      </c>
      <c r="TX20" s="64">
        <v>99.99</v>
      </c>
      <c r="TY20" s="64">
        <v>99.99</v>
      </c>
      <c r="TZ20" s="64">
        <v>99.99</v>
      </c>
      <c r="UA20" s="64">
        <v>99.99</v>
      </c>
      <c r="UB20" s="64">
        <v>99.99</v>
      </c>
      <c r="UC20" s="64">
        <v>99.99</v>
      </c>
      <c r="UD20" s="72">
        <v>99.99</v>
      </c>
      <c r="UE20" s="64">
        <v>99.99</v>
      </c>
      <c r="UF20" s="64">
        <v>99.99</v>
      </c>
      <c r="UG20" s="64">
        <v>99.99</v>
      </c>
      <c r="UH20" s="64">
        <v>99.99</v>
      </c>
      <c r="UI20" s="64">
        <v>99.99</v>
      </c>
      <c r="UJ20" s="64">
        <v>99.99</v>
      </c>
      <c r="UK20" s="64">
        <v>99.99</v>
      </c>
      <c r="UL20" s="64">
        <v>99.99</v>
      </c>
      <c r="UM20" s="64">
        <v>99.99</v>
      </c>
      <c r="UN20" s="64">
        <v>99.99</v>
      </c>
      <c r="UO20" s="64">
        <v>99.99</v>
      </c>
      <c r="UP20" s="64">
        <v>99.99</v>
      </c>
      <c r="UQ20" s="64">
        <v>99.99</v>
      </c>
      <c r="UR20" s="64">
        <v>99.99</v>
      </c>
      <c r="US20" s="64">
        <v>99.99</v>
      </c>
      <c r="UT20" s="64">
        <v>99.99</v>
      </c>
      <c r="UU20" s="64">
        <v>99.99</v>
      </c>
      <c r="UV20" s="64">
        <v>99.99</v>
      </c>
      <c r="UW20" s="64">
        <v>99.99</v>
      </c>
      <c r="UX20" s="64">
        <v>99.99</v>
      </c>
      <c r="UY20" s="64">
        <v>99.99</v>
      </c>
      <c r="UZ20" s="64">
        <v>99.99</v>
      </c>
      <c r="VA20" s="64">
        <v>99.99</v>
      </c>
      <c r="VB20" s="64">
        <v>99.99</v>
      </c>
      <c r="VC20" s="64">
        <v>99.99</v>
      </c>
      <c r="VD20" s="64">
        <v>99.99</v>
      </c>
      <c r="VE20" s="64">
        <v>99.99</v>
      </c>
      <c r="VF20" s="64">
        <v>99.99</v>
      </c>
      <c r="VG20" s="64">
        <v>99.99</v>
      </c>
      <c r="VH20" s="64">
        <v>99.99</v>
      </c>
      <c r="VI20" s="64">
        <v>99.99</v>
      </c>
      <c r="VJ20" s="64">
        <v>99.99</v>
      </c>
      <c r="VK20" s="64">
        <v>99.99</v>
      </c>
      <c r="VL20" s="64">
        <v>99.99</v>
      </c>
      <c r="VM20" s="64">
        <v>99.99</v>
      </c>
      <c r="VN20" s="64">
        <v>99.99</v>
      </c>
      <c r="VO20" s="64">
        <v>99.99</v>
      </c>
      <c r="VP20" s="64">
        <v>99.99</v>
      </c>
      <c r="VQ20" s="64">
        <v>99.99</v>
      </c>
      <c r="VR20" s="64">
        <v>99.99</v>
      </c>
    </row>
    <row r="24" spans="1:590" x14ac:dyDescent="0.25">
      <c r="B24" s="290"/>
      <c r="C24" s="290"/>
      <c r="D24" s="290"/>
      <c r="E24" s="290"/>
      <c r="F24" s="290"/>
      <c r="G24" s="290"/>
      <c r="H24" s="290"/>
      <c r="I24" s="290"/>
      <c r="J24" s="290"/>
      <c r="K24" s="290"/>
      <c r="L24" s="290"/>
    </row>
    <row r="25" spans="1:590" x14ac:dyDescent="0.25">
      <c r="A25" s="291"/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</row>
    <row r="26" spans="1:590" x14ac:dyDescent="0.25">
      <c r="A26" s="249"/>
      <c r="B26" s="292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590" x14ac:dyDescent="0.25">
      <c r="A27" s="249"/>
      <c r="B27" s="292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590" x14ac:dyDescent="0.25">
      <c r="A28" s="249"/>
      <c r="B28" s="292"/>
      <c r="C28" s="60"/>
      <c r="D28" s="60"/>
      <c r="E28" s="60"/>
      <c r="F28" s="60"/>
      <c r="G28" s="60"/>
      <c r="H28" s="60"/>
      <c r="I28" s="60"/>
      <c r="J28" s="60"/>
      <c r="K28" s="60"/>
      <c r="L28" s="60"/>
    </row>
    <row r="29" spans="1:590" x14ac:dyDescent="0.25">
      <c r="A29" s="249"/>
      <c r="B29" s="292"/>
      <c r="C29" s="60"/>
      <c r="D29" s="60"/>
      <c r="E29" s="60"/>
      <c r="F29" s="60"/>
      <c r="G29" s="60"/>
      <c r="H29" s="60"/>
      <c r="I29" s="60"/>
      <c r="J29" s="60"/>
      <c r="K29" s="60"/>
      <c r="L29" s="60"/>
    </row>
    <row r="30" spans="1:590" x14ac:dyDescent="0.25">
      <c r="A30" s="249"/>
      <c r="B30" s="292"/>
      <c r="C30" s="60"/>
      <c r="D30" s="60"/>
      <c r="E30" s="60"/>
      <c r="F30" s="60"/>
      <c r="G30" s="60"/>
      <c r="H30" s="60"/>
      <c r="I30" s="60"/>
      <c r="J30" s="60"/>
      <c r="K30" s="60"/>
      <c r="L30" s="60"/>
    </row>
    <row r="531" spans="37:47" x14ac:dyDescent="0.25">
      <c r="AK531" s="48"/>
      <c r="AL531" s="48"/>
      <c r="AM531" s="48"/>
      <c r="AN531" s="48"/>
      <c r="AO531" s="48"/>
      <c r="AQ531" s="48"/>
      <c r="AR531" s="48"/>
      <c r="AS531" s="48"/>
      <c r="AT531" s="48"/>
      <c r="AU531" s="48"/>
    </row>
    <row r="532" spans="37:47" x14ac:dyDescent="0.25">
      <c r="AK532" s="48"/>
      <c r="AL532" s="48"/>
      <c r="AM532" s="48"/>
      <c r="AN532" s="48"/>
      <c r="AO532" s="48"/>
      <c r="AQ532" s="48"/>
      <c r="AR532" s="48"/>
      <c r="AS532" s="48"/>
      <c r="AT532" s="48"/>
      <c r="AU532" s="48"/>
    </row>
    <row r="533" spans="37:47" x14ac:dyDescent="0.25">
      <c r="AK533" s="48"/>
      <c r="AL533" s="48"/>
      <c r="AM533" s="48"/>
      <c r="AN533" s="48">
        <v>306065</v>
      </c>
      <c r="AO533" s="67">
        <v>70.010000000000005</v>
      </c>
      <c r="AQ533" s="48"/>
      <c r="AR533" s="67">
        <v>268944</v>
      </c>
      <c r="AS533" s="48">
        <v>0</v>
      </c>
      <c r="AT533" s="67">
        <v>268944</v>
      </c>
      <c r="AU533" s="48">
        <v>100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05"/>
  <sheetViews>
    <sheetView topLeftCell="I1" zoomScale="90" zoomScaleNormal="90" workbookViewId="0">
      <pane ySplit="1" topLeftCell="A2" activePane="bottomLeft" state="frozen"/>
      <selection pane="bottomLeft" activeCell="S3" sqref="S3"/>
    </sheetView>
  </sheetViews>
  <sheetFormatPr defaultColWidth="11.42578125" defaultRowHeight="15" x14ac:dyDescent="0.25"/>
  <cols>
    <col min="2" max="2" width="13.28515625" bestFit="1" customWidth="1"/>
    <col min="3" max="3" width="13.7109375" bestFit="1" customWidth="1"/>
    <col min="4" max="4" width="13.28515625" bestFit="1" customWidth="1"/>
    <col min="5" max="5" width="14.140625" bestFit="1" customWidth="1"/>
    <col min="7" max="7" width="12.28515625" bestFit="1" customWidth="1"/>
    <col min="8" max="8" width="14.85546875" customWidth="1"/>
    <col min="10" max="10" width="47.140625" bestFit="1" customWidth="1"/>
    <col min="11" max="11" width="12" style="57" customWidth="1"/>
    <col min="12" max="12" width="12.7109375" customWidth="1"/>
    <col min="14" max="14" width="41.85546875" bestFit="1" customWidth="1"/>
    <col min="15" max="15" width="16.28515625" customWidth="1"/>
  </cols>
  <sheetData>
    <row r="1" spans="1:15" x14ac:dyDescent="0.25">
      <c r="B1" s="293" t="s">
        <v>128</v>
      </c>
      <c r="C1" s="293" t="s">
        <v>130</v>
      </c>
      <c r="D1" s="293" t="s">
        <v>129</v>
      </c>
      <c r="G1" s="294" t="s">
        <v>267</v>
      </c>
      <c r="H1" s="295">
        <v>11351726</v>
      </c>
      <c r="J1" s="381" t="s">
        <v>268</v>
      </c>
      <c r="K1" s="381"/>
      <c r="L1" s="381"/>
    </row>
    <row r="2" spans="1:15" x14ac:dyDescent="0.25">
      <c r="A2" s="296">
        <v>45292</v>
      </c>
      <c r="B2" s="101">
        <v>14821887</v>
      </c>
      <c r="C2" s="101">
        <v>52007711</v>
      </c>
      <c r="D2" s="101">
        <v>1357785</v>
      </c>
      <c r="G2" s="294" t="s">
        <v>269</v>
      </c>
      <c r="H2" s="295">
        <v>86467952</v>
      </c>
      <c r="J2" s="288" t="s">
        <v>270</v>
      </c>
      <c r="K2" s="288" t="s">
        <v>271</v>
      </c>
      <c r="L2" s="288" t="s">
        <v>272</v>
      </c>
      <c r="N2" s="288" t="s">
        <v>270</v>
      </c>
      <c r="O2" s="288" t="s">
        <v>272</v>
      </c>
    </row>
    <row r="3" spans="1:15" x14ac:dyDescent="0.25">
      <c r="A3" s="296">
        <v>45293</v>
      </c>
      <c r="B3" s="101">
        <v>11846972</v>
      </c>
      <c r="C3" s="101">
        <v>102044634</v>
      </c>
      <c r="D3" s="101">
        <v>1633952</v>
      </c>
      <c r="G3" s="294" t="s">
        <v>273</v>
      </c>
      <c r="H3" s="295">
        <v>1808868</v>
      </c>
      <c r="J3" s="57" t="s">
        <v>146</v>
      </c>
      <c r="K3" s="57">
        <v>2430525</v>
      </c>
      <c r="L3" s="178">
        <f>K3/3745599%</f>
        <v>64.890155086008946</v>
      </c>
      <c r="M3" s="2"/>
      <c r="N3" s="48" t="s">
        <v>274</v>
      </c>
      <c r="O3" s="48">
        <f>K3+K4+K21</f>
        <v>2757864</v>
      </c>
    </row>
    <row r="4" spans="1:15" x14ac:dyDescent="0.25">
      <c r="A4" s="296">
        <v>45294</v>
      </c>
      <c r="B4" s="101">
        <v>12142505</v>
      </c>
      <c r="C4" s="101">
        <v>100738573</v>
      </c>
      <c r="D4" s="101">
        <v>6830456</v>
      </c>
      <c r="G4" s="297"/>
      <c r="H4" s="298">
        <f>SUM(H1:H3)</f>
        <v>99628546</v>
      </c>
      <c r="J4" s="57" t="s">
        <v>149</v>
      </c>
      <c r="K4" s="57">
        <v>325791</v>
      </c>
      <c r="L4" s="178">
        <f t="shared" ref="L4:L32" si="0">K4/3745599%</f>
        <v>8.6979679351687142</v>
      </c>
      <c r="M4" s="2"/>
      <c r="N4" s="2" t="s">
        <v>180</v>
      </c>
      <c r="O4" s="48">
        <f>K7</f>
        <v>180258</v>
      </c>
    </row>
    <row r="5" spans="1:15" x14ac:dyDescent="0.25">
      <c r="A5" s="296">
        <v>45295</v>
      </c>
      <c r="B5" s="101">
        <v>12154587</v>
      </c>
      <c r="C5" s="101">
        <v>95742954</v>
      </c>
      <c r="D5" s="101">
        <v>6286241</v>
      </c>
      <c r="J5" s="57" t="s">
        <v>172</v>
      </c>
      <c r="K5" s="57">
        <v>246887</v>
      </c>
      <c r="L5" s="178">
        <f t="shared" si="0"/>
        <v>6.5913889874490037</v>
      </c>
      <c r="M5" s="2"/>
      <c r="N5" s="2" t="s">
        <v>148</v>
      </c>
      <c r="O5" s="48">
        <f>K6</f>
        <v>206899</v>
      </c>
    </row>
    <row r="6" spans="1:15" x14ac:dyDescent="0.25">
      <c r="A6" s="296">
        <v>45296</v>
      </c>
      <c r="B6" s="101">
        <v>12371988</v>
      </c>
      <c r="C6" s="101">
        <v>82056111</v>
      </c>
      <c r="D6" s="101">
        <v>1963028</v>
      </c>
      <c r="J6" s="57" t="s">
        <v>148</v>
      </c>
      <c r="K6" s="57">
        <v>206899</v>
      </c>
      <c r="L6" s="178">
        <f t="shared" si="0"/>
        <v>5.5237893858899474</v>
      </c>
      <c r="M6" s="2"/>
      <c r="N6" s="48" t="s">
        <v>275</v>
      </c>
      <c r="O6" s="48" cm="1">
        <f t="array" ref="O6:O8">K40-O3:O5</f>
        <v>987735</v>
      </c>
    </row>
    <row r="7" spans="1:15" x14ac:dyDescent="0.25">
      <c r="A7" s="296">
        <v>45297</v>
      </c>
      <c r="B7" s="101">
        <v>12106213</v>
      </c>
      <c r="C7" s="101">
        <v>76290166</v>
      </c>
      <c r="D7" s="101">
        <v>2051204</v>
      </c>
      <c r="J7" s="57" t="s">
        <v>180</v>
      </c>
      <c r="K7" s="57">
        <v>180258</v>
      </c>
      <c r="L7" s="178">
        <f t="shared" si="0"/>
        <v>4.8125279828406624</v>
      </c>
      <c r="M7" s="2"/>
      <c r="O7">
        <v>3565341</v>
      </c>
    </row>
    <row r="8" spans="1:15" x14ac:dyDescent="0.25">
      <c r="A8" s="296">
        <v>45298</v>
      </c>
      <c r="B8" s="101">
        <v>12432641</v>
      </c>
      <c r="C8" s="101">
        <v>50792739</v>
      </c>
      <c r="D8" s="101">
        <v>1517247</v>
      </c>
      <c r="J8" s="57" t="s">
        <v>186</v>
      </c>
      <c r="K8" s="57">
        <v>112093</v>
      </c>
      <c r="L8" s="178">
        <f t="shared" si="0"/>
        <v>2.9926588510943111</v>
      </c>
      <c r="M8" s="2"/>
      <c r="O8">
        <v>3538700</v>
      </c>
    </row>
    <row r="9" spans="1:15" x14ac:dyDescent="0.25">
      <c r="A9" s="296">
        <v>45299</v>
      </c>
      <c r="B9" s="101">
        <v>12124634</v>
      </c>
      <c r="C9" s="101">
        <v>82160606</v>
      </c>
      <c r="D9" s="101">
        <v>1697026</v>
      </c>
      <c r="J9" s="57" t="s">
        <v>151</v>
      </c>
      <c r="K9" s="57">
        <v>62028</v>
      </c>
      <c r="L9" s="178">
        <f t="shared" si="0"/>
        <v>1.6560235091903859</v>
      </c>
      <c r="M9" s="2"/>
    </row>
    <row r="10" spans="1:15" x14ac:dyDescent="0.25">
      <c r="A10" s="296">
        <v>45300</v>
      </c>
      <c r="B10" s="101">
        <v>12132900</v>
      </c>
      <c r="C10" s="101">
        <v>83686883</v>
      </c>
      <c r="D10" s="101">
        <v>2178565</v>
      </c>
      <c r="J10" s="57" t="s">
        <v>276</v>
      </c>
      <c r="K10" s="57">
        <v>41175</v>
      </c>
      <c r="L10" s="178">
        <f t="shared" si="0"/>
        <v>1.0992901268929216</v>
      </c>
      <c r="M10" s="2"/>
    </row>
    <row r="11" spans="1:15" x14ac:dyDescent="0.25">
      <c r="A11" s="296">
        <v>45301</v>
      </c>
      <c r="B11" s="101">
        <v>12194948</v>
      </c>
      <c r="C11" s="101">
        <v>84154372</v>
      </c>
      <c r="D11" s="101">
        <v>2002827</v>
      </c>
      <c r="J11" s="57" t="s">
        <v>173</v>
      </c>
      <c r="K11" s="57">
        <v>34262</v>
      </c>
      <c r="L11" s="178">
        <f t="shared" si="0"/>
        <v>0.91472685677244148</v>
      </c>
      <c r="M11" s="2"/>
    </row>
    <row r="12" spans="1:15" x14ac:dyDescent="0.25">
      <c r="A12" s="296">
        <v>45302</v>
      </c>
      <c r="B12" s="101">
        <v>11957234</v>
      </c>
      <c r="C12" s="101">
        <v>83810223</v>
      </c>
      <c r="D12" s="101">
        <v>1962447</v>
      </c>
      <c r="J12" s="57" t="s">
        <v>277</v>
      </c>
      <c r="K12" s="57">
        <v>22802</v>
      </c>
      <c r="L12" s="178">
        <f t="shared" si="0"/>
        <v>0.60876778320370128</v>
      </c>
      <c r="M12" s="2"/>
    </row>
    <row r="13" spans="1:15" x14ac:dyDescent="0.25">
      <c r="A13" s="296">
        <v>45303</v>
      </c>
      <c r="B13" s="101">
        <v>12238327</v>
      </c>
      <c r="C13" s="101">
        <v>86229904</v>
      </c>
      <c r="D13" s="101">
        <v>1842178</v>
      </c>
      <c r="J13" s="57" t="s">
        <v>185</v>
      </c>
      <c r="K13" s="57">
        <v>18637</v>
      </c>
      <c r="L13" s="178">
        <f t="shared" si="0"/>
        <v>0.49757061554106569</v>
      </c>
      <c r="M13" s="2"/>
    </row>
    <row r="14" spans="1:15" x14ac:dyDescent="0.25">
      <c r="A14" s="296">
        <v>45304</v>
      </c>
      <c r="B14" s="101">
        <v>10950697</v>
      </c>
      <c r="C14" s="101">
        <v>78360897</v>
      </c>
      <c r="D14" s="101">
        <v>1773102</v>
      </c>
      <c r="J14" s="57" t="s">
        <v>154</v>
      </c>
      <c r="K14" s="57">
        <v>15450</v>
      </c>
      <c r="L14" s="178">
        <f t="shared" si="0"/>
        <v>0.41248409132958441</v>
      </c>
      <c r="M14" s="2"/>
    </row>
    <row r="15" spans="1:15" x14ac:dyDescent="0.25">
      <c r="A15" s="296">
        <v>45305</v>
      </c>
      <c r="B15" s="101">
        <v>12234558</v>
      </c>
      <c r="C15" s="101">
        <v>53808861</v>
      </c>
      <c r="D15" s="101">
        <v>1508107</v>
      </c>
      <c r="J15" s="57" t="s">
        <v>296</v>
      </c>
      <c r="K15" s="57">
        <v>15012</v>
      </c>
      <c r="L15" s="178">
        <f t="shared" si="0"/>
        <v>0.4007903675753865</v>
      </c>
      <c r="M15" s="2"/>
    </row>
    <row r="16" spans="1:15" x14ac:dyDescent="0.25">
      <c r="A16" s="296">
        <v>45306</v>
      </c>
      <c r="B16" s="101">
        <v>11708835</v>
      </c>
      <c r="C16" s="101">
        <v>79610790</v>
      </c>
      <c r="D16" s="101">
        <v>1706919</v>
      </c>
      <c r="J16" s="57" t="s">
        <v>278</v>
      </c>
      <c r="K16" s="57">
        <v>14205</v>
      </c>
      <c r="L16" s="178">
        <f t="shared" si="0"/>
        <v>0.3792450820282684</v>
      </c>
      <c r="M16" s="2"/>
    </row>
    <row r="17" spans="1:15" x14ac:dyDescent="0.25">
      <c r="A17" s="296">
        <v>45307</v>
      </c>
      <c r="B17" s="101">
        <v>11835603</v>
      </c>
      <c r="C17" s="101">
        <v>82498427</v>
      </c>
      <c r="D17" s="101">
        <v>1840524</v>
      </c>
      <c r="H17" s="58"/>
      <c r="J17" s="57" t="s">
        <v>279</v>
      </c>
      <c r="K17" s="57">
        <v>6496</v>
      </c>
      <c r="L17" s="178">
        <f t="shared" si="0"/>
        <v>0.1734302043544971</v>
      </c>
      <c r="M17" s="2"/>
      <c r="O17" s="57"/>
    </row>
    <row r="18" spans="1:15" x14ac:dyDescent="0.25">
      <c r="A18" s="296">
        <v>45308</v>
      </c>
      <c r="B18" s="101">
        <v>12259276</v>
      </c>
      <c r="C18" s="101">
        <v>86882123</v>
      </c>
      <c r="D18" s="101">
        <v>1701336</v>
      </c>
      <c r="H18" s="299"/>
      <c r="J18" s="57" t="s">
        <v>280</v>
      </c>
      <c r="K18" s="57">
        <v>4969</v>
      </c>
      <c r="L18" s="178">
        <f t="shared" si="0"/>
        <v>0.13266235921143721</v>
      </c>
      <c r="M18" s="2"/>
      <c r="O18" s="57"/>
    </row>
    <row r="19" spans="1:15" x14ac:dyDescent="0.25">
      <c r="A19" s="296">
        <v>45309</v>
      </c>
      <c r="B19" s="101">
        <v>12061307</v>
      </c>
      <c r="C19" s="101">
        <v>85745033</v>
      </c>
      <c r="D19" s="101">
        <v>2122332</v>
      </c>
      <c r="H19" s="299"/>
      <c r="J19" s="57" t="s">
        <v>283</v>
      </c>
      <c r="K19" s="57">
        <v>2421</v>
      </c>
      <c r="L19" s="178">
        <f t="shared" si="0"/>
        <v>6.4635856641354295E-2</v>
      </c>
      <c r="M19" s="2"/>
      <c r="O19" s="57"/>
    </row>
    <row r="20" spans="1:15" x14ac:dyDescent="0.25">
      <c r="A20" s="296">
        <v>45310</v>
      </c>
      <c r="B20" s="101">
        <v>12298316</v>
      </c>
      <c r="C20" s="101">
        <v>97734719</v>
      </c>
      <c r="D20" s="101">
        <v>1711451</v>
      </c>
      <c r="H20" s="299"/>
      <c r="J20" s="57" t="s">
        <v>181</v>
      </c>
      <c r="K20" s="57">
        <v>1919</v>
      </c>
      <c r="L20" s="178">
        <f t="shared" si="0"/>
        <v>5.1233460923072655E-2</v>
      </c>
      <c r="M20" s="2"/>
      <c r="O20" s="57"/>
    </row>
    <row r="21" spans="1:15" x14ac:dyDescent="0.25">
      <c r="A21" s="296">
        <v>45311</v>
      </c>
      <c r="B21" s="101">
        <v>12863327</v>
      </c>
      <c r="C21" s="101">
        <v>99757829</v>
      </c>
      <c r="D21" s="101">
        <v>1648302</v>
      </c>
      <c r="H21" s="60"/>
      <c r="J21" s="57" t="s">
        <v>147</v>
      </c>
      <c r="K21" s="57">
        <v>1548</v>
      </c>
      <c r="L21" s="178">
        <f t="shared" si="0"/>
        <v>4.1328503131274869E-2</v>
      </c>
      <c r="M21" s="2"/>
      <c r="O21" s="57"/>
    </row>
    <row r="22" spans="1:15" x14ac:dyDescent="0.25">
      <c r="A22" s="296">
        <v>45312</v>
      </c>
      <c r="B22" s="101">
        <v>12903602</v>
      </c>
      <c r="C22" s="101">
        <v>68419360</v>
      </c>
      <c r="D22" s="101">
        <v>909129</v>
      </c>
      <c r="H22" s="292"/>
      <c r="J22" s="57" t="s">
        <v>281</v>
      </c>
      <c r="K22" s="57">
        <v>947</v>
      </c>
      <c r="L22" s="178">
        <f t="shared" si="0"/>
        <v>2.5283005468551226E-2</v>
      </c>
      <c r="M22" s="2"/>
      <c r="O22" s="57"/>
    </row>
    <row r="23" spans="1:15" x14ac:dyDescent="0.25">
      <c r="A23" s="296">
        <v>45313</v>
      </c>
      <c r="B23" s="101">
        <v>11788058</v>
      </c>
      <c r="C23" s="101">
        <v>104335273</v>
      </c>
      <c r="D23" s="101">
        <v>1742203</v>
      </c>
      <c r="F23" s="295"/>
      <c r="G23" s="295"/>
      <c r="H23" s="295"/>
      <c r="J23" s="57" t="s">
        <v>282</v>
      </c>
      <c r="K23" s="57">
        <v>890</v>
      </c>
      <c r="L23" s="178">
        <f t="shared" si="0"/>
        <v>2.3761219500539166E-2</v>
      </c>
      <c r="M23" s="2"/>
      <c r="O23" s="57"/>
    </row>
    <row r="24" spans="1:15" x14ac:dyDescent="0.25">
      <c r="A24" s="296">
        <v>45314</v>
      </c>
      <c r="B24" s="295"/>
      <c r="C24" s="295"/>
      <c r="D24" s="295"/>
      <c r="J24" s="57" t="s">
        <v>297</v>
      </c>
      <c r="K24" s="57">
        <v>143</v>
      </c>
      <c r="L24" s="178">
        <f t="shared" si="0"/>
        <v>3.8178139197495515E-3</v>
      </c>
      <c r="M24" s="2"/>
      <c r="O24" s="57"/>
    </row>
    <row r="25" spans="1:15" x14ac:dyDescent="0.25">
      <c r="A25" s="296">
        <v>45315</v>
      </c>
      <c r="B25" s="295"/>
      <c r="C25" s="295"/>
      <c r="D25" s="295"/>
      <c r="J25" s="57" t="s">
        <v>286</v>
      </c>
      <c r="K25" s="57">
        <v>84</v>
      </c>
      <c r="L25" s="178">
        <f t="shared" si="0"/>
        <v>2.2426319528598766E-3</v>
      </c>
      <c r="M25" s="2"/>
    </row>
    <row r="26" spans="1:15" x14ac:dyDescent="0.25">
      <c r="A26" s="296">
        <v>45316</v>
      </c>
      <c r="B26" s="295"/>
      <c r="C26" s="295"/>
      <c r="D26" s="295"/>
      <c r="J26" s="57" t="s">
        <v>285</v>
      </c>
      <c r="K26" s="57">
        <v>65</v>
      </c>
      <c r="L26" s="178">
        <f t="shared" si="0"/>
        <v>1.7353699635225235E-3</v>
      </c>
      <c r="M26" s="2"/>
    </row>
    <row r="27" spans="1:15" x14ac:dyDescent="0.25">
      <c r="A27" s="296">
        <v>45317</v>
      </c>
      <c r="B27" s="295"/>
      <c r="C27" s="295"/>
      <c r="D27" s="295"/>
      <c r="J27" s="57" t="s">
        <v>284</v>
      </c>
      <c r="K27" s="57">
        <v>48</v>
      </c>
      <c r="L27" s="178">
        <f t="shared" si="0"/>
        <v>1.2815039730627866E-3</v>
      </c>
      <c r="M27" s="2"/>
    </row>
    <row r="28" spans="1:15" x14ac:dyDescent="0.25">
      <c r="A28" s="296">
        <v>45318</v>
      </c>
      <c r="B28" s="295"/>
      <c r="C28" s="295"/>
      <c r="D28" s="295"/>
      <c r="G28" s="292"/>
      <c r="J28" s="57" t="s">
        <v>298</v>
      </c>
      <c r="K28" s="57">
        <v>18</v>
      </c>
      <c r="L28" s="178">
        <f t="shared" si="0"/>
        <v>4.8056398989854496E-4</v>
      </c>
      <c r="M28" s="2"/>
    </row>
    <row r="29" spans="1:15" x14ac:dyDescent="0.25">
      <c r="A29" s="296">
        <v>45319</v>
      </c>
      <c r="B29" s="295"/>
      <c r="C29" s="295"/>
      <c r="D29" s="295"/>
      <c r="G29" s="292"/>
      <c r="J29" s="57" t="s">
        <v>299</v>
      </c>
      <c r="K29" s="57">
        <v>17</v>
      </c>
      <c r="L29" s="178">
        <f t="shared" si="0"/>
        <v>4.5386599045973692E-4</v>
      </c>
      <c r="M29" s="2"/>
    </row>
    <row r="30" spans="1:15" x14ac:dyDescent="0.25">
      <c r="A30" s="296">
        <v>45320</v>
      </c>
      <c r="B30" s="295"/>
      <c r="C30" s="295"/>
      <c r="D30" s="295"/>
      <c r="G30" s="292"/>
      <c r="J30" s="57" t="s">
        <v>294</v>
      </c>
      <c r="K30" s="57">
        <v>6</v>
      </c>
      <c r="L30" s="178">
        <f t="shared" si="0"/>
        <v>1.6018799663284833E-4</v>
      </c>
      <c r="M30" s="2"/>
    </row>
    <row r="31" spans="1:15" x14ac:dyDescent="0.25">
      <c r="A31" s="296">
        <v>45321</v>
      </c>
      <c r="B31" s="295"/>
      <c r="C31" s="295"/>
      <c r="D31" s="295"/>
      <c r="G31" s="292"/>
      <c r="J31" s="57" t="s">
        <v>300</v>
      </c>
      <c r="K31" s="57">
        <v>2</v>
      </c>
      <c r="L31" s="178">
        <f t="shared" si="0"/>
        <v>5.3395998877616105E-5</v>
      </c>
      <c r="M31" s="2"/>
    </row>
    <row r="32" spans="1:15" x14ac:dyDescent="0.25">
      <c r="A32" s="296">
        <v>45322</v>
      </c>
      <c r="B32" s="295"/>
      <c r="C32" s="295"/>
      <c r="D32" s="295"/>
      <c r="G32" s="292"/>
      <c r="J32" s="57" t="s">
        <v>303</v>
      </c>
      <c r="K32" s="57">
        <v>2</v>
      </c>
      <c r="L32" s="178">
        <f t="shared" si="0"/>
        <v>5.3395998877616105E-5</v>
      </c>
      <c r="M32" s="2"/>
    </row>
    <row r="33" spans="1:14" x14ac:dyDescent="0.25">
      <c r="A33" s="296">
        <v>45323</v>
      </c>
      <c r="B33" s="295"/>
      <c r="C33" s="295"/>
      <c r="D33" s="295"/>
      <c r="G33" s="292"/>
      <c r="J33" s="57"/>
      <c r="K33"/>
      <c r="L33" s="58"/>
      <c r="M33" s="2"/>
    </row>
    <row r="34" spans="1:14" x14ac:dyDescent="0.25">
      <c r="A34" s="296">
        <v>45324</v>
      </c>
      <c r="B34" s="295"/>
      <c r="C34" s="295"/>
      <c r="D34" s="295"/>
      <c r="G34" s="292"/>
      <c r="J34" s="57"/>
      <c r="K34" s="108"/>
      <c r="L34" s="58"/>
      <c r="M34" s="2"/>
      <c r="N34" s="249"/>
    </row>
    <row r="35" spans="1:14" x14ac:dyDescent="0.25">
      <c r="A35" s="296">
        <v>45325</v>
      </c>
      <c r="B35" s="295"/>
      <c r="C35" s="295"/>
      <c r="D35" s="295"/>
      <c r="G35" s="292"/>
      <c r="J35" s="57"/>
      <c r="K35" s="108"/>
      <c r="L35" s="58"/>
      <c r="M35" s="2"/>
    </row>
    <row r="36" spans="1:14" x14ac:dyDescent="0.25">
      <c r="A36" s="296">
        <v>45326</v>
      </c>
      <c r="B36" s="295"/>
      <c r="C36" s="295"/>
      <c r="D36" s="295"/>
      <c r="G36" s="292"/>
      <c r="J36" s="57"/>
      <c r="K36" s="108"/>
      <c r="L36" s="58"/>
      <c r="M36" s="2"/>
    </row>
    <row r="37" spans="1:14" x14ac:dyDescent="0.25">
      <c r="A37" s="296">
        <v>45327</v>
      </c>
      <c r="B37" s="295"/>
      <c r="C37" s="295"/>
      <c r="D37" s="295"/>
      <c r="G37" s="292"/>
      <c r="J37" s="57"/>
      <c r="K37" s="108"/>
      <c r="L37" s="58"/>
      <c r="M37" s="2"/>
    </row>
    <row r="38" spans="1:14" x14ac:dyDescent="0.25">
      <c r="A38" s="296">
        <v>45328</v>
      </c>
      <c r="B38" s="295"/>
      <c r="C38" s="295"/>
      <c r="D38" s="295"/>
      <c r="G38" s="292"/>
      <c r="K38" s="108"/>
      <c r="L38" s="58"/>
      <c r="M38" s="2"/>
    </row>
    <row r="39" spans="1:14" x14ac:dyDescent="0.25">
      <c r="A39" s="296">
        <v>45329</v>
      </c>
      <c r="B39" s="295"/>
      <c r="C39" s="295"/>
      <c r="D39" s="295"/>
      <c r="G39" s="292"/>
      <c r="L39" s="64"/>
      <c r="M39" s="2"/>
    </row>
    <row r="40" spans="1:14" x14ac:dyDescent="0.25">
      <c r="A40" s="296">
        <v>45330</v>
      </c>
      <c r="B40" s="295"/>
      <c r="C40" s="295"/>
      <c r="D40" s="295"/>
      <c r="G40" s="292"/>
      <c r="J40" s="57"/>
      <c r="K40" s="301">
        <f>SUM(K2:K38)</f>
        <v>3745599</v>
      </c>
      <c r="L40" s="167"/>
      <c r="M40" s="2"/>
    </row>
    <row r="41" spans="1:14" x14ac:dyDescent="0.25">
      <c r="A41" s="296">
        <v>45331</v>
      </c>
      <c r="B41" s="295"/>
      <c r="C41" s="295"/>
      <c r="D41" s="295"/>
      <c r="G41" s="292"/>
      <c r="K41" s="60"/>
      <c r="L41" s="300"/>
      <c r="M41" s="2"/>
    </row>
    <row r="42" spans="1:14" x14ac:dyDescent="0.25">
      <c r="A42" s="296">
        <v>45332</v>
      </c>
      <c r="B42" s="295"/>
      <c r="C42" s="295"/>
      <c r="D42" s="295"/>
      <c r="G42" s="292"/>
      <c r="K42" s="60"/>
      <c r="L42" s="300"/>
      <c r="M42" s="2"/>
    </row>
    <row r="43" spans="1:14" x14ac:dyDescent="0.25">
      <c r="A43" s="296">
        <v>45333</v>
      </c>
      <c r="B43" s="295"/>
      <c r="C43" s="295"/>
      <c r="D43" s="295"/>
      <c r="G43" s="292"/>
      <c r="K43" s="60"/>
      <c r="L43" s="300"/>
    </row>
    <row r="44" spans="1:14" x14ac:dyDescent="0.25">
      <c r="A44" s="296">
        <v>45334</v>
      </c>
      <c r="B44" s="295"/>
      <c r="C44" s="295"/>
      <c r="D44" s="295"/>
      <c r="G44" s="292"/>
      <c r="K44" s="60"/>
      <c r="L44" s="300"/>
    </row>
    <row r="45" spans="1:14" x14ac:dyDescent="0.25">
      <c r="A45" s="296">
        <v>45335</v>
      </c>
      <c r="B45" s="295"/>
      <c r="C45" s="295"/>
      <c r="D45" s="295"/>
      <c r="G45" s="292"/>
      <c r="K45" s="60"/>
      <c r="L45" s="300"/>
    </row>
    <row r="46" spans="1:14" x14ac:dyDescent="0.25">
      <c r="A46" s="296">
        <v>45336</v>
      </c>
      <c r="B46" s="295"/>
      <c r="C46" s="295"/>
      <c r="D46" s="295"/>
      <c r="G46" s="292"/>
      <c r="K46" s="301"/>
      <c r="L46" s="300"/>
    </row>
    <row r="47" spans="1:14" x14ac:dyDescent="0.25">
      <c r="A47" s="296">
        <v>45337</v>
      </c>
      <c r="B47" s="295"/>
      <c r="C47" s="295"/>
      <c r="D47" s="295"/>
      <c r="G47" s="292"/>
      <c r="K47" s="60"/>
      <c r="L47" s="300"/>
    </row>
    <row r="48" spans="1:14" x14ac:dyDescent="0.25">
      <c r="A48" s="296">
        <v>45338</v>
      </c>
      <c r="B48" s="295"/>
      <c r="C48" s="295"/>
      <c r="D48" s="295"/>
      <c r="G48" s="292"/>
      <c r="K48" s="60"/>
      <c r="L48" s="300"/>
    </row>
    <row r="49" spans="1:12" x14ac:dyDescent="0.25">
      <c r="A49" s="296">
        <v>45339</v>
      </c>
      <c r="B49" s="295"/>
      <c r="C49" s="295"/>
      <c r="D49" s="295"/>
      <c r="L49" s="300"/>
    </row>
    <row r="50" spans="1:12" x14ac:dyDescent="0.25">
      <c r="A50" s="296">
        <v>45340</v>
      </c>
      <c r="B50" s="295"/>
      <c r="C50" s="295"/>
      <c r="D50" s="295"/>
      <c r="L50" s="300"/>
    </row>
    <row r="51" spans="1:12" x14ac:dyDescent="0.25">
      <c r="A51" s="296">
        <v>45341</v>
      </c>
      <c r="B51" s="295"/>
      <c r="C51" s="295"/>
      <c r="D51" s="295"/>
      <c r="L51" s="167"/>
    </row>
    <row r="52" spans="1:12" x14ac:dyDescent="0.25">
      <c r="A52" s="296">
        <v>45342</v>
      </c>
      <c r="B52" s="295"/>
      <c r="C52" s="295"/>
      <c r="D52" s="295"/>
      <c r="L52" s="167"/>
    </row>
    <row r="53" spans="1:12" x14ac:dyDescent="0.25">
      <c r="A53" s="296">
        <v>45343</v>
      </c>
      <c r="B53" s="295"/>
      <c r="C53" s="295"/>
      <c r="D53" s="295"/>
      <c r="L53" s="167"/>
    </row>
    <row r="54" spans="1:12" x14ac:dyDescent="0.25">
      <c r="A54" s="296">
        <v>45344</v>
      </c>
      <c r="B54" s="295"/>
      <c r="C54" s="295"/>
      <c r="D54" s="295"/>
      <c r="L54" s="167"/>
    </row>
    <row r="55" spans="1:12" x14ac:dyDescent="0.25">
      <c r="A55" s="296">
        <v>45345</v>
      </c>
      <c r="B55" s="295"/>
      <c r="C55" s="295"/>
      <c r="D55" s="295"/>
      <c r="L55" s="167"/>
    </row>
    <row r="56" spans="1:12" x14ac:dyDescent="0.25">
      <c r="A56" s="296">
        <v>45346</v>
      </c>
      <c r="B56" s="295"/>
      <c r="C56" s="295"/>
      <c r="D56" s="295"/>
      <c r="L56" s="167"/>
    </row>
    <row r="57" spans="1:12" x14ac:dyDescent="0.25">
      <c r="A57" s="296">
        <v>45347</v>
      </c>
      <c r="B57" s="295"/>
      <c r="C57" s="295"/>
      <c r="D57" s="295"/>
      <c r="L57" s="167"/>
    </row>
    <row r="58" spans="1:12" x14ac:dyDescent="0.25">
      <c r="A58" s="296">
        <v>45348</v>
      </c>
      <c r="B58" s="295"/>
      <c r="C58" s="295"/>
      <c r="D58" s="295"/>
      <c r="L58" s="11"/>
    </row>
    <row r="59" spans="1:12" x14ac:dyDescent="0.25">
      <c r="A59" s="296">
        <v>45349</v>
      </c>
      <c r="B59" s="295"/>
      <c r="C59" s="295"/>
      <c r="D59" s="295"/>
      <c r="L59" s="167"/>
    </row>
    <row r="60" spans="1:12" x14ac:dyDescent="0.25">
      <c r="A60" s="296">
        <v>45350</v>
      </c>
      <c r="B60" s="295"/>
      <c r="C60" s="295"/>
      <c r="D60" s="295"/>
      <c r="L60" s="167"/>
    </row>
    <row r="61" spans="1:12" x14ac:dyDescent="0.25">
      <c r="A61" s="296">
        <v>45351</v>
      </c>
      <c r="B61" s="295"/>
      <c r="C61" s="295"/>
      <c r="D61" s="295"/>
    </row>
    <row r="62" spans="1:12" x14ac:dyDescent="0.25">
      <c r="A62" s="296">
        <v>45352</v>
      </c>
      <c r="B62" s="295"/>
      <c r="C62" s="295"/>
      <c r="D62" s="295"/>
    </row>
    <row r="63" spans="1:12" x14ac:dyDescent="0.25">
      <c r="A63" s="296">
        <v>45353</v>
      </c>
      <c r="B63" s="295"/>
      <c r="C63" s="295"/>
      <c r="D63" s="295"/>
    </row>
    <row r="64" spans="1:12" x14ac:dyDescent="0.25">
      <c r="A64" s="296">
        <v>45354</v>
      </c>
      <c r="B64" s="295"/>
      <c r="C64" s="295"/>
      <c r="D64" s="295"/>
    </row>
    <row r="65" spans="1:14" x14ac:dyDescent="0.25">
      <c r="A65" s="296">
        <v>45355</v>
      </c>
      <c r="B65" s="295"/>
      <c r="C65" s="295"/>
      <c r="D65" s="295"/>
    </row>
    <row r="66" spans="1:14" x14ac:dyDescent="0.25">
      <c r="A66" s="296">
        <v>45356</v>
      </c>
      <c r="B66" s="295"/>
      <c r="C66" s="295"/>
      <c r="D66" s="295"/>
    </row>
    <row r="67" spans="1:14" x14ac:dyDescent="0.25">
      <c r="A67" s="296">
        <v>45357</v>
      </c>
      <c r="B67" s="295"/>
      <c r="C67" s="295"/>
      <c r="D67" s="295"/>
    </row>
    <row r="68" spans="1:14" x14ac:dyDescent="0.25">
      <c r="A68" s="296">
        <v>45358</v>
      </c>
      <c r="B68" s="295"/>
      <c r="C68" s="295"/>
      <c r="D68" s="295"/>
      <c r="N68" s="302"/>
    </row>
    <row r="69" spans="1:14" x14ac:dyDescent="0.25">
      <c r="A69" s="296">
        <v>45359</v>
      </c>
      <c r="B69" s="295"/>
      <c r="C69" s="295"/>
      <c r="D69" s="295"/>
      <c r="J69" s="57"/>
      <c r="N69" s="302"/>
    </row>
    <row r="70" spans="1:14" x14ac:dyDescent="0.25">
      <c r="A70" s="296">
        <v>45360</v>
      </c>
      <c r="B70" s="295"/>
      <c r="C70" s="295"/>
      <c r="D70" s="295"/>
      <c r="J70" s="57"/>
      <c r="N70" s="302"/>
    </row>
    <row r="71" spans="1:14" x14ac:dyDescent="0.25">
      <c r="A71" s="296">
        <v>45361</v>
      </c>
      <c r="B71" s="295"/>
      <c r="C71" s="295"/>
      <c r="D71" s="295"/>
      <c r="F71" s="302"/>
      <c r="G71" s="302"/>
      <c r="J71" s="57"/>
      <c r="N71" s="302"/>
    </row>
    <row r="72" spans="1:14" x14ac:dyDescent="0.25">
      <c r="A72" s="296">
        <v>45362</v>
      </c>
      <c r="B72" s="295"/>
      <c r="C72" s="295"/>
      <c r="D72" s="295"/>
      <c r="F72" s="302"/>
      <c r="G72" s="302"/>
      <c r="J72" s="57"/>
    </row>
    <row r="73" spans="1:14" x14ac:dyDescent="0.25">
      <c r="A73" s="296">
        <v>45363</v>
      </c>
      <c r="B73" s="295"/>
      <c r="C73" s="295"/>
      <c r="D73" s="295"/>
      <c r="F73" s="302"/>
      <c r="G73" s="302"/>
      <c r="J73" s="57"/>
    </row>
    <row r="74" spans="1:14" x14ac:dyDescent="0.25">
      <c r="A74" s="296">
        <v>45364</v>
      </c>
      <c r="B74" s="295"/>
      <c r="C74" s="295"/>
      <c r="D74" s="295"/>
      <c r="F74" s="302"/>
      <c r="G74" s="302"/>
      <c r="J74" s="57"/>
    </row>
    <row r="75" spans="1:14" x14ac:dyDescent="0.25">
      <c r="A75" s="296">
        <v>45365</v>
      </c>
      <c r="B75" s="295"/>
      <c r="C75" s="295"/>
      <c r="D75" s="295"/>
      <c r="J75" s="57"/>
    </row>
    <row r="76" spans="1:14" x14ac:dyDescent="0.25">
      <c r="A76" s="296">
        <v>45366</v>
      </c>
      <c r="B76" s="295"/>
      <c r="C76" s="295"/>
      <c r="D76" s="295"/>
      <c r="J76" s="57"/>
    </row>
    <row r="77" spans="1:14" x14ac:dyDescent="0.25">
      <c r="A77" s="296">
        <v>45367</v>
      </c>
      <c r="B77" s="295"/>
      <c r="C77" s="295"/>
      <c r="D77" s="295"/>
      <c r="J77" s="57"/>
    </row>
    <row r="78" spans="1:14" x14ac:dyDescent="0.25">
      <c r="A78" s="296">
        <v>45368</v>
      </c>
      <c r="B78" s="295"/>
      <c r="C78" s="295"/>
      <c r="D78" s="295"/>
      <c r="J78" s="57"/>
    </row>
    <row r="79" spans="1:14" x14ac:dyDescent="0.25">
      <c r="A79" s="296">
        <v>45369</v>
      </c>
      <c r="B79" s="295"/>
      <c r="C79" s="295"/>
      <c r="D79" s="295"/>
      <c r="J79" s="57"/>
    </row>
    <row r="80" spans="1:14" x14ac:dyDescent="0.25">
      <c r="A80" s="296">
        <v>45370</v>
      </c>
      <c r="B80" s="295"/>
      <c r="C80" s="295"/>
      <c r="D80" s="295"/>
    </row>
    <row r="81" spans="1:11" x14ac:dyDescent="0.25">
      <c r="A81" s="296">
        <v>45371</v>
      </c>
      <c r="B81" s="295"/>
      <c r="C81" s="295"/>
      <c r="D81" s="295"/>
    </row>
    <row r="82" spans="1:11" x14ac:dyDescent="0.25">
      <c r="A82" s="296">
        <v>45372</v>
      </c>
      <c r="B82" s="295"/>
      <c r="C82" s="295"/>
      <c r="D82" s="295"/>
    </row>
    <row r="83" spans="1:11" x14ac:dyDescent="0.25">
      <c r="A83" s="296">
        <v>45373</v>
      </c>
      <c r="B83" s="295"/>
      <c r="C83" s="295"/>
      <c r="D83" s="295"/>
      <c r="K83"/>
    </row>
    <row r="84" spans="1:11" x14ac:dyDescent="0.25">
      <c r="A84" s="296">
        <v>45374</v>
      </c>
      <c r="B84" s="295"/>
      <c r="C84" s="295"/>
      <c r="D84" s="295"/>
      <c r="K84"/>
    </row>
    <row r="85" spans="1:11" x14ac:dyDescent="0.25">
      <c r="A85" s="296">
        <v>45375</v>
      </c>
      <c r="B85" s="295"/>
      <c r="C85" s="295"/>
      <c r="D85" s="295"/>
      <c r="K85"/>
    </row>
    <row r="86" spans="1:11" x14ac:dyDescent="0.25">
      <c r="A86" s="296">
        <v>45376</v>
      </c>
      <c r="B86" s="295"/>
      <c r="C86" s="295"/>
      <c r="D86" s="295"/>
      <c r="K86"/>
    </row>
    <row r="87" spans="1:11" x14ac:dyDescent="0.25">
      <c r="A87" s="296">
        <v>45377</v>
      </c>
      <c r="B87" s="295"/>
      <c r="C87" s="295"/>
      <c r="D87" s="295"/>
      <c r="K87"/>
    </row>
    <row r="88" spans="1:11" x14ac:dyDescent="0.25">
      <c r="A88" s="296">
        <v>45378</v>
      </c>
      <c r="B88" s="295"/>
      <c r="C88" s="295"/>
      <c r="D88" s="295"/>
      <c r="K88"/>
    </row>
    <row r="89" spans="1:11" x14ac:dyDescent="0.25">
      <c r="A89" s="296">
        <v>45379</v>
      </c>
      <c r="B89" s="295"/>
      <c r="C89" s="295"/>
      <c r="D89" s="295"/>
      <c r="K89"/>
    </row>
    <row r="90" spans="1:11" x14ac:dyDescent="0.25">
      <c r="A90" s="296">
        <v>45380</v>
      </c>
      <c r="B90" s="295"/>
      <c r="C90" s="295"/>
      <c r="D90" s="295"/>
      <c r="K90"/>
    </row>
    <row r="91" spans="1:11" x14ac:dyDescent="0.25">
      <c r="A91" s="296">
        <v>45381</v>
      </c>
      <c r="B91" s="295"/>
      <c r="C91" s="295"/>
      <c r="D91" s="295"/>
      <c r="K91"/>
    </row>
    <row r="92" spans="1:11" x14ac:dyDescent="0.25">
      <c r="A92" s="296">
        <v>45382</v>
      </c>
      <c r="B92" s="295"/>
      <c r="C92" s="295"/>
      <c r="D92" s="295"/>
      <c r="K92"/>
    </row>
    <row r="93" spans="1:11" x14ac:dyDescent="0.25">
      <c r="A93" s="296">
        <v>45383</v>
      </c>
      <c r="B93" s="295"/>
      <c r="C93" s="295"/>
      <c r="D93" s="295"/>
      <c r="K93"/>
    </row>
    <row r="94" spans="1:11" x14ac:dyDescent="0.25">
      <c r="A94" s="296">
        <v>45384</v>
      </c>
      <c r="B94" s="295"/>
      <c r="C94" s="295"/>
      <c r="D94" s="295"/>
      <c r="K94"/>
    </row>
    <row r="95" spans="1:11" x14ac:dyDescent="0.25">
      <c r="A95" s="296">
        <v>45385</v>
      </c>
      <c r="B95" s="295"/>
      <c r="C95" s="295"/>
      <c r="D95" s="295"/>
      <c r="K95"/>
    </row>
    <row r="96" spans="1:11" x14ac:dyDescent="0.25">
      <c r="A96" s="296">
        <v>45386</v>
      </c>
      <c r="B96" s="295"/>
      <c r="C96" s="295"/>
      <c r="D96" s="295"/>
    </row>
    <row r="97" spans="1:4" x14ac:dyDescent="0.25">
      <c r="A97" s="296">
        <v>45387</v>
      </c>
      <c r="B97" s="295"/>
      <c r="C97" s="295"/>
      <c r="D97" s="295"/>
    </row>
    <row r="98" spans="1:4" x14ac:dyDescent="0.25">
      <c r="A98" s="296">
        <v>45388</v>
      </c>
      <c r="B98" s="295"/>
      <c r="C98" s="295"/>
      <c r="D98" s="295"/>
    </row>
    <row r="99" spans="1:4" x14ac:dyDescent="0.25">
      <c r="A99" s="296">
        <v>45389</v>
      </c>
      <c r="B99" s="295"/>
      <c r="C99" s="295"/>
      <c r="D99" s="295"/>
    </row>
    <row r="100" spans="1:4" x14ac:dyDescent="0.25">
      <c r="A100" s="296">
        <v>45390</v>
      </c>
      <c r="B100" s="295"/>
      <c r="C100" s="295"/>
      <c r="D100" s="295"/>
    </row>
    <row r="101" spans="1:4" x14ac:dyDescent="0.25">
      <c r="A101" s="296">
        <v>45391</v>
      </c>
      <c r="B101" s="295"/>
      <c r="C101" s="295"/>
      <c r="D101" s="295"/>
    </row>
    <row r="102" spans="1:4" x14ac:dyDescent="0.25">
      <c r="A102" s="296">
        <v>45392</v>
      </c>
      <c r="B102" s="295"/>
      <c r="C102" s="295"/>
      <c r="D102" s="295"/>
    </row>
    <row r="103" spans="1:4" x14ac:dyDescent="0.25">
      <c r="A103" s="296">
        <v>45393</v>
      </c>
      <c r="B103" s="295"/>
      <c r="C103" s="295"/>
      <c r="D103" s="295"/>
    </row>
    <row r="104" spans="1:4" x14ac:dyDescent="0.25">
      <c r="A104" s="296">
        <v>45394</v>
      </c>
      <c r="B104" s="295"/>
      <c r="C104" s="295"/>
      <c r="D104" s="295"/>
    </row>
    <row r="105" spans="1:4" x14ac:dyDescent="0.25">
      <c r="A105" s="296">
        <v>45395</v>
      </c>
      <c r="B105" s="295"/>
      <c r="C105" s="295"/>
      <c r="D105" s="295"/>
    </row>
    <row r="106" spans="1:4" x14ac:dyDescent="0.25">
      <c r="A106" s="296">
        <v>45396</v>
      </c>
      <c r="B106" s="295"/>
      <c r="C106" s="295"/>
      <c r="D106" s="295"/>
    </row>
    <row r="107" spans="1:4" x14ac:dyDescent="0.25">
      <c r="A107" s="296">
        <v>45397</v>
      </c>
      <c r="B107" s="295"/>
      <c r="C107" s="295"/>
      <c r="D107" s="295"/>
    </row>
    <row r="108" spans="1:4" x14ac:dyDescent="0.25">
      <c r="A108" s="296">
        <v>45398</v>
      </c>
      <c r="B108" s="295"/>
      <c r="C108" s="295"/>
      <c r="D108" s="295"/>
    </row>
    <row r="109" spans="1:4" x14ac:dyDescent="0.25">
      <c r="A109" s="296">
        <v>45399</v>
      </c>
      <c r="B109" s="295"/>
      <c r="C109" s="295"/>
      <c r="D109" s="295"/>
    </row>
    <row r="110" spans="1:4" x14ac:dyDescent="0.25">
      <c r="A110" s="296">
        <v>45400</v>
      </c>
      <c r="B110" s="295"/>
      <c r="C110" s="295"/>
      <c r="D110" s="295"/>
    </row>
    <row r="111" spans="1:4" x14ac:dyDescent="0.25">
      <c r="A111" s="296">
        <v>45401</v>
      </c>
      <c r="B111" s="295"/>
      <c r="C111" s="295"/>
      <c r="D111" s="295"/>
    </row>
    <row r="112" spans="1:4" x14ac:dyDescent="0.25">
      <c r="A112" s="296">
        <v>45402</v>
      </c>
      <c r="B112" s="295"/>
      <c r="C112" s="295"/>
      <c r="D112" s="295"/>
    </row>
    <row r="113" spans="1:4" x14ac:dyDescent="0.25">
      <c r="A113" s="296">
        <v>45403</v>
      </c>
      <c r="B113" s="295"/>
      <c r="C113" s="295"/>
      <c r="D113" s="295"/>
    </row>
    <row r="114" spans="1:4" x14ac:dyDescent="0.25">
      <c r="A114" s="296">
        <v>45404</v>
      </c>
      <c r="B114" s="295"/>
      <c r="C114" s="295"/>
      <c r="D114" s="295"/>
    </row>
    <row r="115" spans="1:4" x14ac:dyDescent="0.25">
      <c r="A115" s="296">
        <v>45405</v>
      </c>
      <c r="B115" s="295"/>
      <c r="C115" s="295"/>
      <c r="D115" s="295"/>
    </row>
    <row r="116" spans="1:4" x14ac:dyDescent="0.25">
      <c r="A116" s="296">
        <v>45406</v>
      </c>
      <c r="B116" s="295"/>
      <c r="C116" s="295"/>
      <c r="D116" s="295"/>
    </row>
    <row r="117" spans="1:4" x14ac:dyDescent="0.25">
      <c r="A117" s="296">
        <v>45407</v>
      </c>
      <c r="B117" s="295"/>
      <c r="C117" s="295"/>
      <c r="D117" s="295"/>
    </row>
    <row r="118" spans="1:4" x14ac:dyDescent="0.25">
      <c r="A118" s="296">
        <v>45408</v>
      </c>
      <c r="B118" s="295"/>
      <c r="C118" s="295"/>
      <c r="D118" s="295"/>
    </row>
    <row r="119" spans="1:4" x14ac:dyDescent="0.25">
      <c r="A119" s="296">
        <v>45409</v>
      </c>
      <c r="B119" s="295"/>
      <c r="C119" s="295"/>
      <c r="D119" s="295"/>
    </row>
    <row r="120" spans="1:4" x14ac:dyDescent="0.25">
      <c r="A120" s="296">
        <v>45410</v>
      </c>
      <c r="B120" s="295"/>
      <c r="C120" s="295"/>
      <c r="D120" s="295"/>
    </row>
    <row r="121" spans="1:4" x14ac:dyDescent="0.25">
      <c r="A121" s="296">
        <v>45411</v>
      </c>
      <c r="B121" s="295"/>
      <c r="C121" s="295"/>
      <c r="D121" s="295"/>
    </row>
    <row r="122" spans="1:4" x14ac:dyDescent="0.25">
      <c r="A122" s="296">
        <v>45412</v>
      </c>
      <c r="B122" s="295"/>
      <c r="C122" s="295"/>
      <c r="D122" s="295"/>
    </row>
    <row r="123" spans="1:4" x14ac:dyDescent="0.25">
      <c r="A123" s="296">
        <v>45413</v>
      </c>
      <c r="B123" s="295"/>
      <c r="C123" s="295"/>
      <c r="D123" s="295"/>
    </row>
    <row r="124" spans="1:4" x14ac:dyDescent="0.25">
      <c r="A124" s="296">
        <v>45414</v>
      </c>
      <c r="B124" s="295"/>
      <c r="C124" s="295"/>
      <c r="D124" s="295"/>
    </row>
    <row r="125" spans="1:4" x14ac:dyDescent="0.25">
      <c r="A125" s="296">
        <v>45415</v>
      </c>
      <c r="B125" s="295"/>
      <c r="C125" s="295"/>
      <c r="D125" s="295"/>
    </row>
    <row r="126" spans="1:4" x14ac:dyDescent="0.25">
      <c r="A126" s="296">
        <v>45416</v>
      </c>
      <c r="B126" s="295"/>
      <c r="C126" s="295"/>
      <c r="D126" s="295"/>
    </row>
    <row r="127" spans="1:4" x14ac:dyDescent="0.25">
      <c r="A127" s="296">
        <v>45417</v>
      </c>
      <c r="B127" s="295"/>
      <c r="C127" s="295"/>
      <c r="D127" s="295"/>
    </row>
    <row r="128" spans="1:4" x14ac:dyDescent="0.25">
      <c r="A128" s="296">
        <v>45418</v>
      </c>
      <c r="B128" s="295"/>
      <c r="C128" s="295"/>
      <c r="D128" s="295"/>
    </row>
    <row r="129" spans="1:4" x14ac:dyDescent="0.25">
      <c r="A129" s="296">
        <v>45419</v>
      </c>
      <c r="B129" s="295"/>
      <c r="C129" s="295"/>
      <c r="D129" s="295"/>
    </row>
    <row r="130" spans="1:4" x14ac:dyDescent="0.25">
      <c r="A130" s="296">
        <v>45420</v>
      </c>
      <c r="B130" s="295"/>
      <c r="C130" s="295"/>
      <c r="D130" s="295"/>
    </row>
    <row r="131" spans="1:4" x14ac:dyDescent="0.25">
      <c r="A131" s="296">
        <v>45421</v>
      </c>
      <c r="B131" s="295"/>
      <c r="C131" s="295"/>
      <c r="D131" s="295"/>
    </row>
    <row r="132" spans="1:4" x14ac:dyDescent="0.25">
      <c r="A132" s="296">
        <v>45422</v>
      </c>
      <c r="B132" s="295"/>
      <c r="C132" s="295"/>
      <c r="D132" s="295"/>
    </row>
    <row r="133" spans="1:4" x14ac:dyDescent="0.25">
      <c r="A133" s="296">
        <v>45423</v>
      </c>
      <c r="B133" s="295"/>
      <c r="C133" s="295"/>
      <c r="D133" s="295"/>
    </row>
    <row r="134" spans="1:4" x14ac:dyDescent="0.25">
      <c r="A134" s="296">
        <v>45424</v>
      </c>
      <c r="B134" s="295"/>
      <c r="C134" s="295"/>
      <c r="D134" s="295"/>
    </row>
    <row r="135" spans="1:4" x14ac:dyDescent="0.25">
      <c r="A135" s="296">
        <v>45425</v>
      </c>
      <c r="B135" s="295"/>
      <c r="C135" s="295"/>
      <c r="D135" s="295"/>
    </row>
    <row r="136" spans="1:4" x14ac:dyDescent="0.25">
      <c r="A136" s="296">
        <v>45426</v>
      </c>
      <c r="B136" s="295"/>
      <c r="C136" s="295"/>
      <c r="D136" s="295"/>
    </row>
    <row r="137" spans="1:4" x14ac:dyDescent="0.25">
      <c r="A137" s="296">
        <v>45427</v>
      </c>
      <c r="B137" s="295"/>
      <c r="C137" s="295"/>
      <c r="D137" s="295"/>
    </row>
    <row r="138" spans="1:4" x14ac:dyDescent="0.25">
      <c r="A138" s="296">
        <v>45428</v>
      </c>
      <c r="B138" s="295"/>
      <c r="C138" s="295"/>
      <c r="D138" s="295"/>
    </row>
    <row r="139" spans="1:4" x14ac:dyDescent="0.25">
      <c r="A139" s="296">
        <v>45429</v>
      </c>
      <c r="B139" s="295"/>
      <c r="C139" s="295"/>
      <c r="D139" s="295"/>
    </row>
    <row r="140" spans="1:4" x14ac:dyDescent="0.25">
      <c r="A140" s="296">
        <v>45430</v>
      </c>
      <c r="B140" s="295"/>
      <c r="C140" s="295"/>
      <c r="D140" s="295"/>
    </row>
    <row r="141" spans="1:4" x14ac:dyDescent="0.25">
      <c r="A141" s="296">
        <v>45431</v>
      </c>
      <c r="B141" s="295"/>
      <c r="C141" s="295"/>
      <c r="D141" s="295"/>
    </row>
    <row r="142" spans="1:4" x14ac:dyDescent="0.25">
      <c r="A142" s="296">
        <v>45432</v>
      </c>
      <c r="B142" s="295"/>
      <c r="C142" s="295"/>
      <c r="D142" s="295"/>
    </row>
    <row r="143" spans="1:4" x14ac:dyDescent="0.25">
      <c r="A143" s="296">
        <v>45433</v>
      </c>
      <c r="B143" s="295"/>
      <c r="C143" s="295"/>
      <c r="D143" s="295"/>
    </row>
    <row r="144" spans="1:4" x14ac:dyDescent="0.25">
      <c r="A144" s="296">
        <v>45434</v>
      </c>
      <c r="B144" s="295"/>
      <c r="C144" s="295"/>
      <c r="D144" s="295"/>
    </row>
    <row r="145" spans="1:4" x14ac:dyDescent="0.25">
      <c r="A145" s="296">
        <v>45435</v>
      </c>
      <c r="B145" s="295"/>
      <c r="C145" s="295"/>
      <c r="D145" s="295"/>
    </row>
    <row r="146" spans="1:4" x14ac:dyDescent="0.25">
      <c r="A146" s="296">
        <v>45436</v>
      </c>
      <c r="B146" s="295"/>
      <c r="C146" s="295"/>
      <c r="D146" s="295"/>
    </row>
    <row r="147" spans="1:4" x14ac:dyDescent="0.25">
      <c r="A147" s="296">
        <v>45437</v>
      </c>
      <c r="B147" s="295"/>
      <c r="C147" s="295"/>
      <c r="D147" s="295"/>
    </row>
    <row r="148" spans="1:4" x14ac:dyDescent="0.25">
      <c r="A148" s="296">
        <v>45438</v>
      </c>
      <c r="B148" s="295"/>
      <c r="C148" s="295"/>
      <c r="D148" s="295"/>
    </row>
    <row r="149" spans="1:4" x14ac:dyDescent="0.25">
      <c r="A149" s="296">
        <v>45439</v>
      </c>
      <c r="B149" s="295"/>
      <c r="C149" s="295"/>
      <c r="D149" s="295"/>
    </row>
    <row r="150" spans="1:4" x14ac:dyDescent="0.25">
      <c r="A150" s="296">
        <v>45440</v>
      </c>
      <c r="B150" s="295"/>
      <c r="C150" s="295"/>
      <c r="D150" s="295"/>
    </row>
    <row r="151" spans="1:4" x14ac:dyDescent="0.25">
      <c r="A151" s="296">
        <v>45441</v>
      </c>
      <c r="B151" s="295"/>
      <c r="C151" s="295"/>
      <c r="D151" s="295"/>
    </row>
    <row r="152" spans="1:4" x14ac:dyDescent="0.25">
      <c r="A152" s="296">
        <v>45442</v>
      </c>
      <c r="B152" s="295"/>
      <c r="C152" s="295"/>
      <c r="D152" s="295"/>
    </row>
    <row r="153" spans="1:4" x14ac:dyDescent="0.25">
      <c r="A153" s="296">
        <v>45443</v>
      </c>
      <c r="B153" s="295"/>
      <c r="C153" s="295"/>
      <c r="D153" s="295"/>
    </row>
    <row r="154" spans="1:4" x14ac:dyDescent="0.25">
      <c r="A154" s="296">
        <v>45444</v>
      </c>
      <c r="B154" s="295"/>
      <c r="C154" s="295"/>
      <c r="D154" s="295"/>
    </row>
    <row r="155" spans="1:4" x14ac:dyDescent="0.25">
      <c r="A155" s="296">
        <v>45445</v>
      </c>
      <c r="B155" s="295"/>
      <c r="C155" s="295"/>
      <c r="D155" s="295"/>
    </row>
    <row r="156" spans="1:4" x14ac:dyDescent="0.25">
      <c r="A156" s="296">
        <v>45446</v>
      </c>
      <c r="B156" s="295"/>
      <c r="C156" s="295"/>
      <c r="D156" s="295"/>
    </row>
    <row r="157" spans="1:4" x14ac:dyDescent="0.25">
      <c r="A157" s="296">
        <v>45447</v>
      </c>
      <c r="B157" s="295"/>
      <c r="C157" s="295"/>
      <c r="D157" s="295"/>
    </row>
    <row r="158" spans="1:4" x14ac:dyDescent="0.25">
      <c r="A158" s="296">
        <v>45448</v>
      </c>
      <c r="B158" s="295"/>
      <c r="C158" s="295"/>
      <c r="D158" s="295"/>
    </row>
    <row r="159" spans="1:4" x14ac:dyDescent="0.25">
      <c r="A159" s="296">
        <v>45449</v>
      </c>
      <c r="B159" s="295"/>
      <c r="C159" s="295"/>
      <c r="D159" s="295"/>
    </row>
    <row r="160" spans="1:4" x14ac:dyDescent="0.25">
      <c r="A160" s="296">
        <v>45450</v>
      </c>
      <c r="B160" s="295"/>
      <c r="C160" s="295"/>
      <c r="D160" s="295"/>
    </row>
    <row r="161" spans="1:4" x14ac:dyDescent="0.25">
      <c r="A161" s="296">
        <v>45451</v>
      </c>
      <c r="B161" s="295"/>
      <c r="C161" s="295"/>
      <c r="D161" s="295"/>
    </row>
    <row r="162" spans="1:4" x14ac:dyDescent="0.25">
      <c r="A162" s="296">
        <v>45452</v>
      </c>
      <c r="B162" s="295"/>
      <c r="C162" s="295"/>
      <c r="D162" s="295"/>
    </row>
    <row r="163" spans="1:4" x14ac:dyDescent="0.25">
      <c r="A163" s="296">
        <v>45453</v>
      </c>
      <c r="B163" s="295"/>
      <c r="C163" s="295"/>
      <c r="D163" s="295"/>
    </row>
    <row r="164" spans="1:4" x14ac:dyDescent="0.25">
      <c r="A164" s="296">
        <v>45454</v>
      </c>
      <c r="B164" s="295"/>
      <c r="C164" s="295"/>
      <c r="D164" s="295"/>
    </row>
    <row r="165" spans="1:4" x14ac:dyDescent="0.25">
      <c r="A165" s="296">
        <v>45455</v>
      </c>
      <c r="B165" s="295"/>
      <c r="C165" s="295"/>
      <c r="D165" s="295"/>
    </row>
    <row r="166" spans="1:4" x14ac:dyDescent="0.25">
      <c r="A166" s="296">
        <v>45456</v>
      </c>
      <c r="B166" s="295"/>
      <c r="C166" s="295"/>
      <c r="D166" s="295"/>
    </row>
    <row r="167" spans="1:4" x14ac:dyDescent="0.25">
      <c r="A167" s="296">
        <v>45457</v>
      </c>
      <c r="B167" s="295"/>
      <c r="C167" s="295"/>
      <c r="D167" s="295"/>
    </row>
    <row r="168" spans="1:4" x14ac:dyDescent="0.25">
      <c r="A168" s="296">
        <v>45458</v>
      </c>
      <c r="B168" s="295"/>
      <c r="C168" s="295"/>
      <c r="D168" s="295"/>
    </row>
    <row r="169" spans="1:4" x14ac:dyDescent="0.25">
      <c r="A169" s="296">
        <v>45459</v>
      </c>
      <c r="B169" s="295"/>
      <c r="C169" s="295"/>
      <c r="D169" s="295"/>
    </row>
    <row r="170" spans="1:4" x14ac:dyDescent="0.25">
      <c r="A170" s="296">
        <v>45460</v>
      </c>
      <c r="B170" s="295"/>
      <c r="C170" s="295"/>
      <c r="D170" s="295"/>
    </row>
    <row r="171" spans="1:4" x14ac:dyDescent="0.25">
      <c r="A171" s="296">
        <v>45461</v>
      </c>
      <c r="B171" s="295"/>
      <c r="C171" s="295"/>
      <c r="D171" s="295"/>
    </row>
    <row r="172" spans="1:4" x14ac:dyDescent="0.25">
      <c r="A172" s="296">
        <v>45462</v>
      </c>
      <c r="B172" s="295"/>
      <c r="C172" s="295"/>
      <c r="D172" s="295"/>
    </row>
    <row r="173" spans="1:4" x14ac:dyDescent="0.25">
      <c r="A173" s="296">
        <v>45463</v>
      </c>
      <c r="B173" s="295"/>
      <c r="C173" s="295"/>
      <c r="D173" s="295"/>
    </row>
    <row r="174" spans="1:4" x14ac:dyDescent="0.25">
      <c r="A174" s="296">
        <v>45464</v>
      </c>
      <c r="B174" s="295"/>
      <c r="C174" s="295"/>
      <c r="D174" s="295"/>
    </row>
    <row r="175" spans="1:4" x14ac:dyDescent="0.25">
      <c r="A175" s="296">
        <v>45465</v>
      </c>
      <c r="B175" s="295"/>
      <c r="C175" s="295"/>
      <c r="D175" s="295"/>
    </row>
    <row r="176" spans="1:4" x14ac:dyDescent="0.25">
      <c r="A176" s="296">
        <v>45466</v>
      </c>
      <c r="B176" s="295"/>
      <c r="C176" s="295"/>
      <c r="D176" s="295"/>
    </row>
    <row r="177" spans="1:4" x14ac:dyDescent="0.25">
      <c r="A177" s="296">
        <v>45467</v>
      </c>
      <c r="B177" s="295"/>
      <c r="C177" s="295"/>
      <c r="D177" s="295"/>
    </row>
    <row r="178" spans="1:4" x14ac:dyDescent="0.25">
      <c r="A178" s="296">
        <v>45468</v>
      </c>
      <c r="B178" s="295"/>
      <c r="C178" s="295"/>
      <c r="D178" s="295"/>
    </row>
    <row r="179" spans="1:4" x14ac:dyDescent="0.25">
      <c r="A179" s="296">
        <v>45469</v>
      </c>
      <c r="B179" s="295"/>
      <c r="C179" s="295"/>
      <c r="D179" s="295"/>
    </row>
    <row r="180" spans="1:4" x14ac:dyDescent="0.25">
      <c r="A180" s="296">
        <v>45470</v>
      </c>
      <c r="B180" s="295"/>
      <c r="C180" s="295"/>
      <c r="D180" s="295"/>
    </row>
    <row r="181" spans="1:4" x14ac:dyDescent="0.25">
      <c r="A181" s="296">
        <v>45471</v>
      </c>
      <c r="B181" s="295"/>
      <c r="C181" s="295"/>
      <c r="D181" s="295"/>
    </row>
    <row r="182" spans="1:4" x14ac:dyDescent="0.25">
      <c r="A182" s="296">
        <v>45472</v>
      </c>
      <c r="B182" s="295"/>
      <c r="C182" s="295"/>
      <c r="D182" s="295"/>
    </row>
    <row r="183" spans="1:4" x14ac:dyDescent="0.25">
      <c r="A183" s="296">
        <v>45473</v>
      </c>
      <c r="B183" s="295"/>
      <c r="C183" s="295"/>
      <c r="D183" s="295"/>
    </row>
    <row r="184" spans="1:4" x14ac:dyDescent="0.25">
      <c r="A184" s="296">
        <v>45474</v>
      </c>
      <c r="B184" s="295"/>
      <c r="C184" s="295"/>
      <c r="D184" s="295"/>
    </row>
    <row r="185" spans="1:4" x14ac:dyDescent="0.25">
      <c r="A185" s="296">
        <v>45475</v>
      </c>
      <c r="B185" s="295"/>
      <c r="C185" s="295"/>
      <c r="D185" s="295"/>
    </row>
    <row r="186" spans="1:4" x14ac:dyDescent="0.25">
      <c r="A186" s="296">
        <v>45476</v>
      </c>
      <c r="B186" s="295"/>
      <c r="C186" s="295"/>
      <c r="D186" s="295"/>
    </row>
    <row r="187" spans="1:4" x14ac:dyDescent="0.25">
      <c r="A187" s="296">
        <v>45477</v>
      </c>
      <c r="B187" s="295"/>
      <c r="C187" s="295"/>
      <c r="D187" s="295"/>
    </row>
    <row r="188" spans="1:4" x14ac:dyDescent="0.25">
      <c r="A188" s="296">
        <v>45478</v>
      </c>
      <c r="B188" s="295"/>
      <c r="C188" s="295"/>
      <c r="D188" s="295"/>
    </row>
    <row r="189" spans="1:4" x14ac:dyDescent="0.25">
      <c r="A189" s="296">
        <v>45479</v>
      </c>
      <c r="B189" s="295"/>
      <c r="C189" s="295"/>
      <c r="D189" s="295"/>
    </row>
    <row r="190" spans="1:4" x14ac:dyDescent="0.25">
      <c r="A190" s="296">
        <v>45480</v>
      </c>
      <c r="B190" s="295"/>
      <c r="C190" s="295"/>
      <c r="D190" s="295"/>
    </row>
    <row r="191" spans="1:4" x14ac:dyDescent="0.25">
      <c r="A191" s="296">
        <v>45481</v>
      </c>
      <c r="B191" s="295"/>
      <c r="C191" s="295"/>
      <c r="D191" s="295"/>
    </row>
    <row r="192" spans="1:4" x14ac:dyDescent="0.25">
      <c r="A192" s="296">
        <v>45482</v>
      </c>
      <c r="B192" s="295"/>
      <c r="C192" s="295"/>
      <c r="D192" s="295"/>
    </row>
    <row r="193" spans="1:4" x14ac:dyDescent="0.25">
      <c r="A193" s="296">
        <v>45483</v>
      </c>
      <c r="B193" s="295"/>
      <c r="C193" s="295"/>
      <c r="D193" s="295"/>
    </row>
    <row r="194" spans="1:4" x14ac:dyDescent="0.25">
      <c r="A194" s="296">
        <v>45484</v>
      </c>
      <c r="B194" s="295"/>
      <c r="C194" s="295"/>
      <c r="D194" s="295"/>
    </row>
    <row r="195" spans="1:4" x14ac:dyDescent="0.25">
      <c r="A195" s="296">
        <v>45485</v>
      </c>
      <c r="B195" s="295"/>
      <c r="C195" s="295"/>
      <c r="D195" s="295"/>
    </row>
    <row r="196" spans="1:4" x14ac:dyDescent="0.25">
      <c r="A196" s="296">
        <v>45486</v>
      </c>
      <c r="B196" s="295"/>
      <c r="C196" s="295"/>
      <c r="D196" s="295"/>
    </row>
    <row r="197" spans="1:4" x14ac:dyDescent="0.25">
      <c r="A197" s="296">
        <v>45487</v>
      </c>
      <c r="B197" s="295"/>
      <c r="C197" s="295"/>
      <c r="D197" s="295"/>
    </row>
    <row r="198" spans="1:4" x14ac:dyDescent="0.25">
      <c r="A198" s="296">
        <v>45488</v>
      </c>
      <c r="B198" s="295"/>
      <c r="C198" s="295"/>
      <c r="D198" s="295"/>
    </row>
    <row r="199" spans="1:4" x14ac:dyDescent="0.25">
      <c r="A199" s="296">
        <v>45489</v>
      </c>
      <c r="B199" s="295"/>
      <c r="C199" s="295"/>
      <c r="D199" s="295"/>
    </row>
    <row r="200" spans="1:4" x14ac:dyDescent="0.25">
      <c r="A200" s="296">
        <v>45490</v>
      </c>
      <c r="B200" s="295"/>
      <c r="C200" s="295"/>
      <c r="D200" s="295"/>
    </row>
    <row r="201" spans="1:4" x14ac:dyDescent="0.25">
      <c r="A201" s="296">
        <v>45491</v>
      </c>
      <c r="B201" s="295"/>
      <c r="C201" s="295"/>
      <c r="D201" s="295"/>
    </row>
    <row r="202" spans="1:4" x14ac:dyDescent="0.25">
      <c r="A202" s="296">
        <v>45492</v>
      </c>
      <c r="B202" s="295"/>
      <c r="C202" s="295"/>
      <c r="D202" s="295"/>
    </row>
    <row r="203" spans="1:4" x14ac:dyDescent="0.25">
      <c r="A203" s="296">
        <v>45493</v>
      </c>
      <c r="B203" s="295"/>
      <c r="C203" s="295"/>
      <c r="D203" s="295"/>
    </row>
    <row r="204" spans="1:4" x14ac:dyDescent="0.25">
      <c r="A204" s="296">
        <v>45494</v>
      </c>
      <c r="B204" s="295"/>
      <c r="C204" s="295"/>
      <c r="D204" s="295"/>
    </row>
    <row r="205" spans="1:4" x14ac:dyDescent="0.25">
      <c r="A205" s="296">
        <v>45495</v>
      </c>
      <c r="B205" s="295"/>
      <c r="C205" s="295"/>
      <c r="D205" s="295"/>
    </row>
    <row r="206" spans="1:4" x14ac:dyDescent="0.25">
      <c r="A206" s="296">
        <v>45496</v>
      </c>
      <c r="B206" s="295"/>
      <c r="C206" s="295"/>
      <c r="D206" s="295"/>
    </row>
    <row r="207" spans="1:4" x14ac:dyDescent="0.25">
      <c r="A207" s="296">
        <v>45497</v>
      </c>
      <c r="B207" s="295"/>
      <c r="C207" s="295"/>
      <c r="D207" s="295"/>
    </row>
    <row r="208" spans="1:4" x14ac:dyDescent="0.25">
      <c r="A208" s="296">
        <v>45498</v>
      </c>
      <c r="B208" s="295"/>
      <c r="C208" s="295"/>
      <c r="D208" s="295"/>
    </row>
    <row r="209" spans="1:5" x14ac:dyDescent="0.25">
      <c r="A209" s="296">
        <v>45499</v>
      </c>
      <c r="B209" s="295"/>
      <c r="C209" s="295"/>
      <c r="D209" s="295"/>
    </row>
    <row r="210" spans="1:5" x14ac:dyDescent="0.25">
      <c r="A210" s="296">
        <v>45500</v>
      </c>
      <c r="B210" s="295"/>
      <c r="C210" s="295"/>
      <c r="D210" s="295"/>
    </row>
    <row r="211" spans="1:5" x14ac:dyDescent="0.25">
      <c r="A211" s="296">
        <v>45501</v>
      </c>
      <c r="B211" s="295"/>
      <c r="C211" s="295"/>
      <c r="D211" s="295"/>
    </row>
    <row r="212" spans="1:5" x14ac:dyDescent="0.25">
      <c r="A212" s="296">
        <v>45502</v>
      </c>
      <c r="B212" s="295"/>
      <c r="C212" s="295"/>
      <c r="D212" s="295"/>
    </row>
    <row r="213" spans="1:5" x14ac:dyDescent="0.25">
      <c r="A213" s="296">
        <v>45503</v>
      </c>
      <c r="B213" s="295"/>
      <c r="C213" s="295"/>
      <c r="D213" s="295"/>
      <c r="E213" s="101"/>
    </row>
    <row r="214" spans="1:5" x14ac:dyDescent="0.25">
      <c r="A214" s="296">
        <v>45504</v>
      </c>
    </row>
    <row r="215" spans="1:5" x14ac:dyDescent="0.25">
      <c r="A215" s="296">
        <v>45505</v>
      </c>
      <c r="B215" s="295"/>
      <c r="C215" s="295"/>
      <c r="D215" s="295"/>
    </row>
    <row r="216" spans="1:5" x14ac:dyDescent="0.25">
      <c r="A216" s="296">
        <v>45506</v>
      </c>
      <c r="B216" s="295"/>
      <c r="C216" s="295"/>
      <c r="D216" s="295"/>
    </row>
    <row r="217" spans="1:5" x14ac:dyDescent="0.25">
      <c r="A217" s="296">
        <v>45507</v>
      </c>
      <c r="B217" s="295"/>
      <c r="C217" s="295"/>
      <c r="D217" s="295"/>
    </row>
    <row r="218" spans="1:5" x14ac:dyDescent="0.25">
      <c r="A218" s="296">
        <v>45508</v>
      </c>
      <c r="B218" s="295"/>
      <c r="C218" s="295"/>
      <c r="D218" s="295"/>
    </row>
    <row r="219" spans="1:5" x14ac:dyDescent="0.25">
      <c r="A219" s="296">
        <v>45509</v>
      </c>
      <c r="B219" s="295"/>
      <c r="C219" s="295"/>
      <c r="D219" s="295"/>
    </row>
    <row r="220" spans="1:5" x14ac:dyDescent="0.25">
      <c r="A220" s="296">
        <v>45510</v>
      </c>
      <c r="B220" s="295"/>
      <c r="C220" s="295"/>
      <c r="D220" s="295"/>
    </row>
    <row r="221" spans="1:5" x14ac:dyDescent="0.25">
      <c r="A221" s="296">
        <v>45511</v>
      </c>
      <c r="B221" s="295"/>
      <c r="C221" s="295"/>
      <c r="D221" s="295"/>
    </row>
    <row r="222" spans="1:5" x14ac:dyDescent="0.25">
      <c r="A222" s="296">
        <v>45512</v>
      </c>
      <c r="B222" s="295"/>
      <c r="C222" s="295"/>
      <c r="D222" s="295"/>
    </row>
    <row r="223" spans="1:5" x14ac:dyDescent="0.25">
      <c r="A223" s="296">
        <v>45513</v>
      </c>
      <c r="B223" s="295"/>
      <c r="C223" s="295"/>
      <c r="D223" s="295"/>
    </row>
    <row r="224" spans="1:5" x14ac:dyDescent="0.25">
      <c r="A224" s="296">
        <v>45514</v>
      </c>
      <c r="B224" s="295"/>
      <c r="C224" s="295"/>
      <c r="D224" s="295"/>
    </row>
    <row r="225" spans="1:4" x14ac:dyDescent="0.25">
      <c r="A225" s="296">
        <v>45515</v>
      </c>
      <c r="B225" s="295"/>
      <c r="C225" s="295"/>
      <c r="D225" s="295"/>
    </row>
    <row r="226" spans="1:4" x14ac:dyDescent="0.25">
      <c r="A226" s="296">
        <v>45516</v>
      </c>
      <c r="B226" s="295"/>
      <c r="C226" s="295"/>
      <c r="D226" s="295"/>
    </row>
    <row r="227" spans="1:4" x14ac:dyDescent="0.25">
      <c r="A227" s="296">
        <v>45517</v>
      </c>
      <c r="B227" s="295"/>
      <c r="C227" s="295"/>
      <c r="D227" s="295"/>
    </row>
    <row r="228" spans="1:4" x14ac:dyDescent="0.25">
      <c r="A228" s="296">
        <v>45518</v>
      </c>
      <c r="B228" s="295"/>
      <c r="C228" s="295"/>
      <c r="D228" s="295"/>
    </row>
    <row r="229" spans="1:4" x14ac:dyDescent="0.25">
      <c r="A229" s="296">
        <v>45519</v>
      </c>
      <c r="B229" s="295"/>
      <c r="C229" s="295"/>
      <c r="D229" s="295"/>
    </row>
    <row r="230" spans="1:4" x14ac:dyDescent="0.25">
      <c r="A230" s="296">
        <v>45520</v>
      </c>
      <c r="B230" s="295"/>
      <c r="C230" s="295"/>
      <c r="D230" s="295"/>
    </row>
    <row r="231" spans="1:4" x14ac:dyDescent="0.25">
      <c r="A231" s="296">
        <v>45521</v>
      </c>
      <c r="B231" s="295"/>
      <c r="C231" s="295"/>
      <c r="D231" s="295"/>
    </row>
    <row r="232" spans="1:4" x14ac:dyDescent="0.25">
      <c r="A232" s="296">
        <v>45522</v>
      </c>
      <c r="B232" s="295"/>
      <c r="C232" s="295"/>
      <c r="D232" s="295"/>
    </row>
    <row r="233" spans="1:4" x14ac:dyDescent="0.25">
      <c r="A233" s="296">
        <v>45523</v>
      </c>
      <c r="B233" s="295"/>
      <c r="C233" s="295"/>
      <c r="D233" s="295"/>
    </row>
    <row r="234" spans="1:4" x14ac:dyDescent="0.25">
      <c r="A234" s="296">
        <v>45524</v>
      </c>
      <c r="B234" s="295"/>
      <c r="C234" s="295"/>
      <c r="D234" s="295"/>
    </row>
    <row r="235" spans="1:4" x14ac:dyDescent="0.25">
      <c r="A235" s="296">
        <v>45525</v>
      </c>
      <c r="B235" s="295"/>
      <c r="C235" s="295"/>
      <c r="D235" s="295"/>
    </row>
    <row r="236" spans="1:4" x14ac:dyDescent="0.25">
      <c r="A236" s="296">
        <v>45526</v>
      </c>
      <c r="B236" s="295"/>
      <c r="C236" s="295"/>
      <c r="D236" s="295"/>
    </row>
    <row r="237" spans="1:4" x14ac:dyDescent="0.25">
      <c r="A237" s="296">
        <v>45527</v>
      </c>
      <c r="B237" s="295"/>
      <c r="C237" s="295"/>
      <c r="D237" s="295"/>
    </row>
    <row r="238" spans="1:4" x14ac:dyDescent="0.25">
      <c r="A238" s="296">
        <v>45528</v>
      </c>
      <c r="B238" s="295"/>
      <c r="C238" s="295"/>
      <c r="D238" s="295"/>
    </row>
    <row r="239" spans="1:4" x14ac:dyDescent="0.25">
      <c r="A239" s="296">
        <v>45529</v>
      </c>
      <c r="B239" s="295"/>
      <c r="C239" s="295"/>
      <c r="D239" s="295"/>
    </row>
    <row r="240" spans="1:4" x14ac:dyDescent="0.25">
      <c r="A240" s="296">
        <v>45530</v>
      </c>
      <c r="B240" s="295"/>
      <c r="C240" s="295"/>
      <c r="D240" s="295"/>
    </row>
    <row r="241" spans="1:4" x14ac:dyDescent="0.25">
      <c r="A241" s="296">
        <v>45531</v>
      </c>
      <c r="B241" s="295"/>
      <c r="C241" s="295"/>
      <c r="D241" s="295"/>
    </row>
    <row r="242" spans="1:4" x14ac:dyDescent="0.25">
      <c r="A242" s="296">
        <v>45532</v>
      </c>
      <c r="B242" s="295"/>
      <c r="C242" s="295"/>
      <c r="D242" s="295"/>
    </row>
    <row r="243" spans="1:4" x14ac:dyDescent="0.25">
      <c r="A243" s="296">
        <v>45533</v>
      </c>
      <c r="B243" s="295"/>
      <c r="C243" s="295"/>
      <c r="D243" s="295"/>
    </row>
    <row r="244" spans="1:4" x14ac:dyDescent="0.25">
      <c r="A244" s="296">
        <v>45534</v>
      </c>
      <c r="B244" s="295"/>
      <c r="C244" s="295"/>
      <c r="D244" s="295"/>
    </row>
    <row r="245" spans="1:4" x14ac:dyDescent="0.25">
      <c r="A245" s="296">
        <v>45535</v>
      </c>
      <c r="B245" s="295"/>
      <c r="C245" s="295"/>
      <c r="D245" s="295"/>
    </row>
    <row r="246" spans="1:4" x14ac:dyDescent="0.25">
      <c r="A246" s="296">
        <v>45536</v>
      </c>
      <c r="B246" s="295"/>
      <c r="C246" s="295"/>
      <c r="D246" s="295"/>
    </row>
    <row r="247" spans="1:4" x14ac:dyDescent="0.25">
      <c r="A247" s="296">
        <v>45537</v>
      </c>
      <c r="B247" s="295"/>
      <c r="C247" s="295"/>
      <c r="D247" s="295"/>
    </row>
    <row r="248" spans="1:4" x14ac:dyDescent="0.25">
      <c r="A248" s="296">
        <v>45538</v>
      </c>
      <c r="B248" s="295"/>
      <c r="C248" s="295"/>
      <c r="D248" s="295"/>
    </row>
    <row r="249" spans="1:4" x14ac:dyDescent="0.25">
      <c r="A249" s="296">
        <v>45539</v>
      </c>
      <c r="B249" s="295"/>
      <c r="C249" s="295"/>
      <c r="D249" s="295"/>
    </row>
    <row r="250" spans="1:4" x14ac:dyDescent="0.25">
      <c r="A250" s="296">
        <v>45540</v>
      </c>
      <c r="B250" s="295"/>
      <c r="C250" s="295"/>
      <c r="D250" s="295"/>
    </row>
    <row r="251" spans="1:4" x14ac:dyDescent="0.25">
      <c r="A251" s="296">
        <v>45541</v>
      </c>
      <c r="B251" s="295"/>
      <c r="C251" s="295"/>
      <c r="D251" s="295"/>
    </row>
    <row r="252" spans="1:4" x14ac:dyDescent="0.25">
      <c r="A252" s="296">
        <v>45542</v>
      </c>
      <c r="B252" s="295"/>
      <c r="C252" s="295"/>
      <c r="D252" s="295"/>
    </row>
    <row r="253" spans="1:4" x14ac:dyDescent="0.25">
      <c r="A253" s="296">
        <v>45543</v>
      </c>
      <c r="B253" s="295"/>
      <c r="C253" s="295"/>
      <c r="D253" s="295"/>
    </row>
    <row r="254" spans="1:4" x14ac:dyDescent="0.25">
      <c r="A254" s="296">
        <v>45544</v>
      </c>
      <c r="B254" s="295"/>
      <c r="C254" s="295"/>
      <c r="D254" s="295"/>
    </row>
    <row r="255" spans="1:4" x14ac:dyDescent="0.25">
      <c r="A255" s="296">
        <v>45545</v>
      </c>
      <c r="B255" s="295"/>
      <c r="C255" s="295"/>
      <c r="D255" s="295"/>
    </row>
    <row r="256" spans="1:4" x14ac:dyDescent="0.25">
      <c r="A256" s="296">
        <v>45546</v>
      </c>
      <c r="B256" s="295"/>
      <c r="C256" s="295"/>
      <c r="D256" s="295"/>
    </row>
    <row r="257" spans="1:4" x14ac:dyDescent="0.25">
      <c r="A257" s="296">
        <v>45547</v>
      </c>
      <c r="B257" s="295"/>
      <c r="C257" s="295"/>
      <c r="D257" s="295"/>
    </row>
    <row r="258" spans="1:4" x14ac:dyDescent="0.25">
      <c r="A258" s="296">
        <v>45548</v>
      </c>
      <c r="B258" s="295"/>
      <c r="C258" s="295"/>
      <c r="D258" s="295"/>
    </row>
    <row r="259" spans="1:4" x14ac:dyDescent="0.25">
      <c r="A259" s="296">
        <v>45549</v>
      </c>
      <c r="B259" s="295"/>
      <c r="C259" s="295"/>
      <c r="D259" s="295"/>
    </row>
    <row r="260" spans="1:4" x14ac:dyDescent="0.25">
      <c r="A260" s="296">
        <v>45550</v>
      </c>
      <c r="B260" s="295"/>
      <c r="C260" s="295"/>
      <c r="D260" s="295"/>
    </row>
    <row r="261" spans="1:4" x14ac:dyDescent="0.25">
      <c r="A261" s="296">
        <v>45551</v>
      </c>
      <c r="B261" s="295"/>
      <c r="C261" s="295"/>
      <c r="D261" s="295"/>
    </row>
    <row r="262" spans="1:4" x14ac:dyDescent="0.25">
      <c r="A262" s="296">
        <v>45552</v>
      </c>
      <c r="B262" s="295"/>
      <c r="C262" s="295"/>
      <c r="D262" s="295"/>
    </row>
    <row r="263" spans="1:4" x14ac:dyDescent="0.25">
      <c r="A263" s="296">
        <v>45553</v>
      </c>
      <c r="B263" s="295"/>
      <c r="C263" s="295"/>
      <c r="D263" s="295"/>
    </row>
    <row r="264" spans="1:4" x14ac:dyDescent="0.25">
      <c r="A264" s="296">
        <v>45554</v>
      </c>
      <c r="B264" s="295"/>
      <c r="C264" s="295"/>
      <c r="D264" s="295"/>
    </row>
    <row r="265" spans="1:4" x14ac:dyDescent="0.25">
      <c r="A265" s="296">
        <v>45555</v>
      </c>
      <c r="B265" s="295"/>
      <c r="C265" s="295"/>
      <c r="D265" s="295"/>
    </row>
    <row r="266" spans="1:4" x14ac:dyDescent="0.25">
      <c r="A266" s="296">
        <v>45556</v>
      </c>
      <c r="B266" s="295"/>
      <c r="C266" s="295"/>
      <c r="D266" s="295"/>
    </row>
    <row r="267" spans="1:4" x14ac:dyDescent="0.25">
      <c r="A267" s="296">
        <v>45557</v>
      </c>
      <c r="B267" s="295"/>
      <c r="C267" s="295"/>
      <c r="D267" s="295"/>
    </row>
    <row r="268" spans="1:4" x14ac:dyDescent="0.25">
      <c r="A268" s="296">
        <v>45558</v>
      </c>
      <c r="B268" s="295"/>
      <c r="C268" s="295"/>
      <c r="D268" s="295"/>
    </row>
    <row r="269" spans="1:4" x14ac:dyDescent="0.25">
      <c r="A269" s="296">
        <v>45559</v>
      </c>
      <c r="B269" s="295"/>
      <c r="C269" s="295"/>
      <c r="D269" s="295"/>
    </row>
    <row r="270" spans="1:4" x14ac:dyDescent="0.25">
      <c r="A270" s="296">
        <v>45560</v>
      </c>
      <c r="B270" s="295"/>
      <c r="C270" s="295"/>
      <c r="D270" s="295"/>
    </row>
    <row r="271" spans="1:4" x14ac:dyDescent="0.25">
      <c r="A271" s="296">
        <v>45561</v>
      </c>
      <c r="B271" s="295"/>
      <c r="C271" s="295"/>
      <c r="D271" s="295"/>
    </row>
    <row r="272" spans="1:4" x14ac:dyDescent="0.25">
      <c r="A272" s="296">
        <v>45562</v>
      </c>
      <c r="B272" s="295"/>
      <c r="C272" s="295"/>
      <c r="D272" s="295"/>
    </row>
    <row r="273" spans="1:4" x14ac:dyDescent="0.25">
      <c r="A273" s="296">
        <v>45563</v>
      </c>
      <c r="B273" s="295"/>
      <c r="C273" s="295"/>
      <c r="D273" s="295"/>
    </row>
    <row r="274" spans="1:4" x14ac:dyDescent="0.25">
      <c r="A274" s="296">
        <v>45564</v>
      </c>
      <c r="B274" s="295"/>
      <c r="C274" s="295"/>
      <c r="D274" s="295"/>
    </row>
    <row r="275" spans="1:4" x14ac:dyDescent="0.25">
      <c r="A275" s="296">
        <v>45565</v>
      </c>
      <c r="B275" s="295"/>
      <c r="C275" s="295"/>
      <c r="D275" s="295"/>
    </row>
    <row r="276" spans="1:4" x14ac:dyDescent="0.25">
      <c r="A276" s="296">
        <v>45566</v>
      </c>
      <c r="B276" s="295"/>
      <c r="C276" s="295"/>
      <c r="D276" s="295"/>
    </row>
    <row r="277" spans="1:4" x14ac:dyDescent="0.25">
      <c r="A277" s="296">
        <v>45567</v>
      </c>
      <c r="B277" s="295"/>
      <c r="C277" s="295"/>
      <c r="D277" s="295"/>
    </row>
    <row r="278" spans="1:4" x14ac:dyDescent="0.25">
      <c r="A278" s="296">
        <v>45568</v>
      </c>
      <c r="B278" s="295"/>
      <c r="C278" s="295"/>
      <c r="D278" s="295"/>
    </row>
    <row r="279" spans="1:4" x14ac:dyDescent="0.25">
      <c r="A279" s="296">
        <v>45569</v>
      </c>
      <c r="B279" s="295"/>
      <c r="C279" s="295"/>
      <c r="D279" s="295"/>
    </row>
    <row r="280" spans="1:4" x14ac:dyDescent="0.25">
      <c r="A280" s="296">
        <v>45570</v>
      </c>
      <c r="B280" s="295"/>
      <c r="C280" s="295"/>
      <c r="D280" s="295"/>
    </row>
    <row r="281" spans="1:4" x14ac:dyDescent="0.25">
      <c r="A281" s="296">
        <v>45571</v>
      </c>
      <c r="B281" s="295"/>
      <c r="C281" s="295"/>
      <c r="D281" s="295"/>
    </row>
    <row r="282" spans="1:4" x14ac:dyDescent="0.25">
      <c r="A282" s="296">
        <v>45572</v>
      </c>
      <c r="B282" s="295"/>
      <c r="C282" s="295"/>
      <c r="D282" s="295"/>
    </row>
    <row r="283" spans="1:4" x14ac:dyDescent="0.25">
      <c r="A283" s="296">
        <v>45573</v>
      </c>
      <c r="B283" s="295"/>
      <c r="C283" s="295"/>
      <c r="D283" s="295"/>
    </row>
    <row r="284" spans="1:4" x14ac:dyDescent="0.25">
      <c r="A284" s="296">
        <v>45574</v>
      </c>
      <c r="B284" s="295"/>
      <c r="C284" s="295"/>
      <c r="D284" s="295"/>
    </row>
    <row r="285" spans="1:4" x14ac:dyDescent="0.25">
      <c r="A285" s="296">
        <v>45575</v>
      </c>
      <c r="B285" s="295"/>
      <c r="C285" s="295"/>
      <c r="D285" s="295"/>
    </row>
    <row r="286" spans="1:4" x14ac:dyDescent="0.25">
      <c r="A286" s="296">
        <v>45576</v>
      </c>
      <c r="B286" s="295"/>
      <c r="C286" s="295"/>
      <c r="D286" s="295"/>
    </row>
    <row r="287" spans="1:4" x14ac:dyDescent="0.25">
      <c r="A287" s="296">
        <v>45577</v>
      </c>
      <c r="B287" s="295"/>
      <c r="C287" s="295"/>
      <c r="D287" s="295"/>
    </row>
    <row r="288" spans="1:4" x14ac:dyDescent="0.25">
      <c r="A288" s="296">
        <v>45578</v>
      </c>
      <c r="B288" s="295"/>
      <c r="C288" s="295"/>
      <c r="D288" s="295"/>
    </row>
    <row r="289" spans="1:4" x14ac:dyDescent="0.25">
      <c r="A289" s="296">
        <v>45579</v>
      </c>
      <c r="B289" s="295"/>
      <c r="C289" s="295"/>
      <c r="D289" s="295"/>
    </row>
    <row r="290" spans="1:4" x14ac:dyDescent="0.25">
      <c r="A290" s="296">
        <v>45580</v>
      </c>
      <c r="B290" s="295"/>
      <c r="C290" s="295"/>
      <c r="D290" s="295"/>
    </row>
    <row r="291" spans="1:4" x14ac:dyDescent="0.25">
      <c r="A291" s="296">
        <v>45581</v>
      </c>
      <c r="B291" s="295"/>
      <c r="C291" s="295"/>
      <c r="D291" s="295"/>
    </row>
    <row r="292" spans="1:4" x14ac:dyDescent="0.25">
      <c r="A292" s="296">
        <v>45582</v>
      </c>
      <c r="B292" s="295"/>
      <c r="C292" s="295"/>
      <c r="D292" s="295"/>
    </row>
    <row r="293" spans="1:4" x14ac:dyDescent="0.25">
      <c r="A293" s="296">
        <v>45583</v>
      </c>
      <c r="B293" s="295"/>
      <c r="C293" s="295"/>
      <c r="D293" s="295"/>
    </row>
    <row r="294" spans="1:4" x14ac:dyDescent="0.25">
      <c r="A294" s="296">
        <v>45584</v>
      </c>
      <c r="B294" s="295"/>
      <c r="C294" s="295"/>
      <c r="D294" s="295"/>
    </row>
    <row r="295" spans="1:4" x14ac:dyDescent="0.25">
      <c r="A295" s="296">
        <v>45585</v>
      </c>
      <c r="B295" s="295"/>
      <c r="C295" s="295"/>
      <c r="D295" s="295"/>
    </row>
    <row r="296" spans="1:4" x14ac:dyDescent="0.25">
      <c r="A296" s="296">
        <v>45586</v>
      </c>
      <c r="B296" s="295"/>
      <c r="C296" s="295"/>
      <c r="D296" s="295"/>
    </row>
    <row r="297" spans="1:4" x14ac:dyDescent="0.25">
      <c r="A297" s="296">
        <v>45587</v>
      </c>
      <c r="B297" s="295"/>
      <c r="C297" s="295"/>
      <c r="D297" s="295"/>
    </row>
    <row r="298" spans="1:4" x14ac:dyDescent="0.25">
      <c r="A298" s="296">
        <v>45588</v>
      </c>
      <c r="B298" s="295"/>
      <c r="C298" s="295"/>
      <c r="D298" s="295"/>
    </row>
    <row r="299" spans="1:4" x14ac:dyDescent="0.25">
      <c r="A299" s="296">
        <v>45589</v>
      </c>
      <c r="B299" s="295"/>
      <c r="C299" s="295"/>
      <c r="D299" s="295"/>
    </row>
    <row r="300" spans="1:4" x14ac:dyDescent="0.25">
      <c r="A300" s="296">
        <v>45590</v>
      </c>
      <c r="B300" s="295"/>
      <c r="C300" s="295"/>
      <c r="D300" s="295"/>
    </row>
    <row r="301" spans="1:4" x14ac:dyDescent="0.25">
      <c r="A301" s="296">
        <v>45591</v>
      </c>
      <c r="B301" s="295"/>
      <c r="C301" s="295"/>
      <c r="D301" s="295"/>
    </row>
    <row r="302" spans="1:4" x14ac:dyDescent="0.25">
      <c r="A302" s="296">
        <v>45592</v>
      </c>
      <c r="B302" s="295"/>
      <c r="C302" s="295"/>
      <c r="D302" s="295"/>
    </row>
    <row r="303" spans="1:4" x14ac:dyDescent="0.25">
      <c r="A303" s="296">
        <v>45593</v>
      </c>
      <c r="B303" s="295"/>
      <c r="C303" s="295"/>
      <c r="D303" s="295"/>
    </row>
    <row r="304" spans="1:4" x14ac:dyDescent="0.25">
      <c r="A304" s="296">
        <v>45594</v>
      </c>
      <c r="B304" s="295"/>
      <c r="C304" s="295"/>
      <c r="D304" s="295"/>
    </row>
    <row r="305" spans="1:4" x14ac:dyDescent="0.25">
      <c r="A305" s="296">
        <v>45595</v>
      </c>
      <c r="B305" s="295"/>
      <c r="C305" s="295"/>
      <c r="D305" s="295"/>
    </row>
    <row r="306" spans="1:4" x14ac:dyDescent="0.25">
      <c r="A306" s="296">
        <v>45596</v>
      </c>
      <c r="B306" s="295"/>
      <c r="C306" s="295"/>
      <c r="D306" s="295"/>
    </row>
    <row r="307" spans="1:4" x14ac:dyDescent="0.25">
      <c r="A307" s="296">
        <v>45597</v>
      </c>
      <c r="B307" s="295"/>
      <c r="C307" s="295"/>
      <c r="D307" s="295"/>
    </row>
    <row r="308" spans="1:4" x14ac:dyDescent="0.25">
      <c r="A308" s="296">
        <v>45598</v>
      </c>
      <c r="B308" s="295"/>
      <c r="C308" s="295"/>
      <c r="D308" s="295"/>
    </row>
    <row r="309" spans="1:4" x14ac:dyDescent="0.25">
      <c r="A309" s="296">
        <v>45599</v>
      </c>
      <c r="B309" s="295"/>
      <c r="C309" s="295"/>
      <c r="D309" s="295"/>
    </row>
    <row r="310" spans="1:4" x14ac:dyDescent="0.25">
      <c r="A310" s="296">
        <v>45600</v>
      </c>
      <c r="B310" s="295"/>
      <c r="C310" s="295"/>
      <c r="D310" s="295"/>
    </row>
    <row r="311" spans="1:4" x14ac:dyDescent="0.25">
      <c r="A311" s="296">
        <v>45601</v>
      </c>
      <c r="B311" s="295"/>
      <c r="C311" s="295"/>
      <c r="D311" s="295"/>
    </row>
    <row r="312" spans="1:4" x14ac:dyDescent="0.25">
      <c r="A312" s="296">
        <v>45602</v>
      </c>
      <c r="B312" s="295"/>
      <c r="C312" s="295"/>
      <c r="D312" s="295"/>
    </row>
    <row r="313" spans="1:4" x14ac:dyDescent="0.25">
      <c r="A313" s="296">
        <v>45603</v>
      </c>
      <c r="B313" s="295"/>
      <c r="C313" s="295"/>
      <c r="D313" s="295"/>
    </row>
    <row r="314" spans="1:4" x14ac:dyDescent="0.25">
      <c r="A314" s="296">
        <v>45604</v>
      </c>
      <c r="B314" s="295"/>
      <c r="C314" s="295"/>
      <c r="D314" s="295"/>
    </row>
    <row r="315" spans="1:4" x14ac:dyDescent="0.25">
      <c r="A315" s="296">
        <v>45605</v>
      </c>
      <c r="B315" s="295"/>
      <c r="C315" s="295"/>
      <c r="D315" s="295"/>
    </row>
    <row r="316" spans="1:4" x14ac:dyDescent="0.25">
      <c r="A316" s="296">
        <v>45606</v>
      </c>
      <c r="B316" s="295"/>
      <c r="C316" s="295"/>
      <c r="D316" s="295"/>
    </row>
    <row r="317" spans="1:4" x14ac:dyDescent="0.25">
      <c r="A317" s="296">
        <v>45607</v>
      </c>
      <c r="B317" s="295"/>
      <c r="C317" s="295"/>
      <c r="D317" s="295"/>
    </row>
    <row r="318" spans="1:4" x14ac:dyDescent="0.25">
      <c r="A318" s="296">
        <v>45608</v>
      </c>
      <c r="B318" s="295"/>
      <c r="C318" s="295"/>
      <c r="D318" s="295"/>
    </row>
    <row r="319" spans="1:4" x14ac:dyDescent="0.25">
      <c r="A319" s="296">
        <v>45609</v>
      </c>
      <c r="B319" s="295"/>
      <c r="C319" s="295"/>
      <c r="D319" s="295"/>
    </row>
    <row r="320" spans="1:4" x14ac:dyDescent="0.25">
      <c r="A320" s="296">
        <v>45610</v>
      </c>
      <c r="B320" s="295"/>
      <c r="C320" s="295"/>
      <c r="D320" s="295"/>
    </row>
    <row r="321" spans="1:4" x14ac:dyDescent="0.25">
      <c r="A321" s="296">
        <v>45611</v>
      </c>
      <c r="B321" s="295"/>
      <c r="C321" s="295"/>
      <c r="D321" s="295"/>
    </row>
    <row r="322" spans="1:4" x14ac:dyDescent="0.25">
      <c r="A322" s="296">
        <v>45612</v>
      </c>
      <c r="B322" s="295"/>
      <c r="C322" s="295"/>
      <c r="D322" s="295"/>
    </row>
    <row r="323" spans="1:4" x14ac:dyDescent="0.25">
      <c r="A323" s="296">
        <v>45613</v>
      </c>
      <c r="B323" s="295"/>
      <c r="C323" s="295"/>
      <c r="D323" s="295"/>
    </row>
    <row r="324" spans="1:4" x14ac:dyDescent="0.25">
      <c r="A324" s="296">
        <v>45614</v>
      </c>
      <c r="B324" s="295"/>
      <c r="C324" s="295"/>
      <c r="D324" s="295"/>
    </row>
    <row r="325" spans="1:4" x14ac:dyDescent="0.25">
      <c r="A325" s="296">
        <v>45615</v>
      </c>
      <c r="B325" s="295"/>
      <c r="C325" s="295"/>
      <c r="D325" s="295"/>
    </row>
    <row r="326" spans="1:4" x14ac:dyDescent="0.25">
      <c r="A326" s="296">
        <v>45616</v>
      </c>
      <c r="B326" s="295"/>
      <c r="C326" s="295"/>
      <c r="D326" s="295"/>
    </row>
    <row r="327" spans="1:4" x14ac:dyDescent="0.25">
      <c r="A327" s="296">
        <v>45617</v>
      </c>
      <c r="B327" s="295"/>
      <c r="C327" s="295"/>
      <c r="D327" s="295"/>
    </row>
    <row r="328" spans="1:4" x14ac:dyDescent="0.25">
      <c r="A328" s="296">
        <v>45618</v>
      </c>
      <c r="B328" s="295"/>
      <c r="C328" s="295"/>
      <c r="D328" s="295"/>
    </row>
    <row r="329" spans="1:4" x14ac:dyDescent="0.25">
      <c r="A329" s="296">
        <v>45619</v>
      </c>
      <c r="B329" s="295"/>
      <c r="C329" s="295"/>
      <c r="D329" s="295"/>
    </row>
    <row r="330" spans="1:4" x14ac:dyDescent="0.25">
      <c r="A330" s="296">
        <v>45620</v>
      </c>
      <c r="B330" s="295"/>
      <c r="C330" s="295"/>
      <c r="D330" s="295"/>
    </row>
    <row r="331" spans="1:4" x14ac:dyDescent="0.25">
      <c r="A331" s="296">
        <v>45621</v>
      </c>
      <c r="B331" s="295"/>
      <c r="C331" s="295"/>
      <c r="D331" s="295"/>
    </row>
    <row r="332" spans="1:4" x14ac:dyDescent="0.25">
      <c r="A332" s="296">
        <v>45622</v>
      </c>
      <c r="B332" s="295"/>
      <c r="C332" s="295"/>
      <c r="D332" s="295"/>
    </row>
    <row r="333" spans="1:4" x14ac:dyDescent="0.25">
      <c r="A333" s="296">
        <v>45623</v>
      </c>
      <c r="B333" s="295"/>
      <c r="C333" s="295"/>
      <c r="D333" s="295"/>
    </row>
    <row r="334" spans="1:4" x14ac:dyDescent="0.25">
      <c r="A334" s="296">
        <v>45624</v>
      </c>
      <c r="B334" s="295"/>
      <c r="C334" s="295"/>
      <c r="D334" s="295"/>
    </row>
    <row r="335" spans="1:4" x14ac:dyDescent="0.25">
      <c r="A335" s="296">
        <v>45625</v>
      </c>
      <c r="B335" s="295"/>
      <c r="C335" s="295"/>
      <c r="D335" s="295"/>
    </row>
    <row r="336" spans="1:4" x14ac:dyDescent="0.25">
      <c r="A336" s="296">
        <v>45626</v>
      </c>
      <c r="B336" s="295"/>
      <c r="C336" s="295"/>
      <c r="D336" s="295"/>
    </row>
    <row r="337" spans="1:6" x14ac:dyDescent="0.25">
      <c r="A337" s="296">
        <v>45627</v>
      </c>
      <c r="B337" s="295"/>
      <c r="C337" s="295"/>
      <c r="D337" s="295"/>
    </row>
    <row r="338" spans="1:6" x14ac:dyDescent="0.25">
      <c r="A338" s="11" t="s">
        <v>219</v>
      </c>
      <c r="B338" s="303"/>
      <c r="C338" s="303"/>
      <c r="D338" s="303"/>
    </row>
    <row r="339" spans="1:6" x14ac:dyDescent="0.25">
      <c r="A339" s="25"/>
      <c r="B339" s="304"/>
      <c r="C339" s="304"/>
      <c r="D339" s="304"/>
    </row>
    <row r="340" spans="1:6" x14ac:dyDescent="0.25">
      <c r="A340" s="25"/>
      <c r="B340" s="304"/>
      <c r="C340" s="304"/>
      <c r="D340" s="304"/>
    </row>
    <row r="341" spans="1:6" x14ac:dyDescent="0.25">
      <c r="A341" s="382" t="s">
        <v>130</v>
      </c>
      <c r="B341" s="383"/>
      <c r="C341" s="383"/>
      <c r="D341" s="383"/>
      <c r="E341" s="383"/>
      <c r="F341" s="384"/>
    </row>
    <row r="342" spans="1:6" x14ac:dyDescent="0.25">
      <c r="A342" s="305" t="s">
        <v>23</v>
      </c>
      <c r="B342" s="305" t="s">
        <v>52</v>
      </c>
      <c r="C342" s="305" t="s">
        <v>287</v>
      </c>
      <c r="D342" s="305" t="s">
        <v>288</v>
      </c>
      <c r="E342" s="305" t="s">
        <v>289</v>
      </c>
      <c r="F342" s="306" t="s">
        <v>290</v>
      </c>
    </row>
    <row r="343" spans="1:6" x14ac:dyDescent="0.25">
      <c r="A343" s="296">
        <v>44927</v>
      </c>
      <c r="B343" s="307">
        <v>57336372</v>
      </c>
      <c r="C343" s="307">
        <v>50563334</v>
      </c>
      <c r="D343" s="307">
        <v>6773038</v>
      </c>
      <c r="E343" s="308">
        <v>88.19</v>
      </c>
      <c r="F343" s="2">
        <v>99.39</v>
      </c>
    </row>
    <row r="344" spans="1:6" x14ac:dyDescent="0.25">
      <c r="A344" s="296">
        <v>44928</v>
      </c>
      <c r="B344" s="307">
        <v>77722398</v>
      </c>
      <c r="C344" s="307">
        <v>59461880</v>
      </c>
      <c r="D344" s="307">
        <v>18260518</v>
      </c>
      <c r="E344" s="308">
        <v>76.510000000000005</v>
      </c>
      <c r="F344" s="2">
        <v>98.85</v>
      </c>
    </row>
    <row r="345" spans="1:6" x14ac:dyDescent="0.25">
      <c r="A345" s="296">
        <v>44929</v>
      </c>
      <c r="B345" s="307">
        <v>93467066</v>
      </c>
      <c r="C345" s="307">
        <v>69385885</v>
      </c>
      <c r="D345" s="307">
        <v>24081181</v>
      </c>
      <c r="E345" s="308">
        <v>74.239999999999995</v>
      </c>
      <c r="F345" s="2">
        <v>99.27</v>
      </c>
    </row>
    <row r="346" spans="1:6" x14ac:dyDescent="0.25">
      <c r="A346" s="296">
        <v>44930</v>
      </c>
      <c r="B346" s="307">
        <v>103452868</v>
      </c>
      <c r="C346" s="307">
        <v>75461852</v>
      </c>
      <c r="D346" s="307">
        <v>27991016</v>
      </c>
      <c r="E346" s="308">
        <v>72.94</v>
      </c>
      <c r="F346" s="2">
        <v>99.02</v>
      </c>
    </row>
    <row r="347" spans="1:6" x14ac:dyDescent="0.25">
      <c r="A347" s="296">
        <v>44931</v>
      </c>
      <c r="B347" s="307">
        <v>116103880</v>
      </c>
      <c r="C347" s="307">
        <v>80919716</v>
      </c>
      <c r="D347" s="307">
        <v>35184164</v>
      </c>
      <c r="E347" s="308">
        <v>69.7</v>
      </c>
      <c r="F347" s="2">
        <v>99.17</v>
      </c>
    </row>
    <row r="348" spans="1:6" x14ac:dyDescent="0.25">
      <c r="A348" s="296">
        <v>44932</v>
      </c>
      <c r="B348" s="307"/>
      <c r="C348" s="307"/>
      <c r="D348" s="307"/>
      <c r="E348" s="308"/>
      <c r="F348" s="93"/>
    </row>
    <row r="349" spans="1:6" x14ac:dyDescent="0.25">
      <c r="A349" s="296">
        <v>44933</v>
      </c>
      <c r="B349" s="307"/>
      <c r="C349" s="307"/>
      <c r="D349" s="307"/>
      <c r="E349" s="308"/>
      <c r="F349" s="93"/>
    </row>
    <row r="350" spans="1:6" x14ac:dyDescent="0.25">
      <c r="A350" s="296">
        <v>44934</v>
      </c>
      <c r="B350" s="307"/>
      <c r="C350" s="307"/>
      <c r="D350" s="307"/>
      <c r="E350" s="308"/>
      <c r="F350" s="93"/>
    </row>
    <row r="351" spans="1:6" x14ac:dyDescent="0.25">
      <c r="A351" s="296">
        <v>44935</v>
      </c>
      <c r="B351" s="307"/>
      <c r="C351" s="307"/>
      <c r="D351" s="307"/>
      <c r="E351" s="308"/>
      <c r="F351" s="93"/>
    </row>
    <row r="352" spans="1:6" x14ac:dyDescent="0.25">
      <c r="A352" s="296">
        <v>44936</v>
      </c>
      <c r="B352" s="307">
        <v>94924131</v>
      </c>
      <c r="C352" s="307">
        <v>68698181</v>
      </c>
      <c r="D352" s="307">
        <v>26225950</v>
      </c>
      <c r="E352" s="308">
        <v>72.37</v>
      </c>
      <c r="F352" s="2">
        <v>99.25</v>
      </c>
    </row>
    <row r="353" spans="1:6" x14ac:dyDescent="0.25">
      <c r="A353" s="296">
        <v>44937</v>
      </c>
      <c r="B353" s="307">
        <v>97262783</v>
      </c>
      <c r="C353" s="307">
        <v>69907623</v>
      </c>
      <c r="D353" s="307">
        <v>27355160</v>
      </c>
      <c r="E353" s="308">
        <v>71.87</v>
      </c>
      <c r="F353" s="2">
        <v>98.97</v>
      </c>
    </row>
    <row r="354" spans="1:6" x14ac:dyDescent="0.25">
      <c r="A354" s="296">
        <v>44938</v>
      </c>
      <c r="B354" s="307">
        <v>102402365</v>
      </c>
      <c r="C354" s="307">
        <v>74409367</v>
      </c>
      <c r="D354" s="307">
        <v>27992998</v>
      </c>
      <c r="E354" s="308">
        <v>72.66</v>
      </c>
      <c r="F354" s="2">
        <v>99.05</v>
      </c>
    </row>
    <row r="355" spans="1:6" x14ac:dyDescent="0.25">
      <c r="A355" s="296">
        <v>44939</v>
      </c>
      <c r="B355" s="307">
        <v>105596334</v>
      </c>
      <c r="C355" s="307">
        <v>78049049</v>
      </c>
      <c r="D355" s="307">
        <v>27547285</v>
      </c>
      <c r="E355" s="308">
        <v>73.91</v>
      </c>
      <c r="F355" s="2">
        <v>99.07</v>
      </c>
    </row>
    <row r="356" spans="1:6" x14ac:dyDescent="0.25">
      <c r="A356" s="296">
        <v>44940</v>
      </c>
      <c r="B356" s="307">
        <v>99115326</v>
      </c>
      <c r="C356" s="307">
        <v>73917629</v>
      </c>
      <c r="D356" s="307">
        <v>25197697</v>
      </c>
      <c r="E356" s="308">
        <v>74.58</v>
      </c>
      <c r="F356" s="2">
        <v>99.09</v>
      </c>
    </row>
    <row r="357" spans="1:6" x14ac:dyDescent="0.25">
      <c r="A357" s="296">
        <v>44941</v>
      </c>
      <c r="B357" s="307">
        <v>77590774</v>
      </c>
      <c r="C357" s="307">
        <v>56952415</v>
      </c>
      <c r="D357" s="307">
        <v>20638359</v>
      </c>
      <c r="E357" s="308">
        <v>73.400000000000006</v>
      </c>
      <c r="F357" s="2">
        <v>99</v>
      </c>
    </row>
    <row r="358" spans="1:6" x14ac:dyDescent="0.25">
      <c r="A358" s="296">
        <v>44942</v>
      </c>
      <c r="B358" s="307">
        <v>97824497</v>
      </c>
      <c r="C358" s="307">
        <v>69221546</v>
      </c>
      <c r="D358" s="307">
        <v>28602951</v>
      </c>
      <c r="E358" s="308">
        <v>70.760000000000005</v>
      </c>
      <c r="F358" s="2">
        <v>97.22</v>
      </c>
    </row>
    <row r="359" spans="1:6" x14ac:dyDescent="0.25">
      <c r="A359" s="296">
        <v>44943</v>
      </c>
      <c r="B359" s="307">
        <v>92573162</v>
      </c>
      <c r="C359" s="307">
        <v>65542705</v>
      </c>
      <c r="D359" s="307">
        <v>27030457</v>
      </c>
      <c r="E359" s="308">
        <v>70.8</v>
      </c>
      <c r="F359" s="2">
        <v>97.01</v>
      </c>
    </row>
    <row r="360" spans="1:6" x14ac:dyDescent="0.25">
      <c r="A360" s="296">
        <v>44944</v>
      </c>
      <c r="B360" s="307">
        <v>99865648</v>
      </c>
      <c r="C360" s="307">
        <v>70016739</v>
      </c>
      <c r="D360" s="307">
        <v>29848909</v>
      </c>
      <c r="E360" s="308">
        <v>70.11</v>
      </c>
      <c r="F360" s="2">
        <v>97.07</v>
      </c>
    </row>
    <row r="361" spans="1:6" x14ac:dyDescent="0.25">
      <c r="A361" s="296">
        <v>44945</v>
      </c>
      <c r="B361" s="307">
        <v>111729641</v>
      </c>
      <c r="C361" s="307">
        <v>79154692</v>
      </c>
      <c r="D361" s="307">
        <v>32574949</v>
      </c>
      <c r="E361" s="308">
        <v>70.84</v>
      </c>
      <c r="F361" s="2">
        <v>98.13</v>
      </c>
    </row>
    <row r="362" spans="1:6" x14ac:dyDescent="0.25">
      <c r="A362" s="296">
        <v>44946</v>
      </c>
      <c r="B362" s="307">
        <v>109933809</v>
      </c>
      <c r="C362" s="307">
        <v>79453304</v>
      </c>
      <c r="D362" s="307">
        <v>30480505</v>
      </c>
      <c r="E362" s="308">
        <v>72.27</v>
      </c>
      <c r="F362" s="67">
        <v>100</v>
      </c>
    </row>
    <row r="363" spans="1:6" x14ac:dyDescent="0.25">
      <c r="A363" s="296">
        <v>44947</v>
      </c>
      <c r="B363" s="307">
        <v>105842841</v>
      </c>
      <c r="C363" s="307">
        <v>77468641</v>
      </c>
      <c r="D363" s="307">
        <v>28374200</v>
      </c>
      <c r="E363" s="308">
        <v>73.19</v>
      </c>
      <c r="F363" s="67">
        <v>100</v>
      </c>
    </row>
    <row r="364" spans="1:6" x14ac:dyDescent="0.25">
      <c r="A364" s="296">
        <v>44948</v>
      </c>
      <c r="B364" s="307">
        <v>72648474</v>
      </c>
      <c r="C364" s="307">
        <v>51837530</v>
      </c>
      <c r="D364" s="307">
        <v>20810944</v>
      </c>
      <c r="E364" s="308">
        <v>71.349999999999994</v>
      </c>
      <c r="F364" s="67">
        <v>99.99</v>
      </c>
    </row>
    <row r="365" spans="1:6" x14ac:dyDescent="0.25">
      <c r="A365" s="296">
        <v>44949</v>
      </c>
      <c r="B365" s="307">
        <v>82498677</v>
      </c>
      <c r="C365" s="307">
        <v>58140799</v>
      </c>
      <c r="D365" s="307">
        <v>24357878</v>
      </c>
      <c r="E365" s="308">
        <v>70.47</v>
      </c>
      <c r="F365" s="67">
        <v>99.99</v>
      </c>
    </row>
    <row r="366" spans="1:6" x14ac:dyDescent="0.25">
      <c r="A366" s="296">
        <v>44950</v>
      </c>
      <c r="B366" s="307">
        <v>76796058</v>
      </c>
      <c r="C366" s="307">
        <v>54357894</v>
      </c>
      <c r="D366" s="307">
        <v>22438164</v>
      </c>
      <c r="E366" s="308">
        <v>70.78</v>
      </c>
      <c r="F366" s="67">
        <v>99.85</v>
      </c>
    </row>
    <row r="367" spans="1:6" x14ac:dyDescent="0.25">
      <c r="A367" s="296">
        <v>44951</v>
      </c>
      <c r="B367" s="307">
        <v>100739275</v>
      </c>
      <c r="C367" s="307">
        <v>69400306</v>
      </c>
      <c r="D367" s="307">
        <v>31338969</v>
      </c>
      <c r="E367" s="308">
        <v>68.89</v>
      </c>
      <c r="F367" s="67">
        <v>100</v>
      </c>
    </row>
    <row r="368" spans="1:6" x14ac:dyDescent="0.25">
      <c r="A368" s="296">
        <v>44952</v>
      </c>
      <c r="B368" s="307">
        <v>2283339</v>
      </c>
      <c r="C368" s="307">
        <v>1411666</v>
      </c>
      <c r="D368" s="307">
        <v>871673</v>
      </c>
      <c r="E368" s="308">
        <v>61.82</v>
      </c>
      <c r="F368" s="67">
        <v>99.99</v>
      </c>
    </row>
    <row r="369" spans="1:6" x14ac:dyDescent="0.25">
      <c r="A369" s="296">
        <v>44953</v>
      </c>
      <c r="B369" s="307" t="s">
        <v>89</v>
      </c>
      <c r="C369" s="307" t="s">
        <v>89</v>
      </c>
      <c r="D369" s="307" t="s">
        <v>89</v>
      </c>
      <c r="E369" s="308" t="s">
        <v>89</v>
      </c>
      <c r="F369" s="2" t="s">
        <v>89</v>
      </c>
    </row>
    <row r="370" spans="1:6" x14ac:dyDescent="0.25">
      <c r="A370" s="296">
        <v>44954</v>
      </c>
      <c r="B370" s="307">
        <v>10798548</v>
      </c>
      <c r="C370" s="307">
        <v>6825231</v>
      </c>
      <c r="D370" s="307">
        <v>3973317</v>
      </c>
      <c r="E370" s="308">
        <v>63.21</v>
      </c>
      <c r="F370" s="67">
        <v>63.21</v>
      </c>
    </row>
    <row r="371" spans="1:6" x14ac:dyDescent="0.25">
      <c r="A371" s="296">
        <v>44955</v>
      </c>
      <c r="B371" s="307">
        <v>68630233</v>
      </c>
      <c r="C371" s="307">
        <v>59034425</v>
      </c>
      <c r="D371" s="307">
        <v>9595808</v>
      </c>
      <c r="E371" s="308">
        <v>86.02</v>
      </c>
      <c r="F371" s="67">
        <v>86.02</v>
      </c>
    </row>
    <row r="372" spans="1:6" x14ac:dyDescent="0.25">
      <c r="A372" s="296">
        <v>44956</v>
      </c>
      <c r="B372" s="307">
        <v>94689330</v>
      </c>
      <c r="C372" s="307">
        <v>66819225</v>
      </c>
      <c r="D372" s="307">
        <v>27870105</v>
      </c>
      <c r="E372" s="308">
        <v>70.569999999999993</v>
      </c>
      <c r="F372" s="67">
        <v>70.569999999999993</v>
      </c>
    </row>
    <row r="373" spans="1:6" x14ac:dyDescent="0.25">
      <c r="A373" s="296">
        <v>44957</v>
      </c>
      <c r="B373" s="307">
        <v>91413969</v>
      </c>
      <c r="C373" s="307">
        <v>65948253</v>
      </c>
      <c r="D373" s="307">
        <v>25465716</v>
      </c>
      <c r="E373" s="308">
        <v>72.14</v>
      </c>
      <c r="F373" s="67">
        <v>72.14</v>
      </c>
    </row>
    <row r="374" spans="1:6" x14ac:dyDescent="0.25">
      <c r="A374" s="296">
        <v>44958</v>
      </c>
      <c r="B374" s="307">
        <v>94108940</v>
      </c>
      <c r="C374" s="307">
        <v>68041904</v>
      </c>
      <c r="D374" s="307">
        <v>26067036</v>
      </c>
      <c r="E374" s="308">
        <v>72.3</v>
      </c>
      <c r="F374" s="67">
        <v>72.3</v>
      </c>
    </row>
    <row r="375" spans="1:6" x14ac:dyDescent="0.25">
      <c r="A375" s="296">
        <v>44959</v>
      </c>
      <c r="B375" s="307">
        <v>91357944</v>
      </c>
      <c r="C375" s="307">
        <v>65399302</v>
      </c>
      <c r="D375" s="307">
        <v>25958642</v>
      </c>
      <c r="E375" s="308">
        <v>71.59</v>
      </c>
      <c r="F375" s="67">
        <v>85.61</v>
      </c>
    </row>
    <row r="376" spans="1:6" x14ac:dyDescent="0.25">
      <c r="A376" s="296">
        <v>44960</v>
      </c>
      <c r="B376" s="307">
        <v>94352199</v>
      </c>
      <c r="C376" s="307">
        <v>69969898</v>
      </c>
      <c r="D376" s="307">
        <v>24382301</v>
      </c>
      <c r="E376" s="308">
        <v>74.16</v>
      </c>
      <c r="F376" s="67">
        <v>97.24</v>
      </c>
    </row>
    <row r="377" spans="1:6" x14ac:dyDescent="0.25">
      <c r="A377" s="296">
        <v>44961</v>
      </c>
      <c r="B377" s="307">
        <v>88249642</v>
      </c>
      <c r="C377" s="307">
        <v>64847562</v>
      </c>
      <c r="D377" s="307">
        <v>23402080</v>
      </c>
      <c r="E377" s="308">
        <v>73.48</v>
      </c>
      <c r="F377" s="67">
        <v>98.8</v>
      </c>
    </row>
    <row r="378" spans="1:6" x14ac:dyDescent="0.25">
      <c r="A378" s="296">
        <v>44962</v>
      </c>
      <c r="B378" s="307">
        <v>77473754</v>
      </c>
      <c r="C378" s="307">
        <v>56405690</v>
      </c>
      <c r="D378" s="307">
        <v>21068064</v>
      </c>
      <c r="E378" s="308">
        <v>72.81</v>
      </c>
      <c r="F378" s="67">
        <v>98.75</v>
      </c>
    </row>
    <row r="379" spans="1:6" x14ac:dyDescent="0.25">
      <c r="A379" s="296">
        <v>44963</v>
      </c>
      <c r="B379" s="307">
        <v>84874808</v>
      </c>
      <c r="C379" s="307">
        <v>60828651</v>
      </c>
      <c r="D379" s="307">
        <v>24046157</v>
      </c>
      <c r="E379" s="308">
        <v>71.67</v>
      </c>
      <c r="F379" s="67">
        <v>96.95</v>
      </c>
    </row>
    <row r="380" spans="1:6" x14ac:dyDescent="0.25">
      <c r="A380" s="296">
        <v>44964</v>
      </c>
      <c r="B380" s="307">
        <v>85925640</v>
      </c>
      <c r="C380" s="307">
        <v>62603570</v>
      </c>
      <c r="D380" s="307">
        <v>23322070</v>
      </c>
      <c r="E380" s="308">
        <v>72.86</v>
      </c>
      <c r="F380" s="67">
        <v>98.82</v>
      </c>
    </row>
    <row r="381" spans="1:6" x14ac:dyDescent="0.25">
      <c r="A381" s="296">
        <v>44965</v>
      </c>
      <c r="B381" s="307">
        <v>87358101</v>
      </c>
      <c r="C381" s="307">
        <v>62528707</v>
      </c>
      <c r="D381" s="307">
        <v>24829394</v>
      </c>
      <c r="E381" s="308">
        <v>71.58</v>
      </c>
      <c r="F381" s="67">
        <v>97.9</v>
      </c>
    </row>
    <row r="382" spans="1:6" x14ac:dyDescent="0.25">
      <c r="A382" s="296">
        <v>44966</v>
      </c>
      <c r="B382" s="307">
        <v>116145970</v>
      </c>
      <c r="C382" s="307">
        <v>82765706</v>
      </c>
      <c r="D382" s="307">
        <v>33380264</v>
      </c>
      <c r="E382" s="308">
        <v>71.260000000000005</v>
      </c>
      <c r="F382" s="67">
        <v>97.59</v>
      </c>
    </row>
    <row r="383" spans="1:6" x14ac:dyDescent="0.25">
      <c r="A383" s="296">
        <v>44967</v>
      </c>
      <c r="B383" s="307">
        <v>106169520</v>
      </c>
      <c r="C383" s="307">
        <v>80046641</v>
      </c>
      <c r="D383" s="307">
        <v>26122879</v>
      </c>
      <c r="E383" s="308">
        <v>75.400000000000006</v>
      </c>
      <c r="F383" s="67">
        <v>98.85</v>
      </c>
    </row>
    <row r="384" spans="1:6" x14ac:dyDescent="0.25">
      <c r="A384" s="296">
        <v>44968</v>
      </c>
      <c r="B384" s="307">
        <v>95978057</v>
      </c>
      <c r="C384" s="307">
        <v>71189325</v>
      </c>
      <c r="D384" s="307">
        <v>24788732</v>
      </c>
      <c r="E384" s="308">
        <v>74.17</v>
      </c>
      <c r="F384" s="67">
        <v>98.79</v>
      </c>
    </row>
    <row r="385" spans="1:6" x14ac:dyDescent="0.25">
      <c r="A385" s="296">
        <v>44969</v>
      </c>
      <c r="B385" s="307">
        <v>80021676</v>
      </c>
      <c r="C385" s="307">
        <v>58877926</v>
      </c>
      <c r="D385" s="307">
        <v>21143750</v>
      </c>
      <c r="E385" s="308">
        <v>73.58</v>
      </c>
      <c r="F385" s="67">
        <v>98.8</v>
      </c>
    </row>
    <row r="386" spans="1:6" x14ac:dyDescent="0.25">
      <c r="A386" s="296">
        <v>44970</v>
      </c>
      <c r="B386" s="307">
        <v>95765462</v>
      </c>
      <c r="C386" s="307">
        <v>69844779</v>
      </c>
      <c r="D386" s="307">
        <v>25920683</v>
      </c>
      <c r="E386" s="308">
        <v>72.930000000000007</v>
      </c>
      <c r="F386" s="67">
        <v>98.93</v>
      </c>
    </row>
    <row r="387" spans="1:6" x14ac:dyDescent="0.25">
      <c r="A387" s="296">
        <v>44971</v>
      </c>
      <c r="B387" s="307">
        <v>98058337</v>
      </c>
      <c r="C387" s="307">
        <v>70904801</v>
      </c>
      <c r="D387" s="307">
        <v>27153536</v>
      </c>
      <c r="E387" s="308">
        <v>72.31</v>
      </c>
      <c r="F387" s="67">
        <v>98.87</v>
      </c>
    </row>
    <row r="388" spans="1:6" x14ac:dyDescent="0.25">
      <c r="A388" s="296">
        <v>44972</v>
      </c>
      <c r="B388" s="307">
        <v>92868892</v>
      </c>
      <c r="C388" s="307">
        <v>65905391</v>
      </c>
      <c r="D388" s="307">
        <v>26963501</v>
      </c>
      <c r="E388" s="308">
        <v>70.97</v>
      </c>
      <c r="F388" s="67">
        <v>98.85</v>
      </c>
    </row>
    <row r="389" spans="1:6" x14ac:dyDescent="0.25">
      <c r="A389" s="296">
        <v>44973</v>
      </c>
      <c r="B389" s="307">
        <v>90709746</v>
      </c>
      <c r="C389" s="307">
        <v>66255574</v>
      </c>
      <c r="D389" s="307">
        <v>24454172</v>
      </c>
      <c r="E389" s="308">
        <v>73.040000000000006</v>
      </c>
      <c r="F389" s="67">
        <v>98.89</v>
      </c>
    </row>
    <row r="390" spans="1:6" x14ac:dyDescent="0.25">
      <c r="A390" s="296">
        <v>44974</v>
      </c>
      <c r="B390" s="307">
        <v>96035248</v>
      </c>
      <c r="C390" s="307">
        <v>69545403</v>
      </c>
      <c r="D390" s="307">
        <v>26489845</v>
      </c>
      <c r="E390" s="308">
        <v>72.42</v>
      </c>
      <c r="F390" s="67">
        <v>98.84</v>
      </c>
    </row>
    <row r="391" spans="1:6" x14ac:dyDescent="0.25">
      <c r="A391" s="296">
        <v>44975</v>
      </c>
      <c r="B391" s="307">
        <v>90934463</v>
      </c>
      <c r="C391" s="307">
        <v>67750926</v>
      </c>
      <c r="D391" s="307">
        <v>23183537</v>
      </c>
      <c r="E391" s="308">
        <v>74.510000000000005</v>
      </c>
      <c r="F391" s="67">
        <v>98.81</v>
      </c>
    </row>
    <row r="392" spans="1:6" x14ac:dyDescent="0.25">
      <c r="A392" s="296">
        <v>44976</v>
      </c>
      <c r="B392" s="307">
        <v>61745553</v>
      </c>
      <c r="C392" s="307">
        <v>47380215</v>
      </c>
      <c r="D392" s="307">
        <v>14365338</v>
      </c>
      <c r="E392" s="308">
        <v>76.73</v>
      </c>
      <c r="F392" s="67">
        <v>98.83</v>
      </c>
    </row>
    <row r="393" spans="1:6" x14ac:dyDescent="0.25">
      <c r="A393" s="296">
        <v>44977</v>
      </c>
      <c r="B393" s="307">
        <v>60196950</v>
      </c>
      <c r="C393" s="307">
        <v>49956170</v>
      </c>
      <c r="D393" s="307">
        <v>10240780</v>
      </c>
      <c r="E393" s="308">
        <v>82.99</v>
      </c>
      <c r="F393" s="67">
        <v>99.29</v>
      </c>
    </row>
    <row r="394" spans="1:6" x14ac:dyDescent="0.25">
      <c r="A394" s="296">
        <v>44978</v>
      </c>
      <c r="B394" s="307">
        <v>98287588</v>
      </c>
      <c r="C394" s="307">
        <v>71276423</v>
      </c>
      <c r="D394" s="307">
        <v>27011165</v>
      </c>
      <c r="E394" s="308">
        <v>72.52</v>
      </c>
      <c r="F394" s="67">
        <v>98.87</v>
      </c>
    </row>
    <row r="395" spans="1:6" x14ac:dyDescent="0.25">
      <c r="A395" s="296">
        <v>44979</v>
      </c>
      <c r="B395" s="307">
        <v>93115826</v>
      </c>
      <c r="C395" s="307">
        <v>67684717</v>
      </c>
      <c r="D395" s="307">
        <v>25431109</v>
      </c>
      <c r="E395" s="308">
        <v>72.69</v>
      </c>
      <c r="F395" s="67">
        <v>98.96</v>
      </c>
    </row>
    <row r="396" spans="1:6" x14ac:dyDescent="0.25">
      <c r="A396" s="296">
        <v>44980</v>
      </c>
      <c r="B396" s="307">
        <v>104414393</v>
      </c>
      <c r="C396" s="307">
        <v>72354394</v>
      </c>
      <c r="D396" s="307">
        <v>32059999</v>
      </c>
      <c r="E396" s="308">
        <v>69.3</v>
      </c>
      <c r="F396" s="67">
        <v>98.72</v>
      </c>
    </row>
    <row r="397" spans="1:6" x14ac:dyDescent="0.25">
      <c r="A397" s="296">
        <v>44981</v>
      </c>
      <c r="B397" s="307">
        <v>10137725</v>
      </c>
      <c r="C397" s="307">
        <v>9690576</v>
      </c>
      <c r="D397" s="307">
        <v>447149</v>
      </c>
      <c r="E397" s="308">
        <v>95.59</v>
      </c>
      <c r="F397" s="67">
        <v>98.74</v>
      </c>
    </row>
    <row r="398" spans="1:6" x14ac:dyDescent="0.25">
      <c r="A398" s="296">
        <v>44982</v>
      </c>
      <c r="B398" s="307">
        <v>9964166</v>
      </c>
      <c r="C398" s="307">
        <v>9466328</v>
      </c>
      <c r="D398" s="307">
        <v>497838</v>
      </c>
      <c r="E398" s="308">
        <v>95</v>
      </c>
      <c r="F398" s="67">
        <v>97.85</v>
      </c>
    </row>
    <row r="399" spans="1:6" x14ac:dyDescent="0.25">
      <c r="A399" s="296">
        <v>44983</v>
      </c>
      <c r="B399" s="307">
        <v>8661733</v>
      </c>
      <c r="C399" s="307">
        <v>8285759</v>
      </c>
      <c r="D399" s="307">
        <v>375974</v>
      </c>
      <c r="E399" s="308">
        <v>95.66</v>
      </c>
      <c r="F399" s="67">
        <v>98.86</v>
      </c>
    </row>
    <row r="400" spans="1:6" x14ac:dyDescent="0.25">
      <c r="A400" s="296">
        <v>44984</v>
      </c>
      <c r="B400" s="307">
        <v>9777709</v>
      </c>
      <c r="C400" s="307">
        <v>9502569</v>
      </c>
      <c r="D400" s="307">
        <v>275140</v>
      </c>
      <c r="E400" s="308">
        <v>97.19</v>
      </c>
      <c r="F400" s="67">
        <v>98.85</v>
      </c>
    </row>
    <row r="401" spans="1:6" x14ac:dyDescent="0.25">
      <c r="A401" s="296">
        <v>44985</v>
      </c>
      <c r="B401" s="307">
        <v>10230980</v>
      </c>
      <c r="C401" s="307">
        <v>9739476</v>
      </c>
      <c r="D401" s="307">
        <v>491504</v>
      </c>
      <c r="E401" s="308">
        <v>95.2</v>
      </c>
      <c r="F401" s="67">
        <v>96.78</v>
      </c>
    </row>
    <row r="402" spans="1:6" x14ac:dyDescent="0.25">
      <c r="A402" s="296">
        <v>44986</v>
      </c>
      <c r="B402" s="307">
        <v>10206932</v>
      </c>
      <c r="C402" s="307">
        <v>9769483</v>
      </c>
      <c r="D402" s="307">
        <v>437449</v>
      </c>
      <c r="E402" s="308">
        <v>95.71</v>
      </c>
      <c r="F402" s="67">
        <v>98.56</v>
      </c>
    </row>
    <row r="403" spans="1:6" x14ac:dyDescent="0.25">
      <c r="A403" s="296">
        <v>44987</v>
      </c>
      <c r="B403" s="307">
        <v>9935965</v>
      </c>
      <c r="C403" s="307">
        <v>9466204</v>
      </c>
      <c r="D403" s="307">
        <v>469761</v>
      </c>
      <c r="E403" s="308">
        <v>95.27</v>
      </c>
      <c r="F403" s="67">
        <v>99</v>
      </c>
    </row>
    <row r="404" spans="1:6" x14ac:dyDescent="0.25">
      <c r="A404" s="296">
        <v>44988</v>
      </c>
      <c r="B404" s="307">
        <v>10235639</v>
      </c>
      <c r="C404" s="307">
        <v>9624979</v>
      </c>
      <c r="D404" s="307">
        <v>610660</v>
      </c>
      <c r="E404" s="308">
        <v>94.03</v>
      </c>
      <c r="F404" s="67">
        <v>90.18</v>
      </c>
    </row>
    <row r="405" spans="1:6" x14ac:dyDescent="0.25">
      <c r="A405" s="296">
        <v>44989</v>
      </c>
      <c r="B405" s="307">
        <v>10296973</v>
      </c>
      <c r="C405" s="307">
        <v>9913587</v>
      </c>
      <c r="D405" s="307">
        <v>383386</v>
      </c>
      <c r="E405" s="308">
        <v>96.28</v>
      </c>
      <c r="F405" s="67">
        <v>99.01</v>
      </c>
    </row>
    <row r="406" spans="1:6" x14ac:dyDescent="0.25">
      <c r="A406" s="296">
        <v>44990</v>
      </c>
      <c r="B406" s="307">
        <v>10239561</v>
      </c>
      <c r="C406" s="307">
        <v>9865691</v>
      </c>
      <c r="D406" s="307">
        <v>373870</v>
      </c>
      <c r="E406" s="308">
        <v>96.35</v>
      </c>
      <c r="F406" s="67">
        <v>99.05</v>
      </c>
    </row>
    <row r="407" spans="1:6" x14ac:dyDescent="0.25">
      <c r="A407" s="296">
        <v>44991</v>
      </c>
      <c r="B407" s="307">
        <v>10282430</v>
      </c>
      <c r="C407" s="307">
        <v>9935119</v>
      </c>
      <c r="D407" s="307">
        <v>347311</v>
      </c>
      <c r="E407" s="308">
        <v>96.62</v>
      </c>
      <c r="F407" s="67">
        <v>99.05</v>
      </c>
    </row>
    <row r="408" spans="1:6" x14ac:dyDescent="0.25">
      <c r="A408" s="296">
        <v>44992</v>
      </c>
      <c r="B408" s="307">
        <v>10233431</v>
      </c>
      <c r="C408" s="307">
        <v>9735380</v>
      </c>
      <c r="D408" s="307">
        <v>498051</v>
      </c>
      <c r="E408" s="308">
        <v>95.13</v>
      </c>
      <c r="F408" s="67">
        <v>99.11</v>
      </c>
    </row>
    <row r="409" spans="1:6" x14ac:dyDescent="0.25">
      <c r="A409" s="296">
        <v>44993</v>
      </c>
      <c r="B409" s="307">
        <v>10172715</v>
      </c>
      <c r="C409" s="307">
        <v>9695927</v>
      </c>
      <c r="D409" s="307">
        <v>476788</v>
      </c>
      <c r="E409" s="308">
        <v>95.31</v>
      </c>
      <c r="F409" s="67">
        <v>99.05</v>
      </c>
    </row>
    <row r="410" spans="1:6" x14ac:dyDescent="0.25">
      <c r="A410" s="296">
        <v>44994</v>
      </c>
      <c r="B410" s="307">
        <v>9816280</v>
      </c>
      <c r="C410" s="307">
        <v>9339106</v>
      </c>
      <c r="D410" s="307">
        <v>477174</v>
      </c>
      <c r="E410" s="308">
        <v>95.14</v>
      </c>
      <c r="F410" s="67">
        <v>98.94</v>
      </c>
    </row>
    <row r="411" spans="1:6" x14ac:dyDescent="0.25">
      <c r="A411" s="296">
        <v>44995</v>
      </c>
      <c r="B411" s="307">
        <v>10250440</v>
      </c>
      <c r="C411" s="307">
        <v>9689784</v>
      </c>
      <c r="D411" s="307">
        <v>560656</v>
      </c>
      <c r="E411" s="308">
        <v>94.53</v>
      </c>
      <c r="F411" s="67">
        <v>98.95</v>
      </c>
    </row>
    <row r="412" spans="1:6" x14ac:dyDescent="0.25">
      <c r="A412" s="296">
        <v>44996</v>
      </c>
      <c r="B412" s="307">
        <v>10278878</v>
      </c>
      <c r="C412" s="307">
        <v>9857006</v>
      </c>
      <c r="D412" s="307">
        <v>421872</v>
      </c>
      <c r="E412" s="308">
        <v>95.9</v>
      </c>
      <c r="F412" s="67">
        <v>99.07</v>
      </c>
    </row>
    <row r="413" spans="1:6" x14ac:dyDescent="0.25">
      <c r="A413" s="296">
        <v>44997</v>
      </c>
      <c r="B413" s="307">
        <v>10045707</v>
      </c>
      <c r="C413" s="307">
        <v>9621182</v>
      </c>
      <c r="D413" s="307">
        <v>424525</v>
      </c>
      <c r="E413" s="308">
        <v>95.77</v>
      </c>
      <c r="F413" s="67">
        <v>98.96</v>
      </c>
    </row>
    <row r="414" spans="1:6" x14ac:dyDescent="0.25">
      <c r="A414" s="296">
        <v>44998</v>
      </c>
      <c r="B414" s="307">
        <v>10003026</v>
      </c>
      <c r="C414" s="307">
        <v>9686619</v>
      </c>
      <c r="D414" s="307">
        <v>316407</v>
      </c>
      <c r="E414" s="308">
        <v>96.84</v>
      </c>
      <c r="F414" s="67">
        <v>99</v>
      </c>
    </row>
    <row r="415" spans="1:6" x14ac:dyDescent="0.25">
      <c r="A415" s="296">
        <v>44999</v>
      </c>
      <c r="B415" s="307">
        <v>10067990</v>
      </c>
      <c r="C415" s="307">
        <v>9616129</v>
      </c>
      <c r="D415" s="307">
        <v>451861</v>
      </c>
      <c r="E415" s="308">
        <v>95.51</v>
      </c>
      <c r="F415" s="67">
        <v>99.01</v>
      </c>
    </row>
    <row r="416" spans="1:6" x14ac:dyDescent="0.25">
      <c r="A416" s="296">
        <v>45000</v>
      </c>
      <c r="B416" s="307">
        <v>10100804</v>
      </c>
      <c r="C416" s="307">
        <v>9642751</v>
      </c>
      <c r="D416" s="307">
        <v>458053</v>
      </c>
      <c r="E416" s="308">
        <v>95.47</v>
      </c>
      <c r="F416" s="67">
        <v>98.95</v>
      </c>
    </row>
    <row r="417" spans="1:6" x14ac:dyDescent="0.25">
      <c r="A417" s="296">
        <v>45001</v>
      </c>
      <c r="B417" s="307">
        <v>10274769</v>
      </c>
      <c r="C417" s="307">
        <v>9845945</v>
      </c>
      <c r="D417" s="307">
        <v>428824</v>
      </c>
      <c r="E417" s="308">
        <v>95.83</v>
      </c>
      <c r="F417" s="67">
        <v>99</v>
      </c>
    </row>
    <row r="418" spans="1:6" x14ac:dyDescent="0.25">
      <c r="A418" s="296">
        <v>45002</v>
      </c>
      <c r="B418" s="307">
        <v>107417165</v>
      </c>
      <c r="C418" s="307">
        <v>75627451</v>
      </c>
      <c r="D418" s="307">
        <v>31789714</v>
      </c>
      <c r="E418" s="308">
        <v>70.41</v>
      </c>
      <c r="F418" s="2">
        <v>98.74</v>
      </c>
    </row>
    <row r="419" spans="1:6" x14ac:dyDescent="0.25">
      <c r="A419" s="296">
        <v>45003</v>
      </c>
      <c r="B419" s="307">
        <v>103559756</v>
      </c>
      <c r="C419" s="307">
        <v>73089774</v>
      </c>
      <c r="D419" s="307">
        <v>30469982</v>
      </c>
      <c r="E419" s="308">
        <v>70.58</v>
      </c>
      <c r="F419" s="2">
        <v>99.01</v>
      </c>
    </row>
    <row r="420" spans="1:6" x14ac:dyDescent="0.25">
      <c r="A420" s="296">
        <v>45004</v>
      </c>
      <c r="B420" s="307">
        <v>83226952</v>
      </c>
      <c r="C420" s="307">
        <v>59651168</v>
      </c>
      <c r="D420" s="307">
        <v>23575784</v>
      </c>
      <c r="E420" s="308">
        <v>71.67</v>
      </c>
      <c r="F420" s="2">
        <v>99.06</v>
      </c>
    </row>
    <row r="421" spans="1:6" x14ac:dyDescent="0.25">
      <c r="A421" s="296">
        <v>45005</v>
      </c>
      <c r="B421" s="307">
        <v>104580905</v>
      </c>
      <c r="C421" s="307">
        <v>71895146</v>
      </c>
      <c r="D421" s="307">
        <v>32685759</v>
      </c>
      <c r="E421" s="308">
        <v>68.75</v>
      </c>
      <c r="F421" s="2">
        <v>99</v>
      </c>
    </row>
    <row r="422" spans="1:6" x14ac:dyDescent="0.25">
      <c r="A422" s="296">
        <v>45006</v>
      </c>
      <c r="B422" s="307">
        <v>101589320</v>
      </c>
      <c r="C422" s="307">
        <v>69321374</v>
      </c>
      <c r="D422" s="307">
        <v>32267946</v>
      </c>
      <c r="E422" s="308">
        <v>68.239999999999995</v>
      </c>
      <c r="F422" s="2">
        <v>99.07</v>
      </c>
    </row>
    <row r="423" spans="1:6" x14ac:dyDescent="0.25">
      <c r="A423" s="296">
        <v>45007</v>
      </c>
      <c r="B423" s="307">
        <v>104851000</v>
      </c>
      <c r="C423" s="307">
        <v>74214534</v>
      </c>
      <c r="D423" s="307">
        <v>30636466</v>
      </c>
      <c r="E423" s="308">
        <v>70.78</v>
      </c>
      <c r="F423" s="2">
        <v>98.94</v>
      </c>
    </row>
    <row r="424" spans="1:6" x14ac:dyDescent="0.25">
      <c r="A424" s="296">
        <v>45008</v>
      </c>
      <c r="B424" s="307">
        <v>108262844</v>
      </c>
      <c r="C424" s="307">
        <v>74557031</v>
      </c>
      <c r="D424" s="307">
        <v>33705813</v>
      </c>
      <c r="E424" s="308">
        <v>68.87</v>
      </c>
      <c r="F424" s="2">
        <v>98.85</v>
      </c>
    </row>
    <row r="425" spans="1:6" x14ac:dyDescent="0.25">
      <c r="A425" s="296">
        <v>45009</v>
      </c>
      <c r="B425" s="307">
        <v>102977460</v>
      </c>
      <c r="C425" s="307">
        <v>73831549</v>
      </c>
      <c r="D425" s="307">
        <v>29145911</v>
      </c>
      <c r="E425" s="308">
        <v>71.7</v>
      </c>
      <c r="F425" s="2">
        <v>99.08</v>
      </c>
    </row>
    <row r="426" spans="1:6" x14ac:dyDescent="0.25">
      <c r="A426" s="296">
        <v>45010</v>
      </c>
      <c r="B426" s="307">
        <v>101514418</v>
      </c>
      <c r="C426" s="307">
        <v>70606893</v>
      </c>
      <c r="D426" s="307">
        <v>30907525</v>
      </c>
      <c r="E426" s="308">
        <v>69.55</v>
      </c>
      <c r="F426" s="2">
        <v>99.03</v>
      </c>
    </row>
    <row r="427" spans="1:6" x14ac:dyDescent="0.25">
      <c r="A427" s="296">
        <v>45011</v>
      </c>
      <c r="B427" s="307">
        <v>78356109</v>
      </c>
      <c r="C427" s="307">
        <v>56022836</v>
      </c>
      <c r="D427" s="307">
        <v>22333273</v>
      </c>
      <c r="E427" s="308">
        <v>71.5</v>
      </c>
      <c r="F427" s="2">
        <v>99.03</v>
      </c>
    </row>
    <row r="428" spans="1:6" x14ac:dyDescent="0.25">
      <c r="A428" s="296">
        <v>45012</v>
      </c>
      <c r="B428" s="307">
        <v>102600701</v>
      </c>
      <c r="C428" s="307">
        <v>70533556</v>
      </c>
      <c r="D428" s="307">
        <v>32067145</v>
      </c>
      <c r="E428" s="308">
        <v>68.75</v>
      </c>
      <c r="F428" s="2">
        <v>99.09</v>
      </c>
    </row>
    <row r="429" spans="1:6" x14ac:dyDescent="0.25">
      <c r="A429" s="296">
        <v>45013</v>
      </c>
      <c r="B429" s="307">
        <v>110587991</v>
      </c>
      <c r="C429" s="307">
        <v>75920840</v>
      </c>
      <c r="D429" s="307">
        <v>34667151</v>
      </c>
      <c r="E429" s="308">
        <v>68.650000000000006</v>
      </c>
      <c r="F429" s="2">
        <v>98.99</v>
      </c>
    </row>
    <row r="430" spans="1:6" x14ac:dyDescent="0.25">
      <c r="A430" s="296">
        <v>45014</v>
      </c>
      <c r="B430" s="307">
        <v>104290894</v>
      </c>
      <c r="C430" s="307">
        <v>71117460</v>
      </c>
      <c r="D430" s="307">
        <v>33173434</v>
      </c>
      <c r="E430" s="308">
        <v>68.19</v>
      </c>
      <c r="F430" s="2">
        <v>99.02</v>
      </c>
    </row>
    <row r="431" spans="1:6" x14ac:dyDescent="0.25">
      <c r="A431" s="296">
        <v>45015</v>
      </c>
      <c r="B431" s="307">
        <v>111314862</v>
      </c>
      <c r="C431" s="307">
        <v>76320360</v>
      </c>
      <c r="D431" s="307">
        <v>34994502</v>
      </c>
      <c r="E431" s="308">
        <v>68.56</v>
      </c>
      <c r="F431" s="2">
        <v>98.81</v>
      </c>
    </row>
    <row r="432" spans="1:6" x14ac:dyDescent="0.25">
      <c r="A432" s="296">
        <v>45016</v>
      </c>
      <c r="B432" s="307">
        <v>118889216</v>
      </c>
      <c r="C432" s="307">
        <v>83772900</v>
      </c>
      <c r="D432" s="307">
        <v>35116316</v>
      </c>
      <c r="E432" s="308">
        <v>70.459999999999994</v>
      </c>
      <c r="F432" s="2">
        <v>99.1</v>
      </c>
    </row>
    <row r="433" spans="1:6" x14ac:dyDescent="0.25">
      <c r="A433" s="296">
        <v>45017</v>
      </c>
      <c r="B433" s="307">
        <v>108122435</v>
      </c>
      <c r="C433" s="307">
        <v>76039179</v>
      </c>
      <c r="D433" s="307">
        <v>32083256</v>
      </c>
      <c r="E433" s="308">
        <v>70.33</v>
      </c>
      <c r="F433" s="2">
        <v>99</v>
      </c>
    </row>
    <row r="434" spans="1:6" x14ac:dyDescent="0.25">
      <c r="A434" s="296">
        <v>45018</v>
      </c>
      <c r="B434" s="307">
        <v>73520365</v>
      </c>
      <c r="C434" s="307">
        <v>52884283</v>
      </c>
      <c r="D434" s="307">
        <v>20636082</v>
      </c>
      <c r="E434" s="308">
        <v>71.930000000000007</v>
      </c>
      <c r="F434" s="2">
        <v>99.05</v>
      </c>
    </row>
    <row r="435" spans="1:6" x14ac:dyDescent="0.25">
      <c r="A435" s="296">
        <v>45019</v>
      </c>
      <c r="B435" s="307">
        <v>87889594</v>
      </c>
      <c r="C435" s="307">
        <v>62644461</v>
      </c>
      <c r="D435" s="307">
        <v>25245133</v>
      </c>
      <c r="E435" s="308">
        <v>71.28</v>
      </c>
      <c r="F435" s="2">
        <v>98.96</v>
      </c>
    </row>
    <row r="436" spans="1:6" x14ac:dyDescent="0.25">
      <c r="A436" s="296">
        <v>45020</v>
      </c>
      <c r="B436" s="307">
        <v>93404498</v>
      </c>
      <c r="C436" s="307">
        <v>68023885</v>
      </c>
      <c r="D436" s="307">
        <v>25380613</v>
      </c>
      <c r="E436" s="308">
        <v>72.83</v>
      </c>
      <c r="F436" s="2">
        <v>98.94</v>
      </c>
    </row>
    <row r="437" spans="1:6" x14ac:dyDescent="0.25">
      <c r="A437" s="296">
        <v>45021</v>
      </c>
      <c r="B437" s="307">
        <v>80177413</v>
      </c>
      <c r="C437" s="307">
        <v>60186591</v>
      </c>
      <c r="D437" s="307">
        <v>19990822</v>
      </c>
      <c r="E437" s="308">
        <v>75.069999999999993</v>
      </c>
      <c r="F437" s="2">
        <v>99.1</v>
      </c>
    </row>
    <row r="438" spans="1:6" x14ac:dyDescent="0.25">
      <c r="A438" s="296">
        <v>45022</v>
      </c>
      <c r="B438" s="307">
        <v>76469078</v>
      </c>
      <c r="C438" s="307">
        <v>59516145</v>
      </c>
      <c r="D438" s="307">
        <v>16952933</v>
      </c>
      <c r="E438" s="308">
        <v>77.83</v>
      </c>
      <c r="F438" s="2">
        <v>99.11</v>
      </c>
    </row>
    <row r="439" spans="1:6" x14ac:dyDescent="0.25">
      <c r="A439" s="296">
        <v>45023</v>
      </c>
      <c r="B439" s="307">
        <v>100033464</v>
      </c>
      <c r="C439" s="307">
        <v>99028399</v>
      </c>
      <c r="D439" s="307">
        <v>1005065</v>
      </c>
      <c r="E439" s="104">
        <v>74.98</v>
      </c>
      <c r="F439" s="67">
        <v>99</v>
      </c>
    </row>
    <row r="440" spans="1:6" x14ac:dyDescent="0.25">
      <c r="A440" s="296">
        <v>45024</v>
      </c>
      <c r="B440" s="307">
        <v>88744988</v>
      </c>
      <c r="C440" s="307">
        <v>87665757</v>
      </c>
      <c r="D440" s="307">
        <v>1079231</v>
      </c>
      <c r="E440" s="104">
        <v>74.94</v>
      </c>
      <c r="F440" s="67">
        <v>98.78</v>
      </c>
    </row>
    <row r="441" spans="1:6" x14ac:dyDescent="0.25">
      <c r="A441" s="296">
        <v>45025</v>
      </c>
      <c r="B441" s="307">
        <v>69909319</v>
      </c>
      <c r="C441" s="307">
        <v>69236377</v>
      </c>
      <c r="D441" s="307">
        <v>672942</v>
      </c>
      <c r="E441" s="104">
        <v>79.099999999999994</v>
      </c>
      <c r="F441" s="67">
        <v>99.04</v>
      </c>
    </row>
    <row r="442" spans="1:6" x14ac:dyDescent="0.25">
      <c r="A442" s="296">
        <v>45026</v>
      </c>
      <c r="B442" s="307">
        <v>59688894</v>
      </c>
      <c r="C442" s="307">
        <v>59212911</v>
      </c>
      <c r="D442" s="307">
        <v>475983</v>
      </c>
      <c r="E442" s="104">
        <v>83.78</v>
      </c>
      <c r="F442" s="67">
        <v>99.2</v>
      </c>
    </row>
    <row r="443" spans="1:6" x14ac:dyDescent="0.25">
      <c r="A443" s="296">
        <v>45027</v>
      </c>
      <c r="B443" s="307">
        <v>108658660</v>
      </c>
      <c r="C443" s="307">
        <v>107713416</v>
      </c>
      <c r="D443" s="307">
        <v>945244</v>
      </c>
      <c r="E443" s="104">
        <v>74.510000000000005</v>
      </c>
      <c r="F443" s="67">
        <v>99.13</v>
      </c>
    </row>
    <row r="444" spans="1:6" x14ac:dyDescent="0.25">
      <c r="A444" s="296">
        <v>45028</v>
      </c>
      <c r="B444" s="307">
        <v>93690858</v>
      </c>
      <c r="C444" s="307">
        <v>92867706</v>
      </c>
      <c r="D444" s="307">
        <v>823152</v>
      </c>
      <c r="E444" s="104">
        <v>73.89</v>
      </c>
      <c r="F444" s="67">
        <v>99.12</v>
      </c>
    </row>
    <row r="445" spans="1:6" x14ac:dyDescent="0.25">
      <c r="A445" s="296">
        <v>45029</v>
      </c>
      <c r="B445" s="307">
        <v>90137202</v>
      </c>
      <c r="C445" s="307">
        <v>89241586</v>
      </c>
      <c r="D445" s="307">
        <v>895616</v>
      </c>
      <c r="E445" s="104">
        <v>75.930000000000007</v>
      </c>
      <c r="F445" s="67">
        <v>99.01</v>
      </c>
    </row>
    <row r="446" spans="1:6" x14ac:dyDescent="0.25">
      <c r="A446" s="296">
        <v>45030</v>
      </c>
      <c r="B446" s="307">
        <v>86067390</v>
      </c>
      <c r="C446" s="307">
        <v>85269228</v>
      </c>
      <c r="D446" s="307">
        <v>798162</v>
      </c>
      <c r="E446" s="104">
        <v>74.34</v>
      </c>
      <c r="F446" s="67">
        <v>99.07</v>
      </c>
    </row>
    <row r="447" spans="1:6" x14ac:dyDescent="0.25">
      <c r="A447" s="296">
        <v>45031</v>
      </c>
      <c r="B447" s="307">
        <v>82089849</v>
      </c>
      <c r="C447" s="307">
        <v>81167719</v>
      </c>
      <c r="D447" s="307">
        <v>922130</v>
      </c>
      <c r="E447" s="104">
        <v>74.64</v>
      </c>
      <c r="F447" s="67">
        <v>98.88</v>
      </c>
    </row>
    <row r="448" spans="1:6" x14ac:dyDescent="0.25">
      <c r="A448" s="296">
        <v>45032</v>
      </c>
      <c r="B448" s="307">
        <v>55582537</v>
      </c>
      <c r="C448" s="307">
        <v>55345535</v>
      </c>
      <c r="D448" s="307">
        <v>237002</v>
      </c>
      <c r="E448" s="104">
        <v>83.4</v>
      </c>
      <c r="F448" s="67">
        <v>99.57</v>
      </c>
    </row>
    <row r="449" spans="1:6" x14ac:dyDescent="0.25">
      <c r="A449" s="296">
        <v>45033</v>
      </c>
      <c r="B449" s="307">
        <v>85984768</v>
      </c>
      <c r="C449" s="307">
        <v>85272027</v>
      </c>
      <c r="D449" s="307">
        <v>712741</v>
      </c>
      <c r="E449" s="104">
        <v>76.13</v>
      </c>
      <c r="F449" s="67">
        <v>99.17</v>
      </c>
    </row>
    <row r="450" spans="1:6" x14ac:dyDescent="0.25">
      <c r="A450" s="296">
        <v>45034</v>
      </c>
      <c r="B450" s="307">
        <v>88339429</v>
      </c>
      <c r="C450" s="307">
        <v>87421709</v>
      </c>
      <c r="D450" s="307">
        <v>917720</v>
      </c>
      <c r="E450" s="104">
        <v>73.78</v>
      </c>
      <c r="F450" s="67">
        <v>98.96</v>
      </c>
    </row>
    <row r="451" spans="1:6" x14ac:dyDescent="0.25">
      <c r="A451" s="296">
        <v>45035</v>
      </c>
      <c r="B451" s="307">
        <v>95780479</v>
      </c>
      <c r="C451" s="307">
        <v>94935887</v>
      </c>
      <c r="D451" s="307">
        <v>844592</v>
      </c>
      <c r="E451" s="104">
        <v>72.239999999999995</v>
      </c>
      <c r="F451" s="48">
        <v>99.12</v>
      </c>
    </row>
    <row r="452" spans="1:6" x14ac:dyDescent="0.25">
      <c r="A452" s="296">
        <v>45036</v>
      </c>
      <c r="B452" s="307">
        <v>113262300</v>
      </c>
      <c r="C452" s="307">
        <v>112338672</v>
      </c>
      <c r="D452" s="307">
        <v>923628</v>
      </c>
      <c r="E452" s="104">
        <v>73.28</v>
      </c>
      <c r="F452" s="48">
        <v>99.18</v>
      </c>
    </row>
    <row r="453" spans="1:6" x14ac:dyDescent="0.25">
      <c r="A453" s="296">
        <v>45037</v>
      </c>
      <c r="B453" s="307">
        <v>72010005</v>
      </c>
      <c r="C453" s="307">
        <v>71574571</v>
      </c>
      <c r="D453" s="307">
        <v>435434</v>
      </c>
      <c r="E453" s="48">
        <v>82.99</v>
      </c>
      <c r="F453" s="67">
        <v>99.4</v>
      </c>
    </row>
    <row r="454" spans="1:6" x14ac:dyDescent="0.25">
      <c r="A454" s="296">
        <v>45038</v>
      </c>
      <c r="B454" s="307">
        <v>88140224</v>
      </c>
      <c r="C454" s="307">
        <v>87150338</v>
      </c>
      <c r="D454" s="307">
        <v>989886</v>
      </c>
      <c r="E454" s="48">
        <v>75.33</v>
      </c>
      <c r="F454" s="67">
        <v>98.88</v>
      </c>
    </row>
    <row r="455" spans="1:6" x14ac:dyDescent="0.25">
      <c r="A455" s="296">
        <v>45039</v>
      </c>
      <c r="B455" s="307">
        <v>50605948</v>
      </c>
      <c r="C455" s="307">
        <v>50366843</v>
      </c>
      <c r="D455" s="307">
        <v>239105</v>
      </c>
      <c r="E455" s="67">
        <v>85.37</v>
      </c>
      <c r="F455" s="67">
        <v>99.53</v>
      </c>
    </row>
    <row r="456" spans="1:6" x14ac:dyDescent="0.25">
      <c r="A456" s="296">
        <v>45040</v>
      </c>
      <c r="B456" s="307">
        <v>102215399</v>
      </c>
      <c r="C456" s="307">
        <v>101359890</v>
      </c>
      <c r="D456" s="307">
        <v>855509</v>
      </c>
      <c r="E456" s="67">
        <v>75.319999999999993</v>
      </c>
      <c r="F456" s="67">
        <v>99.16</v>
      </c>
    </row>
    <row r="457" spans="1:6" x14ac:dyDescent="0.25">
      <c r="A457" s="296">
        <v>45041</v>
      </c>
      <c r="B457" s="307">
        <v>58245208</v>
      </c>
      <c r="C457" s="307">
        <v>57721651</v>
      </c>
      <c r="D457" s="307">
        <v>523557</v>
      </c>
      <c r="E457" s="67">
        <v>73.3</v>
      </c>
      <c r="F457" s="67">
        <v>99.1</v>
      </c>
    </row>
    <row r="458" spans="1:6" x14ac:dyDescent="0.25">
      <c r="A458" s="296">
        <v>45042</v>
      </c>
      <c r="B458" s="307">
        <v>58685211</v>
      </c>
      <c r="C458" s="307">
        <v>57225892</v>
      </c>
      <c r="D458" s="307">
        <v>1459319</v>
      </c>
      <c r="E458" s="67">
        <v>62.84</v>
      </c>
      <c r="F458" s="67">
        <v>97.51</v>
      </c>
    </row>
    <row r="459" spans="1:6" x14ac:dyDescent="0.25">
      <c r="A459" s="296">
        <v>45043</v>
      </c>
      <c r="B459" s="307">
        <v>96643372</v>
      </c>
      <c r="C459" s="307">
        <v>95113037</v>
      </c>
      <c r="D459" s="307">
        <v>1530335</v>
      </c>
      <c r="E459" s="67">
        <v>70.61</v>
      </c>
      <c r="F459" s="67">
        <v>98.42</v>
      </c>
    </row>
    <row r="460" spans="1:6" x14ac:dyDescent="0.25">
      <c r="A460" s="296">
        <v>45044</v>
      </c>
      <c r="B460" s="307">
        <v>106611269</v>
      </c>
      <c r="C460" s="307">
        <v>105745221</v>
      </c>
      <c r="D460" s="307">
        <v>866048</v>
      </c>
      <c r="E460" s="104">
        <v>70.87</v>
      </c>
      <c r="F460" s="67">
        <v>99.19</v>
      </c>
    </row>
    <row r="461" spans="1:6" x14ac:dyDescent="0.25">
      <c r="A461" s="296">
        <v>45045</v>
      </c>
      <c r="B461" s="307">
        <v>105960235</v>
      </c>
      <c r="C461" s="307">
        <v>104865547</v>
      </c>
      <c r="D461" s="307">
        <v>1094688</v>
      </c>
      <c r="E461" s="104">
        <v>73.05</v>
      </c>
      <c r="F461" s="67">
        <v>98.97</v>
      </c>
    </row>
    <row r="462" spans="1:6" x14ac:dyDescent="0.25">
      <c r="A462" s="296">
        <v>45046</v>
      </c>
      <c r="B462" s="307">
        <v>67464550</v>
      </c>
      <c r="C462" s="307">
        <v>67042324</v>
      </c>
      <c r="D462" s="307">
        <v>422226</v>
      </c>
      <c r="E462" s="104">
        <v>78.69</v>
      </c>
      <c r="F462" s="67">
        <v>99.37</v>
      </c>
    </row>
    <row r="463" spans="1:6" x14ac:dyDescent="0.25">
      <c r="A463" s="296">
        <v>45047</v>
      </c>
      <c r="B463" s="307">
        <v>78458368</v>
      </c>
      <c r="C463" s="307">
        <v>77645838</v>
      </c>
      <c r="D463" s="307">
        <v>812530</v>
      </c>
      <c r="E463" s="67">
        <v>77.510000000000005</v>
      </c>
      <c r="F463" s="67">
        <v>98.96</v>
      </c>
    </row>
    <row r="464" spans="1:6" x14ac:dyDescent="0.25">
      <c r="A464" s="296">
        <v>45048</v>
      </c>
      <c r="B464" s="307">
        <v>95430177</v>
      </c>
      <c r="C464" s="307">
        <v>94626727</v>
      </c>
      <c r="D464" s="307">
        <v>803450</v>
      </c>
      <c r="E464" s="67">
        <v>72.41</v>
      </c>
      <c r="F464" s="67">
        <v>99.16</v>
      </c>
    </row>
    <row r="465" spans="1:6" x14ac:dyDescent="0.25">
      <c r="A465" s="296">
        <v>45049</v>
      </c>
      <c r="B465" s="307">
        <v>86794526</v>
      </c>
      <c r="C465" s="307">
        <v>86013383</v>
      </c>
      <c r="D465" s="307">
        <v>781143</v>
      </c>
      <c r="E465" s="67">
        <v>75.52</v>
      </c>
      <c r="F465" s="67">
        <v>99.1</v>
      </c>
    </row>
    <row r="466" spans="1:6" x14ac:dyDescent="0.25">
      <c r="A466" s="296">
        <v>45050</v>
      </c>
      <c r="B466" s="307">
        <v>104442306</v>
      </c>
      <c r="C466" s="307">
        <v>103380489</v>
      </c>
      <c r="D466" s="307">
        <v>1061817</v>
      </c>
      <c r="E466" s="101">
        <v>72.069999999999993</v>
      </c>
      <c r="F466" s="67">
        <v>98.98</v>
      </c>
    </row>
    <row r="467" spans="1:6" x14ac:dyDescent="0.25">
      <c r="A467" s="296">
        <v>45051</v>
      </c>
      <c r="B467" s="307">
        <v>92560275</v>
      </c>
      <c r="C467" s="307">
        <v>91770849</v>
      </c>
      <c r="D467" s="307">
        <v>789426</v>
      </c>
      <c r="E467" s="101">
        <v>70.97</v>
      </c>
      <c r="F467" s="67">
        <v>99.15</v>
      </c>
    </row>
    <row r="468" spans="1:6" x14ac:dyDescent="0.25">
      <c r="A468" s="296">
        <v>45052</v>
      </c>
      <c r="B468" s="307">
        <v>78316191</v>
      </c>
      <c r="C468" s="307">
        <v>77606543</v>
      </c>
      <c r="D468" s="307">
        <v>709648</v>
      </c>
      <c r="E468" s="101">
        <v>78.760000000000005</v>
      </c>
      <c r="F468" s="67">
        <v>99.09</v>
      </c>
    </row>
    <row r="469" spans="1:6" x14ac:dyDescent="0.25">
      <c r="A469" s="296">
        <v>45053</v>
      </c>
      <c r="B469" s="307">
        <v>66047833</v>
      </c>
      <c r="C469" s="307">
        <v>65597238</v>
      </c>
      <c r="D469" s="307">
        <v>450595</v>
      </c>
      <c r="E469" s="101">
        <v>77.42</v>
      </c>
      <c r="F469" s="67">
        <v>99.32</v>
      </c>
    </row>
    <row r="470" spans="1:6" x14ac:dyDescent="0.25">
      <c r="A470" s="296">
        <v>45054</v>
      </c>
      <c r="B470" s="307">
        <v>96029942</v>
      </c>
      <c r="C470" s="307">
        <v>95140333</v>
      </c>
      <c r="D470" s="307">
        <v>889609</v>
      </c>
      <c r="E470" s="101">
        <v>73.52</v>
      </c>
      <c r="F470" s="67">
        <v>99.07</v>
      </c>
    </row>
    <row r="471" spans="1:6" x14ac:dyDescent="0.25">
      <c r="A471" s="296">
        <v>45055</v>
      </c>
      <c r="B471" s="307">
        <v>110647117</v>
      </c>
      <c r="C471">
        <v>109392922</v>
      </c>
      <c r="D471" s="307">
        <v>1254195</v>
      </c>
      <c r="E471" s="101">
        <v>69.97</v>
      </c>
      <c r="F471" s="67">
        <v>98.87</v>
      </c>
    </row>
    <row r="472" spans="1:6" x14ac:dyDescent="0.25">
      <c r="A472" s="296">
        <v>45056</v>
      </c>
      <c r="B472" s="307">
        <v>98076393</v>
      </c>
      <c r="C472" s="307">
        <v>96715429</v>
      </c>
      <c r="D472" s="307">
        <v>1360964</v>
      </c>
      <c r="E472" s="101">
        <v>72.989999999999995</v>
      </c>
      <c r="F472" s="67">
        <v>98.61</v>
      </c>
    </row>
    <row r="473" spans="1:6" x14ac:dyDescent="0.25">
      <c r="A473" s="296">
        <v>45057</v>
      </c>
      <c r="B473" s="307">
        <v>106948687</v>
      </c>
      <c r="C473" s="307">
        <v>105926472</v>
      </c>
      <c r="D473" s="307">
        <v>1022215</v>
      </c>
      <c r="E473" s="101">
        <v>73.73</v>
      </c>
      <c r="F473" s="67">
        <v>99.04</v>
      </c>
    </row>
    <row r="474" spans="1:6" x14ac:dyDescent="0.25">
      <c r="A474" s="296">
        <v>45058</v>
      </c>
      <c r="B474" s="307">
        <v>115950676</v>
      </c>
      <c r="C474" s="307">
        <v>114738172</v>
      </c>
      <c r="D474" s="307">
        <v>1212504</v>
      </c>
      <c r="E474" s="101">
        <v>68.72</v>
      </c>
      <c r="F474" s="2">
        <v>98.95</v>
      </c>
    </row>
    <row r="475" spans="1:6" x14ac:dyDescent="0.25">
      <c r="A475" s="296">
        <v>45059</v>
      </c>
      <c r="B475" s="307">
        <v>110991046</v>
      </c>
      <c r="C475" s="307">
        <v>109467475</v>
      </c>
      <c r="D475" s="307">
        <v>1523571</v>
      </c>
      <c r="E475" s="101">
        <v>71.37</v>
      </c>
      <c r="F475" s="2">
        <v>98.63</v>
      </c>
    </row>
    <row r="476" spans="1:6" x14ac:dyDescent="0.25">
      <c r="A476" s="296">
        <v>45060</v>
      </c>
      <c r="B476" s="307">
        <v>63440516</v>
      </c>
      <c r="C476" s="307">
        <v>63069982</v>
      </c>
      <c r="D476" s="307">
        <v>370534</v>
      </c>
      <c r="E476" s="101">
        <v>79.83</v>
      </c>
      <c r="F476" s="2">
        <v>99.42</v>
      </c>
    </row>
    <row r="477" spans="1:6" x14ac:dyDescent="0.25">
      <c r="A477" s="296">
        <v>45061</v>
      </c>
      <c r="B477" s="307">
        <v>117342094</v>
      </c>
      <c r="C477" s="307">
        <v>116059936</v>
      </c>
      <c r="D477" s="307">
        <v>1282158</v>
      </c>
      <c r="E477" s="101">
        <v>71.33</v>
      </c>
      <c r="F477" s="2">
        <v>98.91</v>
      </c>
    </row>
    <row r="478" spans="1:6" x14ac:dyDescent="0.25">
      <c r="A478" s="296">
        <v>45062</v>
      </c>
      <c r="B478" s="307">
        <v>118634149</v>
      </c>
      <c r="C478" s="307">
        <v>117529446</v>
      </c>
      <c r="D478" s="307">
        <v>1104703</v>
      </c>
      <c r="E478" s="101">
        <v>70.94</v>
      </c>
      <c r="F478" s="2">
        <v>99.07</v>
      </c>
    </row>
    <row r="479" spans="1:6" x14ac:dyDescent="0.25">
      <c r="A479" s="296">
        <v>45063</v>
      </c>
      <c r="B479" s="307">
        <v>116402709</v>
      </c>
      <c r="C479" s="307">
        <v>115375300</v>
      </c>
      <c r="D479" s="307">
        <v>1027409</v>
      </c>
      <c r="E479" s="101">
        <v>70.930000000000007</v>
      </c>
      <c r="F479" s="2">
        <v>99.12</v>
      </c>
    </row>
    <row r="480" spans="1:6" x14ac:dyDescent="0.25">
      <c r="A480" s="296">
        <v>45064</v>
      </c>
      <c r="B480" s="307">
        <v>96929993</v>
      </c>
      <c r="C480" s="307">
        <v>95888131</v>
      </c>
      <c r="D480" s="307">
        <v>1041862</v>
      </c>
      <c r="E480" s="101">
        <v>71.41</v>
      </c>
      <c r="F480" s="2">
        <v>98.93</v>
      </c>
    </row>
    <row r="481" spans="1:6" x14ac:dyDescent="0.25">
      <c r="A481" s="296">
        <v>45065</v>
      </c>
      <c r="B481" s="307">
        <v>111692468</v>
      </c>
      <c r="C481" s="307">
        <v>110659311</v>
      </c>
      <c r="D481" s="307">
        <v>1033157</v>
      </c>
      <c r="E481" s="101">
        <v>70.819999999999993</v>
      </c>
      <c r="F481" s="2">
        <v>99.07</v>
      </c>
    </row>
    <row r="482" spans="1:6" x14ac:dyDescent="0.25">
      <c r="A482" s="296">
        <v>45066</v>
      </c>
      <c r="B482" s="307">
        <v>103532764</v>
      </c>
      <c r="C482" s="307">
        <v>102611498</v>
      </c>
      <c r="D482" s="307">
        <v>921266</v>
      </c>
      <c r="E482" s="101">
        <v>74.040000000000006</v>
      </c>
      <c r="F482" s="2">
        <v>99.11</v>
      </c>
    </row>
    <row r="483" spans="1:6" x14ac:dyDescent="0.25">
      <c r="A483" s="296">
        <v>45067</v>
      </c>
      <c r="B483" s="307">
        <v>69778205</v>
      </c>
      <c r="C483" s="307">
        <v>69128342</v>
      </c>
      <c r="D483" s="307">
        <v>649863</v>
      </c>
      <c r="E483" s="101">
        <v>79.489999999999995</v>
      </c>
      <c r="F483" s="2">
        <v>99.07</v>
      </c>
    </row>
    <row r="484" spans="1:6" x14ac:dyDescent="0.25">
      <c r="A484" s="296">
        <v>45068</v>
      </c>
      <c r="B484" s="307">
        <v>110598510</v>
      </c>
      <c r="C484" s="307">
        <v>109180683</v>
      </c>
      <c r="D484" s="307">
        <v>1417827</v>
      </c>
      <c r="E484" s="101">
        <v>74.34</v>
      </c>
      <c r="F484" s="2">
        <v>98.72</v>
      </c>
    </row>
    <row r="485" spans="1:6" x14ac:dyDescent="0.25">
      <c r="A485" s="296">
        <v>45069</v>
      </c>
      <c r="B485" s="307">
        <v>114310528</v>
      </c>
      <c r="C485" s="307">
        <v>113180728</v>
      </c>
      <c r="D485" s="307">
        <v>1129800</v>
      </c>
      <c r="E485" s="101">
        <v>70.41</v>
      </c>
      <c r="F485" s="2">
        <v>99.01</v>
      </c>
    </row>
    <row r="486" spans="1:6" x14ac:dyDescent="0.25">
      <c r="A486" s="296">
        <v>45070</v>
      </c>
      <c r="B486" s="307">
        <v>103665803</v>
      </c>
      <c r="C486" s="307">
        <v>102795884</v>
      </c>
      <c r="D486" s="307">
        <v>869919</v>
      </c>
      <c r="E486" s="101">
        <v>70.790000000000006</v>
      </c>
      <c r="F486" s="2">
        <v>99.16</v>
      </c>
    </row>
    <row r="487" spans="1:6" x14ac:dyDescent="0.25">
      <c r="A487" s="296">
        <v>45071</v>
      </c>
      <c r="B487" s="307">
        <v>102981087</v>
      </c>
      <c r="C487" s="307">
        <v>101932612</v>
      </c>
      <c r="D487" s="307">
        <v>1048475</v>
      </c>
      <c r="E487" s="101">
        <v>69.72</v>
      </c>
      <c r="F487" s="2">
        <v>98.98</v>
      </c>
    </row>
    <row r="488" spans="1:6" x14ac:dyDescent="0.25">
      <c r="A488" s="296">
        <v>45072</v>
      </c>
      <c r="B488" s="307">
        <v>112467098</v>
      </c>
      <c r="C488" s="307">
        <v>111400543</v>
      </c>
      <c r="D488" s="307">
        <v>1066555</v>
      </c>
      <c r="E488" s="101">
        <v>68.849999999999994</v>
      </c>
      <c r="F488" s="2">
        <v>99.05</v>
      </c>
    </row>
    <row r="489" spans="1:6" x14ac:dyDescent="0.25">
      <c r="A489" s="296">
        <v>45073</v>
      </c>
      <c r="B489" s="307">
        <v>125259859</v>
      </c>
      <c r="C489" s="307">
        <v>123900898</v>
      </c>
      <c r="D489" s="307">
        <v>1358961</v>
      </c>
      <c r="E489" s="101">
        <v>69.849999999999994</v>
      </c>
      <c r="F489" s="2">
        <v>98.92</v>
      </c>
    </row>
    <row r="490" spans="1:6" x14ac:dyDescent="0.25">
      <c r="A490" s="296">
        <v>45074</v>
      </c>
      <c r="B490" s="307">
        <v>89431699</v>
      </c>
      <c r="C490" s="307">
        <v>88511642</v>
      </c>
      <c r="D490" s="307">
        <v>920057</v>
      </c>
      <c r="E490" s="101">
        <v>74.69</v>
      </c>
      <c r="F490" s="2">
        <v>98.97</v>
      </c>
    </row>
    <row r="491" spans="1:6" x14ac:dyDescent="0.25">
      <c r="A491" s="296">
        <v>45075</v>
      </c>
      <c r="B491" s="307">
        <v>106606876</v>
      </c>
      <c r="C491" s="307">
        <v>104335878</v>
      </c>
      <c r="D491" s="307">
        <v>2270998</v>
      </c>
      <c r="E491" s="101">
        <v>71.87</v>
      </c>
      <c r="F491" s="2">
        <v>97.87</v>
      </c>
    </row>
    <row r="492" spans="1:6" x14ac:dyDescent="0.25">
      <c r="A492" s="296">
        <v>45076</v>
      </c>
      <c r="B492" s="307">
        <v>110543094</v>
      </c>
      <c r="C492" s="307">
        <v>109330661</v>
      </c>
      <c r="D492" s="307">
        <v>1212433</v>
      </c>
      <c r="E492" s="101">
        <v>70.08</v>
      </c>
      <c r="F492" s="2">
        <v>98.9</v>
      </c>
    </row>
    <row r="493" spans="1:6" x14ac:dyDescent="0.25">
      <c r="A493" s="296">
        <v>45077</v>
      </c>
      <c r="B493" s="307">
        <v>101350315</v>
      </c>
      <c r="C493" s="307">
        <v>100279436</v>
      </c>
      <c r="D493" s="307">
        <v>1070879</v>
      </c>
      <c r="E493" s="101">
        <v>73.62</v>
      </c>
      <c r="F493" s="2">
        <v>98.94</v>
      </c>
    </row>
    <row r="494" spans="1:6" x14ac:dyDescent="0.25">
      <c r="A494" s="296">
        <v>45078</v>
      </c>
      <c r="B494" s="307">
        <v>89722835</v>
      </c>
      <c r="C494" s="307">
        <v>88412513</v>
      </c>
      <c r="D494" s="307">
        <v>1310322</v>
      </c>
      <c r="E494" s="101">
        <v>75.709999999999994</v>
      </c>
      <c r="F494" s="2">
        <v>98.54</v>
      </c>
    </row>
    <row r="495" spans="1:6" x14ac:dyDescent="0.25">
      <c r="A495" s="296">
        <v>45079</v>
      </c>
      <c r="B495" s="307">
        <v>91886772</v>
      </c>
      <c r="C495" s="307">
        <v>90453137</v>
      </c>
      <c r="D495" s="307">
        <v>1433635</v>
      </c>
      <c r="E495" s="101">
        <v>71.760000000000005</v>
      </c>
      <c r="F495" s="2">
        <v>98.44</v>
      </c>
    </row>
    <row r="496" spans="1:6" x14ac:dyDescent="0.25">
      <c r="A496" s="296">
        <v>45080</v>
      </c>
      <c r="B496" s="307">
        <v>108803935</v>
      </c>
      <c r="C496" s="307">
        <v>107129320</v>
      </c>
      <c r="D496" s="307">
        <v>1674615</v>
      </c>
      <c r="E496" s="101">
        <v>72.73</v>
      </c>
      <c r="F496" s="2">
        <v>98.46</v>
      </c>
    </row>
    <row r="497" spans="1:6" x14ac:dyDescent="0.25">
      <c r="A497" s="296">
        <v>45081</v>
      </c>
      <c r="B497" s="307">
        <v>84738153</v>
      </c>
      <c r="C497" s="307">
        <v>83348309</v>
      </c>
      <c r="D497" s="307">
        <v>1389844</v>
      </c>
      <c r="E497" s="101">
        <v>75.27</v>
      </c>
      <c r="F497" s="2">
        <v>98.36</v>
      </c>
    </row>
    <row r="498" spans="1:6" x14ac:dyDescent="0.25">
      <c r="A498" s="296">
        <v>45082</v>
      </c>
      <c r="B498" s="307">
        <v>114971281</v>
      </c>
      <c r="C498" s="307">
        <v>113439193</v>
      </c>
      <c r="D498" s="307">
        <v>1532088</v>
      </c>
      <c r="E498" s="101">
        <v>72.53</v>
      </c>
      <c r="F498" s="2">
        <v>98.67</v>
      </c>
    </row>
    <row r="499" spans="1:6" x14ac:dyDescent="0.25">
      <c r="A499" s="296">
        <v>45083</v>
      </c>
      <c r="B499" s="307">
        <v>101588148</v>
      </c>
      <c r="C499" s="307">
        <v>100658586</v>
      </c>
      <c r="D499" s="307">
        <v>929562</v>
      </c>
      <c r="E499" s="101">
        <v>71.739999999999995</v>
      </c>
      <c r="F499" s="2">
        <v>99.08</v>
      </c>
    </row>
    <row r="500" spans="1:6" x14ac:dyDescent="0.25">
      <c r="A500" s="296">
        <v>45084</v>
      </c>
      <c r="B500" s="307">
        <v>108905069</v>
      </c>
      <c r="C500" s="307">
        <v>108009858</v>
      </c>
      <c r="D500" s="307">
        <v>895211</v>
      </c>
      <c r="E500" s="101">
        <v>69.63</v>
      </c>
      <c r="F500" s="2">
        <v>99.18</v>
      </c>
    </row>
    <row r="501" spans="1:6" x14ac:dyDescent="0.25">
      <c r="A501" s="296">
        <v>45085</v>
      </c>
      <c r="B501" s="307">
        <v>103136123</v>
      </c>
      <c r="C501" s="307">
        <v>102157357</v>
      </c>
      <c r="D501" s="307">
        <v>978766</v>
      </c>
      <c r="E501" s="101">
        <v>72.7</v>
      </c>
      <c r="F501" s="2">
        <v>99.05</v>
      </c>
    </row>
    <row r="502" spans="1:6" x14ac:dyDescent="0.25">
      <c r="A502" s="296">
        <v>45086</v>
      </c>
      <c r="B502" s="307">
        <v>109610820</v>
      </c>
      <c r="C502" s="307">
        <v>108822499</v>
      </c>
      <c r="D502" s="307">
        <v>788321</v>
      </c>
      <c r="E502" s="101">
        <v>70.73</v>
      </c>
      <c r="F502" s="2">
        <v>99.28</v>
      </c>
    </row>
    <row r="503" spans="1:6" x14ac:dyDescent="0.25">
      <c r="A503" s="296">
        <v>45087</v>
      </c>
      <c r="B503" s="307">
        <v>95672969</v>
      </c>
      <c r="C503" s="307">
        <v>94916610</v>
      </c>
      <c r="D503" s="307">
        <v>756359</v>
      </c>
      <c r="E503" s="101">
        <v>71.69</v>
      </c>
      <c r="F503" s="2">
        <v>99.21</v>
      </c>
    </row>
    <row r="504" spans="1:6" x14ac:dyDescent="0.25">
      <c r="A504" s="296">
        <v>45088</v>
      </c>
      <c r="B504" s="307">
        <v>72133338</v>
      </c>
      <c r="C504" s="307">
        <v>71582724</v>
      </c>
      <c r="D504" s="307">
        <v>550614</v>
      </c>
      <c r="E504" s="101">
        <v>77.8</v>
      </c>
      <c r="F504" s="2">
        <v>99.24</v>
      </c>
    </row>
    <row r="505" spans="1:6" x14ac:dyDescent="0.25">
      <c r="A505" s="296">
        <v>45089</v>
      </c>
      <c r="B505" s="307">
        <v>99380358</v>
      </c>
      <c r="C505" s="307">
        <v>98476105</v>
      </c>
      <c r="D505" s="307">
        <v>904253</v>
      </c>
      <c r="E505" s="101">
        <v>74.17</v>
      </c>
      <c r="F505" s="2">
        <v>99.09</v>
      </c>
    </row>
    <row r="506" spans="1:6" x14ac:dyDescent="0.25">
      <c r="A506" s="296">
        <v>45090</v>
      </c>
      <c r="B506" s="307">
        <v>108227630</v>
      </c>
      <c r="C506" s="307">
        <v>107057299</v>
      </c>
      <c r="D506" s="307">
        <v>1170331</v>
      </c>
      <c r="E506" s="101">
        <v>71.08</v>
      </c>
      <c r="F506" s="2">
        <v>98.92</v>
      </c>
    </row>
    <row r="507" spans="1:6" x14ac:dyDescent="0.25">
      <c r="A507" s="296">
        <v>45091</v>
      </c>
      <c r="B507" s="307">
        <v>97902776</v>
      </c>
      <c r="C507" s="307">
        <v>97066231</v>
      </c>
      <c r="D507" s="307">
        <v>836545</v>
      </c>
      <c r="E507" s="101">
        <v>72.13</v>
      </c>
      <c r="F507" s="2">
        <v>99.15</v>
      </c>
    </row>
    <row r="508" spans="1:6" x14ac:dyDescent="0.25">
      <c r="A508" s="296">
        <v>45092</v>
      </c>
      <c r="B508" s="307">
        <v>89364731</v>
      </c>
      <c r="C508" s="307">
        <v>88526906</v>
      </c>
      <c r="D508" s="307">
        <v>837825</v>
      </c>
      <c r="E508" s="101">
        <v>76.290000000000006</v>
      </c>
      <c r="F508" s="2">
        <v>99.06</v>
      </c>
    </row>
    <row r="509" spans="1:6" x14ac:dyDescent="0.25">
      <c r="A509" s="296">
        <v>45093</v>
      </c>
      <c r="B509" s="307">
        <v>110945823</v>
      </c>
      <c r="C509" s="307">
        <v>110022995</v>
      </c>
      <c r="D509" s="307">
        <v>922828</v>
      </c>
      <c r="E509" s="101">
        <v>71.11</v>
      </c>
      <c r="F509" s="2">
        <v>99.17</v>
      </c>
    </row>
    <row r="510" spans="1:6" x14ac:dyDescent="0.25">
      <c r="A510" s="296">
        <v>45094</v>
      </c>
      <c r="B510" s="307">
        <v>100631825</v>
      </c>
      <c r="C510" s="307">
        <v>99356715</v>
      </c>
      <c r="D510" s="307">
        <v>1275110</v>
      </c>
      <c r="E510" s="101">
        <v>69.040000000000006</v>
      </c>
      <c r="F510" s="2">
        <v>98.73</v>
      </c>
    </row>
    <row r="511" spans="1:6" x14ac:dyDescent="0.25">
      <c r="A511" s="296">
        <v>45095</v>
      </c>
      <c r="B511" s="307">
        <v>79511559</v>
      </c>
      <c r="C511" s="307">
        <v>78705127</v>
      </c>
      <c r="D511" s="307">
        <v>806432</v>
      </c>
      <c r="E511" s="101">
        <v>71.33</v>
      </c>
      <c r="F511" s="2">
        <v>98.99</v>
      </c>
    </row>
    <row r="512" spans="1:6" x14ac:dyDescent="0.25">
      <c r="A512" s="296">
        <v>45096</v>
      </c>
      <c r="B512" s="307">
        <v>101285230</v>
      </c>
      <c r="C512" s="307">
        <v>100069952</v>
      </c>
      <c r="D512" s="307">
        <v>1215278</v>
      </c>
      <c r="E512" s="101">
        <v>73.099999999999994</v>
      </c>
      <c r="F512" s="2">
        <v>98.8</v>
      </c>
    </row>
    <row r="513" spans="1:6" x14ac:dyDescent="0.25">
      <c r="A513" s="296">
        <v>45097</v>
      </c>
      <c r="B513" s="307">
        <v>117490490</v>
      </c>
      <c r="C513" s="307">
        <v>116140821</v>
      </c>
      <c r="D513" s="307">
        <v>1349669</v>
      </c>
      <c r="E513" s="101">
        <v>67.650000000000006</v>
      </c>
      <c r="F513" s="2">
        <v>98.85</v>
      </c>
    </row>
    <row r="514" spans="1:6" x14ac:dyDescent="0.25">
      <c r="A514" s="296">
        <v>45098</v>
      </c>
      <c r="B514" s="307">
        <v>102585878</v>
      </c>
      <c r="C514" s="307">
        <v>101204050</v>
      </c>
      <c r="D514" s="307">
        <v>1381828</v>
      </c>
      <c r="E514" s="101">
        <v>68.69</v>
      </c>
      <c r="F514" s="2">
        <v>98.65</v>
      </c>
    </row>
    <row r="515" spans="1:6" x14ac:dyDescent="0.25">
      <c r="A515" s="296">
        <v>45099</v>
      </c>
      <c r="B515" s="307">
        <v>107524130</v>
      </c>
      <c r="C515" s="307">
        <v>106243893</v>
      </c>
      <c r="D515" s="307">
        <v>1280237</v>
      </c>
      <c r="E515" s="101">
        <v>69.22</v>
      </c>
      <c r="F515" s="2">
        <v>98.81</v>
      </c>
    </row>
    <row r="516" spans="1:6" x14ac:dyDescent="0.25">
      <c r="A516" s="296">
        <v>45100</v>
      </c>
      <c r="B516" s="307">
        <v>115337374</v>
      </c>
      <c r="C516" s="307">
        <v>114084490</v>
      </c>
      <c r="D516" s="307">
        <v>1252884</v>
      </c>
      <c r="E516" s="101">
        <v>69.95</v>
      </c>
      <c r="F516" s="2">
        <v>98.91</v>
      </c>
    </row>
    <row r="517" spans="1:6" x14ac:dyDescent="0.25">
      <c r="A517" s="296">
        <v>45101</v>
      </c>
      <c r="B517" s="307">
        <v>97254487</v>
      </c>
      <c r="C517" s="307">
        <v>96490575</v>
      </c>
      <c r="D517" s="307">
        <v>763912</v>
      </c>
      <c r="E517" s="101">
        <v>72.819999999999993</v>
      </c>
      <c r="F517" s="2">
        <v>99.21</v>
      </c>
    </row>
    <row r="518" spans="1:6" x14ac:dyDescent="0.25">
      <c r="A518" s="296">
        <v>45102</v>
      </c>
      <c r="B518" s="307">
        <v>88087747</v>
      </c>
      <c r="C518" s="307">
        <v>87032341</v>
      </c>
      <c r="D518" s="307">
        <v>1055406</v>
      </c>
      <c r="E518" s="101">
        <v>69.59</v>
      </c>
      <c r="F518" s="2">
        <v>98.8</v>
      </c>
    </row>
    <row r="519" spans="1:6" x14ac:dyDescent="0.25">
      <c r="A519" s="296">
        <v>45103</v>
      </c>
      <c r="B519" s="307">
        <v>118388792</v>
      </c>
      <c r="C519" s="307">
        <v>117248992</v>
      </c>
      <c r="D519" s="307">
        <v>1139800</v>
      </c>
      <c r="E519" s="101">
        <v>71.260000000000005</v>
      </c>
      <c r="F519" s="2">
        <v>99.04</v>
      </c>
    </row>
    <row r="520" spans="1:6" x14ac:dyDescent="0.25">
      <c r="A520" s="296">
        <v>45104</v>
      </c>
      <c r="B520" s="307">
        <v>129970432</v>
      </c>
      <c r="C520" s="307">
        <v>128770237</v>
      </c>
      <c r="D520" s="307">
        <v>1200195</v>
      </c>
      <c r="E520" s="101">
        <v>69.86</v>
      </c>
      <c r="F520" s="2">
        <v>99.08</v>
      </c>
    </row>
    <row r="521" spans="1:6" x14ac:dyDescent="0.25">
      <c r="A521" s="296">
        <v>45105</v>
      </c>
      <c r="B521" s="307">
        <v>96465513</v>
      </c>
      <c r="C521" s="307">
        <v>95584158</v>
      </c>
      <c r="D521" s="307">
        <v>881355</v>
      </c>
      <c r="E521" s="101">
        <v>76.13</v>
      </c>
      <c r="F521" s="2">
        <v>99.09</v>
      </c>
    </row>
    <row r="522" spans="1:6" x14ac:dyDescent="0.25">
      <c r="A522" s="296">
        <v>45106</v>
      </c>
      <c r="B522" s="307">
        <v>119291063</v>
      </c>
      <c r="C522" s="307">
        <v>118140559</v>
      </c>
      <c r="D522" s="307">
        <v>1150504</v>
      </c>
      <c r="E522" s="101">
        <v>70.040000000000006</v>
      </c>
      <c r="F522" s="2">
        <v>99.04</v>
      </c>
    </row>
    <row r="523" spans="1:6" x14ac:dyDescent="0.25">
      <c r="A523" s="296">
        <v>45107</v>
      </c>
      <c r="B523" s="307">
        <v>110831993</v>
      </c>
      <c r="C523" s="307">
        <v>109832171</v>
      </c>
      <c r="D523" s="307">
        <v>999822</v>
      </c>
      <c r="E523" s="101">
        <v>68.55</v>
      </c>
      <c r="F523" s="2">
        <v>99.1</v>
      </c>
    </row>
    <row r="524" spans="1:6" x14ac:dyDescent="0.25">
      <c r="A524" s="296">
        <v>45108</v>
      </c>
      <c r="B524" s="307">
        <v>108674591</v>
      </c>
      <c r="C524" s="307">
        <v>107505503</v>
      </c>
      <c r="D524" s="307">
        <v>1169088</v>
      </c>
      <c r="E524" s="101">
        <v>70.849999999999994</v>
      </c>
      <c r="F524" s="2">
        <v>98.92</v>
      </c>
    </row>
    <row r="525" spans="1:6" x14ac:dyDescent="0.25">
      <c r="A525" s="296">
        <v>45109</v>
      </c>
      <c r="B525" s="307">
        <v>84107826</v>
      </c>
      <c r="C525" s="307">
        <v>83073977</v>
      </c>
      <c r="D525" s="307">
        <v>1033849</v>
      </c>
      <c r="E525" s="101">
        <v>69.77</v>
      </c>
      <c r="F525" s="2">
        <v>98.77</v>
      </c>
    </row>
    <row r="526" spans="1:6" x14ac:dyDescent="0.25">
      <c r="A526" s="296">
        <v>45110</v>
      </c>
      <c r="B526" s="307">
        <v>99007299</v>
      </c>
      <c r="C526" s="307">
        <v>97876188</v>
      </c>
      <c r="D526" s="307">
        <v>1131111</v>
      </c>
      <c r="E526" s="101">
        <v>69.45</v>
      </c>
      <c r="F526" s="2">
        <v>98.86</v>
      </c>
    </row>
    <row r="527" spans="1:6" x14ac:dyDescent="0.25">
      <c r="A527" s="296">
        <v>45111</v>
      </c>
      <c r="B527" s="307">
        <v>102389519</v>
      </c>
      <c r="C527" s="307">
        <v>101358474</v>
      </c>
      <c r="D527" s="307">
        <v>1031045</v>
      </c>
      <c r="E527" s="101">
        <v>71.349999999999994</v>
      </c>
      <c r="F527" s="2">
        <v>98.99</v>
      </c>
    </row>
    <row r="528" spans="1:6" x14ac:dyDescent="0.25">
      <c r="A528" s="296">
        <v>45112</v>
      </c>
      <c r="B528" s="307">
        <v>109608079</v>
      </c>
      <c r="C528" s="307">
        <v>108378142</v>
      </c>
      <c r="D528" s="307">
        <v>1229937</v>
      </c>
      <c r="E528" s="101">
        <v>69.650000000000006</v>
      </c>
      <c r="F528" s="2">
        <v>98.88</v>
      </c>
    </row>
    <row r="529" spans="1:6" x14ac:dyDescent="0.25">
      <c r="A529" s="296">
        <v>45113</v>
      </c>
      <c r="B529" s="307">
        <v>115838317</v>
      </c>
      <c r="C529" s="307">
        <v>114563567</v>
      </c>
      <c r="D529" s="307">
        <v>1274750</v>
      </c>
      <c r="E529" s="101">
        <v>68.900000000000006</v>
      </c>
      <c r="F529" s="2">
        <v>98.9</v>
      </c>
    </row>
    <row r="530" spans="1:6" x14ac:dyDescent="0.25">
      <c r="A530" s="296">
        <v>45114</v>
      </c>
      <c r="B530" s="307">
        <v>111530284</v>
      </c>
      <c r="C530" s="307">
        <v>110022047</v>
      </c>
      <c r="D530" s="307">
        <v>1508237</v>
      </c>
      <c r="E530" s="101">
        <v>68.7</v>
      </c>
      <c r="F530" s="64">
        <f>C530/B530%</f>
        <v>98.647688371348536</v>
      </c>
    </row>
    <row r="531" spans="1:6" x14ac:dyDescent="0.25">
      <c r="A531" s="296">
        <v>45115</v>
      </c>
      <c r="B531" s="307">
        <v>115278954</v>
      </c>
      <c r="C531" s="307">
        <v>114151697</v>
      </c>
      <c r="D531" s="307">
        <v>1127257</v>
      </c>
      <c r="E531" s="101">
        <v>67.19</v>
      </c>
      <c r="F531" s="64">
        <f t="shared" ref="F531:F532" si="1">C531/B531%</f>
        <v>99.022148483408344</v>
      </c>
    </row>
    <row r="532" spans="1:6" x14ac:dyDescent="0.25">
      <c r="A532" s="296">
        <v>45116</v>
      </c>
      <c r="B532" s="307">
        <v>7730977</v>
      </c>
      <c r="C532" s="307">
        <v>7624383</v>
      </c>
      <c r="D532" s="307">
        <v>106594</v>
      </c>
      <c r="E532" s="101">
        <v>74.14</v>
      </c>
      <c r="F532" s="64">
        <f t="shared" si="1"/>
        <v>98.621209195163814</v>
      </c>
    </row>
    <row r="533" spans="1:6" x14ac:dyDescent="0.25">
      <c r="A533" s="296">
        <v>45117</v>
      </c>
      <c r="B533" s="307">
        <v>100871030</v>
      </c>
      <c r="C533" s="307">
        <v>99654355</v>
      </c>
      <c r="D533" s="307">
        <v>1216675</v>
      </c>
      <c r="E533" s="101">
        <v>70.05</v>
      </c>
      <c r="F533" s="64">
        <v>98.79</v>
      </c>
    </row>
    <row r="534" spans="1:6" x14ac:dyDescent="0.25">
      <c r="A534" s="296">
        <v>45118</v>
      </c>
      <c r="B534" s="307">
        <v>105670152</v>
      </c>
      <c r="C534" s="307">
        <v>104302318</v>
      </c>
      <c r="D534" s="307">
        <v>1367834</v>
      </c>
      <c r="E534" s="101">
        <v>68.47</v>
      </c>
      <c r="F534" s="64">
        <v>98.71</v>
      </c>
    </row>
    <row r="535" spans="1:6" x14ac:dyDescent="0.25">
      <c r="A535" s="296">
        <v>45119</v>
      </c>
      <c r="B535" s="307">
        <v>90357107</v>
      </c>
      <c r="C535" s="307">
        <v>89494647</v>
      </c>
      <c r="D535" s="307">
        <v>862460</v>
      </c>
      <c r="E535" s="101">
        <v>71.91</v>
      </c>
      <c r="F535" s="64">
        <v>99.05</v>
      </c>
    </row>
    <row r="536" spans="1:6" x14ac:dyDescent="0.25">
      <c r="A536" s="296">
        <v>45120</v>
      </c>
      <c r="B536" s="307">
        <v>112383911</v>
      </c>
      <c r="C536" s="307">
        <v>110058656</v>
      </c>
      <c r="D536" s="307">
        <v>2325255</v>
      </c>
      <c r="E536" s="101">
        <v>70.28</v>
      </c>
      <c r="F536" s="64">
        <v>97.93</v>
      </c>
    </row>
    <row r="537" spans="1:6" x14ac:dyDescent="0.25">
      <c r="A537" s="296">
        <v>45121</v>
      </c>
      <c r="B537" s="307">
        <v>100125705</v>
      </c>
      <c r="C537" s="307">
        <v>99368376</v>
      </c>
      <c r="D537" s="307">
        <v>757329</v>
      </c>
      <c r="E537" s="101">
        <v>72.8</v>
      </c>
      <c r="F537" s="64">
        <v>99.24</v>
      </c>
    </row>
    <row r="538" spans="1:6" x14ac:dyDescent="0.25">
      <c r="A538" s="296">
        <v>45122</v>
      </c>
      <c r="B538" s="307">
        <v>109176560</v>
      </c>
      <c r="C538" s="307">
        <v>108213184</v>
      </c>
      <c r="D538" s="307">
        <v>963376</v>
      </c>
      <c r="E538" s="101">
        <v>68.239999999999995</v>
      </c>
      <c r="F538" s="64">
        <v>99.12</v>
      </c>
    </row>
    <row r="539" spans="1:6" x14ac:dyDescent="0.25">
      <c r="A539" s="296">
        <v>45123</v>
      </c>
      <c r="B539" s="307">
        <v>74488146</v>
      </c>
      <c r="C539" s="307">
        <v>74039576</v>
      </c>
      <c r="D539" s="307">
        <v>448570</v>
      </c>
      <c r="E539" s="101">
        <v>75.400000000000006</v>
      </c>
      <c r="F539" s="64">
        <v>99.4</v>
      </c>
    </row>
    <row r="540" spans="1:6" x14ac:dyDescent="0.25">
      <c r="A540" s="296">
        <v>45124</v>
      </c>
      <c r="B540" s="307">
        <v>109708767</v>
      </c>
      <c r="C540" s="307">
        <v>108891579</v>
      </c>
      <c r="D540" s="307">
        <v>817188</v>
      </c>
      <c r="E540" s="101">
        <v>70.84</v>
      </c>
      <c r="F540" s="64">
        <v>99.26</v>
      </c>
    </row>
    <row r="541" spans="1:6" x14ac:dyDescent="0.25">
      <c r="A541" s="296">
        <v>45125</v>
      </c>
      <c r="B541" s="307">
        <v>111340044</v>
      </c>
      <c r="C541" s="307">
        <v>110379083</v>
      </c>
      <c r="D541" s="307">
        <v>960961</v>
      </c>
      <c r="E541" s="101">
        <v>70.19</v>
      </c>
      <c r="F541" s="64">
        <v>99.14</v>
      </c>
    </row>
    <row r="542" spans="1:6" x14ac:dyDescent="0.25">
      <c r="A542" s="296">
        <v>45126</v>
      </c>
      <c r="B542" s="307">
        <v>104273283</v>
      </c>
      <c r="C542" s="307">
        <v>103508932</v>
      </c>
      <c r="D542" s="307">
        <v>764351</v>
      </c>
      <c r="E542" s="101">
        <v>71.069999999999993</v>
      </c>
      <c r="F542" s="64">
        <v>99.27</v>
      </c>
    </row>
    <row r="543" spans="1:6" x14ac:dyDescent="0.25">
      <c r="A543" s="296">
        <v>45127</v>
      </c>
      <c r="B543" s="307">
        <v>103399648</v>
      </c>
      <c r="C543" s="307">
        <v>102449589</v>
      </c>
      <c r="D543" s="307">
        <v>950059</v>
      </c>
      <c r="E543" s="101">
        <v>68.83</v>
      </c>
      <c r="F543" s="104">
        <v>99.08</v>
      </c>
    </row>
    <row r="544" spans="1:6" x14ac:dyDescent="0.25">
      <c r="A544" s="296">
        <v>45128</v>
      </c>
      <c r="B544" s="307">
        <v>103871018</v>
      </c>
      <c r="C544" s="307">
        <v>102927489</v>
      </c>
      <c r="D544" s="307">
        <v>943529</v>
      </c>
      <c r="E544" s="101">
        <v>71.680000000000007</v>
      </c>
      <c r="F544" s="104">
        <v>99.09</v>
      </c>
    </row>
    <row r="545" spans="1:6" x14ac:dyDescent="0.25">
      <c r="A545" s="296">
        <v>45129</v>
      </c>
      <c r="B545" s="307">
        <v>114812167</v>
      </c>
      <c r="C545" s="307">
        <v>113557001</v>
      </c>
      <c r="D545" s="307">
        <v>1255166</v>
      </c>
      <c r="E545" s="101">
        <v>69.11</v>
      </c>
      <c r="F545" s="104">
        <v>98.91</v>
      </c>
    </row>
    <row r="546" spans="1:6" x14ac:dyDescent="0.25">
      <c r="A546" s="296">
        <v>45130</v>
      </c>
      <c r="B546" s="307">
        <v>87359670</v>
      </c>
      <c r="C546" s="307">
        <v>86546843</v>
      </c>
      <c r="D546" s="307">
        <v>812827</v>
      </c>
      <c r="E546" s="101">
        <v>70.97</v>
      </c>
      <c r="F546" s="104">
        <v>99.07</v>
      </c>
    </row>
    <row r="547" spans="1:6" x14ac:dyDescent="0.25">
      <c r="A547" s="296">
        <v>45131</v>
      </c>
      <c r="B547" s="307">
        <v>100309273</v>
      </c>
      <c r="C547" s="307">
        <v>99396417</v>
      </c>
      <c r="D547" s="307">
        <v>812827</v>
      </c>
      <c r="E547" s="101">
        <v>72.069999999999993</v>
      </c>
      <c r="F547" s="104">
        <v>99.09</v>
      </c>
    </row>
    <row r="548" spans="1:6" x14ac:dyDescent="0.25">
      <c r="A548" s="296">
        <v>45132</v>
      </c>
      <c r="B548" s="307">
        <v>99195459</v>
      </c>
      <c r="C548" s="307">
        <v>98544949</v>
      </c>
      <c r="D548" s="307">
        <v>650510</v>
      </c>
      <c r="E548" s="101">
        <v>73.83</v>
      </c>
      <c r="F548" s="104">
        <v>99.34</v>
      </c>
    </row>
    <row r="549" spans="1:6" x14ac:dyDescent="0.25">
      <c r="A549" s="296">
        <v>45133</v>
      </c>
      <c r="B549" s="307">
        <v>81633712</v>
      </c>
      <c r="C549" s="307">
        <v>81086183</v>
      </c>
      <c r="D549" s="307">
        <v>650510</v>
      </c>
      <c r="E549" s="101">
        <v>77.06</v>
      </c>
      <c r="F549" s="104">
        <v>99.33</v>
      </c>
    </row>
    <row r="550" spans="1:6" x14ac:dyDescent="0.25">
      <c r="A550" s="296">
        <v>45134</v>
      </c>
      <c r="B550" s="307">
        <v>87184464</v>
      </c>
      <c r="C550" s="307">
        <v>86603695</v>
      </c>
      <c r="D550" s="307">
        <v>580769</v>
      </c>
      <c r="E550" s="101">
        <v>77.209999999999994</v>
      </c>
      <c r="F550" s="104">
        <v>99.33</v>
      </c>
    </row>
    <row r="551" spans="1:6" x14ac:dyDescent="0.25">
      <c r="A551" s="296">
        <v>45135</v>
      </c>
      <c r="B551" s="307">
        <v>92299725</v>
      </c>
      <c r="C551" s="307">
        <v>91745479</v>
      </c>
      <c r="D551" s="307">
        <v>554246</v>
      </c>
      <c r="E551" s="101">
        <v>74.739999999999995</v>
      </c>
      <c r="F551" s="104">
        <v>99.4</v>
      </c>
    </row>
    <row r="552" spans="1:6" x14ac:dyDescent="0.25">
      <c r="A552" s="296">
        <v>45136</v>
      </c>
      <c r="B552" s="307">
        <v>104591660</v>
      </c>
      <c r="C552" s="307">
        <v>103552128</v>
      </c>
      <c r="D552" s="307">
        <v>1039532</v>
      </c>
      <c r="E552" s="101">
        <v>70.14</v>
      </c>
      <c r="F552" s="104">
        <v>99.01</v>
      </c>
    </row>
    <row r="553" spans="1:6" x14ac:dyDescent="0.25">
      <c r="A553" s="296">
        <v>45137</v>
      </c>
      <c r="B553" s="307">
        <v>75148183</v>
      </c>
      <c r="C553" s="307">
        <v>74619106</v>
      </c>
      <c r="D553" s="307">
        <v>529077</v>
      </c>
      <c r="E553" s="101">
        <v>74.040000000000006</v>
      </c>
      <c r="F553" s="104">
        <v>99.3</v>
      </c>
    </row>
    <row r="554" spans="1:6" x14ac:dyDescent="0.25">
      <c r="A554" s="296">
        <v>45138</v>
      </c>
      <c r="B554" s="307">
        <v>110142656</v>
      </c>
      <c r="C554" s="307">
        <v>109024059</v>
      </c>
      <c r="D554" s="307">
        <v>1118597</v>
      </c>
      <c r="E554" s="101">
        <v>71.790000000000006</v>
      </c>
      <c r="F554" s="104">
        <v>98.98</v>
      </c>
    </row>
    <row r="555" spans="1:6" x14ac:dyDescent="0.25">
      <c r="A555" s="296">
        <v>45139</v>
      </c>
      <c r="B555" s="307">
        <v>112528767</v>
      </c>
      <c r="C555" s="307">
        <v>111467174</v>
      </c>
      <c r="D555" s="307">
        <v>1061593</v>
      </c>
      <c r="E555" s="101">
        <v>70.66</v>
      </c>
      <c r="F555" s="104">
        <v>99.06</v>
      </c>
    </row>
    <row r="556" spans="1:6" x14ac:dyDescent="0.25">
      <c r="A556" s="296">
        <v>45140</v>
      </c>
      <c r="B556" s="307">
        <v>97625417</v>
      </c>
      <c r="C556" s="307">
        <v>71218634</v>
      </c>
      <c r="D556" s="307">
        <v>26406783</v>
      </c>
      <c r="E556" s="101">
        <v>72.95</v>
      </c>
      <c r="F556" s="101">
        <v>99.18</v>
      </c>
    </row>
    <row r="557" spans="1:6" x14ac:dyDescent="0.25">
      <c r="A557" s="296">
        <v>45141</v>
      </c>
      <c r="B557" s="307">
        <v>125106470</v>
      </c>
      <c r="C557" s="307">
        <v>85738577</v>
      </c>
      <c r="D557" s="307">
        <v>39367893</v>
      </c>
      <c r="E557" s="101">
        <v>68.53</v>
      </c>
      <c r="F557" s="101">
        <v>99</v>
      </c>
    </row>
    <row r="558" spans="1:6" x14ac:dyDescent="0.25">
      <c r="A558" s="296">
        <v>45142</v>
      </c>
      <c r="B558" s="307">
        <v>101170906</v>
      </c>
      <c r="C558" s="307">
        <v>71171232</v>
      </c>
      <c r="D558" s="307">
        <v>29999674</v>
      </c>
      <c r="E558" s="101">
        <v>70.349999999999994</v>
      </c>
      <c r="F558" s="101">
        <v>99.16</v>
      </c>
    </row>
    <row r="559" spans="1:6" x14ac:dyDescent="0.25">
      <c r="A559" s="296">
        <v>45143</v>
      </c>
      <c r="B559" s="307">
        <v>101939873</v>
      </c>
      <c r="C559" s="307">
        <v>69896798</v>
      </c>
      <c r="D559" s="307">
        <v>32043075</v>
      </c>
      <c r="E559" s="101">
        <v>68.569999999999993</v>
      </c>
      <c r="F559" s="101">
        <v>99.02</v>
      </c>
    </row>
    <row r="560" spans="1:6" x14ac:dyDescent="0.25">
      <c r="A560" s="296">
        <v>45144</v>
      </c>
      <c r="B560" s="307">
        <v>68680584</v>
      </c>
      <c r="C560" s="307">
        <v>51866107</v>
      </c>
      <c r="D560" s="307">
        <v>16814477</v>
      </c>
      <c r="E560" s="101">
        <v>75.52</v>
      </c>
      <c r="F560" s="101">
        <v>99.2</v>
      </c>
    </row>
    <row r="561" spans="1:9" x14ac:dyDescent="0.25">
      <c r="A561" s="296">
        <v>45145</v>
      </c>
      <c r="B561" s="307">
        <v>90837859</v>
      </c>
      <c r="C561" s="307">
        <v>67836858</v>
      </c>
      <c r="D561" s="307">
        <v>23001001</v>
      </c>
      <c r="E561" s="101">
        <v>74.680000000000007</v>
      </c>
      <c r="F561" s="101">
        <v>99.13</v>
      </c>
    </row>
    <row r="562" spans="1:9" x14ac:dyDescent="0.25">
      <c r="A562" s="296">
        <v>45146</v>
      </c>
      <c r="B562" s="307">
        <v>89613026</v>
      </c>
      <c r="C562" s="307">
        <v>68009755</v>
      </c>
      <c r="D562" s="307">
        <v>21603271</v>
      </c>
      <c r="E562" s="101">
        <v>75.89</v>
      </c>
      <c r="F562" s="101">
        <v>98.98</v>
      </c>
    </row>
    <row r="563" spans="1:9" x14ac:dyDescent="0.25">
      <c r="A563" s="296">
        <v>45147</v>
      </c>
      <c r="B563" s="307">
        <v>83824706</v>
      </c>
      <c r="C563" s="307">
        <v>62184832</v>
      </c>
      <c r="D563" s="307">
        <v>21639874</v>
      </c>
      <c r="E563" s="101">
        <v>74.180000000000007</v>
      </c>
      <c r="F563" s="101">
        <v>99.14</v>
      </c>
    </row>
    <row r="564" spans="1:9" x14ac:dyDescent="0.25">
      <c r="A564" s="296">
        <v>45148</v>
      </c>
      <c r="B564" s="307">
        <v>71511247</v>
      </c>
      <c r="C564" s="307">
        <v>32462814</v>
      </c>
      <c r="D564" s="307">
        <v>103974061</v>
      </c>
      <c r="E564" s="101">
        <v>68.78</v>
      </c>
      <c r="F564" s="101">
        <v>98.94</v>
      </c>
    </row>
    <row r="565" spans="1:9" x14ac:dyDescent="0.25">
      <c r="A565" s="296">
        <v>45149</v>
      </c>
      <c r="B565" s="307">
        <v>65969868</v>
      </c>
      <c r="C565" s="307">
        <v>27283100</v>
      </c>
      <c r="D565" s="307">
        <v>93252968</v>
      </c>
      <c r="E565" s="101">
        <v>70.739999999999995</v>
      </c>
      <c r="F565" s="101">
        <v>99.21</v>
      </c>
    </row>
    <row r="566" spans="1:9" x14ac:dyDescent="0.25">
      <c r="A566" s="296">
        <v>45150</v>
      </c>
      <c r="B566" s="307">
        <v>73835943</v>
      </c>
      <c r="C566" s="307">
        <v>35129094</v>
      </c>
      <c r="D566" s="307">
        <v>108965037</v>
      </c>
      <c r="E566" s="101">
        <v>67.760000000000005</v>
      </c>
      <c r="F566" s="101">
        <v>99.02</v>
      </c>
    </row>
    <row r="567" spans="1:9" x14ac:dyDescent="0.25">
      <c r="A567" s="296">
        <v>45151</v>
      </c>
      <c r="B567" s="307">
        <v>53883750</v>
      </c>
      <c r="C567" s="307">
        <v>23790613</v>
      </c>
      <c r="D567" s="307">
        <v>77674363</v>
      </c>
      <c r="E567" s="101">
        <v>69.37</v>
      </c>
      <c r="F567" s="101">
        <v>99.12</v>
      </c>
    </row>
    <row r="568" spans="1:9" x14ac:dyDescent="0.25">
      <c r="A568" s="296">
        <v>45152</v>
      </c>
      <c r="B568" s="307">
        <v>100298333</v>
      </c>
      <c r="C568" s="307">
        <v>72163013</v>
      </c>
      <c r="D568" s="307">
        <v>28135320</v>
      </c>
      <c r="E568" s="101">
        <v>71.95</v>
      </c>
      <c r="F568" s="101">
        <v>99.17</v>
      </c>
    </row>
    <row r="569" spans="1:9" x14ac:dyDescent="0.25">
      <c r="A569" s="296">
        <v>45153</v>
      </c>
      <c r="B569" s="307">
        <v>99092050</v>
      </c>
      <c r="C569" s="307">
        <v>71214950</v>
      </c>
      <c r="D569" s="307">
        <v>27877100</v>
      </c>
      <c r="E569" s="101">
        <v>71.87</v>
      </c>
      <c r="F569" s="101">
        <v>98.94</v>
      </c>
    </row>
    <row r="570" spans="1:9" x14ac:dyDescent="0.25">
      <c r="A570" s="296">
        <v>45154</v>
      </c>
      <c r="B570" s="307">
        <v>115124321</v>
      </c>
      <c r="C570" s="307">
        <v>77394181</v>
      </c>
      <c r="D570" s="307">
        <v>37730140</v>
      </c>
      <c r="E570" s="101">
        <v>67.23</v>
      </c>
      <c r="F570" s="101">
        <v>99.11</v>
      </c>
      <c r="G570" s="292"/>
      <c r="H570" s="292"/>
      <c r="I570" s="292"/>
    </row>
    <row r="571" spans="1:9" x14ac:dyDescent="0.25">
      <c r="A571" s="296">
        <v>45155</v>
      </c>
      <c r="B571" s="307">
        <v>107452478</v>
      </c>
      <c r="C571" s="307">
        <v>72397218</v>
      </c>
      <c r="D571" s="307">
        <v>35055260</v>
      </c>
      <c r="E571" s="101">
        <v>67.38</v>
      </c>
      <c r="F571" s="101">
        <v>98.89</v>
      </c>
    </row>
    <row r="572" spans="1:9" x14ac:dyDescent="0.25">
      <c r="A572" s="296">
        <v>45156</v>
      </c>
      <c r="B572" s="307">
        <v>99324203</v>
      </c>
      <c r="C572" s="307">
        <v>72080034</v>
      </c>
      <c r="D572" s="307">
        <v>27244169</v>
      </c>
      <c r="E572" s="101">
        <v>72.569999999999993</v>
      </c>
      <c r="F572" s="101">
        <v>99.16</v>
      </c>
    </row>
    <row r="573" spans="1:9" x14ac:dyDescent="0.25">
      <c r="A573" s="296">
        <v>45157</v>
      </c>
      <c r="B573" s="307">
        <v>116867437</v>
      </c>
      <c r="C573" s="307">
        <v>80031209</v>
      </c>
      <c r="D573" s="307">
        <v>36836228</v>
      </c>
      <c r="E573" s="101">
        <v>68.48</v>
      </c>
      <c r="F573" s="101">
        <v>98.99</v>
      </c>
    </row>
    <row r="574" spans="1:9" x14ac:dyDescent="0.25">
      <c r="A574" s="296">
        <v>45158</v>
      </c>
      <c r="B574" s="307">
        <v>92946893</v>
      </c>
      <c r="C574" s="307">
        <v>63616771</v>
      </c>
      <c r="D574" s="307">
        <v>29330122</v>
      </c>
      <c r="E574" s="101">
        <v>68.44</v>
      </c>
      <c r="F574" s="101">
        <v>99.01</v>
      </c>
    </row>
    <row r="575" spans="1:9" x14ac:dyDescent="0.25">
      <c r="A575" s="296">
        <v>45159</v>
      </c>
      <c r="B575" s="307">
        <v>104030902</v>
      </c>
      <c r="C575" s="307">
        <v>73838706</v>
      </c>
      <c r="D575" s="307">
        <v>30192196</v>
      </c>
      <c r="E575" s="101">
        <v>70.98</v>
      </c>
      <c r="F575" s="101">
        <v>99.39</v>
      </c>
    </row>
    <row r="576" spans="1:9" x14ac:dyDescent="0.25">
      <c r="A576" s="296">
        <v>45160</v>
      </c>
      <c r="B576" s="307">
        <v>100853351</v>
      </c>
      <c r="C576" s="307">
        <v>72216518</v>
      </c>
      <c r="D576" s="307">
        <v>28636833</v>
      </c>
      <c r="E576" s="101">
        <v>71.61</v>
      </c>
      <c r="F576" s="101">
        <v>99.31</v>
      </c>
    </row>
    <row r="577" spans="1:6" x14ac:dyDescent="0.25">
      <c r="A577" s="296">
        <v>45161</v>
      </c>
      <c r="B577" s="307">
        <v>99881228</v>
      </c>
      <c r="C577" s="307">
        <v>67282997</v>
      </c>
      <c r="D577" s="307">
        <v>32598231</v>
      </c>
      <c r="E577" s="101">
        <v>67.36</v>
      </c>
      <c r="F577" s="101">
        <v>99.24</v>
      </c>
    </row>
    <row r="578" spans="1:6" x14ac:dyDescent="0.25">
      <c r="A578" s="296">
        <v>45162</v>
      </c>
      <c r="B578" s="307">
        <v>92568087</v>
      </c>
      <c r="C578" s="307">
        <v>64021876</v>
      </c>
      <c r="D578" s="307">
        <v>28546211</v>
      </c>
      <c r="E578" s="101">
        <v>69.16</v>
      </c>
      <c r="F578" s="101">
        <v>99.37</v>
      </c>
    </row>
    <row r="579" spans="1:6" x14ac:dyDescent="0.25">
      <c r="A579" s="296">
        <v>45163</v>
      </c>
      <c r="B579" s="307">
        <v>112534618</v>
      </c>
      <c r="C579" s="307">
        <v>76689676</v>
      </c>
      <c r="D579" s="307">
        <v>35844942</v>
      </c>
      <c r="E579" s="101">
        <v>68.150000000000006</v>
      </c>
      <c r="F579" s="101">
        <v>99.03</v>
      </c>
    </row>
    <row r="580" spans="1:6" x14ac:dyDescent="0.25">
      <c r="A580" s="296">
        <v>45164</v>
      </c>
      <c r="B580" s="307">
        <v>101702341</v>
      </c>
      <c r="C580" s="307">
        <v>71291212</v>
      </c>
      <c r="D580" s="307">
        <v>30411129</v>
      </c>
      <c r="E580" s="101">
        <v>70.099999999999994</v>
      </c>
      <c r="F580" s="101">
        <v>99.14</v>
      </c>
    </row>
    <row r="581" spans="1:6" x14ac:dyDescent="0.25">
      <c r="A581" s="296">
        <v>45165</v>
      </c>
      <c r="B581" s="307">
        <v>75403969</v>
      </c>
      <c r="C581" s="307">
        <v>52947087</v>
      </c>
      <c r="D581" s="307">
        <v>22456882</v>
      </c>
      <c r="E581" s="101">
        <v>70.22</v>
      </c>
      <c r="F581" s="101">
        <v>99.04</v>
      </c>
    </row>
    <row r="582" spans="1:6" x14ac:dyDescent="0.25">
      <c r="A582" s="296">
        <v>45166</v>
      </c>
      <c r="B582" s="307">
        <v>91390142</v>
      </c>
      <c r="C582" s="307">
        <v>69548587</v>
      </c>
      <c r="D582" s="307">
        <v>21841555</v>
      </c>
      <c r="E582" s="101">
        <v>76.099999999999994</v>
      </c>
      <c r="F582" s="2">
        <v>99.23</v>
      </c>
    </row>
    <row r="583" spans="1:6" x14ac:dyDescent="0.25">
      <c r="A583" s="296">
        <v>45167</v>
      </c>
      <c r="B583" s="307">
        <v>89293499</v>
      </c>
      <c r="C583" s="307">
        <v>65421683</v>
      </c>
      <c r="D583" s="307">
        <v>23871816</v>
      </c>
      <c r="E583" s="101">
        <v>73.27</v>
      </c>
      <c r="F583" s="101">
        <v>99.38</v>
      </c>
    </row>
    <row r="584" spans="1:6" x14ac:dyDescent="0.25">
      <c r="A584" s="296">
        <v>45168</v>
      </c>
      <c r="B584" s="307">
        <v>94505867</v>
      </c>
      <c r="C584" s="307">
        <v>63256674</v>
      </c>
      <c r="D584" s="307">
        <v>31249193</v>
      </c>
      <c r="E584" s="101">
        <v>66.930000000000007</v>
      </c>
      <c r="F584" s="101">
        <v>98.88</v>
      </c>
    </row>
    <row r="585" spans="1:6" x14ac:dyDescent="0.25">
      <c r="A585" s="296">
        <v>45169</v>
      </c>
      <c r="B585" s="307">
        <v>84323385</v>
      </c>
      <c r="C585" s="307">
        <v>83753857</v>
      </c>
      <c r="D585" s="307">
        <v>569528</v>
      </c>
      <c r="E585" s="101">
        <v>70.59</v>
      </c>
      <c r="F585" s="101">
        <v>99.32</v>
      </c>
    </row>
    <row r="586" spans="1:6" x14ac:dyDescent="0.25">
      <c r="A586" s="296">
        <v>45170</v>
      </c>
      <c r="B586" s="307">
        <v>76916125</v>
      </c>
      <c r="C586" s="307">
        <v>76583888</v>
      </c>
      <c r="D586" s="307">
        <v>332237</v>
      </c>
      <c r="E586" s="101">
        <v>72.959999999999994</v>
      </c>
      <c r="F586" s="101">
        <v>99.57</v>
      </c>
    </row>
    <row r="587" spans="1:6" x14ac:dyDescent="0.25">
      <c r="A587" s="296">
        <v>45171</v>
      </c>
      <c r="B587" s="307">
        <v>83516615</v>
      </c>
      <c r="C587" s="307">
        <v>82994857</v>
      </c>
      <c r="D587" s="307">
        <v>521758</v>
      </c>
      <c r="E587" s="101">
        <v>70.33</v>
      </c>
      <c r="F587" s="101">
        <v>99.38</v>
      </c>
    </row>
    <row r="588" spans="1:6" x14ac:dyDescent="0.25">
      <c r="A588" s="296">
        <v>45172</v>
      </c>
      <c r="B588" s="280"/>
      <c r="C588" s="280"/>
      <c r="D588" s="280"/>
      <c r="E588" s="2"/>
      <c r="F588" s="2"/>
    </row>
    <row r="589" spans="1:6" x14ac:dyDescent="0.25">
      <c r="A589" s="296">
        <v>45173</v>
      </c>
      <c r="B589" s="280"/>
      <c r="C589" s="280"/>
      <c r="D589" s="280"/>
      <c r="E589" s="2"/>
      <c r="F589" s="2"/>
    </row>
    <row r="590" spans="1:6" x14ac:dyDescent="0.25">
      <c r="A590" s="296">
        <v>45174</v>
      </c>
      <c r="B590" s="280"/>
      <c r="C590" s="280"/>
      <c r="D590" s="280"/>
      <c r="E590" s="2"/>
      <c r="F590" s="2"/>
    </row>
    <row r="591" spans="1:6" x14ac:dyDescent="0.25">
      <c r="A591" s="296">
        <v>45175</v>
      </c>
      <c r="B591" s="280"/>
      <c r="C591" s="280"/>
      <c r="D591" s="280"/>
      <c r="E591" s="2"/>
      <c r="F591" s="2"/>
    </row>
    <row r="592" spans="1:6" x14ac:dyDescent="0.25">
      <c r="A592" s="296">
        <v>45176</v>
      </c>
      <c r="B592" s="280"/>
      <c r="C592" s="280"/>
      <c r="D592" s="280"/>
      <c r="E592" s="2"/>
      <c r="F592" s="2"/>
    </row>
    <row r="593" spans="1:6" x14ac:dyDescent="0.25">
      <c r="A593" s="296">
        <v>45177</v>
      </c>
      <c r="B593" s="280"/>
      <c r="C593" s="280"/>
      <c r="D593" s="280"/>
      <c r="E593" s="2"/>
      <c r="F593" s="2"/>
    </row>
    <row r="594" spans="1:6" x14ac:dyDescent="0.25">
      <c r="A594" s="296">
        <v>45178</v>
      </c>
      <c r="B594" s="280"/>
      <c r="C594" s="280"/>
      <c r="D594" s="280"/>
      <c r="E594" s="2"/>
      <c r="F594" s="2"/>
    </row>
    <row r="595" spans="1:6" x14ac:dyDescent="0.25">
      <c r="A595" s="296">
        <v>45179</v>
      </c>
      <c r="B595" s="280"/>
      <c r="C595" s="280"/>
      <c r="D595" s="280"/>
      <c r="E595" s="2"/>
      <c r="F595" s="2"/>
    </row>
    <row r="596" spans="1:6" x14ac:dyDescent="0.25">
      <c r="A596" s="296">
        <v>45180</v>
      </c>
      <c r="B596" s="280"/>
      <c r="C596" s="280"/>
      <c r="D596" s="280"/>
      <c r="E596" s="2"/>
      <c r="F596" s="2"/>
    </row>
    <row r="597" spans="1:6" x14ac:dyDescent="0.25">
      <c r="A597" s="296">
        <v>45181</v>
      </c>
      <c r="B597" s="280"/>
      <c r="C597" s="280"/>
      <c r="D597" s="280"/>
      <c r="E597" s="2"/>
      <c r="F597" s="2"/>
    </row>
    <row r="598" spans="1:6" x14ac:dyDescent="0.25">
      <c r="A598" s="296">
        <v>45182</v>
      </c>
      <c r="B598" s="280"/>
      <c r="C598" s="280"/>
      <c r="D598" s="280"/>
      <c r="E598" s="2"/>
      <c r="F598" s="2"/>
    </row>
    <row r="599" spans="1:6" x14ac:dyDescent="0.25">
      <c r="A599" s="296">
        <v>45183</v>
      </c>
      <c r="B599" s="280"/>
      <c r="C599" s="280"/>
      <c r="D599" s="280"/>
      <c r="E599" s="2"/>
      <c r="F599" s="2"/>
    </row>
    <row r="600" spans="1:6" x14ac:dyDescent="0.25">
      <c r="A600" s="296">
        <v>45184</v>
      </c>
      <c r="B600" s="280"/>
      <c r="C600" s="280"/>
      <c r="D600" s="280"/>
      <c r="E600" s="2"/>
      <c r="F600" s="2"/>
    </row>
    <row r="601" spans="1:6" x14ac:dyDescent="0.25">
      <c r="A601" s="296">
        <v>45185</v>
      </c>
      <c r="B601" s="281"/>
      <c r="C601" s="281"/>
      <c r="D601" s="281"/>
      <c r="E601" s="11"/>
      <c r="F601" s="2"/>
    </row>
    <row r="602" spans="1:6" x14ac:dyDescent="0.25">
      <c r="A602" s="296">
        <v>45186</v>
      </c>
      <c r="B602" s="281"/>
      <c r="C602" s="281"/>
      <c r="D602" s="281"/>
      <c r="E602" s="11"/>
      <c r="F602" s="2"/>
    </row>
    <row r="603" spans="1:6" x14ac:dyDescent="0.25">
      <c r="A603" s="296">
        <v>45187</v>
      </c>
      <c r="B603" s="281"/>
      <c r="C603" s="281"/>
      <c r="D603" s="281"/>
      <c r="E603" s="11"/>
      <c r="F603" s="2"/>
    </row>
    <row r="604" spans="1:6" x14ac:dyDescent="0.25">
      <c r="A604" s="296">
        <v>45188</v>
      </c>
      <c r="B604" s="281"/>
      <c r="C604" s="281"/>
      <c r="D604" s="281"/>
      <c r="E604" s="11"/>
      <c r="F604" s="2"/>
    </row>
    <row r="605" spans="1:6" x14ac:dyDescent="0.25">
      <c r="A605" s="296">
        <v>45189</v>
      </c>
      <c r="B605">
        <v>87669783</v>
      </c>
      <c r="C605">
        <v>87194544</v>
      </c>
      <c r="D605">
        <v>475239</v>
      </c>
      <c r="E605" s="11"/>
      <c r="F605" s="74">
        <v>99.46</v>
      </c>
    </row>
    <row r="606" spans="1:6" x14ac:dyDescent="0.25">
      <c r="A606" s="296">
        <v>45190</v>
      </c>
      <c r="B606">
        <v>81887750</v>
      </c>
      <c r="C606">
        <v>81441850</v>
      </c>
      <c r="D606">
        <v>445900</v>
      </c>
      <c r="E606" s="11"/>
      <c r="F606">
        <v>99.46</v>
      </c>
    </row>
    <row r="607" spans="1:6" x14ac:dyDescent="0.25">
      <c r="A607" s="296">
        <v>45191</v>
      </c>
      <c r="B607">
        <v>83503659</v>
      </c>
      <c r="C607">
        <v>83128788</v>
      </c>
      <c r="D607">
        <v>374871</v>
      </c>
      <c r="E607" s="11"/>
      <c r="F607">
        <v>99.55</v>
      </c>
    </row>
    <row r="608" spans="1:6" x14ac:dyDescent="0.25">
      <c r="A608" s="296">
        <v>45192</v>
      </c>
      <c r="B608">
        <v>74084612</v>
      </c>
      <c r="C608">
        <v>73517032</v>
      </c>
      <c r="D608">
        <v>567580</v>
      </c>
      <c r="E608" s="11"/>
      <c r="F608">
        <v>99.23</v>
      </c>
    </row>
    <row r="609" spans="1:6" x14ac:dyDescent="0.25">
      <c r="A609" s="296">
        <v>45193</v>
      </c>
      <c r="B609" s="281"/>
      <c r="C609" s="281"/>
      <c r="D609" s="281"/>
      <c r="E609" s="11"/>
      <c r="F609" s="2"/>
    </row>
    <row r="610" spans="1:6" x14ac:dyDescent="0.25">
      <c r="A610" s="296">
        <v>45194</v>
      </c>
      <c r="B610" s="281"/>
      <c r="C610" s="281"/>
      <c r="D610" s="281"/>
      <c r="E610" s="11"/>
      <c r="F610" s="2"/>
    </row>
    <row r="611" spans="1:6" x14ac:dyDescent="0.25">
      <c r="A611" s="296">
        <v>45195</v>
      </c>
      <c r="B611" s="281"/>
      <c r="C611" s="281"/>
      <c r="D611" s="281"/>
      <c r="E611" s="11"/>
      <c r="F611" s="2"/>
    </row>
    <row r="612" spans="1:6" x14ac:dyDescent="0.25">
      <c r="A612" s="296">
        <v>45196</v>
      </c>
      <c r="B612" s="281"/>
      <c r="C612" s="281"/>
      <c r="D612" s="281"/>
      <c r="E612" s="11"/>
      <c r="F612" s="2"/>
    </row>
    <row r="613" spans="1:6" x14ac:dyDescent="0.25">
      <c r="A613" s="296">
        <v>45197</v>
      </c>
      <c r="B613" s="281"/>
      <c r="C613" s="281"/>
      <c r="D613" s="281"/>
      <c r="E613" s="11"/>
      <c r="F613" s="2"/>
    </row>
    <row r="614" spans="1:6" x14ac:dyDescent="0.25">
      <c r="A614" s="296">
        <v>45198</v>
      </c>
      <c r="B614">
        <v>83727305</v>
      </c>
      <c r="C614">
        <v>83354387</v>
      </c>
      <c r="D614">
        <v>372918</v>
      </c>
      <c r="E614" s="11"/>
      <c r="F614">
        <v>99.55</v>
      </c>
    </row>
    <row r="615" spans="1:6" x14ac:dyDescent="0.25">
      <c r="A615" s="296">
        <v>45199</v>
      </c>
      <c r="B615">
        <v>78581812</v>
      </c>
      <c r="C615">
        <v>78170084</v>
      </c>
      <c r="D615">
        <v>411728</v>
      </c>
      <c r="E615" s="11"/>
      <c r="F615">
        <v>99.48</v>
      </c>
    </row>
    <row r="616" spans="1:6" x14ac:dyDescent="0.25">
      <c r="A616" s="296">
        <v>45200</v>
      </c>
      <c r="B616" s="281"/>
      <c r="C616" s="281"/>
      <c r="D616" s="281"/>
      <c r="E616" s="11"/>
      <c r="F616" s="67"/>
    </row>
    <row r="617" spans="1:6" x14ac:dyDescent="0.25">
      <c r="A617" s="296">
        <v>45201</v>
      </c>
      <c r="B617" s="281"/>
      <c r="C617" s="281"/>
      <c r="D617" s="281"/>
      <c r="E617" s="11"/>
      <c r="F617" s="67"/>
    </row>
    <row r="618" spans="1:6" x14ac:dyDescent="0.25">
      <c r="A618" s="296">
        <v>45202</v>
      </c>
      <c r="B618" s="281"/>
      <c r="C618" s="281"/>
      <c r="D618" s="281"/>
      <c r="E618" s="11"/>
      <c r="F618" s="67"/>
    </row>
    <row r="619" spans="1:6" x14ac:dyDescent="0.25">
      <c r="A619" s="296">
        <v>45203</v>
      </c>
      <c r="B619" s="281"/>
      <c r="C619" s="281"/>
      <c r="D619" s="281"/>
      <c r="E619" s="11"/>
      <c r="F619" s="67"/>
    </row>
    <row r="620" spans="1:6" x14ac:dyDescent="0.25">
      <c r="A620" s="296">
        <v>45204</v>
      </c>
      <c r="B620" s="281"/>
      <c r="C620" s="281"/>
      <c r="D620" s="281"/>
      <c r="E620" s="11"/>
      <c r="F620" s="67"/>
    </row>
    <row r="621" spans="1:6" x14ac:dyDescent="0.25">
      <c r="A621" s="296">
        <v>45205</v>
      </c>
      <c r="B621" s="281"/>
      <c r="C621" s="281"/>
      <c r="D621" s="281"/>
      <c r="E621" s="11"/>
      <c r="F621" s="67"/>
    </row>
    <row r="622" spans="1:6" x14ac:dyDescent="0.25">
      <c r="A622" s="296">
        <v>45206</v>
      </c>
      <c r="B622" s="280"/>
      <c r="C622" s="280"/>
      <c r="D622" s="280"/>
      <c r="E622" s="2"/>
      <c r="F622" s="2"/>
    </row>
    <row r="623" spans="1:6" x14ac:dyDescent="0.25">
      <c r="A623" s="296">
        <v>45207</v>
      </c>
      <c r="B623" s="280"/>
      <c r="C623" s="280"/>
      <c r="D623" s="280"/>
      <c r="E623" s="2"/>
      <c r="F623" s="2"/>
    </row>
    <row r="624" spans="1:6" x14ac:dyDescent="0.25">
      <c r="A624" s="296">
        <v>45208</v>
      </c>
      <c r="B624" s="280"/>
      <c r="C624" s="280"/>
      <c r="D624" s="280"/>
      <c r="E624" s="2"/>
      <c r="F624" s="2"/>
    </row>
    <row r="625" spans="1:6" x14ac:dyDescent="0.25">
      <c r="A625" s="296">
        <v>45209</v>
      </c>
      <c r="B625" s="280"/>
      <c r="C625" s="280"/>
      <c r="D625" s="280"/>
      <c r="E625" s="2"/>
      <c r="F625" s="2"/>
    </row>
    <row r="626" spans="1:6" x14ac:dyDescent="0.25">
      <c r="A626" s="296">
        <v>45210</v>
      </c>
      <c r="B626" s="280"/>
      <c r="C626" s="280"/>
      <c r="D626" s="280"/>
      <c r="E626" s="2"/>
      <c r="F626" s="2"/>
    </row>
    <row r="627" spans="1:6" x14ac:dyDescent="0.25">
      <c r="A627" s="296">
        <v>45211</v>
      </c>
      <c r="B627" s="280"/>
      <c r="C627" s="280"/>
      <c r="D627" s="280"/>
      <c r="E627" s="2"/>
      <c r="F627" s="2"/>
    </row>
    <row r="628" spans="1:6" x14ac:dyDescent="0.25">
      <c r="A628" s="296">
        <v>45212</v>
      </c>
      <c r="B628" s="280"/>
      <c r="C628" s="280"/>
      <c r="D628" s="280"/>
      <c r="E628" s="2"/>
      <c r="F628" s="2"/>
    </row>
    <row r="629" spans="1:6" x14ac:dyDescent="0.25">
      <c r="A629" s="296">
        <v>45213</v>
      </c>
      <c r="B629" s="280"/>
      <c r="C629" s="280"/>
      <c r="D629" s="280"/>
      <c r="E629" s="280"/>
      <c r="F629" s="280"/>
    </row>
    <row r="630" spans="1:6" x14ac:dyDescent="0.25">
      <c r="A630" s="296">
        <v>45214</v>
      </c>
      <c r="B630" s="280"/>
      <c r="C630" s="280"/>
      <c r="D630" s="280"/>
      <c r="E630" s="280"/>
      <c r="F630" s="280"/>
    </row>
    <row r="631" spans="1:6" x14ac:dyDescent="0.25">
      <c r="A631" s="296">
        <v>45215</v>
      </c>
      <c r="B631" s="280"/>
      <c r="C631" s="280"/>
      <c r="D631" s="280"/>
      <c r="E631" s="280"/>
      <c r="F631" s="280"/>
    </row>
    <row r="632" spans="1:6" x14ac:dyDescent="0.25">
      <c r="A632" s="296">
        <v>45216</v>
      </c>
      <c r="B632" s="280"/>
      <c r="C632" s="280"/>
      <c r="D632" s="280"/>
      <c r="E632" s="280"/>
      <c r="F632" s="280"/>
    </row>
    <row r="633" spans="1:6" x14ac:dyDescent="0.25">
      <c r="A633" s="296">
        <v>45217</v>
      </c>
      <c r="B633" s="280"/>
      <c r="C633" s="280"/>
      <c r="D633" s="280"/>
      <c r="E633" s="280"/>
      <c r="F633" s="280"/>
    </row>
    <row r="634" spans="1:6" x14ac:dyDescent="0.25">
      <c r="A634" s="296">
        <v>45218</v>
      </c>
      <c r="B634" s="280"/>
      <c r="C634" s="280"/>
      <c r="D634" s="280"/>
      <c r="E634" s="280"/>
      <c r="F634" s="280"/>
    </row>
    <row r="635" spans="1:6" x14ac:dyDescent="0.25">
      <c r="A635" s="296">
        <v>45219</v>
      </c>
      <c r="B635" s="280"/>
      <c r="C635" s="280"/>
      <c r="D635" s="280"/>
      <c r="E635" s="280"/>
      <c r="F635" s="280"/>
    </row>
    <row r="636" spans="1:6" x14ac:dyDescent="0.25">
      <c r="A636" s="296">
        <v>45220</v>
      </c>
      <c r="B636" s="280"/>
      <c r="C636" s="280"/>
      <c r="D636" s="280"/>
      <c r="E636" s="280"/>
      <c r="F636" s="280"/>
    </row>
    <row r="637" spans="1:6" x14ac:dyDescent="0.25">
      <c r="A637" s="296">
        <v>45221</v>
      </c>
      <c r="B637" s="280"/>
      <c r="C637" s="280"/>
      <c r="D637" s="280"/>
      <c r="E637" s="280"/>
      <c r="F637" s="280"/>
    </row>
    <row r="638" spans="1:6" x14ac:dyDescent="0.25">
      <c r="A638" s="296">
        <v>45222</v>
      </c>
      <c r="B638" s="280"/>
      <c r="C638" s="280"/>
      <c r="D638" s="280"/>
      <c r="E638" s="280"/>
      <c r="F638" s="280"/>
    </row>
    <row r="639" spans="1:6" x14ac:dyDescent="0.25">
      <c r="A639" s="296">
        <v>45223</v>
      </c>
      <c r="B639" s="280"/>
      <c r="C639" s="280"/>
      <c r="D639" s="280"/>
      <c r="E639" s="280"/>
      <c r="F639" s="280"/>
    </row>
    <row r="640" spans="1:6" x14ac:dyDescent="0.25">
      <c r="A640" s="296">
        <v>45224</v>
      </c>
      <c r="B640" s="280"/>
      <c r="C640" s="280"/>
      <c r="D640" s="280"/>
      <c r="E640" s="280"/>
      <c r="F640" s="280"/>
    </row>
    <row r="641" spans="1:6" x14ac:dyDescent="0.25">
      <c r="A641" s="296">
        <v>45225</v>
      </c>
      <c r="B641" s="280"/>
      <c r="C641" s="280"/>
      <c r="D641" s="280"/>
      <c r="E641" s="280"/>
      <c r="F641" s="280"/>
    </row>
    <row r="642" spans="1:6" x14ac:dyDescent="0.25">
      <c r="A642" s="296">
        <v>45226</v>
      </c>
      <c r="B642" s="280"/>
      <c r="C642" s="280"/>
      <c r="D642" s="280"/>
      <c r="E642" s="280"/>
      <c r="F642" s="280"/>
    </row>
    <row r="643" spans="1:6" x14ac:dyDescent="0.25">
      <c r="A643" s="296">
        <v>45227</v>
      </c>
      <c r="B643" s="280"/>
      <c r="C643" s="280"/>
      <c r="D643" s="280"/>
      <c r="E643" s="280"/>
      <c r="F643" s="280"/>
    </row>
    <row r="644" spans="1:6" x14ac:dyDescent="0.25">
      <c r="A644" s="296">
        <v>45228</v>
      </c>
      <c r="B644" s="280"/>
      <c r="C644" s="280"/>
      <c r="D644" s="280"/>
      <c r="E644" s="280"/>
      <c r="F644" s="280"/>
    </row>
    <row r="645" spans="1:6" x14ac:dyDescent="0.25">
      <c r="A645" s="296">
        <v>45229</v>
      </c>
      <c r="B645" s="280"/>
      <c r="C645" s="280"/>
      <c r="D645" s="280"/>
      <c r="E645" s="280"/>
      <c r="F645" s="280"/>
    </row>
    <row r="646" spans="1:6" x14ac:dyDescent="0.25">
      <c r="A646" s="296">
        <v>45230</v>
      </c>
      <c r="B646" s="280"/>
      <c r="C646" s="280"/>
      <c r="D646" s="280"/>
      <c r="E646" s="280"/>
      <c r="F646" s="280"/>
    </row>
    <row r="647" spans="1:6" x14ac:dyDescent="0.25">
      <c r="A647" s="296">
        <v>45231</v>
      </c>
      <c r="B647" s="280"/>
      <c r="C647" s="280"/>
      <c r="D647" s="280"/>
      <c r="E647" s="280"/>
      <c r="F647" s="280"/>
    </row>
    <row r="648" spans="1:6" x14ac:dyDescent="0.25">
      <c r="A648" s="296">
        <v>45232</v>
      </c>
      <c r="B648" s="280"/>
      <c r="C648" s="280"/>
      <c r="D648" s="280"/>
      <c r="E648" s="280"/>
      <c r="F648" s="280"/>
    </row>
    <row r="649" spans="1:6" x14ac:dyDescent="0.25">
      <c r="A649" s="296">
        <v>45233</v>
      </c>
      <c r="B649" s="280"/>
      <c r="C649" s="280"/>
      <c r="D649" s="280"/>
      <c r="E649" s="280"/>
      <c r="F649" s="280"/>
    </row>
    <row r="650" spans="1:6" x14ac:dyDescent="0.25">
      <c r="A650" s="296">
        <v>45234</v>
      </c>
      <c r="B650" s="280"/>
      <c r="C650" s="280"/>
      <c r="D650" s="280"/>
      <c r="E650" s="280"/>
      <c r="F650" s="280"/>
    </row>
    <row r="651" spans="1:6" x14ac:dyDescent="0.25">
      <c r="A651" s="296">
        <v>45235</v>
      </c>
      <c r="B651" s="280"/>
      <c r="C651" s="280"/>
      <c r="D651" s="280"/>
      <c r="E651" s="280"/>
      <c r="F651" s="280"/>
    </row>
    <row r="652" spans="1:6" x14ac:dyDescent="0.25">
      <c r="A652" s="296">
        <v>45236</v>
      </c>
      <c r="B652" s="280"/>
      <c r="C652" s="280"/>
      <c r="D652" s="280"/>
      <c r="E652" s="280"/>
      <c r="F652" s="280"/>
    </row>
    <row r="653" spans="1:6" x14ac:dyDescent="0.25">
      <c r="A653" s="296">
        <v>45237</v>
      </c>
      <c r="B653" s="280"/>
      <c r="C653" s="280"/>
      <c r="D653" s="280"/>
      <c r="E653" s="280"/>
      <c r="F653" s="280"/>
    </row>
    <row r="654" spans="1:6" x14ac:dyDescent="0.25">
      <c r="A654" s="296">
        <v>45238</v>
      </c>
      <c r="B654" s="280"/>
      <c r="C654" s="280"/>
      <c r="D654" s="280"/>
      <c r="E654" s="280"/>
      <c r="F654" s="280"/>
    </row>
    <row r="655" spans="1:6" x14ac:dyDescent="0.25">
      <c r="A655" s="296">
        <v>45239</v>
      </c>
      <c r="B655" s="280"/>
      <c r="C655" s="280"/>
      <c r="D655" s="280"/>
      <c r="E655" s="280"/>
      <c r="F655" s="280"/>
    </row>
    <row r="656" spans="1:6" x14ac:dyDescent="0.25">
      <c r="A656" s="296">
        <v>45240</v>
      </c>
      <c r="B656" s="280"/>
      <c r="C656" s="280"/>
      <c r="D656" s="280"/>
      <c r="E656" s="280"/>
      <c r="F656" s="280"/>
    </row>
    <row r="657" spans="1:7" x14ac:dyDescent="0.25">
      <c r="A657" s="296">
        <v>45241</v>
      </c>
      <c r="B657" s="280"/>
      <c r="C657" s="280"/>
      <c r="D657" s="280"/>
      <c r="E657" s="280"/>
      <c r="F657" s="280"/>
    </row>
    <row r="658" spans="1:7" x14ac:dyDescent="0.25">
      <c r="A658" s="296">
        <v>45242</v>
      </c>
      <c r="B658" s="280"/>
      <c r="C658" s="280"/>
      <c r="D658" s="280"/>
      <c r="E658" s="280"/>
      <c r="F658" s="280"/>
    </row>
    <row r="659" spans="1:7" x14ac:dyDescent="0.25">
      <c r="A659" s="296">
        <v>45243</v>
      </c>
      <c r="B659" s="280"/>
      <c r="C659" s="280"/>
      <c r="D659" s="280"/>
      <c r="E659" s="280"/>
      <c r="F659" s="280"/>
    </row>
    <row r="660" spans="1:7" x14ac:dyDescent="0.25">
      <c r="A660" s="296">
        <v>45244</v>
      </c>
      <c r="B660" s="280"/>
      <c r="C660" s="280"/>
      <c r="D660" s="280"/>
      <c r="E660" s="280"/>
      <c r="F660" s="280"/>
    </row>
    <row r="661" spans="1:7" x14ac:dyDescent="0.25">
      <c r="A661" s="296">
        <v>45245</v>
      </c>
      <c r="B661" s="280"/>
      <c r="C661" s="280"/>
      <c r="D661" s="280"/>
      <c r="E661" s="280"/>
      <c r="F661" s="280"/>
    </row>
    <row r="662" spans="1:7" x14ac:dyDescent="0.25">
      <c r="A662" s="296">
        <v>45246</v>
      </c>
      <c r="B662" s="280"/>
      <c r="C662" s="280"/>
      <c r="D662" s="280"/>
      <c r="E662" s="280"/>
      <c r="F662" s="280"/>
    </row>
    <row r="663" spans="1:7" x14ac:dyDescent="0.25">
      <c r="A663" s="296">
        <v>45247</v>
      </c>
      <c r="B663" s="280"/>
      <c r="C663" s="280"/>
      <c r="D663" s="280"/>
      <c r="E663" s="2"/>
      <c r="F663" s="2"/>
    </row>
    <row r="664" spans="1:7" x14ac:dyDescent="0.25">
      <c r="A664" s="296">
        <v>45248</v>
      </c>
      <c r="B664" s="280"/>
      <c r="C664" s="280"/>
      <c r="D664" s="280"/>
      <c r="E664" s="2"/>
      <c r="F664" s="2"/>
    </row>
    <row r="665" spans="1:7" x14ac:dyDescent="0.25">
      <c r="A665" s="296">
        <v>45249</v>
      </c>
      <c r="B665" s="280"/>
      <c r="C665" s="280"/>
      <c r="D665" s="280"/>
      <c r="E665" s="2"/>
      <c r="F665" s="2"/>
    </row>
    <row r="666" spans="1:7" x14ac:dyDescent="0.25">
      <c r="A666" s="296">
        <v>45250</v>
      </c>
      <c r="B666" s="280"/>
      <c r="C666" s="280"/>
      <c r="D666" s="280"/>
      <c r="E666" s="2"/>
      <c r="F666" s="2"/>
    </row>
    <row r="667" spans="1:7" x14ac:dyDescent="0.25">
      <c r="A667" s="296">
        <v>45251</v>
      </c>
      <c r="B667" s="280"/>
      <c r="C667" s="280"/>
      <c r="D667" s="280"/>
      <c r="E667" s="2"/>
      <c r="F667" s="2"/>
    </row>
    <row r="668" spans="1:7" x14ac:dyDescent="0.25">
      <c r="A668" s="296">
        <v>45252</v>
      </c>
      <c r="B668" s="280"/>
      <c r="C668" s="280"/>
      <c r="D668" s="280"/>
      <c r="E668" s="2"/>
      <c r="F668" s="2"/>
      <c r="G668" s="58"/>
    </row>
    <row r="669" spans="1:7" x14ac:dyDescent="0.25">
      <c r="A669" s="296">
        <v>45253</v>
      </c>
      <c r="B669" s="280"/>
      <c r="C669" s="280"/>
      <c r="D669" s="280"/>
      <c r="E669" s="2"/>
      <c r="F669" s="2"/>
    </row>
    <row r="670" spans="1:7" x14ac:dyDescent="0.25">
      <c r="A670" s="296">
        <v>45254</v>
      </c>
      <c r="B670" s="280"/>
      <c r="C670" s="280"/>
      <c r="D670" s="280"/>
      <c r="E670" s="2"/>
      <c r="F670" s="2"/>
    </row>
    <row r="671" spans="1:7" x14ac:dyDescent="0.25">
      <c r="A671" s="296">
        <v>45255</v>
      </c>
      <c r="B671" s="280"/>
      <c r="C671" s="280"/>
      <c r="D671" s="280"/>
      <c r="E671" s="2"/>
      <c r="F671" s="87"/>
    </row>
    <row r="672" spans="1:7" x14ac:dyDescent="0.25">
      <c r="A672" s="296">
        <v>45256</v>
      </c>
      <c r="B672" s="280"/>
      <c r="C672" s="280"/>
      <c r="D672" s="280"/>
      <c r="E672" s="2"/>
      <c r="F672" s="87"/>
    </row>
    <row r="673" spans="1:6" x14ac:dyDescent="0.25">
      <c r="A673" s="296">
        <v>45257</v>
      </c>
      <c r="B673" s="280"/>
      <c r="C673" s="280"/>
      <c r="D673" s="280"/>
      <c r="E673" s="2"/>
      <c r="F673" s="87"/>
    </row>
    <row r="674" spans="1:6" x14ac:dyDescent="0.25">
      <c r="A674" s="296">
        <v>45258</v>
      </c>
      <c r="B674" s="280"/>
      <c r="C674" s="280"/>
      <c r="D674" s="280"/>
      <c r="E674" s="2"/>
      <c r="F674" s="87"/>
    </row>
    <row r="675" spans="1:6" x14ac:dyDescent="0.25">
      <c r="A675" s="296">
        <v>45259</v>
      </c>
      <c r="B675" s="280"/>
      <c r="C675" s="280"/>
      <c r="D675" s="280"/>
      <c r="E675" s="2"/>
      <c r="F675" s="87"/>
    </row>
    <row r="676" spans="1:6" x14ac:dyDescent="0.25">
      <c r="A676" s="296">
        <v>45260</v>
      </c>
      <c r="B676" s="280"/>
      <c r="C676" s="280"/>
      <c r="D676" s="280"/>
      <c r="E676" s="2"/>
      <c r="F676" s="87"/>
    </row>
    <row r="677" spans="1:6" x14ac:dyDescent="0.25">
      <c r="A677" s="296">
        <v>45261</v>
      </c>
      <c r="B677" s="280"/>
      <c r="C677" s="280"/>
      <c r="D677" s="280"/>
      <c r="E677" s="2"/>
      <c r="F677" s="87"/>
    </row>
    <row r="678" spans="1:6" x14ac:dyDescent="0.25">
      <c r="A678" s="296">
        <v>45262</v>
      </c>
      <c r="B678" s="280"/>
      <c r="C678" s="280"/>
      <c r="D678" s="280"/>
      <c r="E678" s="2"/>
      <c r="F678" s="2"/>
    </row>
    <row r="679" spans="1:6" x14ac:dyDescent="0.25">
      <c r="A679" s="296">
        <v>45263</v>
      </c>
      <c r="B679" s="280"/>
      <c r="C679" s="280"/>
      <c r="D679" s="280"/>
      <c r="E679" s="2"/>
      <c r="F679" s="2"/>
    </row>
    <row r="680" spans="1:6" x14ac:dyDescent="0.25">
      <c r="A680" s="296">
        <v>45264</v>
      </c>
      <c r="B680" s="280"/>
      <c r="C680" s="280"/>
      <c r="D680" s="280"/>
      <c r="E680" s="2"/>
      <c r="F680" s="2"/>
    </row>
    <row r="681" spans="1:6" x14ac:dyDescent="0.25">
      <c r="A681" s="296">
        <v>45265</v>
      </c>
      <c r="B681" s="280"/>
      <c r="C681" s="280"/>
      <c r="D681" s="280"/>
      <c r="E681" s="2"/>
      <c r="F681" s="2"/>
    </row>
    <row r="682" spans="1:6" x14ac:dyDescent="0.25">
      <c r="A682" s="296">
        <v>45266</v>
      </c>
      <c r="B682" s="280"/>
      <c r="C682" s="280"/>
      <c r="D682" s="280"/>
      <c r="E682" s="2"/>
      <c r="F682" s="2"/>
    </row>
    <row r="683" spans="1:6" x14ac:dyDescent="0.25">
      <c r="A683" s="296">
        <v>45267</v>
      </c>
      <c r="B683" s="280"/>
      <c r="C683" s="280"/>
      <c r="D683" s="280"/>
      <c r="E683" s="2"/>
      <c r="F683" s="2"/>
    </row>
    <row r="684" spans="1:6" x14ac:dyDescent="0.25">
      <c r="A684" s="296">
        <v>45268</v>
      </c>
      <c r="B684" s="280"/>
      <c r="C684" s="280"/>
      <c r="D684" s="280"/>
      <c r="E684" s="2"/>
      <c r="F684" s="2"/>
    </row>
    <row r="685" spans="1:6" x14ac:dyDescent="0.25">
      <c r="A685" s="296">
        <v>45269</v>
      </c>
      <c r="B685" s="280"/>
      <c r="C685" s="280"/>
      <c r="D685" s="280"/>
      <c r="E685" s="2"/>
      <c r="F685" s="2"/>
    </row>
    <row r="686" spans="1:6" x14ac:dyDescent="0.25">
      <c r="A686" s="296">
        <v>45270</v>
      </c>
      <c r="B686" s="280"/>
      <c r="C686" s="280"/>
      <c r="D686" s="280"/>
      <c r="E686" s="2"/>
      <c r="F686" s="2"/>
    </row>
    <row r="687" spans="1:6" x14ac:dyDescent="0.25">
      <c r="A687" s="296">
        <v>45271</v>
      </c>
      <c r="B687" s="280"/>
      <c r="C687" s="280"/>
      <c r="D687" s="280"/>
      <c r="E687" s="2"/>
      <c r="F687" s="2"/>
    </row>
    <row r="688" spans="1:6" x14ac:dyDescent="0.25">
      <c r="A688" s="296">
        <v>45272</v>
      </c>
      <c r="B688" s="280"/>
      <c r="C688" s="280"/>
      <c r="D688" s="280"/>
      <c r="E688" s="2"/>
      <c r="F688" s="2"/>
    </row>
    <row r="689" spans="1:6" x14ac:dyDescent="0.25">
      <c r="A689" s="296">
        <v>45273</v>
      </c>
      <c r="B689" s="280"/>
      <c r="C689" s="280"/>
      <c r="D689" s="280"/>
      <c r="E689" s="2"/>
      <c r="F689" s="2"/>
    </row>
    <row r="690" spans="1:6" x14ac:dyDescent="0.25">
      <c r="A690" s="296">
        <v>45274</v>
      </c>
      <c r="B690" s="280"/>
      <c r="C690" s="280"/>
      <c r="D690" s="280"/>
      <c r="E690" s="2"/>
      <c r="F690" s="2"/>
    </row>
    <row r="691" spans="1:6" x14ac:dyDescent="0.25">
      <c r="A691" s="296">
        <v>45275</v>
      </c>
      <c r="B691" s="280"/>
      <c r="C691" s="280"/>
      <c r="D691" s="280"/>
      <c r="E691" s="2"/>
      <c r="F691" s="2"/>
    </row>
    <row r="692" spans="1:6" x14ac:dyDescent="0.25">
      <c r="A692" s="296">
        <v>45276</v>
      </c>
      <c r="B692" s="281"/>
      <c r="C692" s="281"/>
      <c r="D692" s="281"/>
      <c r="E692" s="11"/>
      <c r="F692" s="2"/>
    </row>
    <row r="693" spans="1:6" x14ac:dyDescent="0.25">
      <c r="A693" s="296">
        <v>45277</v>
      </c>
      <c r="B693" s="281"/>
      <c r="C693" s="281"/>
      <c r="D693" s="281"/>
      <c r="E693" s="11"/>
      <c r="F693" s="2"/>
    </row>
    <row r="694" spans="1:6" x14ac:dyDescent="0.25">
      <c r="A694" s="296">
        <v>45278</v>
      </c>
      <c r="B694" s="281"/>
      <c r="C694" s="281"/>
      <c r="D694" s="281"/>
      <c r="E694" s="11"/>
      <c r="F694" s="2"/>
    </row>
    <row r="695" spans="1:6" x14ac:dyDescent="0.25">
      <c r="A695" s="296">
        <v>45279</v>
      </c>
      <c r="B695" s="281"/>
      <c r="C695" s="281"/>
      <c r="D695" s="281"/>
      <c r="E695" s="11"/>
      <c r="F695" s="2"/>
    </row>
    <row r="696" spans="1:6" x14ac:dyDescent="0.25">
      <c r="A696" s="296">
        <v>45280</v>
      </c>
      <c r="B696" s="281"/>
      <c r="C696" s="281"/>
      <c r="D696" s="281"/>
      <c r="E696" s="11"/>
      <c r="F696" s="2"/>
    </row>
    <row r="697" spans="1:6" x14ac:dyDescent="0.25">
      <c r="A697" s="296">
        <v>45281</v>
      </c>
      <c r="B697" s="281"/>
      <c r="C697" s="281"/>
      <c r="D697" s="281"/>
      <c r="E697" s="11"/>
      <c r="F697" s="2"/>
    </row>
    <row r="698" spans="1:6" x14ac:dyDescent="0.25">
      <c r="A698" s="296">
        <v>45282</v>
      </c>
      <c r="B698" s="281"/>
      <c r="C698" s="281"/>
      <c r="D698" s="281"/>
      <c r="E698" s="11"/>
      <c r="F698" s="2"/>
    </row>
    <row r="699" spans="1:6" x14ac:dyDescent="0.25">
      <c r="A699" s="296">
        <v>45283</v>
      </c>
      <c r="B699" s="281"/>
      <c r="C699" s="281"/>
      <c r="D699" s="281"/>
      <c r="E699" s="11"/>
      <c r="F699" s="2"/>
    </row>
    <row r="700" spans="1:6" x14ac:dyDescent="0.25">
      <c r="A700" s="296">
        <v>45284</v>
      </c>
      <c r="B700" s="281"/>
      <c r="C700" s="281"/>
      <c r="D700" s="281"/>
      <c r="E700" s="11"/>
      <c r="F700" s="2"/>
    </row>
    <row r="701" spans="1:6" x14ac:dyDescent="0.25">
      <c r="A701" s="296">
        <v>45285</v>
      </c>
      <c r="B701" s="281"/>
      <c r="C701" s="281"/>
      <c r="D701" s="281"/>
      <c r="E701" s="11"/>
      <c r="F701" s="2"/>
    </row>
    <row r="702" spans="1:6" x14ac:dyDescent="0.25">
      <c r="A702" s="296">
        <v>45286</v>
      </c>
      <c r="B702" s="281"/>
      <c r="C702" s="281"/>
      <c r="D702" s="281"/>
      <c r="E702" s="11"/>
      <c r="F702" s="2"/>
    </row>
    <row r="703" spans="1:6" x14ac:dyDescent="0.25">
      <c r="A703" s="296">
        <v>45287</v>
      </c>
      <c r="B703" s="281"/>
      <c r="C703" s="281"/>
      <c r="D703" s="281"/>
      <c r="E703" s="11"/>
      <c r="F703" s="2"/>
    </row>
    <row r="704" spans="1:6" x14ac:dyDescent="0.25">
      <c r="A704" s="296">
        <v>45288</v>
      </c>
      <c r="B704" s="281"/>
      <c r="C704" s="281"/>
      <c r="D704" s="281"/>
      <c r="E704" s="11"/>
      <c r="F704" s="2"/>
    </row>
    <row r="705" spans="1:6" x14ac:dyDescent="0.25">
      <c r="A705" s="296">
        <v>45289</v>
      </c>
      <c r="B705" s="281"/>
      <c r="C705" s="281"/>
      <c r="D705" s="281"/>
      <c r="E705" s="11"/>
      <c r="F705" s="2"/>
    </row>
  </sheetData>
  <mergeCells count="2">
    <mergeCell ref="J1:L1"/>
    <mergeCell ref="A341:F341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X7:Z172"/>
  <sheetViews>
    <sheetView showGridLines="0" tabSelected="1" topLeftCell="A145" zoomScale="67" zoomScaleNormal="67" workbookViewId="0">
      <selection activeCell="X175" sqref="X175"/>
    </sheetView>
  </sheetViews>
  <sheetFormatPr defaultColWidth="9.140625" defaultRowHeight="15" x14ac:dyDescent="0.25"/>
  <cols>
    <col min="1" max="16" width="9.140625" style="259"/>
    <col min="17" max="18" width="9.140625" style="259" customWidth="1"/>
    <col min="19" max="22" width="9.140625" style="259"/>
    <col min="23" max="23" width="9" style="259" customWidth="1"/>
    <col min="24" max="24" width="45.140625" style="262" customWidth="1"/>
    <col min="25" max="25" width="9.140625" style="259" hidden="1" customWidth="1"/>
    <col min="26" max="26" width="2.7109375" style="259" bestFit="1" customWidth="1"/>
    <col min="27" max="16384" width="9.140625" style="259"/>
  </cols>
  <sheetData>
    <row r="7" spans="24:26" x14ac:dyDescent="0.25">
      <c r="X7" s="385" t="s">
        <v>304</v>
      </c>
      <c r="Y7" s="385"/>
      <c r="Z7" s="385"/>
    </row>
    <row r="8" spans="24:26" x14ac:dyDescent="0.25">
      <c r="X8" s="385"/>
      <c r="Y8" s="385"/>
      <c r="Z8" s="385"/>
    </row>
    <row r="9" spans="24:26" x14ac:dyDescent="0.25">
      <c r="X9" s="385"/>
      <c r="Y9" s="385"/>
      <c r="Z9" s="385"/>
    </row>
    <row r="10" spans="24:26" x14ac:dyDescent="0.25">
      <c r="X10" s="385"/>
      <c r="Y10" s="385"/>
      <c r="Z10" s="385"/>
    </row>
    <row r="11" spans="24:26" x14ac:dyDescent="0.25">
      <c r="X11" s="385"/>
      <c r="Y11" s="385"/>
      <c r="Z11" s="385"/>
    </row>
    <row r="12" spans="24:26" x14ac:dyDescent="0.25">
      <c r="X12" s="385"/>
      <c r="Y12" s="385"/>
      <c r="Z12" s="385"/>
    </row>
    <row r="13" spans="24:26" x14ac:dyDescent="0.25">
      <c r="X13" s="385"/>
      <c r="Y13" s="385"/>
      <c r="Z13" s="385"/>
    </row>
    <row r="14" spans="24:26" x14ac:dyDescent="0.25">
      <c r="X14" s="385"/>
      <c r="Y14" s="385"/>
      <c r="Z14" s="385"/>
    </row>
    <row r="15" spans="24:26" x14ac:dyDescent="0.25">
      <c r="X15" s="385"/>
      <c r="Y15" s="385"/>
      <c r="Z15" s="385"/>
    </row>
    <row r="16" spans="24:26" x14ac:dyDescent="0.25">
      <c r="X16" s="385"/>
      <c r="Y16" s="385"/>
      <c r="Z16" s="385"/>
    </row>
    <row r="17" spans="24:26" x14ac:dyDescent="0.25">
      <c r="X17" s="385"/>
      <c r="Y17" s="385"/>
      <c r="Z17" s="385"/>
    </row>
    <row r="18" spans="24:26" x14ac:dyDescent="0.25">
      <c r="X18" s="385"/>
      <c r="Y18" s="385"/>
      <c r="Z18" s="385"/>
    </row>
    <row r="19" spans="24:26" x14ac:dyDescent="0.25">
      <c r="X19" s="385"/>
      <c r="Y19" s="385"/>
      <c r="Z19" s="385"/>
    </row>
    <row r="20" spans="24:26" x14ac:dyDescent="0.25">
      <c r="X20" s="385"/>
      <c r="Y20" s="385"/>
      <c r="Z20" s="385"/>
    </row>
    <row r="53" spans="24:26" x14ac:dyDescent="0.25">
      <c r="X53" s="347"/>
    </row>
    <row r="54" spans="24:26" ht="60" customHeight="1" x14ac:dyDescent="0.25">
      <c r="X54" s="269" t="s">
        <v>305</v>
      </c>
      <c r="Y54" s="260" t="str">
        <f>[1]ReviewUpdate!BH3</f>
        <v>In Trend</v>
      </c>
      <c r="Z54" s="260"/>
    </row>
    <row r="65" hidden="1" x14ac:dyDescent="0.25"/>
    <row r="66" hidden="1" x14ac:dyDescent="0.25"/>
    <row r="86" spans="24:26" x14ac:dyDescent="0.25">
      <c r="X86" s="386" t="s">
        <v>306</v>
      </c>
      <c r="Y86" s="386"/>
      <c r="Z86" s="386"/>
    </row>
    <row r="87" spans="24:26" x14ac:dyDescent="0.25">
      <c r="X87" s="386"/>
      <c r="Y87" s="386"/>
      <c r="Z87" s="386"/>
    </row>
    <row r="88" spans="24:26" x14ac:dyDescent="0.25">
      <c r="X88" s="386"/>
      <c r="Y88" s="386"/>
      <c r="Z88" s="386"/>
    </row>
    <row r="89" spans="24:26" x14ac:dyDescent="0.25">
      <c r="X89" s="386"/>
      <c r="Y89" s="386"/>
      <c r="Z89" s="386"/>
    </row>
    <row r="90" spans="24:26" x14ac:dyDescent="0.25">
      <c r="X90" s="386"/>
      <c r="Y90" s="386"/>
      <c r="Z90" s="386"/>
    </row>
    <row r="91" spans="24:26" x14ac:dyDescent="0.25">
      <c r="X91" s="386"/>
      <c r="Y91" s="386"/>
      <c r="Z91" s="386"/>
    </row>
    <row r="92" spans="24:26" x14ac:dyDescent="0.25">
      <c r="X92" s="386"/>
      <c r="Y92" s="386"/>
      <c r="Z92" s="386"/>
    </row>
    <row r="93" spans="24:26" x14ac:dyDescent="0.25">
      <c r="X93" s="386"/>
      <c r="Y93" s="386"/>
      <c r="Z93" s="386"/>
    </row>
    <row r="94" spans="24:26" x14ac:dyDescent="0.25">
      <c r="X94" s="386"/>
      <c r="Y94" s="386"/>
      <c r="Z94" s="386"/>
    </row>
    <row r="95" spans="24:26" x14ac:dyDescent="0.25">
      <c r="X95" s="386"/>
      <c r="Y95" s="386"/>
      <c r="Z95" s="386"/>
    </row>
    <row r="96" spans="24:26" x14ac:dyDescent="0.25">
      <c r="X96" s="386"/>
      <c r="Y96" s="386"/>
      <c r="Z96" s="386"/>
    </row>
    <row r="97" spans="24:26" x14ac:dyDescent="0.25">
      <c r="X97" s="386"/>
      <c r="Y97" s="386"/>
      <c r="Z97" s="386"/>
    </row>
    <row r="98" spans="24:26" x14ac:dyDescent="0.25">
      <c r="X98" s="386"/>
      <c r="Y98" s="386"/>
      <c r="Z98" s="386"/>
    </row>
    <row r="99" spans="24:26" x14ac:dyDescent="0.25">
      <c r="X99" s="386"/>
      <c r="Y99" s="386"/>
      <c r="Z99" s="386"/>
    </row>
    <row r="108" spans="24:26" x14ac:dyDescent="0.25">
      <c r="X108" s="385" t="s">
        <v>293</v>
      </c>
      <c r="Y108" s="385"/>
      <c r="Z108" s="385"/>
    </row>
    <row r="109" spans="24:26" x14ac:dyDescent="0.25">
      <c r="X109" s="385"/>
      <c r="Y109" s="385"/>
      <c r="Z109" s="385"/>
    </row>
    <row r="110" spans="24:26" x14ac:dyDescent="0.25">
      <c r="X110" s="385"/>
      <c r="Y110" s="385"/>
      <c r="Z110" s="385"/>
    </row>
    <row r="111" spans="24:26" x14ac:dyDescent="0.25">
      <c r="X111" s="385"/>
      <c r="Y111" s="385"/>
      <c r="Z111" s="385"/>
    </row>
    <row r="112" spans="24:26" x14ac:dyDescent="0.25">
      <c r="X112" s="385"/>
      <c r="Y112" s="385"/>
      <c r="Z112" s="385"/>
    </row>
    <row r="113" spans="24:26" x14ac:dyDescent="0.25">
      <c r="X113" s="385"/>
      <c r="Y113" s="385"/>
      <c r="Z113" s="385"/>
    </row>
    <row r="114" spans="24:26" x14ac:dyDescent="0.25">
      <c r="X114" s="385"/>
      <c r="Y114" s="385"/>
      <c r="Z114" s="385"/>
    </row>
    <row r="115" spans="24:26" x14ac:dyDescent="0.25">
      <c r="X115" s="385"/>
      <c r="Y115" s="385"/>
      <c r="Z115" s="385"/>
    </row>
    <row r="116" spans="24:26" x14ac:dyDescent="0.25">
      <c r="X116" s="385"/>
      <c r="Y116" s="385"/>
      <c r="Z116" s="385"/>
    </row>
    <row r="117" spans="24:26" x14ac:dyDescent="0.25">
      <c r="X117" s="385"/>
      <c r="Y117" s="385"/>
      <c r="Z117" s="385"/>
    </row>
    <row r="118" spans="24:26" x14ac:dyDescent="0.25">
      <c r="X118" s="385"/>
      <c r="Y118" s="385"/>
      <c r="Z118" s="385"/>
    </row>
    <row r="119" spans="24:26" x14ac:dyDescent="0.25">
      <c r="X119" s="385"/>
      <c r="Y119" s="385"/>
      <c r="Z119" s="385"/>
    </row>
    <row r="120" spans="24:26" x14ac:dyDescent="0.25">
      <c r="X120" s="385"/>
      <c r="Y120" s="385"/>
      <c r="Z120" s="385"/>
    </row>
    <row r="121" spans="24:26" x14ac:dyDescent="0.25">
      <c r="X121" s="385"/>
      <c r="Y121" s="385"/>
      <c r="Z121" s="385"/>
    </row>
    <row r="172" spans="24:24" x14ac:dyDescent="0.25">
      <c r="X172" s="261"/>
    </row>
  </sheetData>
  <mergeCells count="3">
    <mergeCell ref="X7:Z20"/>
    <mergeCell ref="X86:Z99"/>
    <mergeCell ref="X108:Z12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70"/>
  <sheetViews>
    <sheetView topLeftCell="C1" zoomScale="90" zoomScaleNormal="90" workbookViewId="0">
      <pane ySplit="1" topLeftCell="A2" activePane="bottomLeft" state="frozen"/>
      <selection activeCell="AG641" sqref="AG641"/>
      <selection pane="bottomLeft" activeCell="I651" sqref="I651"/>
    </sheetView>
  </sheetViews>
  <sheetFormatPr defaultRowHeight="15" x14ac:dyDescent="0.25"/>
  <cols>
    <col min="1" max="1" width="7.42578125" bestFit="1" customWidth="1"/>
    <col min="2" max="2" width="11.5703125" bestFit="1" customWidth="1"/>
    <col min="3" max="3" width="10.28515625" bestFit="1" customWidth="1"/>
    <col min="4" max="4" width="11.5703125" bestFit="1" customWidth="1"/>
    <col min="5" max="5" width="13.140625" bestFit="1" customWidth="1"/>
    <col min="6" max="6" width="9.7109375" bestFit="1" customWidth="1"/>
    <col min="8" max="8" width="7.42578125" bestFit="1" customWidth="1"/>
    <col min="9" max="9" width="10.28515625" bestFit="1" customWidth="1"/>
    <col min="10" max="10" width="9" bestFit="1" customWidth="1"/>
    <col min="11" max="11" width="10.28515625" bestFit="1" customWidth="1"/>
    <col min="12" max="12" width="12.85546875" bestFit="1" customWidth="1"/>
    <col min="13" max="13" width="9.7109375" bestFit="1" customWidth="1"/>
    <col min="15" max="15" width="7.42578125" bestFit="1" customWidth="1"/>
    <col min="16" max="17" width="11.5703125" bestFit="1" customWidth="1"/>
    <col min="18" max="18" width="12.85546875" bestFit="1" customWidth="1"/>
    <col min="19" max="19" width="13.140625" bestFit="1" customWidth="1"/>
    <col min="20" max="20" width="9.7109375" bestFit="1" customWidth="1"/>
    <col min="23" max="23" width="8.85546875" bestFit="1" customWidth="1"/>
    <col min="24" max="24" width="10.28515625" bestFit="1" customWidth="1"/>
    <col min="25" max="25" width="14.140625" bestFit="1" customWidth="1"/>
    <col min="26" max="26" width="11.5703125" bestFit="1" customWidth="1"/>
    <col min="28" max="28" width="8.85546875" bestFit="1" customWidth="1"/>
    <col min="29" max="29" width="10.28515625" bestFit="1" customWidth="1"/>
    <col min="30" max="30" width="14.140625" bestFit="1" customWidth="1"/>
    <col min="31" max="31" width="11.5703125" bestFit="1" customWidth="1"/>
    <col min="33" max="33" width="8.85546875" bestFit="1" customWidth="1"/>
    <col min="34" max="34" width="10.28515625" bestFit="1" customWidth="1"/>
    <col min="35" max="35" width="14.140625" bestFit="1" customWidth="1"/>
    <col min="36" max="36" width="12" bestFit="1" customWidth="1"/>
    <col min="38" max="38" width="13.140625" customWidth="1"/>
    <col min="39" max="39" width="44.28515625" bestFit="1" customWidth="1"/>
    <col min="40" max="40" width="12" bestFit="1" customWidth="1"/>
    <col min="42" max="42" width="13.28515625" customWidth="1"/>
    <col min="43" max="43" width="44.28515625" bestFit="1" customWidth="1"/>
    <col min="44" max="44" width="12" bestFit="1" customWidth="1"/>
    <col min="46" max="46" width="13" customWidth="1"/>
    <col min="47" max="47" width="39.42578125" bestFit="1" customWidth="1"/>
    <col min="48" max="48" width="12" bestFit="1" customWidth="1"/>
  </cols>
  <sheetData>
    <row r="1" spans="1:48" x14ac:dyDescent="0.25">
      <c r="A1" s="387" t="s">
        <v>128</v>
      </c>
      <c r="B1" s="387"/>
      <c r="C1" s="387"/>
      <c r="D1" s="387"/>
      <c r="E1" s="387"/>
      <c r="F1" s="387"/>
      <c r="H1" s="387" t="s">
        <v>129</v>
      </c>
      <c r="I1" s="387"/>
      <c r="J1" s="387"/>
      <c r="K1" s="387"/>
      <c r="L1" s="387"/>
      <c r="O1" s="387" t="s">
        <v>130</v>
      </c>
      <c r="P1" s="387"/>
      <c r="Q1" s="387"/>
      <c r="R1" s="387"/>
      <c r="S1" s="387"/>
      <c r="T1" s="387"/>
      <c r="W1" s="387" t="s">
        <v>131</v>
      </c>
      <c r="X1" s="387"/>
      <c r="Y1" s="387"/>
      <c r="Z1" s="387"/>
      <c r="AB1" s="387" t="s">
        <v>132</v>
      </c>
      <c r="AC1" s="387"/>
      <c r="AD1" s="387"/>
      <c r="AE1" s="387"/>
      <c r="AG1" s="387" t="s">
        <v>133</v>
      </c>
      <c r="AH1" s="387"/>
      <c r="AI1" s="387"/>
      <c r="AJ1" s="387"/>
      <c r="AM1" t="s">
        <v>128</v>
      </c>
      <c r="AQ1" t="s">
        <v>130</v>
      </c>
      <c r="AT1" t="s">
        <v>129</v>
      </c>
    </row>
    <row r="2" spans="1:48" x14ac:dyDescent="0.25">
      <c r="A2" s="26" t="s">
        <v>23</v>
      </c>
      <c r="B2" s="26" t="s">
        <v>134</v>
      </c>
      <c r="C2" s="26" t="s">
        <v>135</v>
      </c>
      <c r="D2" s="26" t="s">
        <v>136</v>
      </c>
      <c r="E2" s="26" t="s">
        <v>137</v>
      </c>
      <c r="F2" s="26" t="s">
        <v>138</v>
      </c>
      <c r="H2" s="195" t="s">
        <v>23</v>
      </c>
      <c r="I2" s="195" t="s">
        <v>134</v>
      </c>
      <c r="J2" s="195" t="s">
        <v>135</v>
      </c>
      <c r="K2" s="195" t="s">
        <v>136</v>
      </c>
      <c r="L2" s="195" t="s">
        <v>137</v>
      </c>
      <c r="M2" s="195" t="s">
        <v>138</v>
      </c>
      <c r="O2" s="195" t="s">
        <v>23</v>
      </c>
      <c r="P2" s="195" t="s">
        <v>134</v>
      </c>
      <c r="Q2" s="195" t="s">
        <v>135</v>
      </c>
      <c r="R2" s="195" t="s">
        <v>136</v>
      </c>
      <c r="S2" s="195" t="s">
        <v>137</v>
      </c>
      <c r="T2" s="195" t="s">
        <v>138</v>
      </c>
      <c r="W2" s="26" t="s">
        <v>139</v>
      </c>
      <c r="X2" s="26" t="s">
        <v>140</v>
      </c>
      <c r="Y2" s="26" t="s">
        <v>141</v>
      </c>
      <c r="Z2" s="26" t="s">
        <v>142</v>
      </c>
      <c r="AB2" s="26" t="s">
        <v>139</v>
      </c>
      <c r="AC2" s="26" t="s">
        <v>140</v>
      </c>
      <c r="AD2" s="26" t="s">
        <v>141</v>
      </c>
      <c r="AE2" s="26" t="s">
        <v>142</v>
      </c>
      <c r="AG2" s="26" t="s">
        <v>139</v>
      </c>
      <c r="AH2" s="26" t="s">
        <v>140</v>
      </c>
      <c r="AI2" s="26" t="s">
        <v>141</v>
      </c>
      <c r="AJ2" s="26" t="s">
        <v>142</v>
      </c>
      <c r="AL2" t="s">
        <v>143</v>
      </c>
      <c r="AM2" t="s">
        <v>144</v>
      </c>
      <c r="AN2" t="s">
        <v>145</v>
      </c>
      <c r="AP2" t="s">
        <v>143</v>
      </c>
      <c r="AQ2" t="s">
        <v>144</v>
      </c>
      <c r="AR2" t="s">
        <v>145</v>
      </c>
      <c r="AT2" t="s">
        <v>143</v>
      </c>
      <c r="AU2" t="s">
        <v>144</v>
      </c>
      <c r="AV2" t="s">
        <v>145</v>
      </c>
    </row>
    <row r="3" spans="1:48" hidden="1" x14ac:dyDescent="0.25">
      <c r="A3" s="196">
        <v>44851</v>
      </c>
      <c r="B3" s="197">
        <v>9371680</v>
      </c>
      <c r="C3" s="197">
        <v>244992</v>
      </c>
      <c r="D3" s="197">
        <v>9616672</v>
      </c>
      <c r="E3" s="197">
        <v>97.45</v>
      </c>
      <c r="F3" s="71">
        <f t="shared" ref="F3:F22" si="0">D3/1000000</f>
        <v>9.6166719999999994</v>
      </c>
      <c r="H3" s="196">
        <v>44851</v>
      </c>
      <c r="I3" s="198">
        <v>3705941</v>
      </c>
      <c r="J3" s="198">
        <v>1095</v>
      </c>
      <c r="K3" s="198">
        <v>3707036</v>
      </c>
      <c r="L3" s="198">
        <v>99.97</v>
      </c>
      <c r="M3" s="71">
        <f t="shared" ref="M3:M64" si="1">K3/1000000</f>
        <v>3.707036</v>
      </c>
      <c r="O3" s="196">
        <v>44851</v>
      </c>
      <c r="P3" s="198">
        <v>69361937</v>
      </c>
      <c r="Q3" s="198">
        <v>25697259</v>
      </c>
      <c r="R3" s="198">
        <v>95059196</v>
      </c>
      <c r="S3" s="198">
        <v>72.97</v>
      </c>
      <c r="T3" s="71">
        <f t="shared" ref="T3:T66" si="2">R3/1000000</f>
        <v>95.059196</v>
      </c>
      <c r="W3" s="199">
        <v>44862</v>
      </c>
      <c r="X3">
        <v>9900</v>
      </c>
      <c r="Y3">
        <v>10000</v>
      </c>
      <c r="Z3">
        <f>X3/Y3%</f>
        <v>99</v>
      </c>
      <c r="AB3" s="200">
        <v>44862</v>
      </c>
      <c r="AC3" s="1">
        <v>1268</v>
      </c>
      <c r="AD3" s="1">
        <v>10000</v>
      </c>
      <c r="AE3" s="1">
        <f>AC3/AD3%</f>
        <v>12.68</v>
      </c>
      <c r="AG3" s="200">
        <v>44862</v>
      </c>
      <c r="AH3" s="1">
        <v>10000</v>
      </c>
      <c r="AI3" s="1">
        <v>10000</v>
      </c>
      <c r="AJ3" s="1">
        <f>AH3/AI3%</f>
        <v>100</v>
      </c>
      <c r="AL3" s="199">
        <v>44858</v>
      </c>
      <c r="AM3" t="s">
        <v>146</v>
      </c>
      <c r="AN3" s="57">
        <v>178530</v>
      </c>
      <c r="AP3" s="113">
        <v>44858</v>
      </c>
      <c r="AQ3" t="s">
        <v>146</v>
      </c>
      <c r="AR3" s="57">
        <v>18691030</v>
      </c>
      <c r="AT3" s="140">
        <v>44858</v>
      </c>
      <c r="AU3" t="s">
        <v>147</v>
      </c>
      <c r="AV3">
        <v>236</v>
      </c>
    </row>
    <row r="4" spans="1:48" hidden="1" x14ac:dyDescent="0.25">
      <c r="A4" s="196">
        <v>44852</v>
      </c>
      <c r="B4" s="197">
        <v>9355978</v>
      </c>
      <c r="C4" s="197">
        <v>316428</v>
      </c>
      <c r="D4" s="197">
        <v>9672406</v>
      </c>
      <c r="E4" s="197">
        <v>96.73</v>
      </c>
      <c r="F4" s="71">
        <f t="shared" si="0"/>
        <v>9.6724060000000005</v>
      </c>
      <c r="H4" s="196">
        <v>44852</v>
      </c>
      <c r="I4" s="198">
        <v>3816991</v>
      </c>
      <c r="J4" s="198">
        <v>1669</v>
      </c>
      <c r="K4" s="198">
        <v>3818660</v>
      </c>
      <c r="L4" s="198">
        <v>99.96</v>
      </c>
      <c r="M4" s="71">
        <f t="shared" si="1"/>
        <v>3.8186599999999999</v>
      </c>
      <c r="O4" s="196">
        <v>44852</v>
      </c>
      <c r="P4" s="198">
        <v>68187820</v>
      </c>
      <c r="Q4" s="198">
        <v>30505050</v>
      </c>
      <c r="R4" s="198">
        <v>98692870</v>
      </c>
      <c r="S4" s="198">
        <v>69.09</v>
      </c>
      <c r="T4" s="71">
        <f t="shared" si="2"/>
        <v>98.692869999999999</v>
      </c>
      <c r="W4" s="199">
        <v>44863</v>
      </c>
      <c r="X4">
        <v>9380</v>
      </c>
      <c r="Y4">
        <v>10000</v>
      </c>
      <c r="Z4">
        <f>X4/Y4%</f>
        <v>93.8</v>
      </c>
      <c r="AB4" s="200">
        <v>44863</v>
      </c>
      <c r="AC4" s="1">
        <v>1159</v>
      </c>
      <c r="AD4" s="1">
        <v>10000</v>
      </c>
      <c r="AE4" s="1">
        <f>AC4/AD4%</f>
        <v>11.59</v>
      </c>
      <c r="AG4" s="200">
        <v>44863</v>
      </c>
      <c r="AH4" s="1">
        <v>10000</v>
      </c>
      <c r="AI4" s="1">
        <v>10000</v>
      </c>
      <c r="AJ4" s="1">
        <f>AH4/AI4%</f>
        <v>100</v>
      </c>
      <c r="AL4" s="199">
        <v>44858</v>
      </c>
      <c r="AM4" t="s">
        <v>148</v>
      </c>
      <c r="AN4">
        <v>23127</v>
      </c>
      <c r="AP4" s="113">
        <v>44858</v>
      </c>
      <c r="AQ4" t="s">
        <v>149</v>
      </c>
      <c r="AR4" s="57">
        <v>3948110</v>
      </c>
    </row>
    <row r="5" spans="1:48" hidden="1" x14ac:dyDescent="0.25">
      <c r="A5" s="196">
        <v>44853</v>
      </c>
      <c r="B5" s="197">
        <v>9551298</v>
      </c>
      <c r="C5" s="197">
        <v>309400</v>
      </c>
      <c r="D5" s="197">
        <v>9860698</v>
      </c>
      <c r="E5" s="197">
        <v>96.86</v>
      </c>
      <c r="F5" s="71">
        <f t="shared" si="0"/>
        <v>9.8606979999999993</v>
      </c>
      <c r="H5" s="196">
        <v>44853</v>
      </c>
      <c r="I5" s="198">
        <v>5718948</v>
      </c>
      <c r="J5" s="198">
        <v>332633</v>
      </c>
      <c r="K5" s="198">
        <v>6051581</v>
      </c>
      <c r="L5" s="198">
        <v>94.5</v>
      </c>
      <c r="M5" s="71">
        <f t="shared" si="1"/>
        <v>6.0515809999999997</v>
      </c>
      <c r="O5" s="196">
        <v>44853</v>
      </c>
      <c r="P5" s="198">
        <v>78170591</v>
      </c>
      <c r="Q5" s="198">
        <v>31808580</v>
      </c>
      <c r="R5" s="198">
        <v>109979171</v>
      </c>
      <c r="S5" s="198">
        <v>71.08</v>
      </c>
      <c r="T5" s="71">
        <f t="shared" si="2"/>
        <v>109.97917099999999</v>
      </c>
      <c r="W5" s="199">
        <v>44864</v>
      </c>
      <c r="X5">
        <v>6005</v>
      </c>
      <c r="Y5">
        <v>10000</v>
      </c>
      <c r="Z5">
        <f>X5/Y5%</f>
        <v>60.05</v>
      </c>
      <c r="AB5" s="200">
        <v>44864</v>
      </c>
      <c r="AC5" s="1">
        <v>1055</v>
      </c>
      <c r="AD5" s="1">
        <v>10000</v>
      </c>
      <c r="AE5" s="1">
        <f>AC5/AD5%</f>
        <v>10.55</v>
      </c>
      <c r="AG5" s="200">
        <v>44864</v>
      </c>
      <c r="AH5" s="1">
        <v>6589</v>
      </c>
      <c r="AI5" s="1">
        <v>10000</v>
      </c>
      <c r="AJ5" s="1">
        <f>AH5/AI5%</f>
        <v>65.89</v>
      </c>
      <c r="AL5" s="199">
        <v>44858</v>
      </c>
      <c r="AM5" t="s">
        <v>149</v>
      </c>
      <c r="AN5">
        <v>14104</v>
      </c>
      <c r="AP5" s="113">
        <v>44858</v>
      </c>
      <c r="AQ5" t="s">
        <v>150</v>
      </c>
      <c r="AR5" s="57">
        <v>1172738</v>
      </c>
      <c r="AT5" s="140"/>
    </row>
    <row r="6" spans="1:48" hidden="1" x14ac:dyDescent="0.25">
      <c r="A6" s="196">
        <v>44854</v>
      </c>
      <c r="B6" s="197">
        <v>8975167</v>
      </c>
      <c r="C6" s="197">
        <v>331478</v>
      </c>
      <c r="D6" s="197">
        <v>9306645</v>
      </c>
      <c r="E6" s="197">
        <v>96.44</v>
      </c>
      <c r="F6" s="71">
        <f t="shared" si="0"/>
        <v>9.3066449999999996</v>
      </c>
      <c r="H6" s="196">
        <v>44854</v>
      </c>
      <c r="I6" s="198">
        <v>5202872</v>
      </c>
      <c r="J6" s="198">
        <v>346605</v>
      </c>
      <c r="K6" s="198">
        <v>5549477</v>
      </c>
      <c r="L6" s="198">
        <v>93.75</v>
      </c>
      <c r="M6" s="71">
        <f t="shared" si="1"/>
        <v>5.5494770000000004</v>
      </c>
      <c r="O6" s="196">
        <v>44854</v>
      </c>
      <c r="P6" s="198">
        <v>70929351</v>
      </c>
      <c r="Q6" s="198">
        <v>33888291</v>
      </c>
      <c r="R6" s="198">
        <v>104817642</v>
      </c>
      <c r="S6" s="198">
        <v>67.67</v>
      </c>
      <c r="T6" s="71">
        <f t="shared" si="2"/>
        <v>104.81764200000001</v>
      </c>
      <c r="W6" s="199">
        <v>44865</v>
      </c>
      <c r="X6">
        <v>9874</v>
      </c>
      <c r="Y6">
        <v>10000</v>
      </c>
      <c r="Z6">
        <f>X6/Y6%</f>
        <v>98.74</v>
      </c>
      <c r="AB6" s="200">
        <v>44865</v>
      </c>
      <c r="AC6" s="1">
        <v>1178</v>
      </c>
      <c r="AD6" s="1">
        <v>10000</v>
      </c>
      <c r="AE6" s="1">
        <f>AC6/AD6%</f>
        <v>11.78</v>
      </c>
      <c r="AG6" s="200">
        <v>44865</v>
      </c>
      <c r="AH6" s="1">
        <v>10000</v>
      </c>
      <c r="AI6" s="1">
        <v>10000</v>
      </c>
      <c r="AJ6" s="1">
        <f>AH6/AI6%</f>
        <v>100</v>
      </c>
      <c r="AL6" s="199">
        <v>44858</v>
      </c>
      <c r="AM6" t="s">
        <v>150</v>
      </c>
      <c r="AN6">
        <v>10304</v>
      </c>
      <c r="AP6" s="113">
        <v>44858</v>
      </c>
      <c r="AQ6" t="s">
        <v>148</v>
      </c>
      <c r="AR6" s="57">
        <v>875553</v>
      </c>
      <c r="AT6" s="140">
        <v>44868</v>
      </c>
      <c r="AU6" t="s">
        <v>147</v>
      </c>
      <c r="AV6">
        <v>5773</v>
      </c>
    </row>
    <row r="7" spans="1:48" hidden="1" x14ac:dyDescent="0.25">
      <c r="A7" s="196">
        <v>44855</v>
      </c>
      <c r="B7" s="197">
        <v>9823332</v>
      </c>
      <c r="C7" s="197">
        <v>337947</v>
      </c>
      <c r="D7" s="197">
        <v>10161279</v>
      </c>
      <c r="E7" s="197">
        <v>96.67</v>
      </c>
      <c r="F7" s="71">
        <f t="shared" si="0"/>
        <v>10.161279</v>
      </c>
      <c r="H7" s="196">
        <v>44855</v>
      </c>
      <c r="I7" s="198">
        <v>5244678</v>
      </c>
      <c r="J7" s="198">
        <v>354774</v>
      </c>
      <c r="K7" s="198">
        <v>5599452</v>
      </c>
      <c r="L7" s="198">
        <v>93.66</v>
      </c>
      <c r="M7" s="71">
        <f t="shared" si="1"/>
        <v>5.5994520000000003</v>
      </c>
      <c r="O7" s="196">
        <v>44855</v>
      </c>
      <c r="P7" s="198">
        <v>86257128</v>
      </c>
      <c r="Q7" s="198">
        <v>37353176</v>
      </c>
      <c r="R7" s="198">
        <v>123610304</v>
      </c>
      <c r="S7" s="198">
        <v>69.78</v>
      </c>
      <c r="T7" s="71">
        <f t="shared" si="2"/>
        <v>123.610304</v>
      </c>
      <c r="W7" s="199"/>
      <c r="AB7" s="200"/>
      <c r="AC7" s="1"/>
      <c r="AD7" s="1"/>
      <c r="AE7" s="1"/>
      <c r="AG7" s="200"/>
      <c r="AH7" s="1"/>
      <c r="AI7" s="1"/>
      <c r="AJ7" s="1"/>
      <c r="AL7" s="199">
        <v>44858</v>
      </c>
      <c r="AM7" t="s">
        <v>151</v>
      </c>
      <c r="AN7">
        <v>6816</v>
      </c>
      <c r="AP7" s="113">
        <v>44858</v>
      </c>
      <c r="AQ7" t="s">
        <v>152</v>
      </c>
      <c r="AR7" s="57">
        <v>216943</v>
      </c>
      <c r="AT7" s="140"/>
    </row>
    <row r="8" spans="1:48" hidden="1" x14ac:dyDescent="0.25">
      <c r="A8" s="196">
        <v>44856</v>
      </c>
      <c r="B8" s="197">
        <v>10315815</v>
      </c>
      <c r="C8" s="197">
        <v>336813</v>
      </c>
      <c r="D8" s="197">
        <v>10652628</v>
      </c>
      <c r="E8" s="197">
        <v>96.84</v>
      </c>
      <c r="F8" s="71">
        <f t="shared" si="0"/>
        <v>10.652628</v>
      </c>
      <c r="H8" s="196">
        <v>44856</v>
      </c>
      <c r="I8" s="198">
        <v>5296716</v>
      </c>
      <c r="J8" s="198">
        <v>998</v>
      </c>
      <c r="K8" s="198">
        <v>5297714</v>
      </c>
      <c r="L8" s="198">
        <v>99.98</v>
      </c>
      <c r="M8" s="71">
        <f t="shared" si="1"/>
        <v>5.297714</v>
      </c>
      <c r="O8" s="196">
        <v>44856</v>
      </c>
      <c r="P8" s="198">
        <v>70284080</v>
      </c>
      <c r="Q8" s="198">
        <v>26728486</v>
      </c>
      <c r="R8" s="198">
        <v>97012566</v>
      </c>
      <c r="S8" s="198">
        <v>72.45</v>
      </c>
      <c r="T8" s="71">
        <f t="shared" si="2"/>
        <v>97.012566000000007</v>
      </c>
      <c r="W8" s="199"/>
      <c r="AB8" s="200"/>
      <c r="AC8" s="1"/>
      <c r="AD8" s="1"/>
      <c r="AE8" s="1"/>
      <c r="AG8" s="200"/>
      <c r="AH8" s="1"/>
      <c r="AI8" s="1"/>
      <c r="AJ8" s="1"/>
      <c r="AL8" s="199">
        <v>44858</v>
      </c>
      <c r="AM8" t="s">
        <v>153</v>
      </c>
      <c r="AN8">
        <v>5167</v>
      </c>
      <c r="AP8" s="113">
        <v>44858</v>
      </c>
      <c r="AQ8" t="s">
        <v>153</v>
      </c>
      <c r="AR8">
        <v>78611</v>
      </c>
    </row>
    <row r="9" spans="1:48" hidden="1" x14ac:dyDescent="0.25">
      <c r="A9" s="196">
        <v>44857</v>
      </c>
      <c r="B9" s="197">
        <v>9907156</v>
      </c>
      <c r="C9" s="197">
        <v>301657</v>
      </c>
      <c r="D9" s="197">
        <v>10208813</v>
      </c>
      <c r="E9" s="197">
        <v>97.05</v>
      </c>
      <c r="F9" s="71">
        <f t="shared" si="0"/>
        <v>10.208812999999999</v>
      </c>
      <c r="H9" s="196">
        <v>44857</v>
      </c>
      <c r="I9" s="198">
        <v>4068678</v>
      </c>
      <c r="J9" s="198">
        <v>119</v>
      </c>
      <c r="K9" s="198">
        <v>4068797</v>
      </c>
      <c r="L9" s="198">
        <v>100</v>
      </c>
      <c r="M9" s="71">
        <f t="shared" si="1"/>
        <v>4.068797</v>
      </c>
      <c r="O9" s="196">
        <v>44857</v>
      </c>
      <c r="P9" s="198">
        <v>56012416</v>
      </c>
      <c r="Q9" s="198">
        <v>17446841</v>
      </c>
      <c r="R9" s="198">
        <v>73459257</v>
      </c>
      <c r="S9" s="198">
        <v>76.25</v>
      </c>
      <c r="T9" s="71">
        <f t="shared" si="2"/>
        <v>73.459256999999994</v>
      </c>
      <c r="W9" s="199"/>
      <c r="AB9" s="200"/>
      <c r="AC9" s="1"/>
      <c r="AD9" s="1"/>
      <c r="AE9" s="1"/>
      <c r="AG9" s="200"/>
      <c r="AH9" s="1"/>
      <c r="AI9" s="1"/>
      <c r="AJ9" s="1"/>
      <c r="AL9" s="199">
        <v>44858</v>
      </c>
      <c r="AM9" t="s">
        <v>152</v>
      </c>
      <c r="AN9">
        <v>855</v>
      </c>
      <c r="AP9" s="113">
        <v>44858</v>
      </c>
      <c r="AQ9" t="s">
        <v>154</v>
      </c>
      <c r="AR9">
        <v>25412</v>
      </c>
      <c r="AT9" s="140">
        <v>44870</v>
      </c>
      <c r="AU9" t="s">
        <v>155</v>
      </c>
      <c r="AV9">
        <v>23320</v>
      </c>
    </row>
    <row r="10" spans="1:48" hidden="1" x14ac:dyDescent="0.25">
      <c r="A10" s="196">
        <v>44858</v>
      </c>
      <c r="B10" s="197">
        <v>9491631</v>
      </c>
      <c r="C10" s="197">
        <v>269008</v>
      </c>
      <c r="D10" s="197">
        <v>9760639</v>
      </c>
      <c r="E10" s="197">
        <v>97.24</v>
      </c>
      <c r="F10" s="71">
        <f t="shared" si="0"/>
        <v>9.7606389999999994</v>
      </c>
      <c r="H10" s="196">
        <v>44858</v>
      </c>
      <c r="I10" s="198">
        <v>4342247</v>
      </c>
      <c r="J10" s="198">
        <v>237</v>
      </c>
      <c r="K10" s="198">
        <v>4342484</v>
      </c>
      <c r="L10" s="198">
        <v>99.99</v>
      </c>
      <c r="M10" s="71">
        <f t="shared" si="1"/>
        <v>4.3424839999999998</v>
      </c>
      <c r="O10" s="196">
        <v>44858</v>
      </c>
      <c r="P10" s="198">
        <v>68348565</v>
      </c>
      <c r="Q10" s="198">
        <v>25682848</v>
      </c>
      <c r="R10" s="198">
        <v>94031413</v>
      </c>
      <c r="S10" s="198">
        <v>72.69</v>
      </c>
      <c r="T10" s="71">
        <f t="shared" si="2"/>
        <v>94.031413000000001</v>
      </c>
      <c r="W10" s="199"/>
      <c r="AB10" s="200"/>
      <c r="AC10" s="1"/>
      <c r="AD10" s="1"/>
      <c r="AE10" s="1"/>
      <c r="AG10" s="200"/>
      <c r="AH10" s="1"/>
      <c r="AI10" s="1"/>
      <c r="AJ10" s="1"/>
      <c r="AL10" s="199">
        <v>44858</v>
      </c>
      <c r="AM10" t="s">
        <v>154</v>
      </c>
      <c r="AN10">
        <v>610</v>
      </c>
      <c r="AP10" s="113">
        <v>44858</v>
      </c>
      <c r="AQ10" t="s">
        <v>151</v>
      </c>
      <c r="AR10">
        <v>1935</v>
      </c>
    </row>
    <row r="11" spans="1:48" hidden="1" x14ac:dyDescent="0.25">
      <c r="A11" s="196">
        <v>44859</v>
      </c>
      <c r="B11" s="197">
        <v>9354411</v>
      </c>
      <c r="C11" s="197">
        <v>336073</v>
      </c>
      <c r="D11" s="197">
        <v>9690484</v>
      </c>
      <c r="E11" s="197">
        <v>96.53</v>
      </c>
      <c r="F11" s="71">
        <f t="shared" si="0"/>
        <v>9.6904839999999997</v>
      </c>
      <c r="H11" s="196">
        <v>44859</v>
      </c>
      <c r="I11" s="198">
        <v>4181671</v>
      </c>
      <c r="J11" s="198">
        <v>121</v>
      </c>
      <c r="K11" s="198">
        <v>4181792</v>
      </c>
      <c r="L11" s="198">
        <v>100</v>
      </c>
      <c r="M11" s="71">
        <f t="shared" si="1"/>
        <v>4.1817919999999997</v>
      </c>
      <c r="O11" s="196">
        <v>44859</v>
      </c>
      <c r="P11" s="198">
        <v>73411432</v>
      </c>
      <c r="Q11" s="198">
        <v>30563888</v>
      </c>
      <c r="R11" s="198">
        <v>103975320</v>
      </c>
      <c r="S11" s="198">
        <v>70.599999999999994</v>
      </c>
      <c r="T11" s="71">
        <f t="shared" si="2"/>
        <v>103.97532</v>
      </c>
      <c r="W11" s="199"/>
      <c r="AB11" s="200"/>
      <c r="AC11" s="1"/>
      <c r="AD11" s="1"/>
      <c r="AE11" s="1"/>
      <c r="AG11" s="200"/>
      <c r="AH11" s="1"/>
      <c r="AI11" s="1"/>
      <c r="AJ11" s="1"/>
      <c r="AL11" s="199">
        <v>44858</v>
      </c>
      <c r="AM11" t="s">
        <v>156</v>
      </c>
      <c r="AN11">
        <v>117</v>
      </c>
      <c r="AP11" s="113">
        <v>44858</v>
      </c>
      <c r="AQ11" t="s">
        <v>157</v>
      </c>
      <c r="AR11">
        <v>282</v>
      </c>
    </row>
    <row r="12" spans="1:48" hidden="1" x14ac:dyDescent="0.25">
      <c r="A12" s="196">
        <v>44860</v>
      </c>
      <c r="B12" s="197">
        <v>9462109</v>
      </c>
      <c r="C12" s="197">
        <v>336546</v>
      </c>
      <c r="D12" s="197">
        <v>9798655</v>
      </c>
      <c r="E12" s="197">
        <v>96.57</v>
      </c>
      <c r="F12" s="71">
        <f t="shared" si="0"/>
        <v>9.7986550000000001</v>
      </c>
      <c r="H12" s="196">
        <v>44860</v>
      </c>
      <c r="I12" s="198">
        <v>4381865</v>
      </c>
      <c r="J12" s="198">
        <v>137</v>
      </c>
      <c r="K12" s="198">
        <v>4382002</v>
      </c>
      <c r="L12" s="198">
        <v>100</v>
      </c>
      <c r="M12" s="71">
        <f t="shared" si="1"/>
        <v>4.382002</v>
      </c>
      <c r="O12" s="196">
        <v>44860</v>
      </c>
      <c r="P12" s="198">
        <v>73639407</v>
      </c>
      <c r="Q12" s="198">
        <v>25619738</v>
      </c>
      <c r="R12" s="198">
        <v>99259145</v>
      </c>
      <c r="S12" s="198">
        <v>74.19</v>
      </c>
      <c r="T12" s="71">
        <f t="shared" si="2"/>
        <v>99.259145000000004</v>
      </c>
      <c r="W12" s="199"/>
      <c r="AB12" s="200"/>
      <c r="AC12" s="1"/>
      <c r="AD12" s="1"/>
      <c r="AE12" s="1"/>
      <c r="AG12" s="200"/>
      <c r="AH12" s="1"/>
      <c r="AI12" s="1"/>
      <c r="AJ12" s="1"/>
      <c r="AL12" s="199">
        <v>44860</v>
      </c>
      <c r="AM12" t="s">
        <v>158</v>
      </c>
      <c r="AN12">
        <v>222683</v>
      </c>
      <c r="AP12" s="113">
        <v>44860</v>
      </c>
      <c r="AQ12" t="s">
        <v>159</v>
      </c>
      <c r="AR12">
        <v>17595856</v>
      </c>
      <c r="AT12" s="140">
        <v>44871</v>
      </c>
      <c r="AU12" t="s">
        <v>155</v>
      </c>
      <c r="AV12">
        <v>374</v>
      </c>
    </row>
    <row r="13" spans="1:48" hidden="1" x14ac:dyDescent="0.25">
      <c r="A13" s="196">
        <v>44861</v>
      </c>
      <c r="B13" s="197">
        <v>9390103</v>
      </c>
      <c r="C13" s="197">
        <v>341230</v>
      </c>
      <c r="D13" s="197">
        <v>9731333</v>
      </c>
      <c r="E13" s="197">
        <v>96.49</v>
      </c>
      <c r="F13" s="71">
        <f t="shared" si="0"/>
        <v>9.7313329999999993</v>
      </c>
      <c r="H13" s="196">
        <v>44861</v>
      </c>
      <c r="I13" s="198">
        <v>4757030</v>
      </c>
      <c r="J13" s="198">
        <v>3495</v>
      </c>
      <c r="K13" s="198">
        <v>4760525</v>
      </c>
      <c r="L13" s="198">
        <v>99.93</v>
      </c>
      <c r="M13" s="71">
        <f t="shared" si="1"/>
        <v>4.7605250000000003</v>
      </c>
      <c r="O13" s="196">
        <v>44861</v>
      </c>
      <c r="P13" s="198">
        <v>81336942</v>
      </c>
      <c r="Q13" s="198">
        <v>31881506</v>
      </c>
      <c r="R13" s="198">
        <v>113218448</v>
      </c>
      <c r="S13" s="198">
        <v>71.84</v>
      </c>
      <c r="T13" s="71">
        <f t="shared" si="2"/>
        <v>113.218448</v>
      </c>
      <c r="W13" s="199"/>
      <c r="AB13" s="200"/>
      <c r="AC13" s="1"/>
      <c r="AD13" s="1"/>
      <c r="AE13" s="1"/>
      <c r="AG13" s="200"/>
      <c r="AH13" s="1"/>
      <c r="AI13" s="1"/>
      <c r="AJ13" s="1"/>
      <c r="AL13" s="199">
        <v>44860</v>
      </c>
      <c r="AM13" t="s">
        <v>160</v>
      </c>
      <c r="AN13">
        <v>26029</v>
      </c>
      <c r="AP13" s="113">
        <v>44860</v>
      </c>
      <c r="AQ13" t="s">
        <v>161</v>
      </c>
      <c r="AR13">
        <v>4124831</v>
      </c>
    </row>
    <row r="14" spans="1:48" hidden="1" x14ac:dyDescent="0.25">
      <c r="A14" s="196">
        <v>44862</v>
      </c>
      <c r="B14" s="197">
        <v>9686642</v>
      </c>
      <c r="C14" s="197">
        <v>339711</v>
      </c>
      <c r="D14" s="197">
        <v>10026353</v>
      </c>
      <c r="E14" s="197">
        <v>96.61</v>
      </c>
      <c r="F14" s="71">
        <f t="shared" si="0"/>
        <v>10.026353</v>
      </c>
      <c r="H14" s="196">
        <v>44862</v>
      </c>
      <c r="I14" s="198">
        <v>4285323</v>
      </c>
      <c r="J14" s="198">
        <v>5260</v>
      </c>
      <c r="K14" s="198">
        <v>4290583</v>
      </c>
      <c r="L14" s="198">
        <v>99.88</v>
      </c>
      <c r="M14" s="71">
        <f t="shared" si="1"/>
        <v>4.2905829999999998</v>
      </c>
      <c r="O14" s="196">
        <v>44862</v>
      </c>
      <c r="P14" s="198">
        <v>76238817</v>
      </c>
      <c r="Q14" s="198">
        <v>31461128</v>
      </c>
      <c r="R14" s="198">
        <v>107699945</v>
      </c>
      <c r="S14" s="198">
        <v>70.790000000000006</v>
      </c>
      <c r="T14" s="71">
        <f t="shared" si="2"/>
        <v>107.699945</v>
      </c>
      <c r="W14" s="199"/>
      <c r="AB14" s="200"/>
      <c r="AC14" s="1"/>
      <c r="AD14" s="1"/>
      <c r="AE14" s="1"/>
      <c r="AG14" s="200"/>
      <c r="AH14" s="1"/>
      <c r="AI14" s="1"/>
      <c r="AJ14" s="1"/>
      <c r="AL14" s="199">
        <v>44860</v>
      </c>
      <c r="AM14" t="s">
        <v>162</v>
      </c>
      <c r="AN14">
        <v>25776</v>
      </c>
      <c r="AP14" s="113">
        <v>44860</v>
      </c>
      <c r="AQ14" t="s">
        <v>163</v>
      </c>
      <c r="AR14">
        <v>1373993</v>
      </c>
    </row>
    <row r="15" spans="1:48" hidden="1" x14ac:dyDescent="0.25">
      <c r="A15" s="196">
        <v>44863</v>
      </c>
      <c r="B15" s="197">
        <v>10005225</v>
      </c>
      <c r="C15" s="197">
        <v>331817</v>
      </c>
      <c r="D15" s="197">
        <v>10337042</v>
      </c>
      <c r="E15" s="197">
        <v>96.79</v>
      </c>
      <c r="F15" s="71">
        <f t="shared" si="0"/>
        <v>10.337042</v>
      </c>
      <c r="H15" s="196">
        <v>44863</v>
      </c>
      <c r="I15" s="198">
        <v>4471671</v>
      </c>
      <c r="J15" s="198">
        <v>4684</v>
      </c>
      <c r="K15" s="198">
        <v>4476355</v>
      </c>
      <c r="L15" s="198">
        <v>99.9</v>
      </c>
      <c r="M15" s="71">
        <f t="shared" si="1"/>
        <v>4.4763549999999999</v>
      </c>
      <c r="O15" s="196">
        <v>44863</v>
      </c>
      <c r="P15" s="198">
        <v>78550313</v>
      </c>
      <c r="Q15" s="198">
        <v>32759812</v>
      </c>
      <c r="R15" s="198">
        <v>111310125</v>
      </c>
      <c r="S15" s="198">
        <v>70.569999999999993</v>
      </c>
      <c r="T15" s="71">
        <f t="shared" si="2"/>
        <v>111.310125</v>
      </c>
      <c r="W15" s="199"/>
      <c r="AB15" s="200"/>
      <c r="AC15" s="1"/>
      <c r="AD15" s="1"/>
      <c r="AE15" s="1"/>
      <c r="AG15" s="200"/>
      <c r="AH15" s="1"/>
      <c r="AI15" s="1"/>
      <c r="AJ15" s="1"/>
      <c r="AL15" s="199">
        <v>44860</v>
      </c>
      <c r="AM15" t="s">
        <v>164</v>
      </c>
      <c r="AN15">
        <v>21833</v>
      </c>
      <c r="AP15" s="113">
        <v>44860</v>
      </c>
      <c r="AQ15" t="s">
        <v>165</v>
      </c>
      <c r="AR15">
        <v>1043235</v>
      </c>
    </row>
    <row r="16" spans="1:48" hidden="1" x14ac:dyDescent="0.25">
      <c r="A16" s="196">
        <v>44864</v>
      </c>
      <c r="B16" s="197">
        <v>9953059</v>
      </c>
      <c r="C16" s="197">
        <v>315789</v>
      </c>
      <c r="D16" s="197">
        <v>10268848</v>
      </c>
      <c r="E16" s="197">
        <v>96.92</v>
      </c>
      <c r="F16" s="71">
        <f t="shared" si="0"/>
        <v>10.268848</v>
      </c>
      <c r="H16" s="196">
        <v>44864</v>
      </c>
      <c r="I16" s="198">
        <v>4132669</v>
      </c>
      <c r="J16" s="198">
        <v>242</v>
      </c>
      <c r="K16" s="198">
        <v>4132911</v>
      </c>
      <c r="L16" s="198">
        <v>99.99</v>
      </c>
      <c r="M16" s="71">
        <f t="shared" si="1"/>
        <v>4.132911</v>
      </c>
      <c r="O16" s="196">
        <v>44864</v>
      </c>
      <c r="P16" s="198">
        <v>62080307</v>
      </c>
      <c r="Q16" s="198">
        <v>20081957</v>
      </c>
      <c r="R16" s="198">
        <v>82162264</v>
      </c>
      <c r="S16" s="198">
        <v>75.56</v>
      </c>
      <c r="T16" s="71">
        <f t="shared" si="2"/>
        <v>82.162263999999993</v>
      </c>
      <c r="W16" s="199"/>
      <c r="AB16" s="200"/>
      <c r="AC16" s="1"/>
      <c r="AD16" s="1"/>
      <c r="AE16" s="1"/>
      <c r="AG16" s="200"/>
      <c r="AH16" s="1"/>
      <c r="AI16" s="1"/>
      <c r="AJ16" s="1"/>
      <c r="AL16" s="199">
        <v>44860</v>
      </c>
      <c r="AM16" t="s">
        <v>163</v>
      </c>
      <c r="AN16">
        <v>10808</v>
      </c>
      <c r="AP16" s="113">
        <v>44860</v>
      </c>
      <c r="AQ16" t="s">
        <v>164</v>
      </c>
      <c r="AR16">
        <v>406371</v>
      </c>
    </row>
    <row r="17" spans="1:48" hidden="1" x14ac:dyDescent="0.25">
      <c r="A17" s="196">
        <v>44865</v>
      </c>
      <c r="B17" s="197">
        <v>10362007</v>
      </c>
      <c r="C17" s="197">
        <v>270394</v>
      </c>
      <c r="D17" s="197">
        <v>10632401</v>
      </c>
      <c r="E17" s="197">
        <v>97.46</v>
      </c>
      <c r="F17" s="71">
        <f t="shared" si="0"/>
        <v>10.632401</v>
      </c>
      <c r="H17" s="196">
        <v>44865</v>
      </c>
      <c r="I17" s="198">
        <v>3839673</v>
      </c>
      <c r="J17" s="198">
        <v>168</v>
      </c>
      <c r="K17" s="198">
        <v>3839841</v>
      </c>
      <c r="L17" s="198">
        <v>100</v>
      </c>
      <c r="M17" s="71">
        <f t="shared" si="1"/>
        <v>3.8398409999999998</v>
      </c>
      <c r="O17" s="196">
        <v>44865</v>
      </c>
      <c r="P17" s="198">
        <v>73420342</v>
      </c>
      <c r="Q17" s="198">
        <v>24214884</v>
      </c>
      <c r="R17" s="198">
        <v>97635226</v>
      </c>
      <c r="S17" s="198">
        <v>75.2</v>
      </c>
      <c r="T17" s="71">
        <f t="shared" si="2"/>
        <v>97.635226000000003</v>
      </c>
      <c r="W17" s="199"/>
      <c r="AB17" s="200"/>
      <c r="AC17" s="1"/>
      <c r="AD17" s="1"/>
      <c r="AE17" s="1"/>
      <c r="AG17" s="200"/>
      <c r="AH17" s="1"/>
      <c r="AI17" s="1"/>
      <c r="AJ17" s="1"/>
      <c r="AL17" s="199">
        <v>44860</v>
      </c>
      <c r="AM17" t="s">
        <v>166</v>
      </c>
      <c r="AN17">
        <v>8351</v>
      </c>
      <c r="AP17" s="199">
        <v>44861</v>
      </c>
      <c r="AQ17" t="s">
        <v>159</v>
      </c>
      <c r="AR17">
        <v>11110464</v>
      </c>
    </row>
    <row r="18" spans="1:48" hidden="1" x14ac:dyDescent="0.25">
      <c r="A18" s="196">
        <v>44866</v>
      </c>
      <c r="B18" s="197">
        <v>9578133</v>
      </c>
      <c r="C18" s="197">
        <v>330272</v>
      </c>
      <c r="D18" s="197">
        <v>9908405</v>
      </c>
      <c r="E18" s="197">
        <v>96.66</v>
      </c>
      <c r="F18" s="71">
        <f t="shared" si="0"/>
        <v>9.9084050000000001</v>
      </c>
      <c r="H18" s="196">
        <v>44866</v>
      </c>
      <c r="I18" s="198">
        <v>2488595</v>
      </c>
      <c r="J18" s="198">
        <v>183</v>
      </c>
      <c r="K18" s="198">
        <v>2488778</v>
      </c>
      <c r="L18" s="198">
        <v>99.99</v>
      </c>
      <c r="M18" s="71">
        <f t="shared" si="1"/>
        <v>2.4887779999999999</v>
      </c>
      <c r="O18" s="196">
        <v>44866</v>
      </c>
      <c r="P18" s="48">
        <v>58856059</v>
      </c>
      <c r="Q18" s="48">
        <v>21350090</v>
      </c>
      <c r="R18" s="48">
        <v>80206149</v>
      </c>
      <c r="S18" s="48">
        <v>73.38</v>
      </c>
      <c r="T18" s="71">
        <f t="shared" si="2"/>
        <v>80.206148999999996</v>
      </c>
      <c r="W18" s="200">
        <v>44866</v>
      </c>
      <c r="X18" s="1">
        <v>9409</v>
      </c>
      <c r="Y18" s="1">
        <v>10000</v>
      </c>
      <c r="Z18" s="1">
        <f t="shared" ref="Z18:Z88" si="3">X18/Y18%</f>
        <v>94.09</v>
      </c>
      <c r="AB18" s="200">
        <v>44866</v>
      </c>
      <c r="AC18" s="1">
        <v>1179</v>
      </c>
      <c r="AD18" s="1">
        <v>10000</v>
      </c>
      <c r="AE18" s="1">
        <f t="shared" ref="AE18:AE70" si="4">AC18/AD18%</f>
        <v>11.79</v>
      </c>
      <c r="AG18" s="200">
        <v>44866</v>
      </c>
      <c r="AH18" s="1">
        <v>10000</v>
      </c>
      <c r="AI18" s="1">
        <v>10000</v>
      </c>
      <c r="AJ18" s="1">
        <f>AH18/AI18%</f>
        <v>100</v>
      </c>
      <c r="AL18" s="199">
        <v>44861</v>
      </c>
      <c r="AM18" t="s">
        <v>167</v>
      </c>
      <c r="AN18">
        <v>80329</v>
      </c>
      <c r="AP18" s="199">
        <v>44861</v>
      </c>
      <c r="AQ18" s="201" t="s">
        <v>168</v>
      </c>
      <c r="AR18">
        <v>2298367</v>
      </c>
    </row>
    <row r="19" spans="1:48" hidden="1" x14ac:dyDescent="0.25">
      <c r="A19" s="196">
        <v>44867</v>
      </c>
      <c r="B19" s="197">
        <v>10241964</v>
      </c>
      <c r="C19" s="197">
        <v>347630</v>
      </c>
      <c r="D19" s="197">
        <v>10589594</v>
      </c>
      <c r="E19" s="197">
        <v>96.71</v>
      </c>
      <c r="F19" s="71">
        <f t="shared" si="0"/>
        <v>10.589594</v>
      </c>
      <c r="H19" s="196">
        <v>44867</v>
      </c>
      <c r="I19" s="198">
        <v>5637137</v>
      </c>
      <c r="J19" s="198">
        <v>42476</v>
      </c>
      <c r="K19" s="198">
        <v>5679613</v>
      </c>
      <c r="L19" s="198">
        <v>99.25</v>
      </c>
      <c r="M19" s="71">
        <f t="shared" si="1"/>
        <v>5.6796129999999998</v>
      </c>
      <c r="O19" s="196">
        <v>44867</v>
      </c>
      <c r="P19" s="48">
        <v>89971722</v>
      </c>
      <c r="Q19" s="48">
        <v>36149872</v>
      </c>
      <c r="R19" s="48">
        <v>126121594</v>
      </c>
      <c r="S19" s="48">
        <v>71.33</v>
      </c>
      <c r="T19" s="71">
        <f t="shared" si="2"/>
        <v>126.121594</v>
      </c>
      <c r="W19" s="200">
        <v>44867</v>
      </c>
      <c r="X19" s="1">
        <v>9900</v>
      </c>
      <c r="Y19" s="1">
        <v>10000</v>
      </c>
      <c r="Z19" s="1">
        <f t="shared" si="3"/>
        <v>99</v>
      </c>
      <c r="AB19" s="200">
        <v>44867</v>
      </c>
      <c r="AC19" s="1">
        <v>1139</v>
      </c>
      <c r="AD19" s="1">
        <v>10000</v>
      </c>
      <c r="AE19" s="1">
        <f t="shared" si="4"/>
        <v>11.39</v>
      </c>
      <c r="AG19" s="200">
        <v>44867</v>
      </c>
      <c r="AH19" s="1">
        <v>10000</v>
      </c>
      <c r="AI19" s="1">
        <v>10000</v>
      </c>
      <c r="AJ19" s="1">
        <f>AH19/AI19%</f>
        <v>100</v>
      </c>
      <c r="AL19" s="199"/>
    </row>
    <row r="20" spans="1:48" hidden="1" x14ac:dyDescent="0.25">
      <c r="A20" s="196">
        <v>44868</v>
      </c>
      <c r="B20" s="197">
        <v>9867803</v>
      </c>
      <c r="C20" s="197">
        <v>433451</v>
      </c>
      <c r="D20" s="197">
        <v>10301254</v>
      </c>
      <c r="E20" s="197">
        <v>95.79</v>
      </c>
      <c r="F20" s="71">
        <f t="shared" si="0"/>
        <v>10.301254</v>
      </c>
      <c r="H20" s="196">
        <v>44868</v>
      </c>
      <c r="I20" s="198">
        <v>4064161</v>
      </c>
      <c r="J20" s="198">
        <v>5983</v>
      </c>
      <c r="K20" s="198">
        <v>4070144</v>
      </c>
      <c r="L20" s="198">
        <v>99.85</v>
      </c>
      <c r="M20" s="71">
        <f t="shared" si="1"/>
        <v>4.070144</v>
      </c>
      <c r="O20" s="196">
        <v>44868</v>
      </c>
      <c r="P20" s="48">
        <v>80104740</v>
      </c>
      <c r="Q20" s="48">
        <v>32770780</v>
      </c>
      <c r="R20" s="48">
        <v>112875520</v>
      </c>
      <c r="S20" s="48">
        <v>70.959999999999994</v>
      </c>
      <c r="T20" s="71">
        <f t="shared" si="2"/>
        <v>112.87551999999999</v>
      </c>
      <c r="W20" s="200">
        <v>44868</v>
      </c>
      <c r="X20" s="1">
        <v>9825</v>
      </c>
      <c r="Y20" s="1">
        <v>10000</v>
      </c>
      <c r="Z20" s="1">
        <f t="shared" si="3"/>
        <v>98.25</v>
      </c>
      <c r="AB20" s="200">
        <v>44868</v>
      </c>
      <c r="AC20" s="1">
        <v>1192</v>
      </c>
      <c r="AD20" s="1">
        <v>10000</v>
      </c>
      <c r="AE20" s="1">
        <f t="shared" si="4"/>
        <v>11.92</v>
      </c>
      <c r="AG20" s="200">
        <v>44868</v>
      </c>
      <c r="AH20" s="1">
        <v>10000</v>
      </c>
      <c r="AI20" s="1">
        <v>10000</v>
      </c>
      <c r="AJ20" s="1">
        <f>AH20/AI20%</f>
        <v>100</v>
      </c>
      <c r="AL20" s="199">
        <v>44870</v>
      </c>
      <c r="AM20" s="202" t="s">
        <v>158</v>
      </c>
      <c r="AN20">
        <v>245627</v>
      </c>
      <c r="AP20" s="199">
        <v>44870</v>
      </c>
      <c r="AQ20" s="202" t="s">
        <v>162</v>
      </c>
      <c r="AR20">
        <v>4023070</v>
      </c>
    </row>
    <row r="21" spans="1:48" hidden="1" x14ac:dyDescent="0.25">
      <c r="A21" s="196">
        <v>44869</v>
      </c>
      <c r="B21" s="197">
        <v>10249228</v>
      </c>
      <c r="C21" s="197">
        <v>441809</v>
      </c>
      <c r="D21" s="197">
        <v>10691037</v>
      </c>
      <c r="E21" s="197">
        <v>95.87</v>
      </c>
      <c r="F21" s="71">
        <f t="shared" si="0"/>
        <v>10.691037</v>
      </c>
      <c r="H21" s="196">
        <v>44869</v>
      </c>
      <c r="I21" s="198">
        <v>4163242</v>
      </c>
      <c r="J21" s="198">
        <v>351</v>
      </c>
      <c r="K21" s="198">
        <v>4163593</v>
      </c>
      <c r="L21" s="198">
        <v>99.99</v>
      </c>
      <c r="M21" s="71">
        <f t="shared" si="1"/>
        <v>4.1635929999999997</v>
      </c>
      <c r="O21" s="196">
        <v>44869</v>
      </c>
      <c r="P21" s="48">
        <v>78328475</v>
      </c>
      <c r="Q21" s="48">
        <v>30616610</v>
      </c>
      <c r="R21" s="48">
        <v>108945085</v>
      </c>
      <c r="S21" s="48">
        <v>71.900000000000006</v>
      </c>
      <c r="T21" s="71">
        <f t="shared" si="2"/>
        <v>108.94508500000001</v>
      </c>
      <c r="W21" s="200">
        <v>44869</v>
      </c>
      <c r="X21" s="1">
        <v>9541</v>
      </c>
      <c r="Y21" s="1">
        <v>10000</v>
      </c>
      <c r="Z21" s="1">
        <f t="shared" si="3"/>
        <v>95.41</v>
      </c>
      <c r="AB21" s="200">
        <v>44869</v>
      </c>
      <c r="AC21" s="1">
        <v>1188</v>
      </c>
      <c r="AD21" s="1">
        <v>10000</v>
      </c>
      <c r="AE21" s="1">
        <f t="shared" si="4"/>
        <v>11.88</v>
      </c>
      <c r="AG21" s="200">
        <v>44869</v>
      </c>
      <c r="AH21" s="1">
        <v>10000</v>
      </c>
      <c r="AI21" s="1">
        <v>10000</v>
      </c>
      <c r="AJ21" s="1">
        <f>AH21/AI21%</f>
        <v>100</v>
      </c>
      <c r="AL21" s="199">
        <v>44870</v>
      </c>
      <c r="AM21" s="202" t="s">
        <v>162</v>
      </c>
      <c r="AN21">
        <v>26511</v>
      </c>
      <c r="AP21" s="199">
        <v>44870</v>
      </c>
      <c r="AQ21" s="202" t="s">
        <v>158</v>
      </c>
      <c r="AR21">
        <v>2000977</v>
      </c>
    </row>
    <row r="22" spans="1:48" hidden="1" x14ac:dyDescent="0.25">
      <c r="A22" s="196">
        <v>44870</v>
      </c>
      <c r="B22" s="48">
        <v>9907600</v>
      </c>
      <c r="C22" s="48">
        <v>457870</v>
      </c>
      <c r="D22" s="48">
        <v>10365470</v>
      </c>
      <c r="E22" s="48">
        <v>95.58</v>
      </c>
      <c r="F22" s="71">
        <f t="shared" si="0"/>
        <v>10.36547</v>
      </c>
      <c r="H22" s="196">
        <v>44870</v>
      </c>
      <c r="I22" s="48">
        <v>3846457</v>
      </c>
      <c r="J22" s="48">
        <v>33857</v>
      </c>
      <c r="K22" s="48">
        <v>3880314</v>
      </c>
      <c r="L22" s="48">
        <v>99.13</v>
      </c>
      <c r="M22" s="71">
        <f t="shared" si="1"/>
        <v>3.8803139999999998</v>
      </c>
      <c r="O22" s="196">
        <v>44870</v>
      </c>
      <c r="P22" s="48">
        <v>73115799</v>
      </c>
      <c r="Q22" s="48">
        <v>27412017</v>
      </c>
      <c r="R22" s="48">
        <v>100527816</v>
      </c>
      <c r="S22" s="48">
        <v>72.73</v>
      </c>
      <c r="T22" s="71">
        <f t="shared" si="2"/>
        <v>100.527816</v>
      </c>
      <c r="W22" s="200">
        <v>44870</v>
      </c>
      <c r="X22" s="1">
        <v>9066</v>
      </c>
      <c r="Y22" s="1">
        <v>10000</v>
      </c>
      <c r="Z22" s="1">
        <f t="shared" si="3"/>
        <v>90.66</v>
      </c>
      <c r="AB22" s="200">
        <v>44870</v>
      </c>
      <c r="AC22" s="1">
        <v>1220</v>
      </c>
      <c r="AD22" s="1">
        <v>10000</v>
      </c>
      <c r="AE22" s="1">
        <f t="shared" si="4"/>
        <v>12.2</v>
      </c>
      <c r="AG22" s="200">
        <v>44870</v>
      </c>
      <c r="AH22" s="1">
        <v>9571</v>
      </c>
      <c r="AI22" s="1">
        <v>10000</v>
      </c>
      <c r="AJ22" s="1">
        <f>AH22/AI22%</f>
        <v>95.71</v>
      </c>
      <c r="AL22" s="199">
        <v>44870</v>
      </c>
      <c r="AM22" s="202" t="s">
        <v>165</v>
      </c>
      <c r="AN22">
        <v>24314</v>
      </c>
      <c r="AP22" s="199">
        <v>44870</v>
      </c>
      <c r="AQ22" s="202" t="s">
        <v>163</v>
      </c>
      <c r="AR22">
        <v>1078049</v>
      </c>
    </row>
    <row r="23" spans="1:48" hidden="1" x14ac:dyDescent="0.25">
      <c r="A23" s="196">
        <v>44871</v>
      </c>
      <c r="B23" s="48">
        <v>9618917</v>
      </c>
      <c r="C23" s="48">
        <v>397503</v>
      </c>
      <c r="D23" s="48">
        <v>10016420</v>
      </c>
      <c r="E23" s="48">
        <v>96.031000000000006</v>
      </c>
      <c r="F23" s="48">
        <v>10.01</v>
      </c>
      <c r="H23" s="196">
        <v>44871</v>
      </c>
      <c r="I23" s="48">
        <v>3902289</v>
      </c>
      <c r="J23" s="48">
        <v>156496</v>
      </c>
      <c r="K23" s="48">
        <v>4058785</v>
      </c>
      <c r="L23" s="48">
        <v>96.14</v>
      </c>
      <c r="M23" s="48">
        <v>4.05</v>
      </c>
      <c r="O23" s="196">
        <v>44871</v>
      </c>
      <c r="P23" s="48">
        <v>60692164</v>
      </c>
      <c r="Q23" s="48">
        <v>18698100</v>
      </c>
      <c r="R23" s="48">
        <v>79390264</v>
      </c>
      <c r="S23" s="48">
        <v>76.44</v>
      </c>
      <c r="T23" s="48">
        <v>79.39</v>
      </c>
      <c r="W23" s="200">
        <v>44871</v>
      </c>
      <c r="X23" s="1">
        <v>6695</v>
      </c>
      <c r="Y23" s="1">
        <v>10000</v>
      </c>
      <c r="Z23" s="1">
        <f t="shared" si="3"/>
        <v>66.95</v>
      </c>
      <c r="AB23" s="200">
        <v>44871</v>
      </c>
      <c r="AC23" s="1">
        <v>1031</v>
      </c>
      <c r="AD23" s="1">
        <v>10000</v>
      </c>
      <c r="AE23" s="1">
        <f t="shared" si="4"/>
        <v>10.31</v>
      </c>
      <c r="AG23" s="200">
        <v>44871</v>
      </c>
      <c r="AH23" s="1">
        <v>7214</v>
      </c>
      <c r="AI23" s="1">
        <v>10000</v>
      </c>
      <c r="AJ23" s="1">
        <v>72.14</v>
      </c>
      <c r="AL23" s="199">
        <v>44870</v>
      </c>
      <c r="AM23" s="202" t="s">
        <v>164</v>
      </c>
      <c r="AN23">
        <v>23646</v>
      </c>
      <c r="AP23" s="199">
        <v>44870</v>
      </c>
      <c r="AQ23" s="202" t="s">
        <v>165</v>
      </c>
      <c r="AR23">
        <v>511619</v>
      </c>
    </row>
    <row r="24" spans="1:48" hidden="1" x14ac:dyDescent="0.25">
      <c r="A24" s="196">
        <v>44872</v>
      </c>
      <c r="B24" s="203">
        <v>9460565</v>
      </c>
      <c r="C24" s="203">
        <v>317454</v>
      </c>
      <c r="D24" s="203">
        <v>9778019</v>
      </c>
      <c r="E24" s="203">
        <v>96.75</v>
      </c>
      <c r="F24" s="71">
        <f>D24/1000000</f>
        <v>9.7780190000000005</v>
      </c>
      <c r="H24" s="196">
        <v>44872</v>
      </c>
      <c r="I24" s="204">
        <v>3639992</v>
      </c>
      <c r="J24" s="204">
        <v>163786</v>
      </c>
      <c r="K24" s="204">
        <v>3803778</v>
      </c>
      <c r="L24" s="204">
        <v>95.69</v>
      </c>
      <c r="M24" s="71">
        <f t="shared" si="1"/>
        <v>3.8037779999999999</v>
      </c>
      <c r="O24" s="196">
        <v>44872</v>
      </c>
      <c r="P24" s="204">
        <v>69938976</v>
      </c>
      <c r="Q24" s="204">
        <v>22819477</v>
      </c>
      <c r="R24" s="204">
        <v>92758453</v>
      </c>
      <c r="S24" s="204">
        <v>75.400000000000006</v>
      </c>
      <c r="T24" s="71">
        <f t="shared" si="2"/>
        <v>92.758453000000003</v>
      </c>
      <c r="W24" s="200">
        <v>44872</v>
      </c>
      <c r="X24" s="1">
        <v>9573</v>
      </c>
      <c r="Y24" s="1">
        <v>10000</v>
      </c>
      <c r="Z24" s="1">
        <f t="shared" si="3"/>
        <v>95.73</v>
      </c>
      <c r="AB24" s="200">
        <v>44872</v>
      </c>
      <c r="AC24" s="1">
        <v>1171</v>
      </c>
      <c r="AD24" s="1">
        <v>10000</v>
      </c>
      <c r="AE24" s="1">
        <f t="shared" si="4"/>
        <v>11.71</v>
      </c>
      <c r="AG24" s="200">
        <v>44872</v>
      </c>
      <c r="AH24" s="1">
        <v>10000</v>
      </c>
      <c r="AI24" s="1">
        <v>10000</v>
      </c>
      <c r="AJ24" s="1">
        <f t="shared" ref="AJ24:AJ32" si="5">AH24/AI24%</f>
        <v>100</v>
      </c>
      <c r="AL24" s="199">
        <v>44870</v>
      </c>
      <c r="AM24" s="202" t="s">
        <v>163</v>
      </c>
      <c r="AN24">
        <v>10989</v>
      </c>
      <c r="AP24" s="199">
        <v>44870</v>
      </c>
      <c r="AQ24" t="s">
        <v>169</v>
      </c>
      <c r="AR24">
        <v>359120</v>
      </c>
    </row>
    <row r="25" spans="1:48" hidden="1" x14ac:dyDescent="0.25">
      <c r="A25" s="196">
        <v>44873</v>
      </c>
      <c r="B25" s="203">
        <v>8919440</v>
      </c>
      <c r="C25" s="203">
        <v>391246</v>
      </c>
      <c r="D25" s="203">
        <v>9310686</v>
      </c>
      <c r="E25" s="203">
        <v>95.8</v>
      </c>
      <c r="F25" s="71">
        <f t="shared" ref="F25:F70" si="6">D25/1000000</f>
        <v>9.3106860000000005</v>
      </c>
      <c r="H25" s="196">
        <v>44873</v>
      </c>
      <c r="I25" s="204">
        <v>4095837</v>
      </c>
      <c r="J25" s="204">
        <v>182890</v>
      </c>
      <c r="K25" s="204">
        <v>4278727</v>
      </c>
      <c r="L25" s="204">
        <v>95.73</v>
      </c>
      <c r="M25" s="71">
        <f t="shared" si="1"/>
        <v>4.2787269999999999</v>
      </c>
      <c r="O25" s="196">
        <v>44873</v>
      </c>
      <c r="P25" s="204">
        <v>75022914</v>
      </c>
      <c r="Q25" s="204">
        <v>29074955</v>
      </c>
      <c r="R25" s="204">
        <v>104097869</v>
      </c>
      <c r="S25" s="204">
        <v>72.069999999999993</v>
      </c>
      <c r="T25" s="71">
        <f t="shared" si="2"/>
        <v>104.097869</v>
      </c>
      <c r="W25" s="200">
        <v>44873</v>
      </c>
      <c r="X25" s="1">
        <v>9570</v>
      </c>
      <c r="Y25" s="1">
        <v>10000</v>
      </c>
      <c r="Z25" s="1">
        <f t="shared" si="3"/>
        <v>95.7</v>
      </c>
      <c r="AB25" s="200">
        <v>44873</v>
      </c>
      <c r="AC25" s="1">
        <v>1171</v>
      </c>
      <c r="AD25" s="1">
        <v>10000</v>
      </c>
      <c r="AE25" s="1">
        <f t="shared" si="4"/>
        <v>11.71</v>
      </c>
      <c r="AG25" s="200">
        <v>44873</v>
      </c>
      <c r="AH25" s="1">
        <v>10000</v>
      </c>
      <c r="AI25" s="1">
        <v>10000</v>
      </c>
      <c r="AJ25" s="1">
        <f t="shared" si="5"/>
        <v>100</v>
      </c>
    </row>
    <row r="26" spans="1:48" ht="15.75" hidden="1" x14ac:dyDescent="0.25">
      <c r="A26" s="196">
        <v>44874</v>
      </c>
      <c r="B26" s="203">
        <v>9474286</v>
      </c>
      <c r="C26" s="203">
        <v>420251</v>
      </c>
      <c r="D26" s="203">
        <v>9894537</v>
      </c>
      <c r="E26" s="203">
        <v>95.75</v>
      </c>
      <c r="F26" s="71">
        <f t="shared" si="6"/>
        <v>9.8945369999999997</v>
      </c>
      <c r="H26" s="196">
        <v>44874</v>
      </c>
      <c r="I26" s="204">
        <v>3764780</v>
      </c>
      <c r="J26" s="204">
        <v>79900</v>
      </c>
      <c r="K26" s="204">
        <v>3844680</v>
      </c>
      <c r="L26" s="204">
        <v>97.92</v>
      </c>
      <c r="M26" s="71">
        <f t="shared" si="1"/>
        <v>3.8446799999999999</v>
      </c>
      <c r="O26" s="196">
        <v>44874</v>
      </c>
      <c r="P26" s="205">
        <v>75210319</v>
      </c>
      <c r="Q26" s="205">
        <v>30515072</v>
      </c>
      <c r="R26" s="205">
        <v>105725391</v>
      </c>
      <c r="S26" s="205">
        <v>71.14</v>
      </c>
      <c r="T26" s="71">
        <f t="shared" si="2"/>
        <v>105.725391</v>
      </c>
      <c r="W26" s="200">
        <v>44874</v>
      </c>
      <c r="X26" s="1">
        <v>9678</v>
      </c>
      <c r="Y26" s="1">
        <v>10000</v>
      </c>
      <c r="Z26" s="1">
        <f t="shared" si="3"/>
        <v>96.78</v>
      </c>
      <c r="AB26" s="200">
        <v>44874</v>
      </c>
      <c r="AC26" s="1">
        <v>1139</v>
      </c>
      <c r="AD26" s="1">
        <v>10000</v>
      </c>
      <c r="AE26" s="1">
        <f t="shared" si="4"/>
        <v>11.39</v>
      </c>
      <c r="AG26" s="200">
        <v>44874</v>
      </c>
      <c r="AH26" s="1">
        <v>10000</v>
      </c>
      <c r="AI26" s="1">
        <v>10000</v>
      </c>
      <c r="AJ26" s="1">
        <f t="shared" si="5"/>
        <v>100</v>
      </c>
      <c r="AL26" s="199">
        <v>44871</v>
      </c>
      <c r="AM26" s="202" t="s">
        <v>158</v>
      </c>
      <c r="AN26">
        <v>209554</v>
      </c>
      <c r="AP26" s="199">
        <v>44871</v>
      </c>
      <c r="AQ26" s="202" t="s">
        <v>162</v>
      </c>
      <c r="AR26">
        <v>12575595</v>
      </c>
    </row>
    <row r="27" spans="1:48" hidden="1" x14ac:dyDescent="0.25">
      <c r="A27" s="196">
        <v>44875</v>
      </c>
      <c r="B27" s="203">
        <v>9133663</v>
      </c>
      <c r="C27" s="203">
        <v>171743</v>
      </c>
      <c r="D27" s="203">
        <v>9305406</v>
      </c>
      <c r="E27" s="203">
        <v>98.15</v>
      </c>
      <c r="F27" s="71">
        <f t="shared" si="6"/>
        <v>9.3054059999999996</v>
      </c>
      <c r="H27" s="196">
        <v>44875</v>
      </c>
      <c r="I27" s="204">
        <v>3550100</v>
      </c>
      <c r="J27" s="204">
        <v>187805</v>
      </c>
      <c r="K27" s="204">
        <v>3737905</v>
      </c>
      <c r="L27" s="204">
        <v>94.98</v>
      </c>
      <c r="M27" s="71">
        <f t="shared" si="1"/>
        <v>3.737905</v>
      </c>
      <c r="O27" s="196">
        <v>44875</v>
      </c>
      <c r="P27" s="204">
        <v>74464111</v>
      </c>
      <c r="Q27" s="204">
        <v>28526264</v>
      </c>
      <c r="R27" s="204">
        <v>102990375</v>
      </c>
      <c r="S27" s="204">
        <v>72.3</v>
      </c>
      <c r="T27" s="71">
        <f t="shared" si="2"/>
        <v>102.990375</v>
      </c>
      <c r="W27" s="200">
        <v>44875</v>
      </c>
      <c r="X27" s="1">
        <v>9733</v>
      </c>
      <c r="Y27" s="1">
        <v>10000</v>
      </c>
      <c r="Z27" s="1">
        <f t="shared" si="3"/>
        <v>97.33</v>
      </c>
      <c r="AB27" s="200">
        <v>44875</v>
      </c>
      <c r="AC27" s="1">
        <v>1155</v>
      </c>
      <c r="AD27" s="1">
        <v>10000</v>
      </c>
      <c r="AE27" s="1">
        <f t="shared" si="4"/>
        <v>11.55</v>
      </c>
      <c r="AG27" s="200">
        <v>44875</v>
      </c>
      <c r="AH27" s="1">
        <v>10000</v>
      </c>
      <c r="AI27" s="1">
        <v>10000</v>
      </c>
      <c r="AJ27" s="1">
        <f t="shared" si="5"/>
        <v>100</v>
      </c>
      <c r="AL27" s="199">
        <v>44871</v>
      </c>
      <c r="AM27" s="202" t="s">
        <v>162</v>
      </c>
      <c r="AN27">
        <v>22128</v>
      </c>
      <c r="AP27" s="199">
        <v>44871</v>
      </c>
      <c r="AQ27" s="202" t="s">
        <v>158</v>
      </c>
      <c r="AR27">
        <v>2847092</v>
      </c>
    </row>
    <row r="28" spans="1:48" hidden="1" x14ac:dyDescent="0.25">
      <c r="A28" s="196">
        <v>44876</v>
      </c>
      <c r="B28" s="203">
        <v>9617555</v>
      </c>
      <c r="C28" s="203">
        <v>387216</v>
      </c>
      <c r="D28" s="203">
        <v>10004771</v>
      </c>
      <c r="E28" s="203">
        <v>96.13</v>
      </c>
      <c r="F28" s="71">
        <f t="shared" si="6"/>
        <v>10.004771</v>
      </c>
      <c r="H28" s="196">
        <v>44876</v>
      </c>
      <c r="I28" s="204">
        <v>4176137</v>
      </c>
      <c r="J28" s="204">
        <v>9915</v>
      </c>
      <c r="K28" s="204">
        <v>4186052</v>
      </c>
      <c r="L28" s="204">
        <v>99.76</v>
      </c>
      <c r="M28" s="71">
        <f t="shared" si="1"/>
        <v>4.1860520000000001</v>
      </c>
      <c r="O28" s="196">
        <v>44876</v>
      </c>
      <c r="P28" s="204">
        <v>73755449</v>
      </c>
      <c r="Q28" s="204">
        <v>28447901</v>
      </c>
      <c r="R28" s="204">
        <v>102203350</v>
      </c>
      <c r="S28" s="204">
        <v>72.17</v>
      </c>
      <c r="T28" s="71">
        <f t="shared" si="2"/>
        <v>102.20335</v>
      </c>
      <c r="W28" s="200">
        <v>44876</v>
      </c>
      <c r="X28" s="1">
        <v>9510</v>
      </c>
      <c r="Y28" s="1">
        <v>10000</v>
      </c>
      <c r="Z28" s="1">
        <f t="shared" si="3"/>
        <v>95.1</v>
      </c>
      <c r="AB28" s="200">
        <v>44876</v>
      </c>
      <c r="AC28" s="1">
        <v>1120</v>
      </c>
      <c r="AD28" s="1">
        <v>10000</v>
      </c>
      <c r="AE28" s="1">
        <f t="shared" si="4"/>
        <v>11.2</v>
      </c>
      <c r="AG28" s="200">
        <v>44876</v>
      </c>
      <c r="AH28" s="1">
        <v>10000</v>
      </c>
      <c r="AI28" s="1">
        <v>10000</v>
      </c>
      <c r="AJ28" s="1">
        <f t="shared" si="5"/>
        <v>100</v>
      </c>
      <c r="AL28" s="199">
        <v>44871</v>
      </c>
      <c r="AM28" s="202" t="s">
        <v>164</v>
      </c>
      <c r="AN28">
        <v>20810</v>
      </c>
      <c r="AP28" s="199">
        <v>44871</v>
      </c>
      <c r="AQ28" s="202" t="s">
        <v>163</v>
      </c>
      <c r="AR28">
        <v>879463</v>
      </c>
    </row>
    <row r="29" spans="1:48" hidden="1" x14ac:dyDescent="0.25">
      <c r="A29" s="206">
        <v>44877</v>
      </c>
      <c r="B29" s="207">
        <v>10240381</v>
      </c>
      <c r="C29" s="207">
        <v>405729</v>
      </c>
      <c r="D29" s="207">
        <v>10646110</v>
      </c>
      <c r="E29" s="207">
        <v>96.19</v>
      </c>
      <c r="F29" s="208">
        <f t="shared" si="6"/>
        <v>10.64611</v>
      </c>
      <c r="H29" s="196">
        <v>44877</v>
      </c>
      <c r="I29" s="204">
        <v>4255860</v>
      </c>
      <c r="J29" s="204">
        <v>691</v>
      </c>
      <c r="K29" s="204">
        <v>4256551</v>
      </c>
      <c r="L29" s="204">
        <v>99.98</v>
      </c>
      <c r="M29" s="71">
        <f t="shared" si="1"/>
        <v>4.256551</v>
      </c>
      <c r="O29" s="196">
        <v>44877</v>
      </c>
      <c r="P29" s="204">
        <v>77637476</v>
      </c>
      <c r="Q29" s="204">
        <v>29388919</v>
      </c>
      <c r="R29" s="204">
        <v>107026395</v>
      </c>
      <c r="S29" s="204">
        <v>72.540000000000006</v>
      </c>
      <c r="T29" s="71">
        <f t="shared" si="2"/>
        <v>107.02639499999999</v>
      </c>
      <c r="W29" s="200">
        <v>44877</v>
      </c>
      <c r="X29" s="1">
        <v>9869</v>
      </c>
      <c r="Y29" s="1">
        <v>10000</v>
      </c>
      <c r="Z29" s="1">
        <f t="shared" si="3"/>
        <v>98.69</v>
      </c>
      <c r="AB29" s="200">
        <v>44877</v>
      </c>
      <c r="AC29" s="1">
        <v>1380</v>
      </c>
      <c r="AD29" s="1">
        <v>10000</v>
      </c>
      <c r="AE29" s="1">
        <f t="shared" si="4"/>
        <v>13.8</v>
      </c>
      <c r="AG29" s="200">
        <v>44877</v>
      </c>
      <c r="AH29" s="1">
        <v>10000</v>
      </c>
      <c r="AI29" s="1">
        <v>10000</v>
      </c>
      <c r="AJ29" s="1">
        <f t="shared" si="5"/>
        <v>100</v>
      </c>
      <c r="AL29" s="199">
        <v>44871</v>
      </c>
      <c r="AM29" s="202" t="s">
        <v>165</v>
      </c>
      <c r="AN29">
        <v>18879</v>
      </c>
      <c r="AP29" s="199">
        <v>44871</v>
      </c>
      <c r="AQ29" t="s">
        <v>169</v>
      </c>
      <c r="AR29">
        <v>286298</v>
      </c>
    </row>
    <row r="30" spans="1:48" hidden="1" x14ac:dyDescent="0.25">
      <c r="A30" s="196">
        <v>44878</v>
      </c>
      <c r="B30" s="204">
        <v>9812615</v>
      </c>
      <c r="C30" s="204">
        <v>396570</v>
      </c>
      <c r="D30" s="204">
        <v>10209185</v>
      </c>
      <c r="E30" s="204">
        <v>96.12</v>
      </c>
      <c r="F30" s="71">
        <f t="shared" si="6"/>
        <v>10.209185</v>
      </c>
      <c r="H30" s="196">
        <v>44878</v>
      </c>
      <c r="I30" s="204">
        <v>4091249</v>
      </c>
      <c r="J30" s="204">
        <v>83</v>
      </c>
      <c r="K30" s="204">
        <v>4091332</v>
      </c>
      <c r="L30" s="204">
        <v>100</v>
      </c>
      <c r="M30" s="71">
        <f t="shared" si="1"/>
        <v>4.0913320000000004</v>
      </c>
      <c r="O30" s="196">
        <v>44878</v>
      </c>
      <c r="P30" s="204">
        <v>60719192</v>
      </c>
      <c r="Q30" s="204">
        <v>21026354</v>
      </c>
      <c r="R30" s="204">
        <v>81745546</v>
      </c>
      <c r="S30" s="204">
        <v>74.28</v>
      </c>
      <c r="T30" s="71">
        <f t="shared" si="2"/>
        <v>81.745546000000004</v>
      </c>
      <c r="W30" s="200">
        <v>44878</v>
      </c>
      <c r="X30" s="1">
        <v>9524</v>
      </c>
      <c r="Y30" s="1">
        <v>10000</v>
      </c>
      <c r="Z30" s="1">
        <f t="shared" si="3"/>
        <v>95.24</v>
      </c>
      <c r="AB30" s="200">
        <v>44878</v>
      </c>
      <c r="AC30" s="1">
        <v>1334</v>
      </c>
      <c r="AD30" s="1">
        <v>10000</v>
      </c>
      <c r="AE30" s="1">
        <f t="shared" si="4"/>
        <v>13.34</v>
      </c>
      <c r="AG30" s="200">
        <v>44878</v>
      </c>
      <c r="AH30" s="1">
        <v>10000</v>
      </c>
      <c r="AI30" s="1">
        <v>10000</v>
      </c>
      <c r="AJ30" s="1">
        <f t="shared" si="5"/>
        <v>100</v>
      </c>
      <c r="AL30" s="199">
        <v>44871</v>
      </c>
      <c r="AM30" s="202" t="s">
        <v>163</v>
      </c>
      <c r="AN30">
        <v>9335</v>
      </c>
      <c r="AP30" s="199">
        <v>44871</v>
      </c>
      <c r="AQ30" s="202" t="s">
        <v>165</v>
      </c>
      <c r="AR30">
        <v>220822</v>
      </c>
    </row>
    <row r="31" spans="1:48" hidden="1" x14ac:dyDescent="0.25">
      <c r="A31" s="196">
        <v>44879</v>
      </c>
      <c r="B31" s="204">
        <v>9821592</v>
      </c>
      <c r="C31" s="204">
        <v>348324</v>
      </c>
      <c r="D31" s="204">
        <v>10169916</v>
      </c>
      <c r="E31" s="204">
        <v>96.57</v>
      </c>
      <c r="F31" s="71">
        <f t="shared" si="6"/>
        <v>10.169916000000001</v>
      </c>
      <c r="H31" s="196">
        <v>44879</v>
      </c>
      <c r="I31" s="204">
        <v>3979110</v>
      </c>
      <c r="J31" s="204">
        <v>2206</v>
      </c>
      <c r="K31" s="204">
        <v>3981316</v>
      </c>
      <c r="L31" s="204">
        <v>99.94</v>
      </c>
      <c r="M31" s="71">
        <f t="shared" si="1"/>
        <v>3.9813160000000001</v>
      </c>
      <c r="O31" s="196">
        <v>44879</v>
      </c>
      <c r="P31" s="204">
        <v>70138874</v>
      </c>
      <c r="Q31" s="204">
        <v>26756284</v>
      </c>
      <c r="R31" s="204">
        <v>96895158</v>
      </c>
      <c r="S31" s="204">
        <v>72.39</v>
      </c>
      <c r="T31" s="71">
        <f t="shared" si="2"/>
        <v>96.895157999999995</v>
      </c>
      <c r="W31" s="200">
        <v>44879</v>
      </c>
      <c r="X31" s="1">
        <v>9588</v>
      </c>
      <c r="Y31" s="1">
        <v>10000</v>
      </c>
      <c r="Z31" s="1">
        <f t="shared" si="3"/>
        <v>95.88</v>
      </c>
      <c r="AB31" s="200">
        <v>44879</v>
      </c>
      <c r="AC31" s="1">
        <v>1161</v>
      </c>
      <c r="AD31" s="1">
        <v>10000</v>
      </c>
      <c r="AE31" s="1">
        <f t="shared" si="4"/>
        <v>11.61</v>
      </c>
      <c r="AG31" s="200">
        <v>44879</v>
      </c>
      <c r="AH31" s="1">
        <v>10000</v>
      </c>
      <c r="AI31" s="1">
        <v>10000</v>
      </c>
      <c r="AJ31" s="1">
        <f t="shared" si="5"/>
        <v>100</v>
      </c>
      <c r="AP31" s="199"/>
    </row>
    <row r="32" spans="1:48" hidden="1" x14ac:dyDescent="0.25">
      <c r="A32" s="196">
        <v>44880</v>
      </c>
      <c r="B32" s="1">
        <v>10349845</v>
      </c>
      <c r="C32" s="1">
        <v>439948</v>
      </c>
      <c r="D32" s="1">
        <v>10789793</v>
      </c>
      <c r="E32" s="209">
        <v>95.92</v>
      </c>
      <c r="F32" s="46">
        <f t="shared" si="6"/>
        <v>10.789793</v>
      </c>
      <c r="H32" s="196">
        <v>44880</v>
      </c>
      <c r="I32" s="48">
        <v>3330036</v>
      </c>
      <c r="J32" s="48">
        <v>9312</v>
      </c>
      <c r="K32" s="48">
        <v>3339348</v>
      </c>
      <c r="L32" s="204">
        <v>99.72</v>
      </c>
      <c r="M32" s="71">
        <f t="shared" si="1"/>
        <v>3.3393480000000002</v>
      </c>
      <c r="O32" s="196">
        <v>44880</v>
      </c>
      <c r="P32" s="48">
        <v>73121052</v>
      </c>
      <c r="Q32" s="48">
        <v>37479519</v>
      </c>
      <c r="R32" s="48">
        <v>110600571</v>
      </c>
      <c r="S32" s="204">
        <v>66.11</v>
      </c>
      <c r="T32" s="71">
        <f t="shared" si="2"/>
        <v>110.600571</v>
      </c>
      <c r="W32" s="200">
        <v>44880</v>
      </c>
      <c r="X32" s="1">
        <v>9870</v>
      </c>
      <c r="Y32" s="1">
        <v>10000</v>
      </c>
      <c r="Z32" s="1">
        <f t="shared" si="3"/>
        <v>98.7</v>
      </c>
      <c r="AB32" s="200">
        <v>44880</v>
      </c>
      <c r="AC32" s="1">
        <v>1098</v>
      </c>
      <c r="AD32" s="1">
        <v>10000</v>
      </c>
      <c r="AE32" s="1">
        <f t="shared" si="4"/>
        <v>10.98</v>
      </c>
      <c r="AG32" s="200">
        <v>44880</v>
      </c>
      <c r="AH32" s="1">
        <v>10000</v>
      </c>
      <c r="AI32" s="1">
        <v>10000</v>
      </c>
      <c r="AJ32" s="1">
        <f t="shared" si="5"/>
        <v>100</v>
      </c>
      <c r="AL32" s="199">
        <v>44872</v>
      </c>
      <c r="AM32" s="202" t="s">
        <v>158</v>
      </c>
      <c r="AN32">
        <v>167081</v>
      </c>
      <c r="AP32" s="199">
        <v>44872</v>
      </c>
      <c r="AQ32" s="202" t="s">
        <v>158</v>
      </c>
      <c r="AR32">
        <v>16536730</v>
      </c>
      <c r="AT32" s="140">
        <v>44872</v>
      </c>
      <c r="AU32" t="s">
        <v>155</v>
      </c>
      <c r="AV32">
        <v>134520</v>
      </c>
    </row>
    <row r="33" spans="1:48" hidden="1" x14ac:dyDescent="0.25">
      <c r="A33" s="196">
        <v>44881</v>
      </c>
      <c r="B33" s="48">
        <v>9662605</v>
      </c>
      <c r="C33" s="48">
        <v>326306</v>
      </c>
      <c r="D33" s="48">
        <v>9988911</v>
      </c>
      <c r="E33" s="48">
        <v>96.73</v>
      </c>
      <c r="F33" s="46">
        <f t="shared" si="6"/>
        <v>9.9889109999999999</v>
      </c>
      <c r="H33" s="196">
        <v>44881</v>
      </c>
      <c r="I33" s="48">
        <v>4655190</v>
      </c>
      <c r="J33" s="48">
        <v>489</v>
      </c>
      <c r="K33" s="48">
        <v>4655679</v>
      </c>
      <c r="L33" s="48">
        <v>99.98</v>
      </c>
      <c r="M33" s="71">
        <f t="shared" si="1"/>
        <v>4.6556790000000001</v>
      </c>
      <c r="O33" s="196">
        <v>44881</v>
      </c>
      <c r="P33" s="48">
        <v>79021587</v>
      </c>
      <c r="Q33" s="48">
        <v>30590008</v>
      </c>
      <c r="R33" s="48">
        <v>109611595</v>
      </c>
      <c r="S33" s="48">
        <v>72.09</v>
      </c>
      <c r="T33" s="71">
        <f t="shared" si="2"/>
        <v>109.61159499999999</v>
      </c>
      <c r="W33" s="200">
        <v>44881</v>
      </c>
      <c r="X33" s="1">
        <v>9800</v>
      </c>
      <c r="Y33" s="1">
        <v>10000</v>
      </c>
      <c r="Z33" s="1">
        <f t="shared" si="3"/>
        <v>98</v>
      </c>
      <c r="AB33" s="200">
        <v>44881</v>
      </c>
      <c r="AC33" s="1">
        <v>1095</v>
      </c>
      <c r="AD33" s="1">
        <v>10000</v>
      </c>
      <c r="AE33" s="1">
        <f t="shared" si="4"/>
        <v>10.95</v>
      </c>
      <c r="AG33" s="200">
        <v>44881</v>
      </c>
      <c r="AH33" s="1">
        <v>10000</v>
      </c>
      <c r="AI33" s="1">
        <v>10000</v>
      </c>
      <c r="AJ33" s="1">
        <f>AH33/AI33%</f>
        <v>100</v>
      </c>
      <c r="AL33" s="199">
        <v>44872</v>
      </c>
      <c r="AM33" s="202" t="s">
        <v>165</v>
      </c>
      <c r="AN33">
        <v>25098</v>
      </c>
      <c r="AP33" s="199">
        <v>44872</v>
      </c>
      <c r="AQ33" s="202" t="s">
        <v>162</v>
      </c>
      <c r="AR33">
        <v>3348966</v>
      </c>
    </row>
    <row r="34" spans="1:48" hidden="1" x14ac:dyDescent="0.25">
      <c r="A34" s="196">
        <v>44882</v>
      </c>
      <c r="B34" s="48">
        <v>9032238</v>
      </c>
      <c r="C34" s="48">
        <v>298797</v>
      </c>
      <c r="D34" s="48">
        <v>9331035</v>
      </c>
      <c r="E34" s="48">
        <v>96.79</v>
      </c>
      <c r="F34" s="71">
        <f t="shared" si="6"/>
        <v>9.331035</v>
      </c>
      <c r="H34" s="196">
        <v>44882</v>
      </c>
      <c r="I34" s="48">
        <v>3710729</v>
      </c>
      <c r="J34" s="48">
        <v>396</v>
      </c>
      <c r="K34" s="48">
        <v>3711125</v>
      </c>
      <c r="L34" s="48">
        <v>99.98</v>
      </c>
      <c r="M34" s="71">
        <f t="shared" si="1"/>
        <v>3.711125</v>
      </c>
      <c r="O34" s="196">
        <v>44882</v>
      </c>
      <c r="P34" s="48">
        <v>72597667</v>
      </c>
      <c r="Q34" s="48">
        <v>32652469</v>
      </c>
      <c r="R34" s="48">
        <v>105250136</v>
      </c>
      <c r="S34" s="48">
        <v>68.97</v>
      </c>
      <c r="T34" s="71">
        <f t="shared" si="2"/>
        <v>105.250136</v>
      </c>
      <c r="W34" s="200">
        <v>44882</v>
      </c>
      <c r="X34" s="1">
        <v>9516</v>
      </c>
      <c r="Y34" s="1">
        <v>10000</v>
      </c>
      <c r="Z34" s="1">
        <f t="shared" si="3"/>
        <v>95.16</v>
      </c>
      <c r="AB34" s="200">
        <v>44882</v>
      </c>
      <c r="AC34" s="1">
        <v>1163</v>
      </c>
      <c r="AD34" s="1">
        <v>10000</v>
      </c>
      <c r="AE34" s="1">
        <f t="shared" si="4"/>
        <v>11.63</v>
      </c>
      <c r="AG34" s="200">
        <v>44882</v>
      </c>
      <c r="AH34" s="1">
        <v>10000</v>
      </c>
      <c r="AI34" s="1">
        <v>10000</v>
      </c>
      <c r="AJ34" s="1">
        <v>100</v>
      </c>
      <c r="AL34" s="199">
        <v>44872</v>
      </c>
      <c r="AM34" s="202" t="s">
        <v>164</v>
      </c>
      <c r="AN34">
        <v>24460</v>
      </c>
      <c r="AP34" s="199">
        <v>44872</v>
      </c>
      <c r="AQ34" s="202" t="s">
        <v>163</v>
      </c>
      <c r="AR34">
        <v>1264736</v>
      </c>
    </row>
    <row r="35" spans="1:48" hidden="1" x14ac:dyDescent="0.25">
      <c r="A35" s="196">
        <v>44883</v>
      </c>
      <c r="B35" s="48">
        <v>9678947</v>
      </c>
      <c r="C35" s="48">
        <v>438544</v>
      </c>
      <c r="D35" s="48">
        <v>10117491</v>
      </c>
      <c r="E35" s="48">
        <v>95.67</v>
      </c>
      <c r="F35" s="71">
        <f t="shared" si="6"/>
        <v>10.117490999999999</v>
      </c>
      <c r="H35" s="196">
        <v>44883</v>
      </c>
      <c r="I35" s="48">
        <v>3991736</v>
      </c>
      <c r="J35" s="48">
        <v>67</v>
      </c>
      <c r="K35" s="48">
        <v>3991803</v>
      </c>
      <c r="L35" s="48">
        <v>100</v>
      </c>
      <c r="M35" s="71">
        <f t="shared" si="1"/>
        <v>3.991803</v>
      </c>
      <c r="O35" s="196">
        <v>44883</v>
      </c>
      <c r="P35" s="48">
        <v>76728041</v>
      </c>
      <c r="Q35" s="48">
        <v>38696226</v>
      </c>
      <c r="R35" s="48">
        <v>115424267</v>
      </c>
      <c r="S35" s="48">
        <v>66.47</v>
      </c>
      <c r="T35" s="71">
        <f t="shared" si="2"/>
        <v>115.424267</v>
      </c>
      <c r="W35" s="200">
        <v>44883</v>
      </c>
      <c r="X35" s="1">
        <v>9680</v>
      </c>
      <c r="Y35" s="1">
        <v>10000</v>
      </c>
      <c r="Z35" s="1">
        <f t="shared" si="3"/>
        <v>96.8</v>
      </c>
      <c r="AB35" s="200">
        <v>44883</v>
      </c>
      <c r="AC35" s="1">
        <v>1060</v>
      </c>
      <c r="AD35" s="1">
        <v>10000</v>
      </c>
      <c r="AE35" s="1">
        <f t="shared" si="4"/>
        <v>10.6</v>
      </c>
      <c r="AG35" s="200">
        <v>44883</v>
      </c>
      <c r="AH35" s="1">
        <v>10000</v>
      </c>
      <c r="AI35" s="1">
        <v>10000</v>
      </c>
      <c r="AJ35" s="1">
        <v>100</v>
      </c>
      <c r="AL35" s="199">
        <v>44872</v>
      </c>
      <c r="AM35" s="202" t="s">
        <v>162</v>
      </c>
      <c r="AN35">
        <v>14686</v>
      </c>
      <c r="AP35" s="199">
        <v>44872</v>
      </c>
      <c r="AQ35" s="202" t="s">
        <v>165</v>
      </c>
      <c r="AR35">
        <v>506296</v>
      </c>
    </row>
    <row r="36" spans="1:48" hidden="1" x14ac:dyDescent="0.25">
      <c r="A36" s="196">
        <v>44884</v>
      </c>
      <c r="B36" s="48">
        <v>10167020</v>
      </c>
      <c r="C36" s="48">
        <v>423094</v>
      </c>
      <c r="D36" s="48">
        <v>10590114</v>
      </c>
      <c r="E36" s="71">
        <v>96.004821100000001</v>
      </c>
      <c r="F36" s="71">
        <f t="shared" si="6"/>
        <v>10.590114</v>
      </c>
      <c r="H36" s="196">
        <v>44884</v>
      </c>
      <c r="I36" s="48">
        <v>3499197</v>
      </c>
      <c r="J36" s="48">
        <v>27</v>
      </c>
      <c r="K36" s="48">
        <v>3499224</v>
      </c>
      <c r="L36" s="190">
        <v>99.999228400000007</v>
      </c>
      <c r="M36" s="71">
        <f t="shared" si="1"/>
        <v>3.4992239999999999</v>
      </c>
      <c r="O36" s="196">
        <v>44884</v>
      </c>
      <c r="P36" s="48">
        <v>76586731</v>
      </c>
      <c r="Q36" s="48">
        <v>32671653</v>
      </c>
      <c r="R36" s="48">
        <v>109258384</v>
      </c>
      <c r="S36" s="71">
        <v>70.096891600000006</v>
      </c>
      <c r="T36" s="71">
        <f t="shared" si="2"/>
        <v>109.25838400000001</v>
      </c>
      <c r="W36" s="200">
        <v>44884</v>
      </c>
      <c r="X36" s="1">
        <v>9489</v>
      </c>
      <c r="Y36" s="1">
        <v>10000</v>
      </c>
      <c r="Z36" s="1">
        <f t="shared" si="3"/>
        <v>94.89</v>
      </c>
      <c r="AB36" s="200">
        <v>44884</v>
      </c>
      <c r="AC36" s="1">
        <v>1134</v>
      </c>
      <c r="AD36" s="1">
        <v>10000</v>
      </c>
      <c r="AE36" s="1">
        <f t="shared" si="4"/>
        <v>11.34</v>
      </c>
      <c r="AG36" s="200">
        <v>44884</v>
      </c>
      <c r="AH36" s="1">
        <v>10000</v>
      </c>
      <c r="AI36" s="1">
        <v>10000</v>
      </c>
      <c r="AJ36" s="1">
        <v>100</v>
      </c>
      <c r="AL36" s="199">
        <v>44872</v>
      </c>
      <c r="AM36" s="202" t="s">
        <v>163</v>
      </c>
      <c r="AN36">
        <v>8704</v>
      </c>
      <c r="AP36" s="199">
        <v>44872</v>
      </c>
      <c r="AQ36" t="s">
        <v>169</v>
      </c>
      <c r="AR36">
        <v>247218</v>
      </c>
    </row>
    <row r="37" spans="1:48" hidden="1" x14ac:dyDescent="0.25">
      <c r="A37" s="196">
        <v>44885</v>
      </c>
      <c r="B37" s="48">
        <v>9879779</v>
      </c>
      <c r="C37" s="48">
        <v>416015</v>
      </c>
      <c r="D37" s="48">
        <v>10295794</v>
      </c>
      <c r="E37" s="48">
        <v>95.95</v>
      </c>
      <c r="F37" s="71">
        <f t="shared" si="6"/>
        <v>10.295794000000001</v>
      </c>
      <c r="H37" s="196">
        <v>44885</v>
      </c>
      <c r="I37" s="48">
        <v>3333747</v>
      </c>
      <c r="J37" s="48">
        <v>35</v>
      </c>
      <c r="K37" s="48">
        <v>3333782</v>
      </c>
      <c r="L37" s="190">
        <v>99.998900000000006</v>
      </c>
      <c r="M37" s="71">
        <f t="shared" si="1"/>
        <v>3.3337819999999998</v>
      </c>
      <c r="O37" s="196">
        <v>44885</v>
      </c>
      <c r="P37" s="48">
        <v>57748657</v>
      </c>
      <c r="Q37" s="48">
        <v>21852607</v>
      </c>
      <c r="R37" s="48">
        <v>79601264</v>
      </c>
      <c r="S37" s="48">
        <v>72.540000000000006</v>
      </c>
      <c r="T37" s="71">
        <f t="shared" si="2"/>
        <v>79.601264</v>
      </c>
      <c r="W37" s="200">
        <v>44885</v>
      </c>
      <c r="X37" s="1">
        <v>9420</v>
      </c>
      <c r="Y37" s="1">
        <v>10000</v>
      </c>
      <c r="Z37" s="1">
        <f t="shared" si="3"/>
        <v>94.2</v>
      </c>
      <c r="AB37" s="200">
        <v>44885</v>
      </c>
      <c r="AC37" s="1">
        <v>956</v>
      </c>
      <c r="AD37" s="1">
        <v>10000</v>
      </c>
      <c r="AE37" s="1">
        <f t="shared" si="4"/>
        <v>9.56</v>
      </c>
      <c r="AG37" s="200">
        <v>44885</v>
      </c>
      <c r="AH37" s="1">
        <v>10000</v>
      </c>
      <c r="AI37" s="1">
        <v>10000</v>
      </c>
      <c r="AJ37" s="1">
        <v>100</v>
      </c>
      <c r="AP37" s="199"/>
    </row>
    <row r="38" spans="1:48" hidden="1" x14ac:dyDescent="0.25">
      <c r="A38" s="196">
        <v>44886</v>
      </c>
      <c r="B38" s="204">
        <v>9344266</v>
      </c>
      <c r="C38" s="204">
        <v>300600</v>
      </c>
      <c r="D38" s="204">
        <v>9644866</v>
      </c>
      <c r="E38" s="204">
        <v>96.88</v>
      </c>
      <c r="F38" s="71">
        <f t="shared" si="6"/>
        <v>9.6448660000000004</v>
      </c>
      <c r="H38" s="196">
        <v>44886</v>
      </c>
      <c r="I38" s="204">
        <v>3174838</v>
      </c>
      <c r="J38" s="204">
        <v>775</v>
      </c>
      <c r="K38" s="204">
        <v>3175613</v>
      </c>
      <c r="L38" s="204">
        <v>99.98</v>
      </c>
      <c r="M38" s="71">
        <f t="shared" si="1"/>
        <v>3.1756129999999998</v>
      </c>
      <c r="O38" s="196">
        <v>44886</v>
      </c>
      <c r="P38" s="204">
        <v>74828523</v>
      </c>
      <c r="Q38" s="204">
        <v>35954433</v>
      </c>
      <c r="R38" s="204">
        <v>110782956</v>
      </c>
      <c r="S38" s="204">
        <v>67.55</v>
      </c>
      <c r="T38" s="71">
        <f t="shared" si="2"/>
        <v>110.782956</v>
      </c>
      <c r="W38" s="200">
        <v>44886</v>
      </c>
      <c r="X38" s="1">
        <v>9900</v>
      </c>
      <c r="Y38" s="1">
        <v>10000</v>
      </c>
      <c r="Z38" s="1">
        <f t="shared" si="3"/>
        <v>99</v>
      </c>
      <c r="AB38" s="200">
        <v>44886</v>
      </c>
      <c r="AC38" s="1">
        <v>1459</v>
      </c>
      <c r="AD38" s="1">
        <v>10000</v>
      </c>
      <c r="AE38" s="1">
        <f t="shared" si="4"/>
        <v>14.59</v>
      </c>
      <c r="AG38" s="200">
        <v>44886</v>
      </c>
      <c r="AH38" s="1">
        <v>10000</v>
      </c>
      <c r="AI38" s="1">
        <v>10000</v>
      </c>
      <c r="AJ38" s="1">
        <v>100</v>
      </c>
      <c r="AL38" s="199">
        <v>44873</v>
      </c>
      <c r="AM38" s="202" t="s">
        <v>158</v>
      </c>
      <c r="AN38">
        <v>223046</v>
      </c>
      <c r="AP38" s="199">
        <v>44873</v>
      </c>
      <c r="AQ38" s="202" t="s">
        <v>158</v>
      </c>
      <c r="AR38">
        <v>21366888</v>
      </c>
      <c r="AT38" s="199">
        <v>44873</v>
      </c>
      <c r="AU38" t="s">
        <v>155</v>
      </c>
      <c r="AV38">
        <v>182809</v>
      </c>
    </row>
    <row r="39" spans="1:48" hidden="1" x14ac:dyDescent="0.25">
      <c r="A39" s="196">
        <v>44887</v>
      </c>
      <c r="B39" s="48">
        <v>9069865</v>
      </c>
      <c r="C39" s="48">
        <v>412200</v>
      </c>
      <c r="D39" s="48">
        <v>9482065</v>
      </c>
      <c r="E39" s="48">
        <v>95.65</v>
      </c>
      <c r="F39" s="71">
        <f t="shared" si="6"/>
        <v>9.4820650000000004</v>
      </c>
      <c r="H39" s="196">
        <v>44887</v>
      </c>
      <c r="I39" s="48">
        <v>5789990</v>
      </c>
      <c r="J39" s="48">
        <v>2402</v>
      </c>
      <c r="K39" s="48">
        <v>5792392</v>
      </c>
      <c r="L39" s="48">
        <v>99.95</v>
      </c>
      <c r="M39" s="71">
        <f t="shared" si="1"/>
        <v>5.7923920000000004</v>
      </c>
      <c r="O39" s="196">
        <v>44887</v>
      </c>
      <c r="P39" s="48">
        <v>77761775</v>
      </c>
      <c r="Q39" s="48">
        <v>34541193</v>
      </c>
      <c r="R39" s="48">
        <v>112302968</v>
      </c>
      <c r="S39" s="48">
        <v>69.239999999999995</v>
      </c>
      <c r="T39" s="71">
        <f t="shared" si="2"/>
        <v>112.30296800000001</v>
      </c>
      <c r="W39" s="200">
        <v>44887</v>
      </c>
      <c r="X39" s="1">
        <v>9900</v>
      </c>
      <c r="Y39" s="1">
        <v>10000</v>
      </c>
      <c r="Z39" s="1">
        <f t="shared" si="3"/>
        <v>99</v>
      </c>
      <c r="AB39" s="200">
        <v>44887</v>
      </c>
      <c r="AC39" s="1">
        <v>1652</v>
      </c>
      <c r="AD39" s="1">
        <v>10000</v>
      </c>
      <c r="AE39" s="1">
        <f t="shared" si="4"/>
        <v>16.52</v>
      </c>
      <c r="AG39" s="200">
        <v>44887</v>
      </c>
      <c r="AH39" s="1">
        <v>10000</v>
      </c>
      <c r="AI39" s="1">
        <v>10000</v>
      </c>
      <c r="AJ39" s="1">
        <v>100</v>
      </c>
      <c r="AL39" s="199">
        <v>44873</v>
      </c>
      <c r="AM39" s="202" t="s">
        <v>165</v>
      </c>
      <c r="AN39">
        <v>23865</v>
      </c>
      <c r="AP39" s="199">
        <v>44873</v>
      </c>
      <c r="AQ39" s="202" t="s">
        <v>162</v>
      </c>
      <c r="AR39">
        <v>4106487</v>
      </c>
    </row>
    <row r="40" spans="1:48" hidden="1" x14ac:dyDescent="0.25">
      <c r="A40" s="196">
        <v>44888</v>
      </c>
      <c r="B40" s="48">
        <v>9292286</v>
      </c>
      <c r="C40" s="48">
        <v>420770</v>
      </c>
      <c r="D40" s="48">
        <v>9713056</v>
      </c>
      <c r="E40" s="48">
        <v>95.66</v>
      </c>
      <c r="F40" s="71">
        <f t="shared" si="6"/>
        <v>9.7130559999999999</v>
      </c>
      <c r="H40" s="196">
        <v>44888</v>
      </c>
      <c r="I40" s="48">
        <v>5927255</v>
      </c>
      <c r="J40" s="48">
        <v>537</v>
      </c>
      <c r="K40" s="48">
        <v>5927792</v>
      </c>
      <c r="L40" s="48">
        <v>99.99</v>
      </c>
      <c r="M40" s="71">
        <f t="shared" si="1"/>
        <v>5.9277920000000002</v>
      </c>
      <c r="O40" s="196">
        <v>44888</v>
      </c>
      <c r="P40" s="48">
        <v>75461966</v>
      </c>
      <c r="Q40" s="48">
        <v>29637822</v>
      </c>
      <c r="R40" s="48">
        <v>105099788</v>
      </c>
      <c r="S40" s="48">
        <v>71.8</v>
      </c>
      <c r="T40" s="71">
        <f t="shared" si="2"/>
        <v>105.099788</v>
      </c>
      <c r="W40" s="200">
        <v>44888</v>
      </c>
      <c r="X40" s="1">
        <v>10127</v>
      </c>
      <c r="Y40" s="1">
        <v>10000</v>
      </c>
      <c r="Z40" s="1">
        <f t="shared" si="3"/>
        <v>101.27</v>
      </c>
      <c r="AB40" s="200">
        <v>44888</v>
      </c>
      <c r="AC40" s="1">
        <v>1348</v>
      </c>
      <c r="AD40" s="1">
        <v>10000</v>
      </c>
      <c r="AE40" s="1">
        <f t="shared" si="4"/>
        <v>13.48</v>
      </c>
      <c r="AG40" s="200">
        <v>44888</v>
      </c>
      <c r="AH40" s="1">
        <v>10000</v>
      </c>
      <c r="AI40" s="1">
        <v>10000</v>
      </c>
      <c r="AJ40" s="1">
        <v>100</v>
      </c>
      <c r="AL40" s="199">
        <v>44873</v>
      </c>
      <c r="AM40" s="202" t="s">
        <v>164</v>
      </c>
      <c r="AN40">
        <v>23330</v>
      </c>
      <c r="AP40" s="199">
        <v>44873</v>
      </c>
      <c r="AQ40" s="202" t="s">
        <v>163</v>
      </c>
      <c r="AR40">
        <v>1226504</v>
      </c>
    </row>
    <row r="41" spans="1:48" hidden="1" x14ac:dyDescent="0.25">
      <c r="A41" s="196">
        <v>44889</v>
      </c>
      <c r="B41" s="48">
        <v>897011</v>
      </c>
      <c r="C41" s="48">
        <v>392413</v>
      </c>
      <c r="D41" s="48">
        <v>9362554</v>
      </c>
      <c r="E41" s="48">
        <v>95.8</v>
      </c>
      <c r="F41" s="71">
        <f t="shared" si="6"/>
        <v>9.3625539999999994</v>
      </c>
      <c r="H41" s="196">
        <v>44889</v>
      </c>
      <c r="I41" s="48">
        <v>3899006</v>
      </c>
      <c r="J41" s="48">
        <v>745</v>
      </c>
      <c r="K41" s="48">
        <v>3899751</v>
      </c>
      <c r="L41" s="48">
        <v>99.98</v>
      </c>
      <c r="M41" s="71">
        <f t="shared" si="1"/>
        <v>3.8997510000000002</v>
      </c>
      <c r="O41" s="196">
        <v>44889</v>
      </c>
      <c r="P41" s="48">
        <v>78956785</v>
      </c>
      <c r="Q41" s="48">
        <v>32794194</v>
      </c>
      <c r="R41" s="48">
        <v>111750979</v>
      </c>
      <c r="S41" s="48">
        <v>70.650000000000006</v>
      </c>
      <c r="T41" s="71">
        <f t="shared" si="2"/>
        <v>111.750979</v>
      </c>
      <c r="W41" s="200">
        <v>44889</v>
      </c>
      <c r="X41" s="1">
        <v>9653</v>
      </c>
      <c r="Y41" s="1">
        <v>10000</v>
      </c>
      <c r="Z41" s="1">
        <f t="shared" si="3"/>
        <v>96.53</v>
      </c>
      <c r="AB41" s="200">
        <v>44889</v>
      </c>
      <c r="AC41" s="1">
        <v>1144</v>
      </c>
      <c r="AD41" s="1">
        <v>10000</v>
      </c>
      <c r="AE41" s="1">
        <f t="shared" si="4"/>
        <v>11.44</v>
      </c>
      <c r="AG41" s="200">
        <v>44889</v>
      </c>
      <c r="AH41" s="1">
        <v>10000</v>
      </c>
      <c r="AI41" s="1">
        <v>10000</v>
      </c>
      <c r="AJ41" s="1">
        <v>100</v>
      </c>
      <c r="AL41" s="199">
        <v>44873</v>
      </c>
      <c r="AM41" s="202" t="s">
        <v>162</v>
      </c>
      <c r="AN41">
        <v>17270</v>
      </c>
      <c r="AP41" s="199">
        <v>44873</v>
      </c>
      <c r="AQ41" s="202" t="s">
        <v>165</v>
      </c>
      <c r="AR41">
        <v>610516</v>
      </c>
    </row>
    <row r="42" spans="1:48" hidden="1" x14ac:dyDescent="0.25">
      <c r="A42" s="196">
        <v>44890</v>
      </c>
      <c r="B42" s="48">
        <v>9392793</v>
      </c>
      <c r="C42" s="48">
        <v>414311</v>
      </c>
      <c r="D42" s="48">
        <v>9807104</v>
      </c>
      <c r="E42" s="48">
        <v>95.78</v>
      </c>
      <c r="F42" s="71">
        <f t="shared" si="6"/>
        <v>9.8071040000000007</v>
      </c>
      <c r="H42" s="196">
        <v>44890</v>
      </c>
      <c r="I42" s="48">
        <v>3851641</v>
      </c>
      <c r="J42" s="48">
        <v>47</v>
      </c>
      <c r="K42" s="48">
        <v>3851688</v>
      </c>
      <c r="L42" s="48">
        <v>100</v>
      </c>
      <c r="M42" s="71">
        <f t="shared" si="1"/>
        <v>3.8516879999999998</v>
      </c>
      <c r="O42" s="196">
        <v>44890</v>
      </c>
      <c r="P42" s="48">
        <v>75175845</v>
      </c>
      <c r="Q42" s="48">
        <v>32932139</v>
      </c>
      <c r="R42" s="48">
        <v>108107984</v>
      </c>
      <c r="S42" s="48">
        <v>69.540000000000006</v>
      </c>
      <c r="T42" s="71">
        <f t="shared" si="2"/>
        <v>108.107984</v>
      </c>
      <c r="W42" s="200">
        <v>44890</v>
      </c>
      <c r="X42" s="1">
        <v>9055</v>
      </c>
      <c r="Y42" s="1">
        <v>10000</v>
      </c>
      <c r="Z42" s="1">
        <f t="shared" si="3"/>
        <v>90.55</v>
      </c>
      <c r="AB42" s="200">
        <v>44890</v>
      </c>
      <c r="AC42" s="1">
        <v>1078</v>
      </c>
      <c r="AD42" s="1">
        <v>10000</v>
      </c>
      <c r="AE42" s="1">
        <f t="shared" si="4"/>
        <v>10.78</v>
      </c>
      <c r="AG42" s="200">
        <v>44890</v>
      </c>
      <c r="AH42" s="1">
        <v>10000</v>
      </c>
      <c r="AI42" s="1">
        <v>10000</v>
      </c>
      <c r="AJ42" s="1">
        <v>100</v>
      </c>
      <c r="AL42" s="199">
        <v>44873</v>
      </c>
      <c r="AM42" t="s">
        <v>170</v>
      </c>
      <c r="AN42">
        <v>9389</v>
      </c>
      <c r="AP42" s="199">
        <v>44873</v>
      </c>
      <c r="AQ42" t="s">
        <v>169</v>
      </c>
      <c r="AR42">
        <v>395854</v>
      </c>
    </row>
    <row r="43" spans="1:48" hidden="1" x14ac:dyDescent="0.25">
      <c r="A43" s="196">
        <v>44891</v>
      </c>
      <c r="B43" s="48">
        <v>10017745</v>
      </c>
      <c r="C43" s="48">
        <v>418342</v>
      </c>
      <c r="D43" s="48">
        <v>10436087</v>
      </c>
      <c r="E43" s="48">
        <v>95.99</v>
      </c>
      <c r="F43" s="71">
        <f t="shared" si="6"/>
        <v>10.436087000000001</v>
      </c>
      <c r="H43" s="196">
        <v>44891</v>
      </c>
      <c r="I43" s="48">
        <v>3620893</v>
      </c>
      <c r="J43" s="48">
        <v>76</v>
      </c>
      <c r="K43" s="48">
        <v>3620969</v>
      </c>
      <c r="L43" s="48">
        <v>100</v>
      </c>
      <c r="M43" s="48">
        <f t="shared" si="1"/>
        <v>3.6209690000000001</v>
      </c>
      <c r="O43" s="196">
        <v>44891</v>
      </c>
      <c r="P43" s="48">
        <v>75033716</v>
      </c>
      <c r="Q43" s="48">
        <v>34005067</v>
      </c>
      <c r="R43" s="48">
        <v>109038783</v>
      </c>
      <c r="S43" s="48">
        <v>68.81</v>
      </c>
      <c r="T43" s="71">
        <f t="shared" si="2"/>
        <v>109.038783</v>
      </c>
      <c r="W43" s="200">
        <v>44891</v>
      </c>
      <c r="X43" s="1">
        <v>7823</v>
      </c>
      <c r="Y43" s="1">
        <v>10000</v>
      </c>
      <c r="Z43" s="1">
        <f t="shared" si="3"/>
        <v>78.23</v>
      </c>
      <c r="AB43" s="200">
        <v>44891</v>
      </c>
      <c r="AC43" s="1">
        <v>1078</v>
      </c>
      <c r="AD43" s="1">
        <v>10000</v>
      </c>
      <c r="AE43" s="1">
        <f t="shared" si="4"/>
        <v>10.78</v>
      </c>
      <c r="AG43" s="200">
        <v>44891</v>
      </c>
      <c r="AH43" s="1">
        <v>10000</v>
      </c>
      <c r="AI43" s="1">
        <v>10000</v>
      </c>
      <c r="AJ43" s="1">
        <v>100</v>
      </c>
      <c r="AL43" s="199"/>
      <c r="AP43" s="199"/>
    </row>
    <row r="44" spans="1:48" hidden="1" x14ac:dyDescent="0.25">
      <c r="A44" s="196">
        <v>44892</v>
      </c>
      <c r="B44" s="210">
        <v>9709988</v>
      </c>
      <c r="C44" s="210">
        <v>386179</v>
      </c>
      <c r="D44" s="210">
        <v>10096167</v>
      </c>
      <c r="E44" s="210">
        <v>96.17</v>
      </c>
      <c r="F44" s="71">
        <f t="shared" si="6"/>
        <v>10.096166999999999</v>
      </c>
      <c r="H44" s="196">
        <v>44892</v>
      </c>
      <c r="I44" s="210">
        <v>3741766</v>
      </c>
      <c r="J44" s="210">
        <v>12716</v>
      </c>
      <c r="K44" s="210">
        <v>3754482</v>
      </c>
      <c r="L44" s="210">
        <v>99.66</v>
      </c>
      <c r="M44" s="48">
        <f t="shared" si="1"/>
        <v>3.7544819999999999</v>
      </c>
      <c r="O44" s="196">
        <v>44892</v>
      </c>
      <c r="P44" s="210">
        <v>54625599</v>
      </c>
      <c r="Q44" s="210">
        <v>21248577</v>
      </c>
      <c r="R44" s="210">
        <v>75874176</v>
      </c>
      <c r="S44" s="210">
        <v>71.989999999999995</v>
      </c>
      <c r="T44" s="71">
        <f t="shared" si="2"/>
        <v>75.874176000000006</v>
      </c>
      <c r="W44" s="200">
        <v>44892</v>
      </c>
      <c r="X44" s="1">
        <v>6504</v>
      </c>
      <c r="Y44" s="1">
        <v>10000</v>
      </c>
      <c r="Z44" s="1">
        <f t="shared" si="3"/>
        <v>65.040000000000006</v>
      </c>
      <c r="AB44" s="200">
        <v>44892</v>
      </c>
      <c r="AC44" s="1">
        <v>1019</v>
      </c>
      <c r="AD44" s="1">
        <v>10000</v>
      </c>
      <c r="AE44" s="1">
        <f t="shared" si="4"/>
        <v>10.19</v>
      </c>
      <c r="AG44" s="200">
        <v>44892</v>
      </c>
      <c r="AH44" s="1">
        <v>10000</v>
      </c>
      <c r="AI44" s="1">
        <v>10000</v>
      </c>
      <c r="AJ44" s="1">
        <v>100</v>
      </c>
      <c r="AL44" s="199">
        <v>44874</v>
      </c>
      <c r="AM44" s="202" t="s">
        <v>158</v>
      </c>
      <c r="AN44">
        <v>227668</v>
      </c>
      <c r="AP44" s="199">
        <v>44874</v>
      </c>
      <c r="AQ44" s="202" t="s">
        <v>158</v>
      </c>
      <c r="AR44">
        <v>22706206</v>
      </c>
    </row>
    <row r="45" spans="1:48" hidden="1" x14ac:dyDescent="0.25">
      <c r="A45" s="196">
        <v>44893</v>
      </c>
      <c r="B45" s="203">
        <v>9336333</v>
      </c>
      <c r="C45" s="203">
        <v>311542</v>
      </c>
      <c r="D45" s="203">
        <v>9647875</v>
      </c>
      <c r="E45" s="203">
        <v>96.77</v>
      </c>
      <c r="F45" s="71">
        <f t="shared" si="6"/>
        <v>9.6478750000000009</v>
      </c>
      <c r="H45" s="196">
        <v>44893</v>
      </c>
      <c r="I45" s="204">
        <v>3626126</v>
      </c>
      <c r="J45" s="204">
        <v>214643</v>
      </c>
      <c r="K45" s="204">
        <v>3840769</v>
      </c>
      <c r="L45" s="204">
        <v>94.41</v>
      </c>
      <c r="M45" s="71">
        <f t="shared" si="1"/>
        <v>3.8407689999999999</v>
      </c>
      <c r="O45" s="196">
        <v>44893</v>
      </c>
      <c r="P45" s="204">
        <v>69865813</v>
      </c>
      <c r="Q45" s="204">
        <v>28337435</v>
      </c>
      <c r="R45" s="204">
        <v>98203248</v>
      </c>
      <c r="S45" s="204">
        <v>71.14</v>
      </c>
      <c r="T45" s="71">
        <f t="shared" si="2"/>
        <v>98.203248000000002</v>
      </c>
      <c r="W45" s="200">
        <v>44893</v>
      </c>
      <c r="X45" s="1">
        <v>9561</v>
      </c>
      <c r="Y45" s="1">
        <v>10000</v>
      </c>
      <c r="Z45" s="1">
        <f t="shared" si="3"/>
        <v>95.61</v>
      </c>
      <c r="AB45" s="200">
        <v>44893</v>
      </c>
      <c r="AC45" s="1">
        <v>1113</v>
      </c>
      <c r="AD45" s="1">
        <v>10000</v>
      </c>
      <c r="AE45" s="1">
        <f t="shared" si="4"/>
        <v>11.13</v>
      </c>
      <c r="AG45" s="200">
        <v>44893</v>
      </c>
      <c r="AH45" s="1">
        <v>10000</v>
      </c>
      <c r="AI45" s="1">
        <v>10000</v>
      </c>
      <c r="AJ45" s="1">
        <v>100</v>
      </c>
      <c r="AL45" s="199">
        <v>44874</v>
      </c>
      <c r="AM45" s="202" t="s">
        <v>171</v>
      </c>
      <c r="AN45">
        <v>26736</v>
      </c>
      <c r="AP45" s="199">
        <v>44874</v>
      </c>
      <c r="AQ45" s="202" t="s">
        <v>162</v>
      </c>
      <c r="AR45">
        <v>3947980</v>
      </c>
    </row>
    <row r="46" spans="1:48" hidden="1" x14ac:dyDescent="0.25">
      <c r="A46" s="196">
        <v>44894</v>
      </c>
      <c r="B46" s="203">
        <v>9312523</v>
      </c>
      <c r="C46" s="203">
        <v>363688</v>
      </c>
      <c r="D46" s="203">
        <v>9676211</v>
      </c>
      <c r="E46" s="203">
        <v>96.24</v>
      </c>
      <c r="F46" s="71">
        <f t="shared" si="6"/>
        <v>9.6762110000000003</v>
      </c>
      <c r="H46" s="196">
        <v>44894</v>
      </c>
      <c r="I46" s="204">
        <v>4834304</v>
      </c>
      <c r="J46" s="204">
        <v>1487</v>
      </c>
      <c r="K46" s="204">
        <v>4835791</v>
      </c>
      <c r="L46" s="204">
        <v>99.97</v>
      </c>
      <c r="M46" s="71">
        <f t="shared" si="1"/>
        <v>4.8357910000000004</v>
      </c>
      <c r="O46" s="196">
        <v>44894</v>
      </c>
      <c r="P46" s="204">
        <v>70582002</v>
      </c>
      <c r="Q46" s="204">
        <v>29786109</v>
      </c>
      <c r="R46" s="204">
        <v>100368111</v>
      </c>
      <c r="S46" s="204">
        <v>70.319999999999993</v>
      </c>
      <c r="T46" s="71">
        <f t="shared" si="2"/>
        <v>100.368111</v>
      </c>
      <c r="W46" s="200">
        <v>44894</v>
      </c>
      <c r="X46" s="1">
        <v>9900</v>
      </c>
      <c r="Y46" s="1">
        <v>10000</v>
      </c>
      <c r="Z46" s="1">
        <f t="shared" si="3"/>
        <v>99</v>
      </c>
      <c r="AB46" s="200">
        <v>44894</v>
      </c>
      <c r="AC46" s="1">
        <v>1462</v>
      </c>
      <c r="AD46" s="1">
        <v>10000</v>
      </c>
      <c r="AE46" s="1">
        <f t="shared" si="4"/>
        <v>14.62</v>
      </c>
      <c r="AG46" s="200">
        <v>44894</v>
      </c>
      <c r="AH46" s="1">
        <v>10000</v>
      </c>
      <c r="AI46" s="1">
        <v>10000</v>
      </c>
      <c r="AJ46" s="1">
        <v>100</v>
      </c>
      <c r="AL46" s="199">
        <v>44874</v>
      </c>
      <c r="AM46" t="s">
        <v>170</v>
      </c>
      <c r="AN46">
        <v>23644</v>
      </c>
      <c r="AP46" s="199">
        <v>44874</v>
      </c>
      <c r="AQ46" s="202" t="s">
        <v>163</v>
      </c>
      <c r="AR46">
        <v>1093141</v>
      </c>
    </row>
    <row r="47" spans="1:48" hidden="1" x14ac:dyDescent="0.25">
      <c r="A47" s="196">
        <v>44895</v>
      </c>
      <c r="B47" s="203">
        <v>9316521</v>
      </c>
      <c r="C47" s="203">
        <v>392620</v>
      </c>
      <c r="D47" s="203">
        <v>9709141</v>
      </c>
      <c r="E47" s="203">
        <v>95.96</v>
      </c>
      <c r="F47" s="71">
        <f t="shared" si="6"/>
        <v>9.7091410000000007</v>
      </c>
      <c r="H47" s="196">
        <v>44895</v>
      </c>
      <c r="I47" s="204">
        <v>5182514</v>
      </c>
      <c r="J47" s="204">
        <v>120926</v>
      </c>
      <c r="K47" s="204">
        <v>5303440</v>
      </c>
      <c r="L47" s="204">
        <v>97.72</v>
      </c>
      <c r="M47" s="71">
        <f t="shared" si="1"/>
        <v>5.3034400000000002</v>
      </c>
      <c r="O47" s="196">
        <v>44895</v>
      </c>
      <c r="P47" s="204">
        <v>76436525</v>
      </c>
      <c r="Q47" s="204">
        <v>30711635</v>
      </c>
      <c r="R47" s="204">
        <v>107148160</v>
      </c>
      <c r="S47" s="204">
        <v>71.34</v>
      </c>
      <c r="T47" s="71">
        <f t="shared" si="2"/>
        <v>107.14816</v>
      </c>
      <c r="W47" s="200">
        <v>44895</v>
      </c>
      <c r="X47" s="1">
        <v>9800</v>
      </c>
      <c r="Y47" s="1">
        <v>10000</v>
      </c>
      <c r="Z47" s="1">
        <f t="shared" si="3"/>
        <v>98</v>
      </c>
      <c r="AB47" s="200">
        <v>44895</v>
      </c>
      <c r="AC47" s="1">
        <v>1174</v>
      </c>
      <c r="AD47" s="1">
        <v>10000</v>
      </c>
      <c r="AE47" s="1">
        <f t="shared" si="4"/>
        <v>11.74</v>
      </c>
      <c r="AG47" s="200">
        <v>44895</v>
      </c>
      <c r="AH47" s="1">
        <v>10000</v>
      </c>
      <c r="AI47" s="1">
        <v>10000</v>
      </c>
      <c r="AJ47" s="1">
        <v>100</v>
      </c>
      <c r="AL47" s="199">
        <v>44874</v>
      </c>
      <c r="AM47" s="202" t="s">
        <v>163</v>
      </c>
      <c r="AN47">
        <v>22409</v>
      </c>
      <c r="AP47" s="199">
        <v>44874</v>
      </c>
      <c r="AQ47" t="s">
        <v>169</v>
      </c>
      <c r="AR47">
        <v>526602</v>
      </c>
    </row>
    <row r="48" spans="1:48" hidden="1" x14ac:dyDescent="0.25">
      <c r="A48" s="196">
        <v>44896</v>
      </c>
      <c r="B48" s="203">
        <v>9219725</v>
      </c>
      <c r="C48" s="203">
        <v>378381</v>
      </c>
      <c r="D48" s="203">
        <v>9598106</v>
      </c>
      <c r="E48" s="203">
        <v>96.06</v>
      </c>
      <c r="F48" s="71">
        <f t="shared" si="6"/>
        <v>9.5981059999999996</v>
      </c>
      <c r="H48" s="196">
        <v>44896</v>
      </c>
      <c r="I48" s="204">
        <v>3967997</v>
      </c>
      <c r="J48" s="204">
        <v>92699</v>
      </c>
      <c r="K48" s="204">
        <v>4060696</v>
      </c>
      <c r="L48" s="204">
        <v>97.72</v>
      </c>
      <c r="M48" s="71">
        <f t="shared" si="1"/>
        <v>4.0606960000000001</v>
      </c>
      <c r="O48" s="196">
        <v>44896</v>
      </c>
      <c r="P48" s="204">
        <v>81852393</v>
      </c>
      <c r="Q48" s="204">
        <v>34262879</v>
      </c>
      <c r="R48" s="204">
        <v>116115272</v>
      </c>
      <c r="S48" s="204">
        <v>70.489999999999995</v>
      </c>
      <c r="T48" s="71">
        <f t="shared" si="2"/>
        <v>116.115272</v>
      </c>
      <c r="W48" s="200">
        <v>44896</v>
      </c>
      <c r="X48" s="1">
        <v>9528</v>
      </c>
      <c r="Y48" s="1">
        <v>10000</v>
      </c>
      <c r="Z48" s="1">
        <f t="shared" si="3"/>
        <v>95.28</v>
      </c>
      <c r="AB48" s="200">
        <v>44896</v>
      </c>
      <c r="AC48" s="1">
        <v>1233</v>
      </c>
      <c r="AD48" s="1">
        <v>10000</v>
      </c>
      <c r="AE48" s="1">
        <f t="shared" si="4"/>
        <v>12.33</v>
      </c>
      <c r="AG48" s="200">
        <v>44896</v>
      </c>
      <c r="AH48" s="1">
        <v>10000</v>
      </c>
      <c r="AI48" s="1">
        <v>10000</v>
      </c>
      <c r="AJ48" s="1">
        <v>100</v>
      </c>
      <c r="AL48" s="199">
        <v>44874</v>
      </c>
      <c r="AM48" t="s">
        <v>172</v>
      </c>
      <c r="AN48">
        <v>9910</v>
      </c>
      <c r="AP48" s="199">
        <v>44874</v>
      </c>
      <c r="AQ48" t="s">
        <v>173</v>
      </c>
      <c r="AR48">
        <v>510611</v>
      </c>
    </row>
    <row r="49" spans="1:48" hidden="1" x14ac:dyDescent="0.25">
      <c r="A49" s="196">
        <v>44897</v>
      </c>
      <c r="B49" s="203">
        <v>4396726</v>
      </c>
      <c r="C49" s="203">
        <v>237498</v>
      </c>
      <c r="D49" s="203">
        <v>4634224</v>
      </c>
      <c r="E49" s="203">
        <v>94.88</v>
      </c>
      <c r="F49" s="71">
        <f t="shared" si="6"/>
        <v>4.6342239999999997</v>
      </c>
      <c r="H49" s="196">
        <v>44897</v>
      </c>
      <c r="I49" s="204">
        <v>2757959</v>
      </c>
      <c r="J49" s="204">
        <v>78988</v>
      </c>
      <c r="K49" s="204">
        <v>2836947</v>
      </c>
      <c r="L49" s="204">
        <v>97.22</v>
      </c>
      <c r="M49" s="71">
        <f t="shared" si="1"/>
        <v>2.8369469999999999</v>
      </c>
      <c r="O49" s="196">
        <v>44897</v>
      </c>
      <c r="P49" s="204">
        <v>55095814</v>
      </c>
      <c r="Q49" s="204">
        <v>24687994</v>
      </c>
      <c r="R49" s="204">
        <v>79783808</v>
      </c>
      <c r="S49" s="204">
        <v>69.06</v>
      </c>
      <c r="T49" s="71">
        <f t="shared" si="2"/>
        <v>79.783807999999993</v>
      </c>
      <c r="W49" s="200">
        <v>44897</v>
      </c>
      <c r="X49" s="1">
        <v>9501</v>
      </c>
      <c r="Y49" s="1">
        <v>10000</v>
      </c>
      <c r="Z49" s="1">
        <f t="shared" si="3"/>
        <v>95.01</v>
      </c>
      <c r="AB49" s="200">
        <v>44897</v>
      </c>
      <c r="AC49" s="1">
        <v>1192</v>
      </c>
      <c r="AD49" s="1">
        <v>10000</v>
      </c>
      <c r="AE49" s="1">
        <f t="shared" si="4"/>
        <v>11.92</v>
      </c>
      <c r="AG49" s="200">
        <v>44897</v>
      </c>
      <c r="AH49" s="1">
        <v>10000</v>
      </c>
      <c r="AI49" s="1">
        <v>10000</v>
      </c>
      <c r="AJ49" s="1">
        <v>100</v>
      </c>
      <c r="AL49" s="199"/>
      <c r="AP49" s="199"/>
    </row>
    <row r="50" spans="1:48" hidden="1" x14ac:dyDescent="0.25">
      <c r="A50" s="196">
        <v>44898</v>
      </c>
      <c r="B50" s="203">
        <v>4238345</v>
      </c>
      <c r="C50" s="203">
        <v>53949</v>
      </c>
      <c r="D50" s="203">
        <v>4292294</v>
      </c>
      <c r="E50" s="203">
        <v>98.74</v>
      </c>
      <c r="F50" s="211">
        <f t="shared" si="6"/>
        <v>4.2922940000000001</v>
      </c>
      <c r="H50" s="196">
        <v>44898</v>
      </c>
      <c r="I50" s="204">
        <v>2946857</v>
      </c>
      <c r="J50" s="204">
        <v>80186</v>
      </c>
      <c r="K50" s="204">
        <v>3027043</v>
      </c>
      <c r="L50" s="204">
        <v>97.35</v>
      </c>
      <c r="M50" s="212">
        <f t="shared" si="1"/>
        <v>3.0270429999999999</v>
      </c>
      <c r="O50" s="196">
        <v>44898</v>
      </c>
      <c r="P50" s="204">
        <v>45805948</v>
      </c>
      <c r="Q50" s="204">
        <v>28532955</v>
      </c>
      <c r="R50" s="204">
        <v>74338903</v>
      </c>
      <c r="S50" s="204">
        <v>61.61</v>
      </c>
      <c r="T50" s="71">
        <f t="shared" si="2"/>
        <v>74.338903000000002</v>
      </c>
      <c r="W50" s="200">
        <v>44898</v>
      </c>
      <c r="X50" s="1">
        <v>7116</v>
      </c>
      <c r="Y50" s="1">
        <v>10000</v>
      </c>
      <c r="Z50" s="1">
        <f t="shared" si="3"/>
        <v>71.16</v>
      </c>
      <c r="AB50" s="200">
        <v>44898</v>
      </c>
      <c r="AC50" s="1">
        <v>1032</v>
      </c>
      <c r="AD50" s="1">
        <v>10000</v>
      </c>
      <c r="AE50" s="1">
        <f t="shared" si="4"/>
        <v>10.32</v>
      </c>
      <c r="AG50" s="200">
        <v>44898</v>
      </c>
      <c r="AH50" s="1">
        <v>10000</v>
      </c>
      <c r="AI50" s="1">
        <v>10000</v>
      </c>
      <c r="AJ50" s="1">
        <v>100</v>
      </c>
      <c r="AL50" s="199">
        <v>44875</v>
      </c>
      <c r="AM50" t="s">
        <v>159</v>
      </c>
      <c r="AN50">
        <v>59124</v>
      </c>
      <c r="AP50" s="199">
        <v>44875</v>
      </c>
      <c r="AQ50" t="s">
        <v>167</v>
      </c>
      <c r="AR50">
        <v>21116287</v>
      </c>
      <c r="AT50" s="199">
        <v>44875</v>
      </c>
      <c r="AU50" t="s">
        <v>155</v>
      </c>
      <c r="AV50">
        <v>186162</v>
      </c>
    </row>
    <row r="51" spans="1:48" hidden="1" x14ac:dyDescent="0.25">
      <c r="A51" s="196">
        <v>44899</v>
      </c>
      <c r="B51" s="203">
        <v>3766546</v>
      </c>
      <c r="C51" s="203">
        <v>301599</v>
      </c>
      <c r="D51" s="203">
        <v>4068145</v>
      </c>
      <c r="E51" s="203">
        <v>92.59</v>
      </c>
      <c r="F51" s="211">
        <f t="shared" si="6"/>
        <v>4.0681450000000003</v>
      </c>
      <c r="H51" s="196">
        <v>44899</v>
      </c>
      <c r="I51" s="204">
        <v>2872174</v>
      </c>
      <c r="J51" s="204">
        <v>79945</v>
      </c>
      <c r="K51" s="204">
        <v>2952119</v>
      </c>
      <c r="L51" s="204">
        <v>97.29</v>
      </c>
      <c r="M51" s="212">
        <f t="shared" si="1"/>
        <v>2.9521190000000002</v>
      </c>
      <c r="O51" s="196">
        <v>44899</v>
      </c>
      <c r="P51" s="204">
        <v>33742860</v>
      </c>
      <c r="Q51" s="204">
        <v>20264855</v>
      </c>
      <c r="R51" s="204">
        <v>54007715</v>
      </c>
      <c r="S51" s="204">
        <v>62.48</v>
      </c>
      <c r="T51" s="71">
        <f t="shared" si="2"/>
        <v>54.007714999999997</v>
      </c>
      <c r="W51" s="200">
        <v>44899</v>
      </c>
      <c r="X51" s="1">
        <v>6514</v>
      </c>
      <c r="Y51" s="1">
        <v>10000</v>
      </c>
      <c r="Z51" s="1">
        <f t="shared" si="3"/>
        <v>65.14</v>
      </c>
      <c r="AB51" s="200">
        <v>44899</v>
      </c>
      <c r="AC51" s="1">
        <v>1036</v>
      </c>
      <c r="AD51" s="1">
        <v>10000</v>
      </c>
      <c r="AE51" s="1">
        <f t="shared" si="4"/>
        <v>10.36</v>
      </c>
      <c r="AG51" s="200">
        <v>44899</v>
      </c>
      <c r="AH51" s="1">
        <v>7033</v>
      </c>
      <c r="AI51" s="1">
        <v>10000</v>
      </c>
      <c r="AJ51" s="1">
        <v>100</v>
      </c>
      <c r="AL51" s="199">
        <v>44875</v>
      </c>
      <c r="AM51" t="s">
        <v>174</v>
      </c>
      <c r="AN51">
        <v>23338</v>
      </c>
      <c r="AP51" s="199">
        <v>44875</v>
      </c>
      <c r="AQ51" t="s">
        <v>175</v>
      </c>
      <c r="AR51">
        <v>4409491</v>
      </c>
    </row>
    <row r="52" spans="1:48" hidden="1" x14ac:dyDescent="0.25">
      <c r="A52" s="196">
        <v>44900</v>
      </c>
      <c r="B52" s="203">
        <v>8720254</v>
      </c>
      <c r="C52" s="203">
        <v>254719</v>
      </c>
      <c r="D52" s="203">
        <v>8974973</v>
      </c>
      <c r="E52" s="203">
        <v>97.16</v>
      </c>
      <c r="F52" s="211">
        <f t="shared" si="6"/>
        <v>8.9749730000000003</v>
      </c>
      <c r="H52" s="196">
        <v>44900</v>
      </c>
      <c r="I52" s="204">
        <v>2843690</v>
      </c>
      <c r="J52" s="204">
        <v>77460</v>
      </c>
      <c r="K52" s="204">
        <v>2921150</v>
      </c>
      <c r="L52" s="204">
        <v>97.35</v>
      </c>
      <c r="M52" s="212">
        <f t="shared" si="1"/>
        <v>2.9211499999999999</v>
      </c>
      <c r="O52" s="196">
        <v>44900</v>
      </c>
      <c r="P52" s="204">
        <v>68257980</v>
      </c>
      <c r="Q52" s="204">
        <v>35098242</v>
      </c>
      <c r="R52" s="204">
        <v>103356222</v>
      </c>
      <c r="S52" s="204">
        <v>66.040000000000006</v>
      </c>
      <c r="T52" s="71">
        <f t="shared" si="2"/>
        <v>103.356222</v>
      </c>
      <c r="W52" s="200">
        <v>44900</v>
      </c>
      <c r="X52" s="1">
        <v>9855</v>
      </c>
      <c r="Y52" s="1">
        <v>10000</v>
      </c>
      <c r="Z52" s="1">
        <f t="shared" si="3"/>
        <v>98.55</v>
      </c>
      <c r="AB52" s="200">
        <v>44900</v>
      </c>
      <c r="AC52" s="1">
        <v>1440</v>
      </c>
      <c r="AD52" s="1">
        <v>10000</v>
      </c>
      <c r="AE52" s="1">
        <f t="shared" si="4"/>
        <v>14.4</v>
      </c>
      <c r="AG52" s="200">
        <v>44900</v>
      </c>
      <c r="AH52" s="1">
        <v>10000</v>
      </c>
      <c r="AI52" s="1">
        <v>10000</v>
      </c>
      <c r="AJ52" s="1">
        <v>100</v>
      </c>
      <c r="AL52" s="199">
        <v>44875</v>
      </c>
      <c r="AM52" t="s">
        <v>176</v>
      </c>
      <c r="AN52">
        <v>17917</v>
      </c>
      <c r="AP52" s="199">
        <v>44875</v>
      </c>
      <c r="AQ52" t="s">
        <v>177</v>
      </c>
      <c r="AR52">
        <v>1150574</v>
      </c>
    </row>
    <row r="53" spans="1:48" hidden="1" x14ac:dyDescent="0.25">
      <c r="A53" s="196">
        <v>44901</v>
      </c>
      <c r="B53">
        <v>8246568</v>
      </c>
      <c r="C53">
        <v>299011</v>
      </c>
      <c r="D53">
        <v>8545579</v>
      </c>
      <c r="E53">
        <v>96.5</v>
      </c>
      <c r="F53" s="211">
        <f t="shared" si="6"/>
        <v>8.545579</v>
      </c>
      <c r="H53" s="196">
        <v>44901</v>
      </c>
      <c r="I53" s="48">
        <v>2533098</v>
      </c>
      <c r="J53" s="204">
        <v>135</v>
      </c>
      <c r="K53" s="48">
        <v>2533233</v>
      </c>
      <c r="L53" s="48">
        <v>99.99</v>
      </c>
      <c r="M53" s="212">
        <f t="shared" si="1"/>
        <v>2.5332330000000001</v>
      </c>
      <c r="O53" s="196">
        <v>44901</v>
      </c>
      <c r="P53" s="48">
        <v>71480468</v>
      </c>
      <c r="Q53" s="48">
        <v>28962368</v>
      </c>
      <c r="R53" s="48">
        <v>100442836</v>
      </c>
      <c r="S53" s="48">
        <v>71.16</v>
      </c>
      <c r="T53" s="71">
        <f t="shared" si="2"/>
        <v>100.442836</v>
      </c>
      <c r="W53" s="200">
        <v>44901</v>
      </c>
      <c r="X53" s="1">
        <v>8388</v>
      </c>
      <c r="Y53" s="1">
        <v>10000</v>
      </c>
      <c r="Z53" s="1">
        <f t="shared" si="3"/>
        <v>83.88</v>
      </c>
      <c r="AB53" s="200">
        <v>44901</v>
      </c>
      <c r="AC53" s="1">
        <v>1229</v>
      </c>
      <c r="AD53" s="1">
        <v>10000</v>
      </c>
      <c r="AE53" s="1">
        <f t="shared" si="4"/>
        <v>12.29</v>
      </c>
      <c r="AG53" s="200">
        <v>44901</v>
      </c>
      <c r="AH53" s="1">
        <v>8984</v>
      </c>
      <c r="AI53" s="1">
        <v>10000</v>
      </c>
      <c r="AJ53" s="1">
        <v>100</v>
      </c>
      <c r="AL53" s="199">
        <v>44875</v>
      </c>
      <c r="AM53" s="202" t="s">
        <v>164</v>
      </c>
      <c r="AN53">
        <v>5879</v>
      </c>
      <c r="AP53" s="199">
        <v>44875</v>
      </c>
      <c r="AQ53" t="s">
        <v>169</v>
      </c>
      <c r="AR53">
        <v>495563</v>
      </c>
    </row>
    <row r="54" spans="1:48" hidden="1" x14ac:dyDescent="0.25">
      <c r="A54" s="196">
        <v>44902</v>
      </c>
      <c r="B54">
        <v>9299057</v>
      </c>
      <c r="C54">
        <v>290130</v>
      </c>
      <c r="D54">
        <v>9589187</v>
      </c>
      <c r="E54">
        <v>96.97</v>
      </c>
      <c r="F54" s="211">
        <f t="shared" si="6"/>
        <v>9.5891870000000008</v>
      </c>
      <c r="H54" s="196">
        <v>44902</v>
      </c>
      <c r="I54" s="48">
        <v>2654932</v>
      </c>
      <c r="J54" s="48">
        <v>206322</v>
      </c>
      <c r="K54" s="48">
        <v>2861254</v>
      </c>
      <c r="L54" s="48">
        <v>92.78</v>
      </c>
      <c r="M54" s="212">
        <f t="shared" si="1"/>
        <v>2.8612540000000002</v>
      </c>
      <c r="O54" s="196">
        <v>44902</v>
      </c>
      <c r="P54" s="48">
        <v>74876131</v>
      </c>
      <c r="Q54" s="48">
        <v>29783071</v>
      </c>
      <c r="R54" s="48">
        <v>104659202</v>
      </c>
      <c r="S54" s="48">
        <v>71.540000000000006</v>
      </c>
      <c r="T54" s="71">
        <f t="shared" si="2"/>
        <v>104.65920199999999</v>
      </c>
      <c r="W54" s="200">
        <v>44902</v>
      </c>
      <c r="X54" s="1">
        <v>9333</v>
      </c>
      <c r="Y54" s="1">
        <v>10000</v>
      </c>
      <c r="Z54" s="1">
        <f t="shared" si="3"/>
        <v>93.33</v>
      </c>
      <c r="AB54" s="200">
        <v>44902</v>
      </c>
      <c r="AC54" s="1">
        <v>1466</v>
      </c>
      <c r="AD54" s="1">
        <v>10000</v>
      </c>
      <c r="AE54" s="1">
        <f t="shared" si="4"/>
        <v>14.66</v>
      </c>
      <c r="AG54" s="200">
        <v>44902</v>
      </c>
      <c r="AH54" s="1">
        <v>10000</v>
      </c>
      <c r="AI54" s="1">
        <v>10000</v>
      </c>
      <c r="AJ54" s="1">
        <v>100</v>
      </c>
      <c r="AL54" s="199">
        <v>44875</v>
      </c>
      <c r="AM54" t="s">
        <v>178</v>
      </c>
      <c r="AN54">
        <v>5788</v>
      </c>
      <c r="AP54" s="199">
        <v>44875</v>
      </c>
      <c r="AQ54" t="s">
        <v>179</v>
      </c>
      <c r="AR54">
        <v>334479</v>
      </c>
    </row>
    <row r="55" spans="1:48" hidden="1" x14ac:dyDescent="0.25">
      <c r="A55" s="196">
        <v>44903</v>
      </c>
      <c r="B55" s="203">
        <v>9515542</v>
      </c>
      <c r="C55" s="203">
        <v>360722</v>
      </c>
      <c r="D55" s="203">
        <v>9876264</v>
      </c>
      <c r="E55" s="203">
        <v>96.35</v>
      </c>
      <c r="F55" s="211">
        <f t="shared" si="6"/>
        <v>9.8762640000000008</v>
      </c>
      <c r="H55" s="196">
        <v>44903</v>
      </c>
      <c r="I55" s="204">
        <v>3990928</v>
      </c>
      <c r="J55" s="204">
        <v>3284</v>
      </c>
      <c r="K55" s="204">
        <v>3994212</v>
      </c>
      <c r="L55" s="204">
        <v>99.92</v>
      </c>
      <c r="M55" s="212">
        <f t="shared" si="1"/>
        <v>3.9942120000000001</v>
      </c>
      <c r="O55" s="196">
        <v>44903</v>
      </c>
      <c r="P55" s="204">
        <v>77248369</v>
      </c>
      <c r="Q55" s="204">
        <v>30360442</v>
      </c>
      <c r="R55" s="204">
        <v>107608811</v>
      </c>
      <c r="S55" s="204">
        <v>71.790000000000006</v>
      </c>
      <c r="T55" s="71">
        <f t="shared" si="2"/>
        <v>107.608811</v>
      </c>
      <c r="W55" s="200">
        <v>44903</v>
      </c>
      <c r="X55" s="1">
        <v>7296</v>
      </c>
      <c r="Y55" s="1">
        <v>10000</v>
      </c>
      <c r="Z55" s="1">
        <f t="shared" si="3"/>
        <v>72.959999999999994</v>
      </c>
      <c r="AB55" s="200">
        <v>44903</v>
      </c>
      <c r="AC55" s="1">
        <v>1207</v>
      </c>
      <c r="AD55" s="1">
        <v>10000</v>
      </c>
      <c r="AE55" s="1">
        <f t="shared" si="4"/>
        <v>12.07</v>
      </c>
      <c r="AG55" s="200">
        <v>44903</v>
      </c>
      <c r="AH55" s="1">
        <v>7877</v>
      </c>
      <c r="AI55" s="1">
        <v>10000</v>
      </c>
      <c r="AJ55" s="1">
        <v>100</v>
      </c>
    </row>
    <row r="56" spans="1:48" hidden="1" x14ac:dyDescent="0.25">
      <c r="A56" s="196">
        <v>44904</v>
      </c>
      <c r="B56" s="203">
        <v>9419568</v>
      </c>
      <c r="C56" s="203">
        <v>379519</v>
      </c>
      <c r="D56" s="203">
        <v>9799087</v>
      </c>
      <c r="E56" s="203">
        <v>96.13</v>
      </c>
      <c r="F56" s="211">
        <f t="shared" si="6"/>
        <v>9.7990870000000001</v>
      </c>
      <c r="H56" s="196">
        <v>44904</v>
      </c>
      <c r="I56" s="204">
        <v>4054148</v>
      </c>
      <c r="J56" s="204">
        <v>32947</v>
      </c>
      <c r="K56" s="204">
        <v>4087095</v>
      </c>
      <c r="L56" s="204">
        <v>99.19</v>
      </c>
      <c r="M56" s="212">
        <f t="shared" si="1"/>
        <v>4.0870949999999997</v>
      </c>
      <c r="O56" s="196">
        <v>44904</v>
      </c>
      <c r="P56" s="204">
        <v>75337179</v>
      </c>
      <c r="Q56" s="204">
        <v>28809887</v>
      </c>
      <c r="R56" s="204">
        <v>104147066</v>
      </c>
      <c r="S56" s="204">
        <v>72.34</v>
      </c>
      <c r="T56" s="71">
        <f t="shared" si="2"/>
        <v>104.147066</v>
      </c>
      <c r="W56" s="200">
        <v>44904</v>
      </c>
      <c r="X56" s="1">
        <v>9449</v>
      </c>
      <c r="Y56" s="1">
        <v>10000</v>
      </c>
      <c r="Z56" s="1">
        <f t="shared" si="3"/>
        <v>94.49</v>
      </c>
      <c r="AB56" s="200">
        <v>44904</v>
      </c>
      <c r="AC56" s="1">
        <v>1551</v>
      </c>
      <c r="AD56" s="1">
        <v>10000</v>
      </c>
      <c r="AE56" s="1">
        <f t="shared" si="4"/>
        <v>15.51</v>
      </c>
      <c r="AG56" s="200">
        <v>44904</v>
      </c>
      <c r="AH56" s="1">
        <v>10000</v>
      </c>
      <c r="AI56" s="1">
        <v>10000</v>
      </c>
      <c r="AJ56" s="1">
        <v>100</v>
      </c>
      <c r="AL56" s="199">
        <v>44876</v>
      </c>
      <c r="AM56" t="s">
        <v>159</v>
      </c>
      <c r="AN56">
        <v>223183</v>
      </c>
      <c r="AP56" s="199">
        <v>44876</v>
      </c>
      <c r="AQ56" t="s">
        <v>159</v>
      </c>
      <c r="AR56">
        <v>21127221</v>
      </c>
      <c r="AT56" s="199">
        <v>44876</v>
      </c>
      <c r="AU56" t="s">
        <v>155</v>
      </c>
      <c r="AV56">
        <v>6478</v>
      </c>
    </row>
    <row r="57" spans="1:48" hidden="1" x14ac:dyDescent="0.25">
      <c r="A57" s="196">
        <v>44905</v>
      </c>
      <c r="B57" s="203">
        <v>9755924</v>
      </c>
      <c r="C57" s="203">
        <v>400185</v>
      </c>
      <c r="D57" s="203">
        <v>10156109</v>
      </c>
      <c r="E57" s="203">
        <v>96.06</v>
      </c>
      <c r="F57" s="211">
        <f t="shared" si="6"/>
        <v>10.156109000000001</v>
      </c>
      <c r="H57" s="196">
        <v>44905</v>
      </c>
      <c r="I57" s="204">
        <v>3932488</v>
      </c>
      <c r="J57" s="204">
        <v>1394</v>
      </c>
      <c r="K57" s="204">
        <v>3933882</v>
      </c>
      <c r="L57" s="204">
        <v>99.96</v>
      </c>
      <c r="M57" s="212">
        <f t="shared" si="1"/>
        <v>3.9338820000000001</v>
      </c>
      <c r="O57" s="196">
        <v>44905</v>
      </c>
      <c r="P57" s="204">
        <v>73322452</v>
      </c>
      <c r="Q57" s="204">
        <v>29342921</v>
      </c>
      <c r="R57" s="204">
        <v>102665373</v>
      </c>
      <c r="S57" s="204">
        <v>71.42</v>
      </c>
      <c r="T57" s="71">
        <f t="shared" si="2"/>
        <v>102.665373</v>
      </c>
      <c r="W57" s="200">
        <v>44905</v>
      </c>
      <c r="X57" s="1">
        <v>6867</v>
      </c>
      <c r="Y57" s="1">
        <v>10000</v>
      </c>
      <c r="Z57" s="1">
        <f t="shared" si="3"/>
        <v>68.67</v>
      </c>
      <c r="AB57" s="200">
        <v>44905</v>
      </c>
      <c r="AC57" s="1">
        <v>1114</v>
      </c>
      <c r="AD57" s="1">
        <v>10000</v>
      </c>
      <c r="AE57" s="1">
        <f t="shared" si="4"/>
        <v>11.14</v>
      </c>
      <c r="AG57" s="200">
        <v>44905</v>
      </c>
      <c r="AH57" s="1">
        <v>10000</v>
      </c>
      <c r="AI57" s="1">
        <v>10000</v>
      </c>
      <c r="AJ57" s="1">
        <v>100</v>
      </c>
      <c r="AL57" s="199">
        <v>44876</v>
      </c>
      <c r="AM57" s="213" t="s">
        <v>148</v>
      </c>
      <c r="AN57">
        <v>27072</v>
      </c>
      <c r="AP57" s="199">
        <v>44876</v>
      </c>
      <c r="AQ57" t="s">
        <v>175</v>
      </c>
      <c r="AR57">
        <v>4212716</v>
      </c>
    </row>
    <row r="58" spans="1:48" hidden="1" x14ac:dyDescent="0.25">
      <c r="A58" s="196">
        <v>44906</v>
      </c>
      <c r="B58" s="203">
        <v>9600769</v>
      </c>
      <c r="C58" s="203">
        <v>382481</v>
      </c>
      <c r="D58" s="203">
        <v>9983250</v>
      </c>
      <c r="E58" s="203">
        <v>96.17</v>
      </c>
      <c r="F58" s="211">
        <f t="shared" si="6"/>
        <v>9.98325</v>
      </c>
      <c r="H58" s="196">
        <v>44906</v>
      </c>
      <c r="I58" s="204">
        <v>3134261</v>
      </c>
      <c r="J58" s="204">
        <v>416676</v>
      </c>
      <c r="K58" s="204">
        <v>3550937</v>
      </c>
      <c r="L58" s="204">
        <v>88.27</v>
      </c>
      <c r="M58" s="212">
        <f t="shared" si="1"/>
        <v>3.5509369999999998</v>
      </c>
      <c r="O58" s="196">
        <v>44906</v>
      </c>
      <c r="P58" s="204">
        <v>63037954</v>
      </c>
      <c r="Q58" s="204">
        <v>23730204</v>
      </c>
      <c r="R58" s="204">
        <v>86768158</v>
      </c>
      <c r="S58" s="204">
        <v>72.650000000000006</v>
      </c>
      <c r="T58" s="71">
        <f t="shared" si="2"/>
        <v>86.768158</v>
      </c>
      <c r="W58" s="200">
        <v>44906</v>
      </c>
      <c r="X58" s="1">
        <v>5750</v>
      </c>
      <c r="Y58" s="1">
        <v>10000</v>
      </c>
      <c r="Z58" s="1">
        <f t="shared" si="3"/>
        <v>57.5</v>
      </c>
      <c r="AB58" s="200">
        <v>44906</v>
      </c>
      <c r="AC58" s="1">
        <v>1043</v>
      </c>
      <c r="AD58" s="1">
        <v>10000</v>
      </c>
      <c r="AE58" s="1">
        <f t="shared" si="4"/>
        <v>10.43</v>
      </c>
      <c r="AG58" s="200">
        <v>44906</v>
      </c>
      <c r="AH58" s="1">
        <v>6347</v>
      </c>
      <c r="AI58" s="1">
        <v>10000</v>
      </c>
      <c r="AJ58" s="1">
        <v>100</v>
      </c>
      <c r="AL58" s="199">
        <v>44876</v>
      </c>
      <c r="AM58" s="202" t="s">
        <v>164</v>
      </c>
      <c r="AN58">
        <v>24529</v>
      </c>
      <c r="AP58" s="199">
        <v>44876</v>
      </c>
      <c r="AQ58" s="213" t="s">
        <v>180</v>
      </c>
      <c r="AR58">
        <v>1237656</v>
      </c>
    </row>
    <row r="59" spans="1:48" hidden="1" x14ac:dyDescent="0.25">
      <c r="A59" s="196">
        <v>44907</v>
      </c>
      <c r="B59" s="203">
        <v>9596071</v>
      </c>
      <c r="C59" s="203">
        <v>318252</v>
      </c>
      <c r="D59" s="203">
        <v>9914323</v>
      </c>
      <c r="E59" s="203">
        <v>96.79</v>
      </c>
      <c r="F59" s="211">
        <f t="shared" si="6"/>
        <v>9.9143229999999996</v>
      </c>
      <c r="H59" s="196">
        <v>44907</v>
      </c>
      <c r="I59" s="204">
        <v>3605330</v>
      </c>
      <c r="J59" s="204">
        <v>245242</v>
      </c>
      <c r="K59" s="204">
        <v>3850572</v>
      </c>
      <c r="L59" s="204">
        <v>93.63</v>
      </c>
      <c r="M59" s="212">
        <f t="shared" si="1"/>
        <v>3.8505720000000001</v>
      </c>
      <c r="O59" s="196">
        <v>44907</v>
      </c>
      <c r="P59" s="204">
        <v>75298656</v>
      </c>
      <c r="Q59" s="204">
        <v>31174322</v>
      </c>
      <c r="R59" s="204">
        <v>106472978</v>
      </c>
      <c r="S59" s="204">
        <v>70.72</v>
      </c>
      <c r="T59" s="71">
        <f t="shared" si="2"/>
        <v>106.472978</v>
      </c>
      <c r="W59" s="200">
        <v>44907</v>
      </c>
      <c r="X59" s="1">
        <v>9293</v>
      </c>
      <c r="Y59" s="1">
        <v>10000</v>
      </c>
      <c r="Z59" s="1">
        <f t="shared" si="3"/>
        <v>92.93</v>
      </c>
      <c r="AB59" s="200">
        <v>44907</v>
      </c>
      <c r="AC59" s="1">
        <v>1569</v>
      </c>
      <c r="AD59" s="1">
        <v>10000</v>
      </c>
      <c r="AE59" s="1">
        <f t="shared" si="4"/>
        <v>15.69</v>
      </c>
      <c r="AG59" s="200">
        <v>44907</v>
      </c>
      <c r="AH59" s="1">
        <v>10000</v>
      </c>
      <c r="AI59" s="1">
        <v>10000</v>
      </c>
      <c r="AJ59" s="1">
        <v>100</v>
      </c>
      <c r="AL59" s="199">
        <v>44876</v>
      </c>
      <c r="AM59" t="s">
        <v>175</v>
      </c>
      <c r="AN59">
        <v>18514</v>
      </c>
      <c r="AP59" s="199">
        <v>44876</v>
      </c>
      <c r="AQ59" s="213" t="s">
        <v>148</v>
      </c>
      <c r="AR59">
        <v>506826</v>
      </c>
    </row>
    <row r="60" spans="1:48" hidden="1" x14ac:dyDescent="0.25">
      <c r="A60" s="196">
        <v>44908</v>
      </c>
      <c r="B60" s="203">
        <v>9219046</v>
      </c>
      <c r="C60" s="203">
        <v>410980</v>
      </c>
      <c r="D60" s="203">
        <v>9630026</v>
      </c>
      <c r="E60" s="203">
        <v>95.73</v>
      </c>
      <c r="F60" s="211">
        <f t="shared" si="6"/>
        <v>9.6300260000000009</v>
      </c>
      <c r="H60" s="196">
        <v>44908</v>
      </c>
      <c r="I60" s="204">
        <v>4021149</v>
      </c>
      <c r="J60" s="204">
        <v>274063</v>
      </c>
      <c r="K60" s="204">
        <v>4295212</v>
      </c>
      <c r="L60" s="204">
        <v>93.62</v>
      </c>
      <c r="M60" s="212">
        <f t="shared" si="1"/>
        <v>4.2952120000000003</v>
      </c>
      <c r="O60" s="196">
        <v>44908</v>
      </c>
      <c r="P60" s="204">
        <v>80240594</v>
      </c>
      <c r="Q60" s="204">
        <v>34596014</v>
      </c>
      <c r="R60" s="204">
        <v>114836608</v>
      </c>
      <c r="S60" s="204">
        <v>69.87</v>
      </c>
      <c r="T60" s="71">
        <f t="shared" si="2"/>
        <v>114.836608</v>
      </c>
      <c r="W60" s="200">
        <v>44908</v>
      </c>
      <c r="X60" s="1">
        <v>7609</v>
      </c>
      <c r="Y60" s="1">
        <v>10000</v>
      </c>
      <c r="Z60" s="1">
        <f t="shared" si="3"/>
        <v>76.09</v>
      </c>
      <c r="AB60" s="200">
        <v>44908</v>
      </c>
      <c r="AC60" s="1">
        <v>1160</v>
      </c>
      <c r="AD60" s="1">
        <v>10000</v>
      </c>
      <c r="AE60" s="1">
        <f t="shared" si="4"/>
        <v>11.6</v>
      </c>
      <c r="AG60" s="200">
        <v>44908</v>
      </c>
      <c r="AH60" s="1">
        <v>8282</v>
      </c>
      <c r="AI60" s="1">
        <v>10000</v>
      </c>
      <c r="AJ60" s="1">
        <v>100</v>
      </c>
      <c r="AL60" s="199">
        <v>44876</v>
      </c>
      <c r="AM60" s="213" t="s">
        <v>151</v>
      </c>
      <c r="AN60">
        <v>10369</v>
      </c>
      <c r="AP60" s="199">
        <v>44876</v>
      </c>
      <c r="AQ60" t="s">
        <v>169</v>
      </c>
      <c r="AR60">
        <v>342804</v>
      </c>
    </row>
    <row r="61" spans="1:48" hidden="1" x14ac:dyDescent="0.25">
      <c r="A61" s="196">
        <v>44909</v>
      </c>
      <c r="B61" s="203">
        <v>9332238</v>
      </c>
      <c r="C61" s="203">
        <v>412513</v>
      </c>
      <c r="D61" s="203">
        <v>9744751</v>
      </c>
      <c r="E61" s="203">
        <v>95.77</v>
      </c>
      <c r="F61" s="211">
        <f t="shared" si="6"/>
        <v>9.7447510000000008</v>
      </c>
      <c r="H61" s="196">
        <v>44909</v>
      </c>
      <c r="I61" s="204">
        <v>3414465</v>
      </c>
      <c r="J61" s="204">
        <v>264554</v>
      </c>
      <c r="K61" s="204">
        <v>3679019</v>
      </c>
      <c r="L61" s="204">
        <v>92.81</v>
      </c>
      <c r="M61" s="212">
        <f t="shared" si="1"/>
        <v>3.6790189999999998</v>
      </c>
      <c r="O61" s="196">
        <v>44909</v>
      </c>
      <c r="P61" s="204">
        <v>77869961</v>
      </c>
      <c r="Q61" s="204">
        <v>33156395</v>
      </c>
      <c r="R61" s="204">
        <v>111026356</v>
      </c>
      <c r="S61" s="204">
        <v>70.14</v>
      </c>
      <c r="T61" s="71">
        <f t="shared" si="2"/>
        <v>111.02635600000001</v>
      </c>
      <c r="W61" s="200">
        <v>44909</v>
      </c>
      <c r="X61" s="1">
        <v>9334</v>
      </c>
      <c r="Y61" s="1">
        <v>10000</v>
      </c>
      <c r="Z61" s="1">
        <f t="shared" si="3"/>
        <v>93.34</v>
      </c>
      <c r="AB61" s="200">
        <v>44909</v>
      </c>
      <c r="AC61" s="1">
        <v>1114</v>
      </c>
      <c r="AD61" s="1">
        <v>10000</v>
      </c>
      <c r="AE61" s="1">
        <f t="shared" si="4"/>
        <v>11.14</v>
      </c>
      <c r="AG61" s="200">
        <v>44909</v>
      </c>
      <c r="AH61" s="1">
        <v>10000</v>
      </c>
      <c r="AI61" s="1">
        <v>10000</v>
      </c>
      <c r="AJ61" s="1">
        <v>100</v>
      </c>
    </row>
    <row r="62" spans="1:48" hidden="1" x14ac:dyDescent="0.25">
      <c r="A62" s="196">
        <v>44910</v>
      </c>
      <c r="B62" s="203">
        <v>9640795</v>
      </c>
      <c r="C62" s="203">
        <v>413019</v>
      </c>
      <c r="D62" s="203">
        <v>10053814</v>
      </c>
      <c r="E62" s="203">
        <v>95.89</v>
      </c>
      <c r="F62" s="211">
        <f t="shared" si="6"/>
        <v>10.053813999999999</v>
      </c>
      <c r="H62" s="196">
        <v>44910</v>
      </c>
      <c r="I62" s="204">
        <v>4334067</v>
      </c>
      <c r="J62" s="204">
        <v>322820</v>
      </c>
      <c r="K62" s="204">
        <v>4656887</v>
      </c>
      <c r="L62" s="204">
        <v>93.07</v>
      </c>
      <c r="M62" s="212">
        <f t="shared" si="1"/>
        <v>4.6568870000000002</v>
      </c>
      <c r="O62" s="196">
        <v>44910</v>
      </c>
      <c r="P62" s="204">
        <v>83589794</v>
      </c>
      <c r="Q62" s="204">
        <v>31623592</v>
      </c>
      <c r="R62" s="204">
        <v>115213386</v>
      </c>
      <c r="S62" s="204">
        <v>72.55</v>
      </c>
      <c r="T62" s="71">
        <f t="shared" si="2"/>
        <v>115.213386</v>
      </c>
      <c r="W62" s="200">
        <v>44910</v>
      </c>
      <c r="X62" s="1">
        <v>9776</v>
      </c>
      <c r="Y62" s="1">
        <v>10000</v>
      </c>
      <c r="Z62" s="1">
        <f t="shared" si="3"/>
        <v>97.76</v>
      </c>
      <c r="AB62" s="200">
        <v>44910</v>
      </c>
      <c r="AC62" s="1">
        <v>1127</v>
      </c>
      <c r="AD62" s="1">
        <v>10000</v>
      </c>
      <c r="AE62" s="1">
        <f t="shared" si="4"/>
        <v>11.27</v>
      </c>
      <c r="AG62" s="200">
        <v>44910</v>
      </c>
      <c r="AH62" s="1">
        <v>10000</v>
      </c>
      <c r="AI62" s="1">
        <v>10000</v>
      </c>
      <c r="AJ62" s="1">
        <v>100</v>
      </c>
      <c r="AL62" s="199">
        <v>44877</v>
      </c>
      <c r="AM62" t="s">
        <v>159</v>
      </c>
      <c r="AN62">
        <v>235566</v>
      </c>
      <c r="AP62" s="199">
        <v>44877</v>
      </c>
      <c r="AQ62" t="s">
        <v>159</v>
      </c>
      <c r="AR62">
        <v>22432894</v>
      </c>
      <c r="AT62" s="199">
        <v>44877</v>
      </c>
      <c r="AU62" t="s">
        <v>155</v>
      </c>
      <c r="AV62">
        <v>205</v>
      </c>
    </row>
    <row r="63" spans="1:48" hidden="1" x14ac:dyDescent="0.25">
      <c r="A63" s="206">
        <v>44911</v>
      </c>
      <c r="B63" s="207">
        <v>9669175</v>
      </c>
      <c r="C63" s="207">
        <v>423127</v>
      </c>
      <c r="D63" s="207">
        <v>10092302</v>
      </c>
      <c r="E63" s="207">
        <v>95.81</v>
      </c>
      <c r="F63" s="214">
        <f t="shared" si="6"/>
        <v>10.092302</v>
      </c>
      <c r="H63" s="196">
        <v>44911</v>
      </c>
      <c r="I63" s="204">
        <v>4304343</v>
      </c>
      <c r="J63" s="204">
        <v>175211</v>
      </c>
      <c r="K63" s="204">
        <v>4479554</v>
      </c>
      <c r="L63" s="204">
        <v>96.09</v>
      </c>
      <c r="M63" s="212">
        <f t="shared" si="1"/>
        <v>4.4795540000000003</v>
      </c>
      <c r="O63" s="196">
        <v>44911</v>
      </c>
      <c r="P63" s="204">
        <v>85438629</v>
      </c>
      <c r="Q63" s="204">
        <v>35907113</v>
      </c>
      <c r="R63" s="204">
        <v>121345742</v>
      </c>
      <c r="S63" s="204">
        <v>70.41</v>
      </c>
      <c r="T63" s="71">
        <f t="shared" si="2"/>
        <v>121.345742</v>
      </c>
      <c r="W63" s="200">
        <v>44911</v>
      </c>
      <c r="X63" s="1">
        <v>9651</v>
      </c>
      <c r="Y63" s="1">
        <v>10000</v>
      </c>
      <c r="Z63" s="1">
        <f t="shared" si="3"/>
        <v>96.51</v>
      </c>
      <c r="AB63" s="200">
        <v>44911</v>
      </c>
      <c r="AC63" s="1">
        <v>981</v>
      </c>
      <c r="AD63" s="1">
        <v>10000</v>
      </c>
      <c r="AE63" s="1">
        <f t="shared" si="4"/>
        <v>9.81</v>
      </c>
      <c r="AG63" s="200">
        <v>44911</v>
      </c>
      <c r="AH63" s="1">
        <v>10000</v>
      </c>
      <c r="AI63" s="1">
        <v>10000</v>
      </c>
      <c r="AJ63" s="1">
        <v>100</v>
      </c>
      <c r="AL63" s="199">
        <v>44877</v>
      </c>
      <c r="AM63" s="202" t="s">
        <v>164</v>
      </c>
      <c r="AN63">
        <v>26349</v>
      </c>
      <c r="AP63" s="199">
        <v>44877</v>
      </c>
      <c r="AQ63" t="s">
        <v>175</v>
      </c>
      <c r="AR63">
        <v>4367966</v>
      </c>
    </row>
    <row r="64" spans="1:48" hidden="1" x14ac:dyDescent="0.25">
      <c r="A64" s="196">
        <v>44912</v>
      </c>
      <c r="B64" s="204">
        <v>9862035</v>
      </c>
      <c r="C64" s="204">
        <v>403385</v>
      </c>
      <c r="D64" s="204">
        <v>10265420</v>
      </c>
      <c r="E64" s="204">
        <v>96.07</v>
      </c>
      <c r="F64" s="212">
        <f t="shared" si="6"/>
        <v>10.265420000000001</v>
      </c>
      <c r="H64" s="196">
        <v>44912</v>
      </c>
      <c r="I64" s="204">
        <v>5420829</v>
      </c>
      <c r="J64" s="204">
        <v>730</v>
      </c>
      <c r="K64" s="204">
        <v>5421559</v>
      </c>
      <c r="L64" s="204">
        <v>99.99</v>
      </c>
      <c r="M64" s="212">
        <f t="shared" si="1"/>
        <v>5.4215590000000002</v>
      </c>
      <c r="O64" s="196">
        <v>44912</v>
      </c>
      <c r="P64" s="204">
        <v>77430285</v>
      </c>
      <c r="Q64" s="204">
        <v>31811851</v>
      </c>
      <c r="R64" s="204">
        <v>109242136</v>
      </c>
      <c r="S64" s="204">
        <v>70.88</v>
      </c>
      <c r="T64" s="71">
        <f t="shared" si="2"/>
        <v>109.242136</v>
      </c>
      <c r="W64" s="200">
        <v>44912</v>
      </c>
      <c r="X64" s="1">
        <v>7619</v>
      </c>
      <c r="Y64" s="1">
        <v>10000</v>
      </c>
      <c r="Z64" s="1">
        <f t="shared" si="3"/>
        <v>76.19</v>
      </c>
      <c r="AB64" s="200">
        <v>44912</v>
      </c>
      <c r="AC64" s="1">
        <v>1323</v>
      </c>
      <c r="AD64" s="1">
        <v>10000</v>
      </c>
      <c r="AE64" s="1">
        <f t="shared" si="4"/>
        <v>13.23</v>
      </c>
      <c r="AG64" s="200">
        <v>44912</v>
      </c>
      <c r="AH64" s="1">
        <v>8202</v>
      </c>
      <c r="AI64" s="1">
        <v>10000</v>
      </c>
      <c r="AJ64" s="1">
        <v>100</v>
      </c>
      <c r="AL64" s="199">
        <v>44877</v>
      </c>
      <c r="AM64" s="213" t="s">
        <v>148</v>
      </c>
      <c r="AN64">
        <v>23549</v>
      </c>
      <c r="AP64" s="199">
        <v>44877</v>
      </c>
      <c r="AQ64" s="213" t="s">
        <v>180</v>
      </c>
      <c r="AR64">
        <v>1137466</v>
      </c>
    </row>
    <row r="65" spans="1:48" hidden="1" x14ac:dyDescent="0.25">
      <c r="A65" s="215">
        <v>44913</v>
      </c>
      <c r="B65" s="48">
        <v>9381376</v>
      </c>
      <c r="C65" s="48">
        <v>386530</v>
      </c>
      <c r="D65" s="48">
        <v>9767906</v>
      </c>
      <c r="E65" s="48">
        <v>96.04</v>
      </c>
      <c r="F65" s="71">
        <f t="shared" si="6"/>
        <v>9.767906</v>
      </c>
      <c r="H65" s="215">
        <v>44913</v>
      </c>
      <c r="I65" s="48">
        <v>4670211</v>
      </c>
      <c r="J65" s="48">
        <v>324</v>
      </c>
      <c r="K65" s="48">
        <v>4670535</v>
      </c>
      <c r="L65" s="204">
        <v>99.99</v>
      </c>
      <c r="M65" s="71">
        <f>K65/1000000</f>
        <v>4.6705350000000001</v>
      </c>
      <c r="O65" s="215">
        <v>44913</v>
      </c>
      <c r="P65" s="48">
        <v>64929818</v>
      </c>
      <c r="Q65" s="48">
        <v>27597352</v>
      </c>
      <c r="R65" s="48">
        <v>92527170</v>
      </c>
      <c r="S65" s="204">
        <v>70.17</v>
      </c>
      <c r="T65" s="71">
        <f t="shared" si="2"/>
        <v>92.527169999999998</v>
      </c>
      <c r="W65" s="215">
        <v>44913</v>
      </c>
      <c r="X65" s="1">
        <v>6210</v>
      </c>
      <c r="Y65" s="1">
        <v>10000</v>
      </c>
      <c r="Z65" s="1">
        <f t="shared" si="3"/>
        <v>62.1</v>
      </c>
      <c r="AB65" s="200">
        <v>44913</v>
      </c>
      <c r="AC65" s="1">
        <v>1049</v>
      </c>
      <c r="AD65" s="1">
        <v>10000</v>
      </c>
      <c r="AE65" s="1">
        <f t="shared" si="4"/>
        <v>10.49</v>
      </c>
      <c r="AG65" s="216">
        <v>44913</v>
      </c>
      <c r="AH65" s="1">
        <v>6847</v>
      </c>
      <c r="AI65" s="1">
        <v>10000</v>
      </c>
      <c r="AJ65" s="1">
        <v>100</v>
      </c>
      <c r="AL65" s="199">
        <v>44877</v>
      </c>
      <c r="AM65" t="s">
        <v>175</v>
      </c>
      <c r="AN65">
        <v>21218</v>
      </c>
      <c r="AP65" s="199">
        <v>44877</v>
      </c>
      <c r="AQ65" s="213" t="s">
        <v>148</v>
      </c>
      <c r="AR65">
        <v>970103</v>
      </c>
    </row>
    <row r="66" spans="1:48" hidden="1" x14ac:dyDescent="0.25">
      <c r="A66" s="215">
        <v>44914</v>
      </c>
      <c r="B66" s="48">
        <v>9516597</v>
      </c>
      <c r="C66" s="48">
        <v>319833</v>
      </c>
      <c r="D66" s="48">
        <v>9836430</v>
      </c>
      <c r="E66" s="48">
        <v>96.74</v>
      </c>
      <c r="F66" s="71">
        <f t="shared" si="6"/>
        <v>9.83643</v>
      </c>
      <c r="H66" s="215">
        <v>44914</v>
      </c>
      <c r="I66" s="48">
        <v>4722006</v>
      </c>
      <c r="J66" s="48">
        <v>667</v>
      </c>
      <c r="K66" s="48">
        <v>4722673</v>
      </c>
      <c r="L66" s="204">
        <v>99.98</v>
      </c>
      <c r="M66" s="71">
        <f>K66/1000000</f>
        <v>4.7226730000000003</v>
      </c>
      <c r="O66" s="215">
        <v>44914</v>
      </c>
      <c r="P66" s="48">
        <v>74756877</v>
      </c>
      <c r="Q66" s="48">
        <v>33909819</v>
      </c>
      <c r="R66" s="48">
        <v>108666696</v>
      </c>
      <c r="S66" s="48">
        <v>68.790000000000006</v>
      </c>
      <c r="T66" s="71">
        <f t="shared" si="2"/>
        <v>108.666696</v>
      </c>
      <c r="W66" s="215">
        <v>44914</v>
      </c>
      <c r="X66" s="1">
        <v>8062</v>
      </c>
      <c r="Y66" s="1">
        <v>10000</v>
      </c>
      <c r="Z66" s="1">
        <f t="shared" si="3"/>
        <v>80.62</v>
      </c>
      <c r="AB66" s="216">
        <v>44914</v>
      </c>
      <c r="AC66" s="1">
        <v>1155</v>
      </c>
      <c r="AD66" s="1">
        <v>10000</v>
      </c>
      <c r="AE66" s="1">
        <f t="shared" si="4"/>
        <v>11.55</v>
      </c>
      <c r="AG66" s="216">
        <v>44914</v>
      </c>
      <c r="AH66" s="1">
        <v>8632</v>
      </c>
      <c r="AI66" s="1">
        <v>10000</v>
      </c>
      <c r="AJ66" s="1">
        <f>AH66/AI66%</f>
        <v>86.32</v>
      </c>
      <c r="AL66" s="199">
        <v>44877</v>
      </c>
      <c r="AM66" s="213" t="s">
        <v>151</v>
      </c>
      <c r="AN66">
        <v>11444</v>
      </c>
      <c r="AP66" s="199">
        <v>44877</v>
      </c>
      <c r="AQ66" t="s">
        <v>169</v>
      </c>
      <c r="AR66">
        <v>344986</v>
      </c>
    </row>
    <row r="67" spans="1:48" hidden="1" x14ac:dyDescent="0.25">
      <c r="A67" s="215">
        <v>44915</v>
      </c>
      <c r="B67" s="48">
        <v>9515491</v>
      </c>
      <c r="C67" s="48">
        <v>407858</v>
      </c>
      <c r="D67" s="48">
        <v>9923349</v>
      </c>
      <c r="E67" s="48">
        <v>95.88</v>
      </c>
      <c r="F67" s="71">
        <f t="shared" si="6"/>
        <v>9.923349</v>
      </c>
      <c r="H67" s="215">
        <v>44915</v>
      </c>
      <c r="I67" s="48">
        <v>4614258</v>
      </c>
      <c r="J67" s="48">
        <v>496</v>
      </c>
      <c r="K67" s="48">
        <v>4614754</v>
      </c>
      <c r="L67" s="48">
        <v>99.98</v>
      </c>
      <c r="M67" s="71">
        <f>K67/1000000</f>
        <v>4.6147539999999996</v>
      </c>
      <c r="O67" s="215">
        <v>44915</v>
      </c>
      <c r="P67" s="48">
        <v>76525800</v>
      </c>
      <c r="Q67" s="48">
        <v>37962349</v>
      </c>
      <c r="R67" s="48">
        <v>114488149</v>
      </c>
      <c r="S67" s="48">
        <v>66.84</v>
      </c>
      <c r="T67" s="71">
        <f t="shared" ref="T67:T70" si="7">R67/1000000</f>
        <v>114.48814900000001</v>
      </c>
      <c r="W67" s="215">
        <v>44915</v>
      </c>
      <c r="X67" s="1">
        <v>9341</v>
      </c>
      <c r="Y67" s="1">
        <v>10000</v>
      </c>
      <c r="Z67" s="1">
        <f t="shared" si="3"/>
        <v>93.41</v>
      </c>
      <c r="AB67" s="216">
        <v>44915</v>
      </c>
      <c r="AC67" s="1">
        <v>1132</v>
      </c>
      <c r="AD67" s="1">
        <v>10000</v>
      </c>
      <c r="AE67" s="1">
        <f t="shared" si="4"/>
        <v>11.32</v>
      </c>
      <c r="AG67" s="216">
        <v>44915</v>
      </c>
      <c r="AH67" s="1">
        <v>10000</v>
      </c>
      <c r="AI67" s="1">
        <v>10000</v>
      </c>
      <c r="AJ67" s="1">
        <f>AH67/AI67%</f>
        <v>100</v>
      </c>
      <c r="AL67" s="199"/>
    </row>
    <row r="68" spans="1:48" hidden="1" x14ac:dyDescent="0.25">
      <c r="A68" s="215">
        <v>44916</v>
      </c>
      <c r="B68" s="204">
        <v>9532460</v>
      </c>
      <c r="C68" s="204">
        <v>449602</v>
      </c>
      <c r="D68" s="204">
        <v>9982062</v>
      </c>
      <c r="E68" s="204">
        <v>95.5</v>
      </c>
      <c r="F68" s="71">
        <f t="shared" si="6"/>
        <v>9.9820620000000009</v>
      </c>
      <c r="H68" s="215">
        <v>44916</v>
      </c>
      <c r="I68" s="204">
        <v>5185372</v>
      </c>
      <c r="J68" s="204">
        <v>468</v>
      </c>
      <c r="K68" s="204">
        <v>5185840</v>
      </c>
      <c r="L68" s="204">
        <v>99.99</v>
      </c>
      <c r="M68" s="71">
        <f>K68/1000000</f>
        <v>5.1858399999999998</v>
      </c>
      <c r="O68" s="215">
        <v>44916</v>
      </c>
      <c r="P68" s="204">
        <v>81424605</v>
      </c>
      <c r="Q68" s="204">
        <v>38250627</v>
      </c>
      <c r="R68" s="204">
        <v>119675232</v>
      </c>
      <c r="S68" s="204">
        <v>68.040000000000006</v>
      </c>
      <c r="T68" s="71">
        <f t="shared" si="7"/>
        <v>119.67523199999999</v>
      </c>
      <c r="W68" s="215">
        <v>44916</v>
      </c>
      <c r="X68" s="1">
        <v>9425</v>
      </c>
      <c r="Y68" s="1">
        <v>10000</v>
      </c>
      <c r="Z68" s="1">
        <f t="shared" si="3"/>
        <v>94.25</v>
      </c>
      <c r="AB68" s="216">
        <v>44916</v>
      </c>
      <c r="AC68" s="1">
        <v>1128</v>
      </c>
      <c r="AD68" s="1">
        <v>10000</v>
      </c>
      <c r="AE68" s="1">
        <f t="shared" si="4"/>
        <v>11.28</v>
      </c>
      <c r="AG68" s="216">
        <v>44916</v>
      </c>
      <c r="AH68" s="1">
        <v>10000</v>
      </c>
      <c r="AI68" s="1">
        <v>10000</v>
      </c>
      <c r="AJ68" s="1">
        <f>AH68/AI68%</f>
        <v>100</v>
      </c>
      <c r="AL68" s="199">
        <v>44878</v>
      </c>
      <c r="AM68" t="s">
        <v>159</v>
      </c>
      <c r="AN68">
        <v>237055</v>
      </c>
      <c r="AP68" s="199">
        <v>44878</v>
      </c>
      <c r="AQ68" t="s">
        <v>159</v>
      </c>
      <c r="AR68">
        <v>15414321</v>
      </c>
    </row>
    <row r="69" spans="1:48" hidden="1" x14ac:dyDescent="0.25">
      <c r="A69" s="215">
        <v>44917</v>
      </c>
      <c r="B69" s="48">
        <v>10315815</v>
      </c>
      <c r="C69" s="48">
        <v>3356813</v>
      </c>
      <c r="D69" s="48">
        <v>10652628</v>
      </c>
      <c r="E69" s="48">
        <v>96.83</v>
      </c>
      <c r="F69" s="71">
        <f t="shared" si="6"/>
        <v>10.652628</v>
      </c>
      <c r="H69" s="215">
        <v>44917</v>
      </c>
      <c r="I69" s="48">
        <v>5296716</v>
      </c>
      <c r="J69" s="48">
        <v>998</v>
      </c>
      <c r="K69" s="48">
        <v>5297714</v>
      </c>
      <c r="L69" s="48">
        <v>99.98</v>
      </c>
      <c r="M69" s="48">
        <v>5.29</v>
      </c>
      <c r="O69" s="215">
        <v>44917</v>
      </c>
      <c r="P69" s="48">
        <v>70284080</v>
      </c>
      <c r="Q69" s="48">
        <v>26728486</v>
      </c>
      <c r="R69" s="48">
        <v>97012566</v>
      </c>
      <c r="S69" s="48">
        <v>72.44</v>
      </c>
      <c r="T69" s="71">
        <f t="shared" si="7"/>
        <v>97.012566000000007</v>
      </c>
      <c r="W69" s="215">
        <v>44917</v>
      </c>
      <c r="X69" s="1">
        <v>8877</v>
      </c>
      <c r="Y69" s="1">
        <v>10000</v>
      </c>
      <c r="Z69" s="1">
        <f t="shared" si="3"/>
        <v>88.77</v>
      </c>
      <c r="AB69" s="216">
        <v>44917</v>
      </c>
      <c r="AC69" s="1">
        <v>1065</v>
      </c>
      <c r="AD69" s="1">
        <v>10000</v>
      </c>
      <c r="AE69" s="1">
        <f t="shared" si="4"/>
        <v>10.65</v>
      </c>
      <c r="AG69" s="216">
        <v>44917</v>
      </c>
      <c r="AH69" s="1">
        <v>10000</v>
      </c>
      <c r="AI69" s="1">
        <v>10000</v>
      </c>
      <c r="AJ69" s="1">
        <v>100</v>
      </c>
      <c r="AL69" s="199">
        <v>44878</v>
      </c>
      <c r="AM69" t="s">
        <v>175</v>
      </c>
      <c r="AN69">
        <v>25436</v>
      </c>
      <c r="AP69" s="199">
        <v>44878</v>
      </c>
      <c r="AQ69" t="s">
        <v>175</v>
      </c>
      <c r="AR69">
        <v>3111381</v>
      </c>
    </row>
    <row r="70" spans="1:48" hidden="1" x14ac:dyDescent="0.25">
      <c r="A70" s="215">
        <v>44918</v>
      </c>
      <c r="B70" s="48">
        <v>9914109</v>
      </c>
      <c r="C70" s="48">
        <v>387385</v>
      </c>
      <c r="D70" s="48">
        <v>10301494</v>
      </c>
      <c r="E70" s="48">
        <v>96.24</v>
      </c>
      <c r="F70" s="71">
        <f t="shared" si="6"/>
        <v>10.301494</v>
      </c>
      <c r="H70" s="215">
        <v>44918</v>
      </c>
      <c r="I70" s="48">
        <v>5790123</v>
      </c>
      <c r="J70" s="48">
        <v>378</v>
      </c>
      <c r="K70" s="48">
        <v>5790501</v>
      </c>
      <c r="L70" s="48">
        <v>99.99</v>
      </c>
      <c r="M70" s="48">
        <v>5.29</v>
      </c>
      <c r="O70" s="215">
        <v>44918</v>
      </c>
      <c r="P70" s="48">
        <v>89817856</v>
      </c>
      <c r="Q70" s="48">
        <v>35188132</v>
      </c>
      <c r="R70" s="48">
        <v>125005988</v>
      </c>
      <c r="S70" s="48">
        <v>71.849999999999994</v>
      </c>
      <c r="T70" s="71">
        <f t="shared" si="7"/>
        <v>125.005988</v>
      </c>
      <c r="W70" s="215">
        <v>44918</v>
      </c>
      <c r="X70" s="1">
        <v>9792</v>
      </c>
      <c r="Y70" s="1">
        <v>10000</v>
      </c>
      <c r="Z70" s="1">
        <f t="shared" si="3"/>
        <v>97.92</v>
      </c>
      <c r="AB70" s="216">
        <v>44918</v>
      </c>
      <c r="AC70" s="1">
        <v>1279</v>
      </c>
      <c r="AD70" s="1">
        <v>10000</v>
      </c>
      <c r="AE70" s="1">
        <f t="shared" si="4"/>
        <v>12.79</v>
      </c>
      <c r="AG70" s="216">
        <v>44918</v>
      </c>
      <c r="AH70" s="1">
        <v>10000</v>
      </c>
      <c r="AI70" s="1">
        <v>10000</v>
      </c>
      <c r="AJ70" s="1">
        <v>100</v>
      </c>
      <c r="AL70" s="199">
        <v>44878</v>
      </c>
      <c r="AM70" s="202" t="s">
        <v>164</v>
      </c>
      <c r="AN70">
        <v>22642</v>
      </c>
      <c r="AP70" s="199">
        <v>44878</v>
      </c>
      <c r="AQ70" s="213" t="s">
        <v>180</v>
      </c>
      <c r="AR70">
        <v>997213</v>
      </c>
    </row>
    <row r="71" spans="1:48" hidden="1" x14ac:dyDescent="0.25">
      <c r="A71" s="215">
        <v>44919</v>
      </c>
      <c r="B71" s="48">
        <v>9443111</v>
      </c>
      <c r="C71" s="48">
        <v>398368</v>
      </c>
      <c r="D71" s="48">
        <v>9841479</v>
      </c>
      <c r="E71" s="48">
        <v>95.95</v>
      </c>
      <c r="F71" s="48">
        <v>9.84</v>
      </c>
      <c r="H71" s="215">
        <v>44919</v>
      </c>
      <c r="I71" s="48">
        <v>5744901</v>
      </c>
      <c r="J71" s="48">
        <v>79</v>
      </c>
      <c r="K71" s="48">
        <v>5744980</v>
      </c>
      <c r="L71" s="48">
        <v>99.99</v>
      </c>
      <c r="M71" s="48">
        <v>5.74</v>
      </c>
      <c r="O71" s="215">
        <v>44919</v>
      </c>
      <c r="P71" s="48">
        <v>63104603</v>
      </c>
      <c r="Q71" s="48">
        <v>14587191</v>
      </c>
      <c r="R71" s="48">
        <v>77691794</v>
      </c>
      <c r="S71" s="48">
        <v>81.22</v>
      </c>
      <c r="T71" s="48">
        <v>77.650000000000006</v>
      </c>
      <c r="W71" s="215">
        <v>44919</v>
      </c>
      <c r="X71" s="1">
        <v>4130</v>
      </c>
      <c r="Y71" s="1">
        <v>10000</v>
      </c>
      <c r="Z71" s="1">
        <f t="shared" si="3"/>
        <v>41.3</v>
      </c>
      <c r="AB71" s="216">
        <v>44919</v>
      </c>
      <c r="AC71" s="1">
        <v>1042</v>
      </c>
      <c r="AD71" s="1">
        <v>10000</v>
      </c>
      <c r="AE71" s="1">
        <v>10.42</v>
      </c>
      <c r="AG71" s="216">
        <v>44919</v>
      </c>
      <c r="AH71" s="1">
        <v>10000</v>
      </c>
      <c r="AI71" s="1">
        <v>10000</v>
      </c>
      <c r="AJ71" s="1">
        <v>100</v>
      </c>
      <c r="AL71" s="199">
        <v>44878</v>
      </c>
      <c r="AM71" s="213" t="s">
        <v>148</v>
      </c>
      <c r="AN71">
        <v>22212</v>
      </c>
      <c r="AP71" s="199">
        <v>44878</v>
      </c>
      <c r="AQ71" s="213" t="s">
        <v>148</v>
      </c>
      <c r="AR71">
        <v>292232</v>
      </c>
    </row>
    <row r="72" spans="1:48" hidden="1" x14ac:dyDescent="0.25">
      <c r="A72" s="215">
        <v>44920</v>
      </c>
      <c r="B72" s="48">
        <v>10392373</v>
      </c>
      <c r="C72" s="48">
        <v>336123</v>
      </c>
      <c r="D72" s="48">
        <v>10728496</v>
      </c>
      <c r="E72" s="48">
        <v>96.86</v>
      </c>
      <c r="F72" s="48">
        <v>10.72</v>
      </c>
      <c r="H72" s="215">
        <v>44920</v>
      </c>
      <c r="I72" s="48">
        <v>5480987</v>
      </c>
      <c r="J72" s="48">
        <v>55</v>
      </c>
      <c r="K72" s="48">
        <v>5481042</v>
      </c>
      <c r="L72" s="48">
        <v>99.99</v>
      </c>
      <c r="M72" s="48">
        <v>5.48</v>
      </c>
      <c r="O72" s="215">
        <v>44920</v>
      </c>
      <c r="P72" s="48">
        <v>55626098</v>
      </c>
      <c r="Q72" s="48">
        <v>11089262</v>
      </c>
      <c r="R72" s="48">
        <v>66715360</v>
      </c>
      <c r="S72" s="48">
        <v>83.37</v>
      </c>
      <c r="T72" s="48">
        <v>66.709999999999994</v>
      </c>
      <c r="W72" s="215">
        <v>44920</v>
      </c>
      <c r="X72" s="1">
        <v>5297</v>
      </c>
      <c r="Y72" s="1">
        <v>10000</v>
      </c>
      <c r="Z72" s="1">
        <f t="shared" si="3"/>
        <v>52.97</v>
      </c>
      <c r="AB72" s="216">
        <v>44920</v>
      </c>
      <c r="AC72" s="1">
        <v>950</v>
      </c>
      <c r="AD72" s="1">
        <v>10000</v>
      </c>
      <c r="AE72" s="1">
        <v>9.5</v>
      </c>
      <c r="AG72" s="216">
        <v>44920</v>
      </c>
      <c r="AH72" s="1">
        <v>5735</v>
      </c>
      <c r="AI72" s="1">
        <v>10000</v>
      </c>
      <c r="AJ72" s="1">
        <v>57.35</v>
      </c>
      <c r="AL72" s="199">
        <v>44878</v>
      </c>
      <c r="AM72" s="213" t="s">
        <v>151</v>
      </c>
      <c r="AN72">
        <v>11184</v>
      </c>
      <c r="AP72" s="199">
        <v>44878</v>
      </c>
      <c r="AQ72" t="s">
        <v>169</v>
      </c>
      <c r="AR72">
        <v>281904</v>
      </c>
    </row>
    <row r="73" spans="1:48" hidden="1" x14ac:dyDescent="0.25">
      <c r="A73" s="215">
        <v>44921</v>
      </c>
      <c r="B73" s="48">
        <v>9655077</v>
      </c>
      <c r="C73" s="48">
        <v>331261</v>
      </c>
      <c r="D73" s="48">
        <v>9986338</v>
      </c>
      <c r="E73" s="48">
        <v>96.68</v>
      </c>
      <c r="F73" s="71">
        <f t="shared" ref="F73:F136" si="8">D73/1000000</f>
        <v>9.9863379999999999</v>
      </c>
      <c r="H73" s="215">
        <v>44921</v>
      </c>
      <c r="I73" s="48">
        <v>5613942</v>
      </c>
      <c r="J73" s="48">
        <v>93</v>
      </c>
      <c r="K73" s="48">
        <v>5614035</v>
      </c>
      <c r="L73" s="48">
        <v>99.99</v>
      </c>
      <c r="M73" s="71">
        <f t="shared" ref="M73:M82" si="9">K73/1000000</f>
        <v>5.6140350000000003</v>
      </c>
      <c r="O73" s="215">
        <v>44921</v>
      </c>
      <c r="P73" s="48">
        <v>61375640</v>
      </c>
      <c r="Q73" s="48">
        <v>12810096</v>
      </c>
      <c r="R73" s="48">
        <v>74185736</v>
      </c>
      <c r="S73" s="48">
        <v>82.73</v>
      </c>
      <c r="T73" s="71">
        <f>R73/1000000</f>
        <v>74.185736000000006</v>
      </c>
      <c r="W73" s="215">
        <v>44921</v>
      </c>
      <c r="X73" s="1">
        <v>4640</v>
      </c>
      <c r="Y73" s="1">
        <v>10000</v>
      </c>
      <c r="Z73" s="1">
        <f t="shared" si="3"/>
        <v>46.4</v>
      </c>
      <c r="AB73" s="216">
        <v>44921</v>
      </c>
      <c r="AC73" s="1">
        <v>996</v>
      </c>
      <c r="AD73" s="1">
        <v>10000</v>
      </c>
      <c r="AE73" s="1">
        <v>9.9600000000000009</v>
      </c>
      <c r="AG73" s="216">
        <v>44921</v>
      </c>
      <c r="AH73" s="48">
        <v>5264</v>
      </c>
      <c r="AI73" s="1">
        <v>10000</v>
      </c>
      <c r="AJ73" s="1">
        <v>52.64</v>
      </c>
    </row>
    <row r="74" spans="1:48" hidden="1" x14ac:dyDescent="0.25">
      <c r="A74" s="215">
        <v>44922</v>
      </c>
      <c r="B74" s="204">
        <v>9848844</v>
      </c>
      <c r="C74" s="204">
        <v>324174</v>
      </c>
      <c r="D74" s="204">
        <v>10173018</v>
      </c>
      <c r="E74" s="204">
        <v>96.81</v>
      </c>
      <c r="F74" s="71">
        <f t="shared" si="8"/>
        <v>10.173018000000001</v>
      </c>
      <c r="H74" s="215">
        <v>44922</v>
      </c>
      <c r="I74" s="204">
        <v>4046337</v>
      </c>
      <c r="J74" s="204">
        <v>604</v>
      </c>
      <c r="K74" s="204">
        <v>4046941</v>
      </c>
      <c r="L74" s="204">
        <v>99.99</v>
      </c>
      <c r="M74" s="71">
        <f t="shared" si="9"/>
        <v>4.0469410000000003</v>
      </c>
      <c r="O74" s="215">
        <v>44922</v>
      </c>
      <c r="P74" s="204">
        <v>77728582</v>
      </c>
      <c r="Q74" s="204">
        <v>32133139</v>
      </c>
      <c r="R74" s="204">
        <v>109861721</v>
      </c>
      <c r="S74" s="204">
        <v>70.75</v>
      </c>
      <c r="T74" s="71">
        <f t="shared" ref="T74:T99" si="10">R74/1000000</f>
        <v>109.861721</v>
      </c>
      <c r="W74" s="215">
        <v>44922</v>
      </c>
      <c r="X74" s="1">
        <v>9501</v>
      </c>
      <c r="Y74" s="1">
        <v>10000</v>
      </c>
      <c r="Z74" s="1">
        <f t="shared" si="3"/>
        <v>95.01</v>
      </c>
      <c r="AB74" s="215">
        <v>44922</v>
      </c>
      <c r="AC74" s="1">
        <v>3647</v>
      </c>
      <c r="AD74" s="1">
        <v>10000</v>
      </c>
      <c r="AE74" s="1">
        <v>9.9600000000000009</v>
      </c>
      <c r="AG74" s="215">
        <v>44922</v>
      </c>
      <c r="AH74" s="1">
        <v>10000</v>
      </c>
      <c r="AI74" s="1">
        <v>10000</v>
      </c>
      <c r="AJ74" s="1">
        <v>52.64</v>
      </c>
      <c r="AL74" s="199">
        <v>44879</v>
      </c>
      <c r="AM74" s="202" t="s">
        <v>158</v>
      </c>
      <c r="AN74">
        <v>192187</v>
      </c>
      <c r="AP74" s="199">
        <v>44879</v>
      </c>
      <c r="AQ74" s="202" t="s">
        <v>158</v>
      </c>
      <c r="AR74">
        <v>20128349</v>
      </c>
      <c r="AT74" s="199">
        <v>44879</v>
      </c>
      <c r="AU74" t="s">
        <v>155</v>
      </c>
      <c r="AV74">
        <v>1595</v>
      </c>
    </row>
    <row r="75" spans="1:48" hidden="1" x14ac:dyDescent="0.25">
      <c r="A75" s="215">
        <v>44923</v>
      </c>
      <c r="B75" s="48">
        <v>9766722</v>
      </c>
      <c r="C75" s="48">
        <v>417287</v>
      </c>
      <c r="D75" s="48">
        <v>10184009</v>
      </c>
      <c r="E75" s="48">
        <v>95.9</v>
      </c>
      <c r="F75" s="71">
        <f t="shared" si="8"/>
        <v>10.184009</v>
      </c>
      <c r="H75" s="215">
        <v>44923</v>
      </c>
      <c r="I75" s="48">
        <v>4772238</v>
      </c>
      <c r="J75" s="48">
        <v>182</v>
      </c>
      <c r="K75" s="48">
        <v>4772420</v>
      </c>
      <c r="L75" s="48">
        <v>99.99</v>
      </c>
      <c r="M75" s="71">
        <f t="shared" si="9"/>
        <v>4.7724200000000003</v>
      </c>
      <c r="O75" s="215">
        <v>44923</v>
      </c>
      <c r="P75" s="48">
        <v>77769095</v>
      </c>
      <c r="Q75" s="48">
        <v>32686369</v>
      </c>
      <c r="R75" s="48">
        <v>110455464</v>
      </c>
      <c r="S75" s="48">
        <v>70.400000000000006</v>
      </c>
      <c r="T75" s="71">
        <f t="shared" si="10"/>
        <v>110.45546400000001</v>
      </c>
      <c r="W75" s="215">
        <v>44923</v>
      </c>
      <c r="X75" s="1">
        <v>9610</v>
      </c>
      <c r="Y75" s="1">
        <v>10000</v>
      </c>
      <c r="Z75" s="1">
        <f t="shared" si="3"/>
        <v>96.1</v>
      </c>
      <c r="AB75" s="215">
        <v>44923</v>
      </c>
      <c r="AC75" s="1">
        <v>1397</v>
      </c>
      <c r="AD75" s="1">
        <v>10000</v>
      </c>
      <c r="AE75" s="1">
        <f t="shared" ref="AE75:AE138" si="11">AC75/AD75%</f>
        <v>13.97</v>
      </c>
      <c r="AG75" s="215">
        <v>44923</v>
      </c>
      <c r="AH75" s="1">
        <v>10000</v>
      </c>
      <c r="AI75" s="1">
        <v>10000</v>
      </c>
      <c r="AJ75" s="1">
        <v>52.64</v>
      </c>
      <c r="AL75" s="199">
        <v>44879</v>
      </c>
      <c r="AM75" s="202" t="s">
        <v>165</v>
      </c>
      <c r="AN75">
        <v>29311</v>
      </c>
      <c r="AP75" s="199">
        <v>44879</v>
      </c>
      <c r="AQ75" s="202" t="s">
        <v>162</v>
      </c>
      <c r="AR75">
        <v>3518522</v>
      </c>
    </row>
    <row r="76" spans="1:48" hidden="1" x14ac:dyDescent="0.25">
      <c r="A76" s="215">
        <v>44924</v>
      </c>
      <c r="B76" s="217">
        <v>9700408</v>
      </c>
      <c r="C76" s="210">
        <v>415347</v>
      </c>
      <c r="D76" s="210">
        <v>10115755</v>
      </c>
      <c r="E76" s="210">
        <v>95.89</v>
      </c>
      <c r="F76" s="71">
        <f t="shared" si="8"/>
        <v>10.115755</v>
      </c>
      <c r="H76" s="215">
        <v>44924</v>
      </c>
      <c r="I76" s="210">
        <v>4694653</v>
      </c>
      <c r="J76" s="210">
        <v>720</v>
      </c>
      <c r="K76" s="210">
        <v>4695373</v>
      </c>
      <c r="L76" s="210">
        <v>99.98</v>
      </c>
      <c r="M76" s="71">
        <f t="shared" si="9"/>
        <v>4.695373</v>
      </c>
      <c r="O76" s="215">
        <v>44924</v>
      </c>
      <c r="P76" s="210">
        <v>90052747</v>
      </c>
      <c r="Q76" s="210">
        <v>37129156</v>
      </c>
      <c r="R76" s="210">
        <v>127181903</v>
      </c>
      <c r="S76" s="210">
        <v>70.81</v>
      </c>
      <c r="T76" s="71">
        <f>R76/1000000</f>
        <v>127.18190300000001</v>
      </c>
      <c r="W76" s="215">
        <v>44924</v>
      </c>
      <c r="X76" s="1">
        <v>9671</v>
      </c>
      <c r="Y76" s="1">
        <v>10000</v>
      </c>
      <c r="Z76" s="1">
        <f t="shared" si="3"/>
        <v>96.71</v>
      </c>
      <c r="AB76" s="215">
        <v>44924</v>
      </c>
      <c r="AC76" s="1">
        <v>1236</v>
      </c>
      <c r="AD76" s="1">
        <v>10000</v>
      </c>
      <c r="AE76" s="1">
        <f t="shared" si="11"/>
        <v>12.36</v>
      </c>
      <c r="AG76" s="215">
        <v>44924</v>
      </c>
      <c r="AH76" s="1">
        <v>10000</v>
      </c>
      <c r="AI76" s="1">
        <v>10000</v>
      </c>
      <c r="AJ76" s="1">
        <v>100</v>
      </c>
      <c r="AL76" s="199">
        <v>44879</v>
      </c>
      <c r="AM76" s="202" t="s">
        <v>164</v>
      </c>
      <c r="AN76">
        <v>24286</v>
      </c>
      <c r="AP76" s="199">
        <v>44879</v>
      </c>
      <c r="AQ76" s="202" t="s">
        <v>163</v>
      </c>
      <c r="AR76">
        <v>1170158</v>
      </c>
    </row>
    <row r="77" spans="1:48" hidden="1" x14ac:dyDescent="0.25">
      <c r="A77" s="215">
        <v>44925</v>
      </c>
      <c r="B77" s="48">
        <v>9461196</v>
      </c>
      <c r="C77" s="217">
        <v>410266</v>
      </c>
      <c r="D77" s="217">
        <v>9871462</v>
      </c>
      <c r="E77" s="210">
        <v>95.84</v>
      </c>
      <c r="F77" s="71">
        <f t="shared" si="8"/>
        <v>9.8714619999999993</v>
      </c>
      <c r="H77" s="215">
        <v>44925</v>
      </c>
      <c r="I77" s="210">
        <v>4342306</v>
      </c>
      <c r="J77" s="210">
        <v>15918</v>
      </c>
      <c r="K77" s="210">
        <v>4358224</v>
      </c>
      <c r="L77" s="210">
        <v>99.63</v>
      </c>
      <c r="M77" s="71">
        <f t="shared" si="9"/>
        <v>4.3582239999999999</v>
      </c>
      <c r="O77" s="215">
        <v>44925</v>
      </c>
      <c r="P77" s="210">
        <v>87492444</v>
      </c>
      <c r="Q77" s="210">
        <v>35066214</v>
      </c>
      <c r="R77" s="204">
        <v>122558658</v>
      </c>
      <c r="S77" s="210">
        <v>71.39</v>
      </c>
      <c r="T77" s="71">
        <f t="shared" si="10"/>
        <v>122.55865799999999</v>
      </c>
      <c r="W77" s="215">
        <v>44925</v>
      </c>
      <c r="X77" s="1">
        <v>9511</v>
      </c>
      <c r="Y77" s="1">
        <v>10000</v>
      </c>
      <c r="Z77" s="1">
        <f t="shared" si="3"/>
        <v>95.11</v>
      </c>
      <c r="AB77" s="215">
        <v>44925</v>
      </c>
      <c r="AC77" s="1">
        <v>1102</v>
      </c>
      <c r="AD77" s="1">
        <v>10000</v>
      </c>
      <c r="AE77" s="1">
        <f t="shared" si="11"/>
        <v>11.02</v>
      </c>
      <c r="AG77" s="215">
        <v>44925</v>
      </c>
      <c r="AH77" s="1">
        <v>10000</v>
      </c>
      <c r="AI77" s="1">
        <v>10000</v>
      </c>
      <c r="AJ77" s="1">
        <v>100</v>
      </c>
      <c r="AL77" s="199">
        <v>44879</v>
      </c>
      <c r="AM77" s="202" t="s">
        <v>162</v>
      </c>
      <c r="AN77">
        <v>20745</v>
      </c>
      <c r="AP77" s="199">
        <v>44879</v>
      </c>
      <c r="AQ77" s="202" t="s">
        <v>165</v>
      </c>
      <c r="AR77">
        <v>598107</v>
      </c>
    </row>
    <row r="78" spans="1:48" hidden="1" x14ac:dyDescent="0.25">
      <c r="A78" s="215">
        <v>44926</v>
      </c>
      <c r="B78" s="48">
        <v>8786906</v>
      </c>
      <c r="C78" s="48">
        <v>389419</v>
      </c>
      <c r="D78" s="48">
        <v>9176325</v>
      </c>
      <c r="E78" s="48">
        <v>95.76</v>
      </c>
      <c r="F78" s="71">
        <f t="shared" si="8"/>
        <v>9.1763250000000003</v>
      </c>
      <c r="H78" s="215">
        <v>44926</v>
      </c>
      <c r="I78" s="210">
        <v>4291097</v>
      </c>
      <c r="J78" s="210">
        <v>503</v>
      </c>
      <c r="K78" s="210">
        <v>4291600</v>
      </c>
      <c r="L78" s="210">
        <v>99.99</v>
      </c>
      <c r="M78" s="71">
        <f>K78/1000000</f>
        <v>4.2915999999999999</v>
      </c>
      <c r="O78" s="215">
        <v>44926</v>
      </c>
      <c r="P78" s="210">
        <v>70911332</v>
      </c>
      <c r="Q78" s="210">
        <v>20573040</v>
      </c>
      <c r="R78" s="210">
        <v>91484372</v>
      </c>
      <c r="S78" s="210">
        <v>77.510000000000005</v>
      </c>
      <c r="T78" s="71">
        <f t="shared" si="10"/>
        <v>91.484371999999993</v>
      </c>
      <c r="W78" s="215">
        <v>44926</v>
      </c>
      <c r="X78" s="1">
        <v>9240</v>
      </c>
      <c r="Y78" s="1">
        <v>10000</v>
      </c>
      <c r="Z78" s="1">
        <f t="shared" si="3"/>
        <v>92.4</v>
      </c>
      <c r="AB78" s="215">
        <v>44926</v>
      </c>
      <c r="AC78" s="1">
        <v>1080</v>
      </c>
      <c r="AD78" s="1">
        <v>10000</v>
      </c>
      <c r="AE78" s="1">
        <f t="shared" si="11"/>
        <v>10.8</v>
      </c>
      <c r="AG78" s="215">
        <v>44926</v>
      </c>
      <c r="AH78" s="1">
        <v>10000</v>
      </c>
      <c r="AI78" s="1">
        <v>10000</v>
      </c>
      <c r="AJ78" s="1">
        <v>100</v>
      </c>
      <c r="AL78" s="199">
        <v>44879</v>
      </c>
      <c r="AM78" t="s">
        <v>170</v>
      </c>
      <c r="AN78">
        <v>10164</v>
      </c>
      <c r="AP78" s="199">
        <v>44879</v>
      </c>
      <c r="AQ78" t="s">
        <v>169</v>
      </c>
      <c r="AR78">
        <v>319086</v>
      </c>
    </row>
    <row r="79" spans="1:48" hidden="1" x14ac:dyDescent="0.25">
      <c r="A79" s="215">
        <v>44927</v>
      </c>
      <c r="B79" s="48">
        <v>12574179</v>
      </c>
      <c r="C79" s="48">
        <v>344199</v>
      </c>
      <c r="D79" s="48">
        <v>12918378</v>
      </c>
      <c r="E79" s="48">
        <v>97.34</v>
      </c>
      <c r="F79" s="71">
        <f t="shared" si="8"/>
        <v>12.918378000000001</v>
      </c>
      <c r="H79" s="215">
        <v>44927</v>
      </c>
      <c r="I79" s="210">
        <v>2375331</v>
      </c>
      <c r="J79" s="210">
        <v>55</v>
      </c>
      <c r="K79" s="210">
        <v>2375386</v>
      </c>
      <c r="L79" s="210">
        <v>100</v>
      </c>
      <c r="M79" s="218">
        <f t="shared" si="9"/>
        <v>2.3753860000000002</v>
      </c>
      <c r="O79" s="215">
        <v>44927</v>
      </c>
      <c r="P79" s="210">
        <v>50563334</v>
      </c>
      <c r="Q79" s="210">
        <v>6773038</v>
      </c>
      <c r="R79" s="210">
        <v>57336372</v>
      </c>
      <c r="S79" s="210">
        <v>88.19</v>
      </c>
      <c r="T79" s="218">
        <f t="shared" si="10"/>
        <v>57.336371999999997</v>
      </c>
      <c r="W79" s="215">
        <v>44927</v>
      </c>
      <c r="X79" s="1">
        <v>3542</v>
      </c>
      <c r="Y79" s="1">
        <v>10000</v>
      </c>
      <c r="Z79" s="1">
        <f t="shared" si="3"/>
        <v>35.42</v>
      </c>
      <c r="AB79" s="215">
        <v>44927</v>
      </c>
      <c r="AC79" s="1">
        <v>1004</v>
      </c>
      <c r="AD79" s="1">
        <v>10000</v>
      </c>
      <c r="AE79" s="1">
        <f t="shared" si="11"/>
        <v>10.039999999999999</v>
      </c>
      <c r="AG79" s="215">
        <v>44927</v>
      </c>
      <c r="AH79" s="1">
        <v>10000</v>
      </c>
      <c r="AI79" s="1">
        <v>10000</v>
      </c>
      <c r="AJ79" s="1">
        <v>100</v>
      </c>
      <c r="AL79" s="199"/>
      <c r="AP79" s="199"/>
    </row>
    <row r="80" spans="1:48" hidden="1" x14ac:dyDescent="0.25">
      <c r="A80" s="215">
        <v>44928</v>
      </c>
      <c r="B80" s="1">
        <v>9430387</v>
      </c>
      <c r="C80" s="1">
        <v>504654</v>
      </c>
      <c r="D80" s="1">
        <v>9935041</v>
      </c>
      <c r="E80" s="1">
        <v>94.92</v>
      </c>
      <c r="F80" s="71">
        <f t="shared" si="8"/>
        <v>9.935041</v>
      </c>
      <c r="H80" s="215">
        <v>44928</v>
      </c>
      <c r="I80" s="48">
        <v>2030229</v>
      </c>
      <c r="J80" s="48">
        <v>73</v>
      </c>
      <c r="K80" s="48">
        <v>2030302</v>
      </c>
      <c r="L80" s="48">
        <v>99.99</v>
      </c>
      <c r="M80" s="71">
        <f t="shared" si="9"/>
        <v>2.0303019999999998</v>
      </c>
      <c r="O80" s="215">
        <v>44928</v>
      </c>
      <c r="P80" s="48">
        <v>59461880</v>
      </c>
      <c r="Q80" s="48">
        <v>18260518</v>
      </c>
      <c r="R80" s="48">
        <v>77722398</v>
      </c>
      <c r="S80" s="48">
        <v>76.5</v>
      </c>
      <c r="T80" s="71">
        <f t="shared" si="10"/>
        <v>77.722397999999998</v>
      </c>
      <c r="W80" s="215">
        <v>44928</v>
      </c>
      <c r="X80" s="1">
        <v>9623</v>
      </c>
      <c r="Y80" s="1">
        <v>10000</v>
      </c>
      <c r="Z80" s="1">
        <f t="shared" si="3"/>
        <v>96.23</v>
      </c>
      <c r="AB80" s="215">
        <v>44928</v>
      </c>
      <c r="AC80" s="1">
        <v>1038</v>
      </c>
      <c r="AD80" s="1">
        <v>10000</v>
      </c>
      <c r="AE80" s="1">
        <f t="shared" si="11"/>
        <v>10.38</v>
      </c>
      <c r="AG80" s="215">
        <v>44928</v>
      </c>
      <c r="AH80" s="1">
        <v>10000</v>
      </c>
      <c r="AI80" s="1">
        <v>10000</v>
      </c>
      <c r="AJ80" s="1">
        <v>100</v>
      </c>
      <c r="AL80" s="199">
        <v>44880</v>
      </c>
      <c r="AM80" s="202" t="s">
        <v>158</v>
      </c>
      <c r="AN80">
        <v>251172</v>
      </c>
      <c r="AP80" s="199">
        <v>44880</v>
      </c>
      <c r="AQ80" s="202" t="s">
        <v>158</v>
      </c>
      <c r="AR80">
        <v>30930288</v>
      </c>
      <c r="AT80" s="199">
        <v>44880</v>
      </c>
      <c r="AU80" t="s">
        <v>155</v>
      </c>
      <c r="AV80">
        <v>2169</v>
      </c>
    </row>
    <row r="81" spans="1:48" ht="1.5" hidden="1" customHeight="1" x14ac:dyDescent="0.25">
      <c r="A81" s="215">
        <v>44929</v>
      </c>
      <c r="B81" s="1">
        <v>9699350</v>
      </c>
      <c r="C81" s="1">
        <v>296005</v>
      </c>
      <c r="D81" s="1">
        <v>9995355</v>
      </c>
      <c r="E81" s="1">
        <v>97.03</v>
      </c>
      <c r="F81" s="71">
        <f t="shared" si="8"/>
        <v>9.995355</v>
      </c>
      <c r="H81" s="215">
        <v>44929</v>
      </c>
      <c r="I81" s="48">
        <v>1652385</v>
      </c>
      <c r="J81" s="48">
        <v>1583</v>
      </c>
      <c r="K81" s="48">
        <v>1653968</v>
      </c>
      <c r="L81" s="48">
        <v>99.9</v>
      </c>
      <c r="M81" s="71">
        <f t="shared" si="9"/>
        <v>1.6539680000000001</v>
      </c>
      <c r="O81" s="215">
        <v>44929</v>
      </c>
      <c r="P81" s="48">
        <v>69385885</v>
      </c>
      <c r="Q81" s="48">
        <v>24081181</v>
      </c>
      <c r="R81" s="48">
        <v>93467066</v>
      </c>
      <c r="S81" s="48">
        <v>74.23</v>
      </c>
      <c r="T81" s="71">
        <f t="shared" si="10"/>
        <v>93.467066000000003</v>
      </c>
      <c r="W81" s="215">
        <v>44929</v>
      </c>
      <c r="X81" s="1">
        <v>9900</v>
      </c>
      <c r="Y81" s="1">
        <v>10000</v>
      </c>
      <c r="Z81" s="1">
        <f t="shared" si="3"/>
        <v>99</v>
      </c>
      <c r="AB81" s="215">
        <v>44929</v>
      </c>
      <c r="AC81" s="1">
        <v>1029</v>
      </c>
      <c r="AD81" s="1">
        <v>10000</v>
      </c>
      <c r="AE81" s="1">
        <f t="shared" si="11"/>
        <v>10.29</v>
      </c>
      <c r="AG81" s="215">
        <v>44929</v>
      </c>
      <c r="AH81" s="1">
        <v>10000</v>
      </c>
      <c r="AI81" s="1">
        <v>10000</v>
      </c>
      <c r="AJ81" s="1">
        <v>100</v>
      </c>
      <c r="AL81" s="199">
        <v>44880</v>
      </c>
      <c r="AM81" s="202" t="s">
        <v>165</v>
      </c>
      <c r="AN81">
        <v>27759</v>
      </c>
      <c r="AP81" s="199">
        <v>44880</v>
      </c>
      <c r="AQ81" s="202" t="s">
        <v>162</v>
      </c>
      <c r="AR81">
        <v>2275763</v>
      </c>
    </row>
    <row r="82" spans="1:48" hidden="1" x14ac:dyDescent="0.25">
      <c r="A82" s="215">
        <v>44930</v>
      </c>
      <c r="B82" s="1">
        <v>9877157</v>
      </c>
      <c r="C82" s="1">
        <v>370799</v>
      </c>
      <c r="D82" s="1">
        <v>10247956</v>
      </c>
      <c r="E82" s="1">
        <v>96.38</v>
      </c>
      <c r="F82" s="71">
        <f t="shared" si="8"/>
        <v>10.247956</v>
      </c>
      <c r="H82" s="215">
        <v>44930</v>
      </c>
      <c r="I82" s="48">
        <v>2041244</v>
      </c>
      <c r="J82" s="48">
        <v>84</v>
      </c>
      <c r="K82" s="48">
        <v>2041328</v>
      </c>
      <c r="L82" s="48">
        <v>99.99</v>
      </c>
      <c r="M82" s="71">
        <f t="shared" si="9"/>
        <v>2.041328</v>
      </c>
      <c r="O82" s="215">
        <v>44930</v>
      </c>
      <c r="P82" s="48">
        <v>75461852</v>
      </c>
      <c r="Q82" s="48">
        <v>27991016</v>
      </c>
      <c r="R82" s="48">
        <v>103452868</v>
      </c>
      <c r="S82" s="48">
        <v>72.94</v>
      </c>
      <c r="T82" s="71">
        <f t="shared" si="10"/>
        <v>103.452868</v>
      </c>
      <c r="W82" s="215">
        <v>44930</v>
      </c>
      <c r="X82" s="1">
        <v>9358</v>
      </c>
      <c r="Y82" s="1">
        <v>10000</v>
      </c>
      <c r="Z82" s="1">
        <f t="shared" si="3"/>
        <v>93.58</v>
      </c>
      <c r="AB82" s="215">
        <v>44930</v>
      </c>
      <c r="AC82" s="1">
        <v>1144</v>
      </c>
      <c r="AD82" s="1">
        <v>10000</v>
      </c>
      <c r="AE82" s="1">
        <f t="shared" si="11"/>
        <v>11.44</v>
      </c>
      <c r="AG82" s="215">
        <v>44930</v>
      </c>
      <c r="AH82" s="1">
        <v>10000</v>
      </c>
      <c r="AI82" s="1">
        <v>10000</v>
      </c>
      <c r="AJ82" s="1">
        <v>100</v>
      </c>
      <c r="AL82" s="199">
        <v>44880</v>
      </c>
      <c r="AM82" s="202" t="s">
        <v>162</v>
      </c>
      <c r="AN82">
        <v>26716</v>
      </c>
      <c r="AP82" s="199">
        <v>44880</v>
      </c>
      <c r="AQ82" s="202" t="s">
        <v>163</v>
      </c>
      <c r="AR82">
        <v>1290996</v>
      </c>
    </row>
    <row r="83" spans="1:48" hidden="1" x14ac:dyDescent="0.25">
      <c r="A83" s="215">
        <v>44931</v>
      </c>
      <c r="B83" s="1">
        <v>10054366</v>
      </c>
      <c r="C83" s="1">
        <v>390150</v>
      </c>
      <c r="D83" s="1">
        <v>10444516</v>
      </c>
      <c r="E83" s="1">
        <v>96.26</v>
      </c>
      <c r="F83" s="71">
        <f t="shared" si="8"/>
        <v>10.444516</v>
      </c>
      <c r="H83" s="215">
        <v>44931</v>
      </c>
      <c r="I83" s="48">
        <v>2507025</v>
      </c>
      <c r="J83" s="48">
        <v>77</v>
      </c>
      <c r="K83" s="48">
        <v>2507102</v>
      </c>
      <c r="L83" s="48">
        <v>99.99</v>
      </c>
      <c r="M83" s="71">
        <f>K83/1000000</f>
        <v>2.5071020000000002</v>
      </c>
      <c r="O83" s="215">
        <v>44931</v>
      </c>
      <c r="P83" s="48">
        <v>80919716</v>
      </c>
      <c r="Q83" s="48">
        <v>35184164</v>
      </c>
      <c r="R83" s="48">
        <v>116103880</v>
      </c>
      <c r="S83" s="48">
        <v>69.69</v>
      </c>
      <c r="T83" s="71">
        <f>R83/1000000</f>
        <v>116.10388</v>
      </c>
      <c r="W83" s="215">
        <v>44931</v>
      </c>
      <c r="X83" s="1">
        <v>9793</v>
      </c>
      <c r="Y83" s="1">
        <v>10000</v>
      </c>
      <c r="Z83" s="1">
        <f t="shared" si="3"/>
        <v>97.93</v>
      </c>
      <c r="AB83" s="215">
        <v>44931</v>
      </c>
      <c r="AC83" s="1">
        <v>1097</v>
      </c>
      <c r="AD83" s="1">
        <v>10000</v>
      </c>
      <c r="AE83" s="1">
        <f t="shared" si="11"/>
        <v>10.97</v>
      </c>
      <c r="AG83" s="215">
        <v>44931</v>
      </c>
      <c r="AH83" s="1">
        <v>10000</v>
      </c>
      <c r="AI83" s="1">
        <v>10000</v>
      </c>
      <c r="AJ83" s="1">
        <v>100</v>
      </c>
      <c r="AL83" s="199">
        <v>44880</v>
      </c>
      <c r="AM83" s="202" t="s">
        <v>164</v>
      </c>
      <c r="AN83">
        <v>24827</v>
      </c>
      <c r="AP83" s="199">
        <v>44880</v>
      </c>
      <c r="AQ83" s="202" t="s">
        <v>165</v>
      </c>
      <c r="AR83">
        <v>643265</v>
      </c>
    </row>
    <row r="84" spans="1:48" hidden="1" x14ac:dyDescent="0.25">
      <c r="A84" s="215">
        <v>44932</v>
      </c>
      <c r="B84" s="1">
        <v>10310964</v>
      </c>
      <c r="C84" s="1">
        <v>413301</v>
      </c>
      <c r="D84" s="1">
        <v>10724265</v>
      </c>
      <c r="E84" s="1">
        <v>96.15</v>
      </c>
      <c r="F84" s="71">
        <f t="shared" si="8"/>
        <v>10.724265000000001</v>
      </c>
      <c r="H84" s="215">
        <v>44932</v>
      </c>
      <c r="I84" s="48">
        <v>2551417</v>
      </c>
      <c r="J84" s="48">
        <v>74</v>
      </c>
      <c r="K84" s="48">
        <v>2551491</v>
      </c>
      <c r="L84" s="48">
        <v>100</v>
      </c>
      <c r="M84" s="71">
        <f>K84/1000000</f>
        <v>2.551491</v>
      </c>
      <c r="O84" s="215">
        <v>44932</v>
      </c>
      <c r="P84" s="48">
        <v>73996050</v>
      </c>
      <c r="Q84" s="48">
        <v>27122608</v>
      </c>
      <c r="R84" s="48">
        <v>101118658</v>
      </c>
      <c r="S84" s="48">
        <v>73.180000000000007</v>
      </c>
      <c r="T84" s="71">
        <f t="shared" si="10"/>
        <v>101.118658</v>
      </c>
      <c r="W84" s="215">
        <v>44932</v>
      </c>
      <c r="X84" s="1">
        <v>6655</v>
      </c>
      <c r="Y84" s="1">
        <v>10000</v>
      </c>
      <c r="Z84" s="1">
        <f t="shared" si="3"/>
        <v>66.55</v>
      </c>
      <c r="AB84" s="215">
        <v>44932</v>
      </c>
      <c r="AC84" s="1">
        <v>1154</v>
      </c>
      <c r="AD84" s="1">
        <v>10000</v>
      </c>
      <c r="AE84" s="1">
        <f>AC84/AD84%</f>
        <v>11.54</v>
      </c>
      <c r="AG84" s="215">
        <v>44932</v>
      </c>
      <c r="AH84" s="1">
        <v>10000</v>
      </c>
      <c r="AI84" s="1">
        <v>10000</v>
      </c>
      <c r="AJ84" s="1">
        <v>100</v>
      </c>
      <c r="AL84" s="199">
        <v>44880</v>
      </c>
      <c r="AM84" s="202" t="s">
        <v>163</v>
      </c>
      <c r="AN84">
        <v>11053</v>
      </c>
      <c r="AP84" s="199">
        <v>44880</v>
      </c>
      <c r="AQ84" s="213" t="s">
        <v>181</v>
      </c>
      <c r="AR84">
        <v>403415</v>
      </c>
    </row>
    <row r="85" spans="1:48" hidden="1" x14ac:dyDescent="0.25">
      <c r="A85" s="215">
        <v>44933</v>
      </c>
      <c r="B85" s="1">
        <v>10312445</v>
      </c>
      <c r="C85" s="1">
        <v>402735</v>
      </c>
      <c r="D85" s="1">
        <v>10715180</v>
      </c>
      <c r="E85" s="1">
        <v>96.24</v>
      </c>
      <c r="F85" s="71">
        <f t="shared" si="8"/>
        <v>10.71518</v>
      </c>
      <c r="H85" s="215">
        <v>44933</v>
      </c>
      <c r="I85" s="48">
        <v>2656839</v>
      </c>
      <c r="J85" s="48">
        <v>89</v>
      </c>
      <c r="K85" s="48">
        <v>2656928</v>
      </c>
      <c r="L85" s="48">
        <v>99.99</v>
      </c>
      <c r="M85" s="71">
        <f t="shared" ref="M85:M96" si="12">K85/1000000</f>
        <v>2.6569280000000002</v>
      </c>
      <c r="O85" s="215">
        <v>44933</v>
      </c>
      <c r="P85" s="48">
        <v>73095330</v>
      </c>
      <c r="Q85" s="48">
        <v>28795119</v>
      </c>
      <c r="R85" s="48">
        <v>101890449</v>
      </c>
      <c r="S85" s="48">
        <v>71.73</v>
      </c>
      <c r="T85" s="71">
        <f t="shared" si="10"/>
        <v>101.890449</v>
      </c>
      <c r="W85" s="215">
        <v>44933</v>
      </c>
      <c r="X85" s="1">
        <v>7822</v>
      </c>
      <c r="Y85" s="1">
        <v>10000</v>
      </c>
      <c r="Z85" s="1">
        <f t="shared" si="3"/>
        <v>78.22</v>
      </c>
      <c r="AB85" s="215">
        <v>44933</v>
      </c>
      <c r="AC85" s="1">
        <v>1090</v>
      </c>
      <c r="AD85" s="1">
        <v>10000</v>
      </c>
      <c r="AE85" s="1">
        <f t="shared" si="11"/>
        <v>10.9</v>
      </c>
      <c r="AG85" s="215">
        <v>44933</v>
      </c>
      <c r="AH85" s="1">
        <v>10000</v>
      </c>
      <c r="AI85" s="1">
        <v>10000</v>
      </c>
      <c r="AJ85" s="1">
        <v>100</v>
      </c>
    </row>
    <row r="86" spans="1:48" hidden="1" x14ac:dyDescent="0.25">
      <c r="A86" s="215">
        <v>44934</v>
      </c>
      <c r="B86" s="1">
        <v>10530796</v>
      </c>
      <c r="C86" s="1">
        <v>371099</v>
      </c>
      <c r="D86" s="1">
        <v>10901895</v>
      </c>
      <c r="E86" s="1">
        <v>96.59</v>
      </c>
      <c r="F86" s="71">
        <f t="shared" si="8"/>
        <v>10.901895</v>
      </c>
      <c r="H86" s="215">
        <v>44934</v>
      </c>
      <c r="I86" s="48">
        <v>2383586</v>
      </c>
      <c r="J86" s="48">
        <v>64</v>
      </c>
      <c r="K86" s="48">
        <v>2383650</v>
      </c>
      <c r="L86" s="48">
        <v>99.99</v>
      </c>
      <c r="M86" s="71">
        <f t="shared" si="12"/>
        <v>2.3836499999999998</v>
      </c>
      <c r="O86" s="215">
        <v>44934</v>
      </c>
      <c r="P86" s="48">
        <v>58043793</v>
      </c>
      <c r="Q86" s="48">
        <v>22563558</v>
      </c>
      <c r="R86" s="48">
        <v>80607351</v>
      </c>
      <c r="S86" s="48">
        <v>72</v>
      </c>
      <c r="T86" s="71">
        <f t="shared" si="10"/>
        <v>80.607350999999994</v>
      </c>
      <c r="W86" s="215">
        <v>44934</v>
      </c>
      <c r="X86" s="1">
        <v>6073</v>
      </c>
      <c r="Y86" s="1">
        <v>10000</v>
      </c>
      <c r="Z86" s="1">
        <f t="shared" si="3"/>
        <v>60.73</v>
      </c>
      <c r="AB86" s="215">
        <v>44934</v>
      </c>
      <c r="AC86" s="1">
        <v>1167</v>
      </c>
      <c r="AD86" s="1">
        <v>10000</v>
      </c>
      <c r="AE86" s="1">
        <f t="shared" si="11"/>
        <v>11.67</v>
      </c>
      <c r="AG86" s="215">
        <v>44934</v>
      </c>
      <c r="AH86" s="1">
        <v>10000</v>
      </c>
      <c r="AI86" s="1">
        <v>10000</v>
      </c>
      <c r="AJ86" s="1">
        <v>100</v>
      </c>
      <c r="AL86" s="199">
        <v>44881</v>
      </c>
      <c r="AM86" s="202" t="s">
        <v>158</v>
      </c>
      <c r="AN86">
        <v>224201</v>
      </c>
      <c r="AP86" s="199">
        <v>44881</v>
      </c>
      <c r="AQ86" s="202" t="s">
        <v>165</v>
      </c>
      <c r="AR86">
        <v>596365</v>
      </c>
      <c r="AT86" s="199">
        <v>44881</v>
      </c>
      <c r="AU86" t="s">
        <v>155</v>
      </c>
      <c r="AV86">
        <v>9692</v>
      </c>
    </row>
    <row r="87" spans="1:48" ht="0.75" hidden="1" customHeight="1" x14ac:dyDescent="0.25">
      <c r="A87" s="215">
        <v>44935</v>
      </c>
      <c r="B87" s="203">
        <v>10480246</v>
      </c>
      <c r="C87" s="203">
        <v>319048</v>
      </c>
      <c r="D87" s="203">
        <v>10799294</v>
      </c>
      <c r="E87" s="203">
        <v>97.05</v>
      </c>
      <c r="F87" s="71">
        <f t="shared" si="8"/>
        <v>10.799294</v>
      </c>
      <c r="H87" s="215">
        <v>44935</v>
      </c>
      <c r="I87" s="204">
        <v>2230675</v>
      </c>
      <c r="J87" s="204">
        <v>95</v>
      </c>
      <c r="K87" s="204">
        <v>2230770</v>
      </c>
      <c r="L87" s="204">
        <v>100</v>
      </c>
      <c r="M87" s="71">
        <f t="shared" si="12"/>
        <v>2.2307700000000001</v>
      </c>
      <c r="O87" s="215">
        <v>44935</v>
      </c>
      <c r="P87" s="204">
        <v>64934797</v>
      </c>
      <c r="Q87" s="204">
        <v>22562536</v>
      </c>
      <c r="R87" s="204">
        <v>87497333</v>
      </c>
      <c r="S87" s="204">
        <v>74.209999999999994</v>
      </c>
      <c r="T87" s="71">
        <f t="shared" si="10"/>
        <v>87.497332999999998</v>
      </c>
      <c r="W87" s="215">
        <v>44935</v>
      </c>
      <c r="X87" s="1">
        <v>7038</v>
      </c>
      <c r="Y87" s="1">
        <v>10000</v>
      </c>
      <c r="Z87" s="1">
        <f t="shared" si="3"/>
        <v>70.38</v>
      </c>
      <c r="AB87" s="215">
        <v>44935</v>
      </c>
      <c r="AC87" s="1">
        <v>1077</v>
      </c>
      <c r="AD87" s="1">
        <v>10000</v>
      </c>
      <c r="AE87" s="1">
        <f t="shared" si="11"/>
        <v>10.77</v>
      </c>
      <c r="AG87" s="215">
        <v>44935</v>
      </c>
      <c r="AH87" s="1">
        <v>7627</v>
      </c>
      <c r="AI87" s="1">
        <v>10000</v>
      </c>
      <c r="AJ87" s="1">
        <f t="shared" ref="AJ87:AJ150" si="13">AH87/AI87%</f>
        <v>76.27</v>
      </c>
      <c r="AL87" s="199">
        <v>44881</v>
      </c>
      <c r="AM87" s="202" t="s">
        <v>164</v>
      </c>
      <c r="AN87">
        <v>27993</v>
      </c>
      <c r="AP87" s="199">
        <v>44881</v>
      </c>
      <c r="AQ87" s="202" t="s">
        <v>158</v>
      </c>
      <c r="AR87">
        <v>152864</v>
      </c>
      <c r="AT87" s="199"/>
    </row>
    <row r="88" spans="1:48" hidden="1" x14ac:dyDescent="0.25">
      <c r="A88" s="215">
        <v>44936</v>
      </c>
      <c r="B88" s="203">
        <v>10313053</v>
      </c>
      <c r="C88" s="203">
        <v>390370</v>
      </c>
      <c r="D88" s="203">
        <v>10703423</v>
      </c>
      <c r="E88" s="203">
        <v>96.35</v>
      </c>
      <c r="F88" s="71">
        <f t="shared" si="8"/>
        <v>10.703423000000001</v>
      </c>
      <c r="H88" s="215">
        <v>44936</v>
      </c>
      <c r="I88" s="204">
        <v>2150349</v>
      </c>
      <c r="J88" s="204">
        <v>82</v>
      </c>
      <c r="K88" s="204">
        <v>2150431</v>
      </c>
      <c r="L88" s="204">
        <v>100</v>
      </c>
      <c r="M88" s="71">
        <f t="shared" si="12"/>
        <v>2.1504310000000002</v>
      </c>
      <c r="O88" s="215">
        <v>44936</v>
      </c>
      <c r="P88" s="204">
        <v>68698181</v>
      </c>
      <c r="Q88" s="204">
        <v>26225950</v>
      </c>
      <c r="R88" s="204">
        <v>94924131</v>
      </c>
      <c r="S88" s="204">
        <v>72.37</v>
      </c>
      <c r="T88" s="71">
        <f t="shared" si="10"/>
        <v>94.924131000000003</v>
      </c>
      <c r="W88" s="215">
        <v>44936</v>
      </c>
      <c r="X88" s="1">
        <v>9537</v>
      </c>
      <c r="Y88" s="1">
        <v>10000</v>
      </c>
      <c r="Z88" s="1">
        <f t="shared" si="3"/>
        <v>95.37</v>
      </c>
      <c r="AB88" s="215">
        <v>44936</v>
      </c>
      <c r="AC88" s="1">
        <v>1130</v>
      </c>
      <c r="AD88" s="1">
        <v>10000</v>
      </c>
      <c r="AE88" s="1">
        <f t="shared" si="11"/>
        <v>11.3</v>
      </c>
      <c r="AG88" s="215">
        <v>44936</v>
      </c>
      <c r="AH88" s="1">
        <v>10000</v>
      </c>
      <c r="AI88" s="1">
        <v>10000</v>
      </c>
      <c r="AJ88" s="1">
        <f t="shared" si="13"/>
        <v>100</v>
      </c>
      <c r="AL88" s="199">
        <v>44881</v>
      </c>
      <c r="AM88" s="202" t="s">
        <v>165</v>
      </c>
      <c r="AN88">
        <v>25858</v>
      </c>
      <c r="AP88" s="199">
        <v>44881</v>
      </c>
      <c r="AQ88" s="189" t="s">
        <v>182</v>
      </c>
      <c r="AR88">
        <v>100880</v>
      </c>
    </row>
    <row r="89" spans="1:48" hidden="1" x14ac:dyDescent="0.25">
      <c r="A89" s="215">
        <v>44937</v>
      </c>
      <c r="B89" s="207">
        <v>10524638</v>
      </c>
      <c r="C89" s="207">
        <v>405699</v>
      </c>
      <c r="D89" s="207">
        <v>10930337</v>
      </c>
      <c r="E89" s="207">
        <v>96.29</v>
      </c>
      <c r="F89" s="208">
        <f t="shared" si="8"/>
        <v>10.930337</v>
      </c>
      <c r="H89" s="215">
        <v>44937</v>
      </c>
      <c r="I89" s="204">
        <v>1965815</v>
      </c>
      <c r="J89" s="204">
        <v>69</v>
      </c>
      <c r="K89" s="204">
        <v>1965884</v>
      </c>
      <c r="L89" s="204">
        <v>100</v>
      </c>
      <c r="M89" s="71">
        <f t="shared" si="12"/>
        <v>1.965884</v>
      </c>
      <c r="O89" s="215">
        <v>44937</v>
      </c>
      <c r="P89" s="204">
        <v>69907623</v>
      </c>
      <c r="Q89" s="204">
        <v>27355160</v>
      </c>
      <c r="R89" s="204">
        <v>97262783</v>
      </c>
      <c r="S89" s="204">
        <v>71.87</v>
      </c>
      <c r="T89" s="71">
        <f t="shared" si="10"/>
        <v>97.262782999999999</v>
      </c>
      <c r="W89" s="215">
        <v>44937</v>
      </c>
      <c r="X89" s="1">
        <v>9641</v>
      </c>
      <c r="Y89" s="1">
        <v>10000</v>
      </c>
      <c r="Z89" s="1">
        <f t="shared" ref="Z89:Z156" si="14">X89/Y89%</f>
        <v>96.41</v>
      </c>
      <c r="AB89" s="215">
        <v>44937</v>
      </c>
      <c r="AC89" s="1">
        <v>1110</v>
      </c>
      <c r="AD89" s="1">
        <v>10000</v>
      </c>
      <c r="AE89" s="1">
        <f t="shared" si="11"/>
        <v>11.1</v>
      </c>
      <c r="AG89" s="215">
        <v>44937</v>
      </c>
      <c r="AH89" s="1">
        <v>10000</v>
      </c>
      <c r="AI89" s="1">
        <v>10000</v>
      </c>
      <c r="AJ89" s="1">
        <f t="shared" si="13"/>
        <v>100</v>
      </c>
      <c r="AL89" s="199">
        <v>44881</v>
      </c>
      <c r="AM89" s="202" t="s">
        <v>162</v>
      </c>
      <c r="AN89">
        <v>22546</v>
      </c>
      <c r="AP89" s="199">
        <v>44881</v>
      </c>
      <c r="AQ89" s="189" t="s">
        <v>183</v>
      </c>
      <c r="AR89">
        <v>53258</v>
      </c>
    </row>
    <row r="90" spans="1:48" hidden="1" x14ac:dyDescent="0.25">
      <c r="A90" s="215">
        <v>44938</v>
      </c>
      <c r="B90" s="204">
        <v>10249192</v>
      </c>
      <c r="C90" s="204">
        <v>405081</v>
      </c>
      <c r="D90" s="204">
        <v>10654273</v>
      </c>
      <c r="E90" s="204">
        <v>96.2</v>
      </c>
      <c r="F90" s="71">
        <f t="shared" si="8"/>
        <v>10.654273</v>
      </c>
      <c r="H90" s="215">
        <v>44938</v>
      </c>
      <c r="I90" s="204">
        <v>1981534</v>
      </c>
      <c r="J90" s="204">
        <v>72</v>
      </c>
      <c r="K90" s="204">
        <v>1981606</v>
      </c>
      <c r="L90" s="204">
        <v>100</v>
      </c>
      <c r="M90" s="71">
        <f t="shared" si="12"/>
        <v>1.981606</v>
      </c>
      <c r="O90" s="215">
        <v>44938</v>
      </c>
      <c r="P90" s="204">
        <v>74409367</v>
      </c>
      <c r="Q90" s="204">
        <v>27992998</v>
      </c>
      <c r="R90" s="204">
        <v>102402365</v>
      </c>
      <c r="S90" s="204">
        <v>72.66</v>
      </c>
      <c r="T90" s="71">
        <f t="shared" si="10"/>
        <v>102.402365</v>
      </c>
      <c r="W90" s="215">
        <v>44938</v>
      </c>
      <c r="X90" s="1">
        <v>9636</v>
      </c>
      <c r="Y90" s="1">
        <v>10000</v>
      </c>
      <c r="Z90" s="1">
        <f t="shared" si="14"/>
        <v>96.36</v>
      </c>
      <c r="AB90" s="215">
        <v>44938</v>
      </c>
      <c r="AC90" s="1">
        <v>1153</v>
      </c>
      <c r="AD90" s="1">
        <v>10000</v>
      </c>
      <c r="AE90" s="1">
        <f t="shared" si="11"/>
        <v>11.53</v>
      </c>
      <c r="AG90" s="215">
        <v>44938</v>
      </c>
      <c r="AH90" s="1">
        <v>10000</v>
      </c>
      <c r="AI90" s="1">
        <v>10000</v>
      </c>
      <c r="AJ90" s="1">
        <f t="shared" si="13"/>
        <v>100</v>
      </c>
      <c r="AL90" s="199">
        <v>44881</v>
      </c>
      <c r="AM90" t="s">
        <v>170</v>
      </c>
      <c r="AN90">
        <v>12365</v>
      </c>
      <c r="AP90" s="199">
        <v>44881</v>
      </c>
      <c r="AQ90" s="202" t="s">
        <v>162</v>
      </c>
      <c r="AR90">
        <v>5088</v>
      </c>
    </row>
    <row r="91" spans="1:48" hidden="1" x14ac:dyDescent="0.25">
      <c r="A91" s="215">
        <v>44939</v>
      </c>
      <c r="B91" s="204">
        <v>10380714</v>
      </c>
      <c r="C91" s="204">
        <v>428872</v>
      </c>
      <c r="D91" s="204">
        <v>10809586</v>
      </c>
      <c r="E91" s="204">
        <v>96.03</v>
      </c>
      <c r="F91" s="71">
        <f t="shared" si="8"/>
        <v>10.809585999999999</v>
      </c>
      <c r="H91" s="215">
        <v>44939</v>
      </c>
      <c r="I91" s="204">
        <v>2315453</v>
      </c>
      <c r="J91" s="204">
        <v>274</v>
      </c>
      <c r="K91" s="204">
        <v>2315727</v>
      </c>
      <c r="L91" s="204">
        <v>99.99</v>
      </c>
      <c r="M91" s="71">
        <f>K91/1000000</f>
        <v>2.3157269999999999</v>
      </c>
      <c r="O91" s="215">
        <v>44939</v>
      </c>
      <c r="P91" s="204">
        <v>78049049</v>
      </c>
      <c r="Q91" s="204">
        <v>27547285</v>
      </c>
      <c r="R91" s="204">
        <v>105596334</v>
      </c>
      <c r="S91" s="204">
        <v>73.91</v>
      </c>
      <c r="T91" s="71">
        <f t="shared" si="10"/>
        <v>105.596334</v>
      </c>
      <c r="W91" s="215">
        <v>44939</v>
      </c>
      <c r="X91" s="1">
        <v>9440</v>
      </c>
      <c r="Y91" s="1">
        <v>10000</v>
      </c>
      <c r="Z91" s="1">
        <f t="shared" si="14"/>
        <v>94.4</v>
      </c>
      <c r="AB91" s="215">
        <v>44939</v>
      </c>
      <c r="AC91" s="1">
        <v>1094</v>
      </c>
      <c r="AD91" s="1">
        <v>10000</v>
      </c>
      <c r="AE91" s="1">
        <f t="shared" si="11"/>
        <v>10.94</v>
      </c>
      <c r="AG91" s="215">
        <v>44939</v>
      </c>
      <c r="AH91" s="1">
        <v>10000</v>
      </c>
      <c r="AI91" s="1">
        <v>10000</v>
      </c>
      <c r="AJ91" s="1">
        <f t="shared" si="13"/>
        <v>100</v>
      </c>
    </row>
    <row r="92" spans="1:48" hidden="1" x14ac:dyDescent="0.25">
      <c r="A92" s="215">
        <v>44938</v>
      </c>
      <c r="B92" s="204">
        <v>10249192</v>
      </c>
      <c r="C92" s="204">
        <v>405081</v>
      </c>
      <c r="D92" s="204">
        <v>10654273</v>
      </c>
      <c r="E92" s="204">
        <v>96.2</v>
      </c>
      <c r="F92" s="71">
        <f t="shared" si="8"/>
        <v>10.654273</v>
      </c>
      <c r="H92" s="215">
        <v>44938</v>
      </c>
      <c r="I92" s="204">
        <v>1981534</v>
      </c>
      <c r="J92" s="204">
        <v>72</v>
      </c>
      <c r="K92" s="204">
        <v>1981606</v>
      </c>
      <c r="L92" s="204">
        <v>100</v>
      </c>
      <c r="M92" s="71">
        <f>K92/1000000</f>
        <v>1.981606</v>
      </c>
      <c r="O92" s="215">
        <v>44938</v>
      </c>
      <c r="P92" s="204">
        <v>74409367</v>
      </c>
      <c r="Q92" s="204">
        <v>27992998</v>
      </c>
      <c r="R92" s="204">
        <v>102402365</v>
      </c>
      <c r="S92" s="204">
        <v>72.66</v>
      </c>
      <c r="T92" s="71">
        <f t="shared" si="10"/>
        <v>102.402365</v>
      </c>
      <c r="W92" s="215">
        <v>44938</v>
      </c>
      <c r="X92" s="1">
        <v>9636</v>
      </c>
      <c r="Y92" s="1">
        <v>10000</v>
      </c>
      <c r="Z92" s="1">
        <f t="shared" si="14"/>
        <v>96.36</v>
      </c>
      <c r="AB92" s="215">
        <v>44938</v>
      </c>
      <c r="AC92" s="1">
        <v>1153</v>
      </c>
      <c r="AD92" s="1">
        <v>10000</v>
      </c>
      <c r="AE92" s="1">
        <f t="shared" si="11"/>
        <v>11.53</v>
      </c>
      <c r="AG92" s="215">
        <v>44938</v>
      </c>
      <c r="AH92" s="1">
        <v>10000</v>
      </c>
      <c r="AI92" s="1">
        <v>10000</v>
      </c>
      <c r="AJ92" s="1">
        <f t="shared" si="13"/>
        <v>100</v>
      </c>
    </row>
    <row r="93" spans="1:48" hidden="1" x14ac:dyDescent="0.25">
      <c r="A93" s="215">
        <v>44939</v>
      </c>
      <c r="B93" s="204">
        <v>10380714</v>
      </c>
      <c r="C93" s="204">
        <v>428872</v>
      </c>
      <c r="D93" s="204">
        <v>10809586</v>
      </c>
      <c r="E93" s="204">
        <v>96.03</v>
      </c>
      <c r="F93" s="71">
        <f t="shared" si="8"/>
        <v>10.809585999999999</v>
      </c>
      <c r="H93" s="215">
        <v>44939</v>
      </c>
      <c r="I93" s="204">
        <v>2315453</v>
      </c>
      <c r="J93" s="204">
        <v>274</v>
      </c>
      <c r="K93" s="204">
        <v>2315727</v>
      </c>
      <c r="L93" s="204">
        <v>99.99</v>
      </c>
      <c r="M93" s="71">
        <f>K93/1000000</f>
        <v>2.3157269999999999</v>
      </c>
      <c r="O93" s="215">
        <v>44939</v>
      </c>
      <c r="P93" s="204">
        <v>78049049</v>
      </c>
      <c r="Q93" s="204">
        <v>27547285</v>
      </c>
      <c r="R93" s="204">
        <v>105596334</v>
      </c>
      <c r="S93" s="204">
        <v>73.91</v>
      </c>
      <c r="T93" s="71">
        <f t="shared" si="10"/>
        <v>105.596334</v>
      </c>
      <c r="W93" s="215">
        <v>44939</v>
      </c>
      <c r="X93" s="1">
        <v>9440</v>
      </c>
      <c r="Y93" s="1">
        <v>10000</v>
      </c>
      <c r="Z93" s="1">
        <f t="shared" si="14"/>
        <v>94.4</v>
      </c>
      <c r="AB93" s="215">
        <v>44939</v>
      </c>
      <c r="AC93" s="1">
        <v>1094</v>
      </c>
      <c r="AD93" s="1">
        <v>10000</v>
      </c>
      <c r="AE93" s="1">
        <f t="shared" si="11"/>
        <v>10.94</v>
      </c>
      <c r="AG93" s="215">
        <v>44939</v>
      </c>
      <c r="AH93" s="1">
        <v>10000</v>
      </c>
      <c r="AI93" s="1">
        <v>10000</v>
      </c>
      <c r="AJ93" s="1">
        <f t="shared" si="13"/>
        <v>100</v>
      </c>
    </row>
    <row r="94" spans="1:48" hidden="1" x14ac:dyDescent="0.25">
      <c r="A94" s="215">
        <v>44940</v>
      </c>
      <c r="B94" s="204">
        <v>10736288</v>
      </c>
      <c r="C94" s="204">
        <v>395746</v>
      </c>
      <c r="D94" s="204">
        <v>11132034</v>
      </c>
      <c r="E94" s="204">
        <v>96.44</v>
      </c>
      <c r="F94" s="71">
        <f t="shared" si="8"/>
        <v>11.132034000000001</v>
      </c>
      <c r="H94" s="215">
        <v>44940</v>
      </c>
      <c r="I94" s="204">
        <v>2081055</v>
      </c>
      <c r="J94" s="204">
        <v>141</v>
      </c>
      <c r="K94" s="204">
        <v>2081196</v>
      </c>
      <c r="L94" s="204">
        <v>99.99</v>
      </c>
      <c r="M94" s="71">
        <f t="shared" si="12"/>
        <v>2.0811959999999998</v>
      </c>
      <c r="O94" s="215">
        <v>44940</v>
      </c>
      <c r="P94" s="204">
        <v>73917629</v>
      </c>
      <c r="Q94" s="204">
        <v>25197697</v>
      </c>
      <c r="R94" s="204">
        <v>99115326</v>
      </c>
      <c r="S94" s="204">
        <v>74.58</v>
      </c>
      <c r="T94" s="71">
        <f t="shared" si="10"/>
        <v>99.115325999999996</v>
      </c>
      <c r="W94" s="215">
        <v>44940</v>
      </c>
      <c r="X94" s="1">
        <v>6945</v>
      </c>
      <c r="Y94" s="1">
        <v>10000</v>
      </c>
      <c r="Z94" s="1">
        <f t="shared" si="14"/>
        <v>69.45</v>
      </c>
      <c r="AB94" s="215">
        <v>44940</v>
      </c>
      <c r="AC94" s="1">
        <v>1031</v>
      </c>
      <c r="AD94" s="1">
        <v>10000</v>
      </c>
      <c r="AE94" s="1">
        <f t="shared" si="11"/>
        <v>10.31</v>
      </c>
      <c r="AG94" s="215">
        <v>44940</v>
      </c>
      <c r="AH94" s="1">
        <v>10000</v>
      </c>
      <c r="AI94" s="1">
        <v>10000</v>
      </c>
      <c r="AJ94" s="1">
        <f t="shared" si="13"/>
        <v>100</v>
      </c>
      <c r="AL94" s="199">
        <v>44882</v>
      </c>
      <c r="AM94" s="202" t="s">
        <v>158</v>
      </c>
      <c r="AN94">
        <v>245653</v>
      </c>
      <c r="AP94" s="199">
        <v>44882</v>
      </c>
      <c r="AQ94" s="202" t="s">
        <v>158</v>
      </c>
      <c r="AR94">
        <v>24446289</v>
      </c>
    </row>
    <row r="95" spans="1:48" hidden="1" x14ac:dyDescent="0.25">
      <c r="A95" s="215">
        <v>44941</v>
      </c>
      <c r="B95" s="204">
        <v>10391349</v>
      </c>
      <c r="C95" s="204">
        <v>382043</v>
      </c>
      <c r="D95" s="204">
        <v>10773392</v>
      </c>
      <c r="E95" s="204">
        <v>96.45</v>
      </c>
      <c r="F95" s="71">
        <f t="shared" si="8"/>
        <v>10.773391999999999</v>
      </c>
      <c r="H95" s="215">
        <v>44941</v>
      </c>
      <c r="I95" s="204">
        <v>1824885</v>
      </c>
      <c r="J95" s="204">
        <v>1435</v>
      </c>
      <c r="K95" s="204">
        <v>1826320</v>
      </c>
      <c r="L95" s="204">
        <v>99.92</v>
      </c>
      <c r="M95" s="71">
        <f t="shared" si="12"/>
        <v>1.8263199999999999</v>
      </c>
      <c r="O95" s="215">
        <v>44941</v>
      </c>
      <c r="P95" s="204">
        <v>56952415</v>
      </c>
      <c r="Q95" s="204">
        <v>20638359</v>
      </c>
      <c r="R95" s="204">
        <v>77590774</v>
      </c>
      <c r="S95" s="204">
        <v>73.400000000000006</v>
      </c>
      <c r="T95" s="71">
        <f>R95/1000000</f>
        <v>77.590773999999996</v>
      </c>
      <c r="W95" s="215">
        <v>44941</v>
      </c>
      <c r="X95" s="1">
        <v>6283</v>
      </c>
      <c r="Y95" s="1">
        <v>10000</v>
      </c>
      <c r="Z95" s="1">
        <f t="shared" si="14"/>
        <v>62.83</v>
      </c>
      <c r="AB95" s="215">
        <v>44941</v>
      </c>
      <c r="AC95" s="1">
        <v>1089</v>
      </c>
      <c r="AD95" s="1">
        <v>10000</v>
      </c>
      <c r="AE95" s="1">
        <f t="shared" si="11"/>
        <v>10.89</v>
      </c>
      <c r="AG95" s="215">
        <v>44941</v>
      </c>
      <c r="AH95" s="1">
        <v>6776</v>
      </c>
      <c r="AI95" s="1">
        <v>10000</v>
      </c>
      <c r="AJ95" s="1">
        <f t="shared" si="13"/>
        <v>67.760000000000005</v>
      </c>
      <c r="AL95" s="199">
        <v>44882</v>
      </c>
      <c r="AM95" s="202" t="s">
        <v>165</v>
      </c>
      <c r="AN95">
        <v>27291</v>
      </c>
      <c r="AP95" s="199">
        <v>44882</v>
      </c>
      <c r="AQ95" s="202" t="s">
        <v>162</v>
      </c>
      <c r="AR95">
        <v>1233356</v>
      </c>
    </row>
    <row r="96" spans="1:48" hidden="1" x14ac:dyDescent="0.25">
      <c r="A96" s="215">
        <v>44942</v>
      </c>
      <c r="B96" s="1">
        <v>9978813</v>
      </c>
      <c r="C96" s="1">
        <v>330069</v>
      </c>
      <c r="D96" s="1">
        <v>10308882</v>
      </c>
      <c r="E96" s="1">
        <v>96.79</v>
      </c>
      <c r="F96" s="71">
        <f t="shared" si="8"/>
        <v>10.308882000000001</v>
      </c>
      <c r="H96" s="215">
        <v>44942</v>
      </c>
      <c r="I96" s="48">
        <v>1942214</v>
      </c>
      <c r="J96" s="48">
        <v>548</v>
      </c>
      <c r="K96" s="48">
        <v>1942762</v>
      </c>
      <c r="L96" s="48">
        <v>99.97</v>
      </c>
      <c r="M96" s="71">
        <f t="shared" si="12"/>
        <v>1.9427620000000001</v>
      </c>
      <c r="O96" s="215">
        <v>44942</v>
      </c>
      <c r="P96" s="48">
        <v>69221546</v>
      </c>
      <c r="Q96" s="48">
        <v>28602951</v>
      </c>
      <c r="R96" s="48">
        <v>97824497</v>
      </c>
      <c r="S96" s="48">
        <v>70.760000000000005</v>
      </c>
      <c r="T96" s="71">
        <f t="shared" si="10"/>
        <v>97.824496999999994</v>
      </c>
      <c r="W96" s="215">
        <v>44942</v>
      </c>
      <c r="X96" s="1">
        <v>8126</v>
      </c>
      <c r="Y96" s="1">
        <v>10000</v>
      </c>
      <c r="Z96" s="1">
        <f t="shared" si="14"/>
        <v>81.260000000000005</v>
      </c>
      <c r="AB96" s="215">
        <v>44942</v>
      </c>
      <c r="AC96" s="1">
        <v>1073</v>
      </c>
      <c r="AD96" s="1">
        <v>10000</v>
      </c>
      <c r="AE96" s="1">
        <f t="shared" si="11"/>
        <v>10.73</v>
      </c>
      <c r="AG96" s="215">
        <v>44942</v>
      </c>
      <c r="AH96" s="1">
        <v>8743</v>
      </c>
      <c r="AI96" s="1">
        <v>10000</v>
      </c>
      <c r="AJ96" s="1">
        <f>AH96/AI96%</f>
        <v>87.43</v>
      </c>
      <c r="AL96" s="199">
        <v>44882</v>
      </c>
      <c r="AM96" s="202" t="s">
        <v>164</v>
      </c>
      <c r="AN96">
        <v>24635</v>
      </c>
      <c r="AP96" s="199">
        <v>44882</v>
      </c>
      <c r="AQ96" s="202" t="s">
        <v>163</v>
      </c>
      <c r="AR96">
        <v>1133319</v>
      </c>
    </row>
    <row r="97" spans="1:48" hidden="1" x14ac:dyDescent="0.25">
      <c r="A97" s="215">
        <v>44943</v>
      </c>
      <c r="B97" s="1">
        <v>9944401</v>
      </c>
      <c r="C97" s="1">
        <v>386229</v>
      </c>
      <c r="D97" s="1">
        <v>10330630</v>
      </c>
      <c r="E97" s="1">
        <v>96.26</v>
      </c>
      <c r="F97" s="71">
        <f t="shared" si="8"/>
        <v>10.330629999999999</v>
      </c>
      <c r="H97" s="215">
        <v>44943</v>
      </c>
      <c r="I97" s="48">
        <v>1330692</v>
      </c>
      <c r="J97" s="48">
        <v>226</v>
      </c>
      <c r="K97" s="48">
        <v>1330918</v>
      </c>
      <c r="L97" s="48">
        <v>99.98</v>
      </c>
      <c r="M97" s="71">
        <f>K97/1000000</f>
        <v>1.330918</v>
      </c>
      <c r="O97" s="215">
        <v>44943</v>
      </c>
      <c r="P97" s="48">
        <v>65542705</v>
      </c>
      <c r="Q97" s="48">
        <v>27030457</v>
      </c>
      <c r="R97" s="48">
        <v>92573162</v>
      </c>
      <c r="S97" s="48">
        <v>70.8</v>
      </c>
      <c r="T97" s="71">
        <f t="shared" si="10"/>
        <v>92.573161999999996</v>
      </c>
      <c r="W97" s="215">
        <v>44943</v>
      </c>
      <c r="X97" s="1">
        <v>7433</v>
      </c>
      <c r="Y97" s="1">
        <v>10000</v>
      </c>
      <c r="Z97" s="1">
        <f t="shared" si="14"/>
        <v>74.33</v>
      </c>
      <c r="AB97" s="215">
        <v>44943</v>
      </c>
      <c r="AC97" s="1">
        <v>1074</v>
      </c>
      <c r="AD97" s="1">
        <v>10000</v>
      </c>
      <c r="AE97" s="1">
        <f t="shared" si="11"/>
        <v>10.74</v>
      </c>
      <c r="AG97" s="215">
        <v>44943</v>
      </c>
      <c r="AH97" s="1">
        <v>7953</v>
      </c>
      <c r="AI97" s="1">
        <v>10000</v>
      </c>
      <c r="AJ97" s="1">
        <f t="shared" si="13"/>
        <v>79.53</v>
      </c>
      <c r="AL97" s="199">
        <v>44882</v>
      </c>
      <c r="AM97" s="202" t="s">
        <v>162</v>
      </c>
      <c r="AN97">
        <v>22123</v>
      </c>
      <c r="AP97" s="199">
        <v>44882</v>
      </c>
      <c r="AQ97" s="202" t="s">
        <v>165</v>
      </c>
      <c r="AR97">
        <v>579479</v>
      </c>
    </row>
    <row r="98" spans="1:48" hidden="1" x14ac:dyDescent="0.25">
      <c r="A98" s="215">
        <v>44944</v>
      </c>
      <c r="B98" s="1">
        <v>10164827</v>
      </c>
      <c r="C98" s="1">
        <v>395990</v>
      </c>
      <c r="D98" s="1">
        <v>10560817</v>
      </c>
      <c r="E98" s="1">
        <v>96.25</v>
      </c>
      <c r="F98" s="71">
        <f t="shared" si="8"/>
        <v>10.560817</v>
      </c>
      <c r="H98" s="215">
        <v>44944</v>
      </c>
      <c r="I98" s="48">
        <v>1829924</v>
      </c>
      <c r="J98" s="48">
        <v>114</v>
      </c>
      <c r="K98" s="48">
        <v>1830038</v>
      </c>
      <c r="L98" s="48">
        <v>99.99</v>
      </c>
      <c r="M98" s="71">
        <f>K98/1000000</f>
        <v>1.8300380000000001</v>
      </c>
      <c r="O98" s="215">
        <v>44944</v>
      </c>
      <c r="P98" s="48">
        <v>70016739</v>
      </c>
      <c r="Q98" s="48">
        <v>29848909</v>
      </c>
      <c r="R98" s="48">
        <v>99865648</v>
      </c>
      <c r="S98" s="204">
        <v>70.11</v>
      </c>
      <c r="T98" s="71">
        <f t="shared" si="10"/>
        <v>99.865647999999993</v>
      </c>
      <c r="W98" s="215">
        <v>44944</v>
      </c>
      <c r="X98" s="1">
        <v>7394</v>
      </c>
      <c r="Y98" s="1">
        <v>10000</v>
      </c>
      <c r="Z98" s="1">
        <f t="shared" si="14"/>
        <v>73.94</v>
      </c>
      <c r="AB98" s="215">
        <v>44944</v>
      </c>
      <c r="AC98" s="1">
        <v>1239</v>
      </c>
      <c r="AD98" s="1">
        <v>10000</v>
      </c>
      <c r="AE98" s="1">
        <f t="shared" si="11"/>
        <v>12.39</v>
      </c>
      <c r="AG98" s="215">
        <v>44944</v>
      </c>
      <c r="AH98" s="1">
        <v>7988</v>
      </c>
      <c r="AI98" s="1">
        <v>10000</v>
      </c>
      <c r="AJ98" s="1">
        <f>AH98/AI99%</f>
        <v>79.88</v>
      </c>
      <c r="AL98" s="199">
        <v>44882</v>
      </c>
      <c r="AM98" t="s">
        <v>170</v>
      </c>
      <c r="AN98">
        <v>11241</v>
      </c>
      <c r="AP98" s="199">
        <v>44882</v>
      </c>
      <c r="AQ98" s="202" t="s">
        <v>184</v>
      </c>
      <c r="AR98">
        <v>411384</v>
      </c>
    </row>
    <row r="99" spans="1:48" hidden="1" x14ac:dyDescent="0.25">
      <c r="A99" s="215">
        <v>44945</v>
      </c>
      <c r="B99" s="48">
        <v>9918594</v>
      </c>
      <c r="C99" s="48">
        <v>415570</v>
      </c>
      <c r="D99" s="48">
        <v>10334164</v>
      </c>
      <c r="E99" s="48">
        <v>95.97</v>
      </c>
      <c r="F99" s="71">
        <f t="shared" si="8"/>
        <v>10.334163999999999</v>
      </c>
      <c r="H99" s="215">
        <v>44945</v>
      </c>
      <c r="I99" s="48">
        <v>1875092</v>
      </c>
      <c r="J99" s="48">
        <v>496</v>
      </c>
      <c r="K99" s="48">
        <v>1875588</v>
      </c>
      <c r="L99" s="48">
        <v>99.97</v>
      </c>
      <c r="M99" s="71">
        <f t="shared" ref="M99:M133" si="15">K99/1000000</f>
        <v>1.875588</v>
      </c>
      <c r="O99" s="215">
        <v>44945</v>
      </c>
      <c r="P99" s="48">
        <v>79154692</v>
      </c>
      <c r="Q99" s="48">
        <v>32574949</v>
      </c>
      <c r="R99" s="48">
        <v>111729641</v>
      </c>
      <c r="S99" s="48">
        <v>70.84</v>
      </c>
      <c r="T99" s="71">
        <f t="shared" si="10"/>
        <v>111.729641</v>
      </c>
      <c r="W99" s="215">
        <v>44945</v>
      </c>
      <c r="X99" s="1">
        <v>7616</v>
      </c>
      <c r="Y99" s="1">
        <v>10000</v>
      </c>
      <c r="Z99" s="1">
        <f t="shared" si="14"/>
        <v>76.16</v>
      </c>
      <c r="AB99" s="215">
        <v>44945</v>
      </c>
      <c r="AC99" s="1">
        <v>1092</v>
      </c>
      <c r="AD99" s="1">
        <v>10000</v>
      </c>
      <c r="AE99" s="1">
        <f t="shared" si="11"/>
        <v>10.92</v>
      </c>
      <c r="AG99" s="215">
        <v>44945</v>
      </c>
      <c r="AH99" s="1">
        <v>8094</v>
      </c>
      <c r="AI99" s="1">
        <v>10000</v>
      </c>
      <c r="AJ99" s="1">
        <f t="shared" si="13"/>
        <v>80.94</v>
      </c>
    </row>
    <row r="100" spans="1:48" hidden="1" x14ac:dyDescent="0.25">
      <c r="A100" s="215">
        <v>44946</v>
      </c>
      <c r="B100" s="204">
        <v>10109359</v>
      </c>
      <c r="C100" s="204">
        <v>459223</v>
      </c>
      <c r="D100" s="204">
        <v>10568582</v>
      </c>
      <c r="E100" s="204">
        <v>95.65</v>
      </c>
      <c r="F100" s="71">
        <f t="shared" si="8"/>
        <v>10.568581999999999</v>
      </c>
      <c r="H100" s="215">
        <v>44946</v>
      </c>
      <c r="I100" s="204">
        <v>4038616</v>
      </c>
      <c r="J100" s="204">
        <v>175</v>
      </c>
      <c r="K100" s="204">
        <v>4038791</v>
      </c>
      <c r="L100" s="204">
        <v>100</v>
      </c>
      <c r="M100" s="71">
        <f t="shared" si="15"/>
        <v>4.0387909999999998</v>
      </c>
      <c r="O100" s="215">
        <v>44946</v>
      </c>
      <c r="P100" s="204">
        <v>79453304</v>
      </c>
      <c r="Q100" s="204">
        <v>30480505</v>
      </c>
      <c r="R100" s="204">
        <v>109933809</v>
      </c>
      <c r="S100" s="204">
        <v>72.27</v>
      </c>
      <c r="T100" s="71">
        <f>R100/1000000</f>
        <v>109.933809</v>
      </c>
      <c r="W100" s="215">
        <v>44946</v>
      </c>
      <c r="X100" s="1">
        <v>9445</v>
      </c>
      <c r="Y100" s="1">
        <v>10000</v>
      </c>
      <c r="Z100" s="1">
        <f t="shared" si="14"/>
        <v>94.45</v>
      </c>
      <c r="AB100" s="215">
        <v>44946</v>
      </c>
      <c r="AC100" s="1">
        <v>1064</v>
      </c>
      <c r="AD100" s="1">
        <v>10000</v>
      </c>
      <c r="AE100" s="1">
        <f t="shared" si="11"/>
        <v>10.64</v>
      </c>
      <c r="AG100" s="215">
        <v>44946</v>
      </c>
      <c r="AH100" s="1">
        <v>10000</v>
      </c>
      <c r="AI100" s="1">
        <v>10000</v>
      </c>
      <c r="AJ100" s="1">
        <f t="shared" si="13"/>
        <v>100</v>
      </c>
      <c r="AL100" s="199">
        <v>44934</v>
      </c>
      <c r="AM100" t="s">
        <v>146</v>
      </c>
      <c r="AN100">
        <v>253327</v>
      </c>
      <c r="AP100" s="199">
        <v>44934</v>
      </c>
      <c r="AQ100" t="s">
        <v>146</v>
      </c>
      <c r="AR100">
        <v>17199023</v>
      </c>
      <c r="AT100" s="199">
        <v>44934</v>
      </c>
      <c r="AU100" t="s">
        <v>147</v>
      </c>
      <c r="AV100">
        <v>35</v>
      </c>
    </row>
    <row r="101" spans="1:48" hidden="1" x14ac:dyDescent="0.25">
      <c r="A101" s="215">
        <v>44947</v>
      </c>
      <c r="B101" s="204">
        <v>10579875</v>
      </c>
      <c r="C101" s="204">
        <v>471831</v>
      </c>
      <c r="D101" s="204">
        <v>11051706</v>
      </c>
      <c r="E101" s="204">
        <v>95.73</v>
      </c>
      <c r="F101" s="71">
        <f t="shared" si="8"/>
        <v>11.051705999999999</v>
      </c>
      <c r="H101" s="215">
        <v>44947</v>
      </c>
      <c r="I101" s="204">
        <v>6089427</v>
      </c>
      <c r="J101" s="204">
        <v>259</v>
      </c>
      <c r="K101" s="204">
        <v>6089686</v>
      </c>
      <c r="L101" s="204">
        <v>100</v>
      </c>
      <c r="M101" s="71">
        <f t="shared" si="15"/>
        <v>6.0896860000000004</v>
      </c>
      <c r="O101" s="215">
        <v>44947</v>
      </c>
      <c r="P101" s="204">
        <v>77468641</v>
      </c>
      <c r="Q101" s="204">
        <v>28374200</v>
      </c>
      <c r="R101" s="204">
        <v>105842841</v>
      </c>
      <c r="S101" s="204">
        <v>73.19</v>
      </c>
      <c r="T101" s="71">
        <f t="shared" ref="T101:T164" si="16">R101/1000000</f>
        <v>105.84284100000001</v>
      </c>
      <c r="W101" s="215">
        <v>44947</v>
      </c>
      <c r="X101" s="1">
        <v>7414</v>
      </c>
      <c r="Y101" s="1">
        <v>10000</v>
      </c>
      <c r="Z101" s="1">
        <f t="shared" si="14"/>
        <v>74.14</v>
      </c>
      <c r="AB101" s="215">
        <v>44947</v>
      </c>
      <c r="AC101" s="1">
        <v>1068</v>
      </c>
      <c r="AD101" s="1">
        <v>10000</v>
      </c>
      <c r="AE101" s="1">
        <f t="shared" si="11"/>
        <v>10.68</v>
      </c>
      <c r="AG101" s="215">
        <v>44947</v>
      </c>
      <c r="AH101" s="1">
        <v>7941</v>
      </c>
      <c r="AI101" s="1">
        <v>10000</v>
      </c>
      <c r="AJ101" s="1">
        <f t="shared" si="13"/>
        <v>79.41</v>
      </c>
      <c r="AL101" s="199">
        <v>44934</v>
      </c>
      <c r="AM101" t="s">
        <v>149</v>
      </c>
      <c r="AN101">
        <v>25053</v>
      </c>
      <c r="AP101" s="199">
        <v>44934</v>
      </c>
      <c r="AQ101" t="s">
        <v>149</v>
      </c>
      <c r="AR101">
        <v>2885500</v>
      </c>
      <c r="AT101" s="199">
        <v>44934</v>
      </c>
      <c r="AU101" t="s">
        <v>155</v>
      </c>
      <c r="AV101">
        <v>29</v>
      </c>
    </row>
    <row r="102" spans="1:48" hidden="1" x14ac:dyDescent="0.25">
      <c r="A102" s="215">
        <v>44948</v>
      </c>
      <c r="B102" s="48">
        <v>10270111</v>
      </c>
      <c r="C102" s="48">
        <v>439988</v>
      </c>
      <c r="D102" s="48">
        <v>10710099</v>
      </c>
      <c r="E102" s="48">
        <v>95.89</v>
      </c>
      <c r="F102" s="71">
        <f t="shared" si="8"/>
        <v>10.710099</v>
      </c>
      <c r="H102" s="215">
        <v>44948</v>
      </c>
      <c r="I102" s="48">
        <v>1729590</v>
      </c>
      <c r="J102" s="48">
        <v>134</v>
      </c>
      <c r="K102" s="48">
        <v>1729724</v>
      </c>
      <c r="L102" s="48">
        <v>99.99</v>
      </c>
      <c r="M102" s="71">
        <f t="shared" si="15"/>
        <v>1.729724</v>
      </c>
      <c r="O102" s="215">
        <v>44948</v>
      </c>
      <c r="P102" s="48">
        <v>51837530</v>
      </c>
      <c r="Q102" s="48">
        <v>20810944</v>
      </c>
      <c r="R102" s="48">
        <v>72648474</v>
      </c>
      <c r="S102" s="48">
        <v>71.349999999999994</v>
      </c>
      <c r="T102" s="71">
        <f t="shared" si="16"/>
        <v>72.648473999999993</v>
      </c>
      <c r="W102" s="215">
        <v>44948</v>
      </c>
      <c r="X102" s="1">
        <v>6231</v>
      </c>
      <c r="Y102" s="1">
        <v>10000</v>
      </c>
      <c r="Z102" s="1">
        <f t="shared" si="14"/>
        <v>62.31</v>
      </c>
      <c r="AB102" s="215">
        <v>44948</v>
      </c>
      <c r="AC102" s="1">
        <v>1083</v>
      </c>
      <c r="AD102" s="1">
        <v>10000</v>
      </c>
      <c r="AE102" s="1">
        <f t="shared" si="11"/>
        <v>10.83</v>
      </c>
      <c r="AG102" s="215">
        <v>44948</v>
      </c>
      <c r="AH102" s="1">
        <v>6742</v>
      </c>
      <c r="AI102" s="1">
        <v>10000</v>
      </c>
      <c r="AJ102" s="1">
        <f t="shared" si="13"/>
        <v>67.42</v>
      </c>
      <c r="AL102" s="199">
        <v>44934</v>
      </c>
      <c r="AM102" t="s">
        <v>148</v>
      </c>
      <c r="AN102">
        <v>24810</v>
      </c>
      <c r="AP102" s="199">
        <v>44934</v>
      </c>
      <c r="AQ102" t="s">
        <v>180</v>
      </c>
      <c r="AR102">
        <v>1411341</v>
      </c>
    </row>
    <row r="103" spans="1:48" hidden="1" x14ac:dyDescent="0.25">
      <c r="A103" s="215">
        <v>44949</v>
      </c>
      <c r="B103" s="203">
        <v>9639485</v>
      </c>
      <c r="C103" s="203">
        <v>337808</v>
      </c>
      <c r="D103" s="203">
        <v>9977293</v>
      </c>
      <c r="E103" s="203">
        <v>96.61</v>
      </c>
      <c r="F103" s="71">
        <f t="shared" si="8"/>
        <v>9.9772929999999995</v>
      </c>
      <c r="H103" s="215">
        <v>44949</v>
      </c>
      <c r="I103" s="204">
        <v>2361086</v>
      </c>
      <c r="J103" s="204">
        <v>214</v>
      </c>
      <c r="K103" s="204">
        <v>2361300</v>
      </c>
      <c r="L103" s="204">
        <v>99.99</v>
      </c>
      <c r="M103" s="71">
        <f t="shared" si="15"/>
        <v>2.3613</v>
      </c>
      <c r="O103" s="215">
        <v>44949</v>
      </c>
      <c r="P103" s="204">
        <v>58140799</v>
      </c>
      <c r="Q103" s="204">
        <v>24357878</v>
      </c>
      <c r="R103" s="204">
        <v>82498677</v>
      </c>
      <c r="S103" s="204">
        <v>70.47</v>
      </c>
      <c r="T103" s="71">
        <f t="shared" si="16"/>
        <v>82.498677000000001</v>
      </c>
      <c r="W103" s="215">
        <v>44949</v>
      </c>
      <c r="X103" s="1">
        <v>8998</v>
      </c>
      <c r="Y103" s="1">
        <v>10000</v>
      </c>
      <c r="Z103" s="1">
        <f t="shared" si="14"/>
        <v>89.98</v>
      </c>
      <c r="AB103" s="215">
        <v>44949</v>
      </c>
      <c r="AC103" s="1">
        <v>1109</v>
      </c>
      <c r="AD103" s="1">
        <v>10000</v>
      </c>
      <c r="AE103" s="1">
        <f t="shared" si="11"/>
        <v>11.09</v>
      </c>
      <c r="AG103" s="215">
        <v>44949</v>
      </c>
      <c r="AH103" s="1">
        <v>9617</v>
      </c>
      <c r="AI103" s="1">
        <v>10000</v>
      </c>
      <c r="AJ103" s="1">
        <f t="shared" si="13"/>
        <v>96.17</v>
      </c>
      <c r="AL103" s="199">
        <v>44934</v>
      </c>
      <c r="AM103" t="s">
        <v>180</v>
      </c>
      <c r="AN103">
        <v>22136</v>
      </c>
      <c r="AP103" s="199">
        <v>44934</v>
      </c>
      <c r="AQ103" t="s">
        <v>185</v>
      </c>
      <c r="AR103">
        <v>581991</v>
      </c>
    </row>
    <row r="104" spans="1:48" hidden="1" x14ac:dyDescent="0.25">
      <c r="A104" s="215">
        <v>44950</v>
      </c>
      <c r="B104" s="203">
        <v>9440812</v>
      </c>
      <c r="C104" s="203">
        <v>405511</v>
      </c>
      <c r="D104" s="203">
        <v>9846323</v>
      </c>
      <c r="E104" s="203">
        <v>95.88</v>
      </c>
      <c r="F104" s="71">
        <f t="shared" si="8"/>
        <v>9.8463229999999999</v>
      </c>
      <c r="H104" s="215">
        <v>44950</v>
      </c>
      <c r="I104" s="204">
        <v>1547817</v>
      </c>
      <c r="J104" s="204">
        <v>2288</v>
      </c>
      <c r="K104" s="204">
        <v>1550105</v>
      </c>
      <c r="L104" s="204">
        <v>99.85</v>
      </c>
      <c r="M104" s="71">
        <f t="shared" si="15"/>
        <v>1.5501050000000001</v>
      </c>
      <c r="O104" s="215">
        <v>44950</v>
      </c>
      <c r="P104" s="204">
        <v>54357894</v>
      </c>
      <c r="Q104" s="204">
        <v>22438164</v>
      </c>
      <c r="R104" s="204">
        <v>76796058</v>
      </c>
      <c r="S104" s="204">
        <v>70.78</v>
      </c>
      <c r="T104" s="71">
        <f t="shared" si="16"/>
        <v>76.796058000000002</v>
      </c>
      <c r="W104" s="215">
        <v>44950</v>
      </c>
      <c r="X104" s="1">
        <v>8996</v>
      </c>
      <c r="Y104" s="1">
        <v>10000</v>
      </c>
      <c r="Z104" s="1">
        <f t="shared" si="14"/>
        <v>89.96</v>
      </c>
      <c r="AB104" s="215">
        <v>44950</v>
      </c>
      <c r="AC104" s="1">
        <v>1152</v>
      </c>
      <c r="AD104" s="1">
        <v>10000</v>
      </c>
      <c r="AE104" s="1">
        <f t="shared" si="11"/>
        <v>11.52</v>
      </c>
      <c r="AG104" s="215">
        <v>44950</v>
      </c>
      <c r="AH104" s="1">
        <v>9630</v>
      </c>
      <c r="AI104" s="1">
        <v>10000</v>
      </c>
      <c r="AJ104" s="1">
        <f t="shared" si="13"/>
        <v>96.3</v>
      </c>
      <c r="AL104" s="199">
        <v>44934</v>
      </c>
      <c r="AM104" t="s">
        <v>186</v>
      </c>
      <c r="AN104">
        <v>19779</v>
      </c>
      <c r="AP104" s="199">
        <v>44934</v>
      </c>
      <c r="AQ104" t="s">
        <v>148</v>
      </c>
      <c r="AR104">
        <v>179545</v>
      </c>
    </row>
    <row r="105" spans="1:48" hidden="1" x14ac:dyDescent="0.25">
      <c r="A105" s="215">
        <v>44951</v>
      </c>
      <c r="B105" s="203">
        <v>9198469</v>
      </c>
      <c r="C105" s="203">
        <v>99378</v>
      </c>
      <c r="D105" s="203">
        <v>9297847</v>
      </c>
      <c r="E105" s="203">
        <v>98.93</v>
      </c>
      <c r="F105" s="71">
        <f t="shared" si="8"/>
        <v>9.2978470000000009</v>
      </c>
      <c r="H105" s="215">
        <v>44951</v>
      </c>
      <c r="I105" s="204">
        <v>6431079</v>
      </c>
      <c r="J105" s="204">
        <v>199</v>
      </c>
      <c r="K105" s="204">
        <v>6431278</v>
      </c>
      <c r="L105" s="204">
        <v>100</v>
      </c>
      <c r="M105" s="71">
        <f t="shared" si="15"/>
        <v>6.4312779999999998</v>
      </c>
      <c r="O105" s="215">
        <v>44951</v>
      </c>
      <c r="P105" s="204">
        <v>69400306</v>
      </c>
      <c r="Q105" s="204">
        <v>31338969</v>
      </c>
      <c r="R105" s="204">
        <v>100739275</v>
      </c>
      <c r="S105" s="204">
        <v>68.89</v>
      </c>
      <c r="T105" s="71">
        <f t="shared" si="16"/>
        <v>100.73927500000001</v>
      </c>
      <c r="W105" s="215">
        <v>44951</v>
      </c>
      <c r="X105" s="1">
        <v>8570</v>
      </c>
      <c r="Y105" s="1">
        <v>10000</v>
      </c>
      <c r="Z105" s="1">
        <f t="shared" si="14"/>
        <v>85.7</v>
      </c>
      <c r="AB105" s="215">
        <v>44951</v>
      </c>
      <c r="AC105" s="1">
        <v>1109</v>
      </c>
      <c r="AD105" s="1">
        <v>10000</v>
      </c>
      <c r="AE105" s="1">
        <f t="shared" si="11"/>
        <v>11.09</v>
      </c>
      <c r="AG105" s="215">
        <v>44951</v>
      </c>
      <c r="AH105" s="1">
        <v>9402</v>
      </c>
      <c r="AI105" s="1">
        <v>10000</v>
      </c>
      <c r="AJ105" s="1">
        <f t="shared" si="13"/>
        <v>94.02</v>
      </c>
    </row>
    <row r="106" spans="1:48" hidden="1" x14ac:dyDescent="0.25">
      <c r="A106" s="215">
        <v>44978</v>
      </c>
      <c r="B106" s="203">
        <v>9250060</v>
      </c>
      <c r="C106" s="203">
        <v>621247</v>
      </c>
      <c r="D106" s="203">
        <v>9871307</v>
      </c>
      <c r="E106" s="211">
        <v>93.706537499999996</v>
      </c>
      <c r="F106" s="71">
        <f t="shared" si="8"/>
        <v>9.8713069999999998</v>
      </c>
      <c r="H106" s="215">
        <v>44978</v>
      </c>
      <c r="I106" s="204">
        <v>2250674</v>
      </c>
      <c r="J106" s="204">
        <v>170</v>
      </c>
      <c r="K106" s="204">
        <v>2250844</v>
      </c>
      <c r="L106" s="204">
        <v>99.992447299999995</v>
      </c>
      <c r="M106" s="71">
        <f t="shared" si="15"/>
        <v>2.2508439999999998</v>
      </c>
      <c r="O106" s="215">
        <v>44978</v>
      </c>
      <c r="P106" s="204">
        <v>71276423</v>
      </c>
      <c r="Q106" s="204">
        <v>27011165</v>
      </c>
      <c r="R106" s="204">
        <v>98287588</v>
      </c>
      <c r="S106" s="204">
        <v>72.518233899999998</v>
      </c>
      <c r="T106" s="71">
        <f t="shared" si="16"/>
        <v>98.287588</v>
      </c>
      <c r="W106" s="215">
        <v>44978</v>
      </c>
      <c r="X106" s="1">
        <v>7254</v>
      </c>
      <c r="Y106" s="1">
        <v>10000</v>
      </c>
      <c r="Z106" s="1">
        <f t="shared" si="14"/>
        <v>72.540000000000006</v>
      </c>
      <c r="AB106" s="215">
        <v>44978</v>
      </c>
      <c r="AC106" s="1">
        <v>1178</v>
      </c>
      <c r="AD106" s="1">
        <v>10000</v>
      </c>
      <c r="AE106" s="1">
        <f t="shared" si="11"/>
        <v>11.78</v>
      </c>
      <c r="AG106" s="215">
        <v>44978</v>
      </c>
      <c r="AH106" s="1">
        <v>7796</v>
      </c>
      <c r="AI106" s="1">
        <v>10000</v>
      </c>
      <c r="AJ106" s="1">
        <f t="shared" si="13"/>
        <v>77.959999999999994</v>
      </c>
    </row>
    <row r="107" spans="1:48" hidden="1" x14ac:dyDescent="0.25">
      <c r="A107" s="215">
        <v>44979</v>
      </c>
      <c r="B107" s="203">
        <v>9211635</v>
      </c>
      <c r="C107" s="203">
        <v>435133</v>
      </c>
      <c r="D107" s="203">
        <v>9646768</v>
      </c>
      <c r="E107" s="211">
        <v>95.489339000000001</v>
      </c>
      <c r="F107" s="71">
        <f t="shared" si="8"/>
        <v>9.6467679999999998</v>
      </c>
      <c r="H107" s="215">
        <v>44979</v>
      </c>
      <c r="I107" s="204">
        <v>2113541</v>
      </c>
      <c r="J107" s="204">
        <v>274</v>
      </c>
      <c r="K107" s="204">
        <v>2113815</v>
      </c>
      <c r="L107" s="204">
        <v>99.987037700000002</v>
      </c>
      <c r="M107" s="71">
        <f t="shared" si="15"/>
        <v>2.1138150000000002</v>
      </c>
      <c r="O107" s="215">
        <v>44979</v>
      </c>
      <c r="P107" s="204">
        <v>67684717</v>
      </c>
      <c r="Q107" s="204">
        <v>25431109</v>
      </c>
      <c r="R107" s="204">
        <v>93115826</v>
      </c>
      <c r="S107" s="204">
        <v>72.6887361</v>
      </c>
      <c r="T107" s="71">
        <f t="shared" si="16"/>
        <v>93.115825999999998</v>
      </c>
      <c r="W107" s="215">
        <v>44979</v>
      </c>
      <c r="X107" s="1">
        <v>8857</v>
      </c>
      <c r="Y107" s="1">
        <v>10000</v>
      </c>
      <c r="Z107" s="1">
        <f t="shared" si="14"/>
        <v>88.57</v>
      </c>
      <c r="AB107" s="215">
        <v>44979</v>
      </c>
      <c r="AC107" s="1">
        <v>1034</v>
      </c>
      <c r="AD107" s="1">
        <v>10000</v>
      </c>
      <c r="AE107" s="1">
        <f t="shared" si="11"/>
        <v>10.34</v>
      </c>
      <c r="AG107" s="215">
        <v>44979</v>
      </c>
      <c r="AH107" s="1">
        <v>9447</v>
      </c>
      <c r="AI107" s="1">
        <v>10000</v>
      </c>
      <c r="AJ107" s="1">
        <f t="shared" si="13"/>
        <v>94.47</v>
      </c>
    </row>
    <row r="108" spans="1:48" hidden="1" x14ac:dyDescent="0.25">
      <c r="A108" s="215">
        <v>44980</v>
      </c>
      <c r="B108" s="203">
        <v>9072773</v>
      </c>
      <c r="C108" s="203">
        <v>84229</v>
      </c>
      <c r="D108" s="203">
        <v>9157002</v>
      </c>
      <c r="E108" s="211">
        <v>99.080168400000005</v>
      </c>
      <c r="F108" s="71">
        <f t="shared" si="8"/>
        <v>9.1570020000000003</v>
      </c>
      <c r="H108" s="215">
        <v>44980</v>
      </c>
      <c r="I108" s="204">
        <v>1940537</v>
      </c>
      <c r="J108" s="204">
        <v>699</v>
      </c>
      <c r="K108" s="204">
        <v>1941236</v>
      </c>
      <c r="L108" s="204">
        <v>99.963992000000005</v>
      </c>
      <c r="M108" s="71">
        <f t="shared" si="15"/>
        <v>1.941236</v>
      </c>
      <c r="O108" s="215">
        <v>44980</v>
      </c>
      <c r="P108" s="204">
        <v>72354394</v>
      </c>
      <c r="Q108" s="204">
        <v>32059999</v>
      </c>
      <c r="R108" s="204">
        <v>104414393</v>
      </c>
      <c r="S108" s="204">
        <v>69.2954218</v>
      </c>
      <c r="T108" s="71">
        <f t="shared" si="16"/>
        <v>104.414393</v>
      </c>
      <c r="W108" s="215">
        <v>44980</v>
      </c>
      <c r="X108" s="1">
        <v>5300</v>
      </c>
      <c r="Y108" s="1">
        <v>10000</v>
      </c>
      <c r="Z108" s="1">
        <f t="shared" si="14"/>
        <v>53</v>
      </c>
      <c r="AB108" s="215">
        <v>44980</v>
      </c>
      <c r="AC108" s="1">
        <v>1653</v>
      </c>
      <c r="AD108" s="1">
        <v>10000</v>
      </c>
      <c r="AE108" s="1">
        <f t="shared" si="11"/>
        <v>16.53</v>
      </c>
      <c r="AG108" s="215">
        <v>44980</v>
      </c>
      <c r="AH108" s="1">
        <v>8243</v>
      </c>
      <c r="AI108" s="1">
        <v>10000</v>
      </c>
      <c r="AJ108" s="1">
        <f t="shared" si="13"/>
        <v>82.43</v>
      </c>
      <c r="AL108" s="199">
        <v>44935</v>
      </c>
      <c r="AM108" t="s">
        <v>146</v>
      </c>
      <c r="AN108">
        <v>200182</v>
      </c>
      <c r="AP108" s="199">
        <v>44935</v>
      </c>
      <c r="AQ108" t="s">
        <v>146</v>
      </c>
      <c r="AR108">
        <v>17192550</v>
      </c>
      <c r="AT108" s="199">
        <v>44935</v>
      </c>
      <c r="AU108" t="s">
        <v>147</v>
      </c>
      <c r="AV108">
        <v>56</v>
      </c>
    </row>
    <row r="109" spans="1:48" hidden="1" x14ac:dyDescent="0.25">
      <c r="A109" s="215">
        <v>44981</v>
      </c>
      <c r="B109" s="203">
        <v>9690576</v>
      </c>
      <c r="C109" s="203">
        <v>447149</v>
      </c>
      <c r="D109" s="203">
        <v>10137725</v>
      </c>
      <c r="E109" s="211">
        <v>95.589257000000003</v>
      </c>
      <c r="F109" s="71">
        <f t="shared" si="8"/>
        <v>10.137725</v>
      </c>
      <c r="H109" s="215">
        <v>44981</v>
      </c>
      <c r="I109" s="204">
        <v>1941645</v>
      </c>
      <c r="J109" s="204">
        <v>221</v>
      </c>
      <c r="K109" s="204">
        <v>1941866</v>
      </c>
      <c r="L109" s="204">
        <v>99.988619200000002</v>
      </c>
      <c r="M109" s="71">
        <f t="shared" si="15"/>
        <v>1.9418660000000001</v>
      </c>
      <c r="O109" s="215">
        <v>44981</v>
      </c>
      <c r="P109" s="204">
        <v>72749251</v>
      </c>
      <c r="Q109" s="204">
        <v>29445373</v>
      </c>
      <c r="R109" s="204">
        <v>102194624</v>
      </c>
      <c r="S109" s="204">
        <v>71.186964799999998</v>
      </c>
      <c r="T109" s="71">
        <f t="shared" si="16"/>
        <v>102.194624</v>
      </c>
      <c r="W109" s="215">
        <v>44981</v>
      </c>
      <c r="X109" s="1">
        <v>9000</v>
      </c>
      <c r="Y109" s="1">
        <v>10000</v>
      </c>
      <c r="Z109" s="1">
        <f t="shared" si="14"/>
        <v>90</v>
      </c>
      <c r="AB109" s="215">
        <v>44981</v>
      </c>
      <c r="AC109" s="1">
        <v>1131</v>
      </c>
      <c r="AD109" s="1">
        <v>10000</v>
      </c>
      <c r="AE109" s="1">
        <f t="shared" si="11"/>
        <v>11.31</v>
      </c>
      <c r="AG109" s="215">
        <v>44981</v>
      </c>
      <c r="AH109" s="1">
        <v>9563</v>
      </c>
      <c r="AI109" s="1">
        <v>10000</v>
      </c>
      <c r="AJ109" s="1">
        <f t="shared" si="13"/>
        <v>95.63</v>
      </c>
      <c r="AL109" s="199">
        <v>44935</v>
      </c>
      <c r="AM109" t="s">
        <v>148</v>
      </c>
      <c r="AN109">
        <v>33554</v>
      </c>
      <c r="AP109" s="199">
        <v>44935</v>
      </c>
      <c r="AQ109" t="s">
        <v>149</v>
      </c>
      <c r="AR109">
        <v>2741271</v>
      </c>
      <c r="AT109" s="199">
        <v>44935</v>
      </c>
      <c r="AU109" t="s">
        <v>155</v>
      </c>
      <c r="AV109">
        <v>39</v>
      </c>
    </row>
    <row r="110" spans="1:48" hidden="1" x14ac:dyDescent="0.25">
      <c r="A110" s="215">
        <v>44982</v>
      </c>
      <c r="B110" s="203">
        <v>9466328</v>
      </c>
      <c r="C110" s="203">
        <v>497838</v>
      </c>
      <c r="D110" s="203">
        <v>9964166</v>
      </c>
      <c r="E110" s="211">
        <v>95.003716299999994</v>
      </c>
      <c r="F110" s="71">
        <f t="shared" si="8"/>
        <v>9.9641660000000005</v>
      </c>
      <c r="H110" s="215">
        <v>44982</v>
      </c>
      <c r="I110" s="204">
        <v>1897815</v>
      </c>
      <c r="J110" s="204">
        <v>246</v>
      </c>
      <c r="K110" s="204">
        <v>1898061</v>
      </c>
      <c r="L110" s="204">
        <v>99.9870394</v>
      </c>
      <c r="M110" s="71">
        <f t="shared" si="15"/>
        <v>1.898061</v>
      </c>
      <c r="O110" s="215">
        <v>44982</v>
      </c>
      <c r="P110" s="204">
        <v>65331357</v>
      </c>
      <c r="Q110" s="204">
        <v>31544648</v>
      </c>
      <c r="R110" s="204">
        <v>96876005</v>
      </c>
      <c r="S110" s="204">
        <v>67.438120499999997</v>
      </c>
      <c r="T110" s="71">
        <f t="shared" si="16"/>
        <v>96.876005000000006</v>
      </c>
      <c r="W110" s="215">
        <v>44982</v>
      </c>
      <c r="X110" s="1">
        <v>7454</v>
      </c>
      <c r="Y110" s="1">
        <v>10000</v>
      </c>
      <c r="Z110" s="1">
        <f t="shared" si="14"/>
        <v>74.540000000000006</v>
      </c>
      <c r="AB110" s="215">
        <v>44982</v>
      </c>
      <c r="AC110" s="1">
        <v>1303</v>
      </c>
      <c r="AD110" s="1">
        <v>10000</v>
      </c>
      <c r="AE110" s="1">
        <f t="shared" si="11"/>
        <v>13.03</v>
      </c>
      <c r="AG110" s="215">
        <v>44982</v>
      </c>
      <c r="AH110" s="1">
        <v>8061</v>
      </c>
      <c r="AI110" s="1">
        <v>10000</v>
      </c>
      <c r="AJ110" s="1">
        <f t="shared" si="13"/>
        <v>80.61</v>
      </c>
      <c r="AL110" s="199">
        <v>44935</v>
      </c>
      <c r="AM110" t="s">
        <v>186</v>
      </c>
      <c r="AN110">
        <v>24037</v>
      </c>
      <c r="AP110" s="199">
        <v>44935</v>
      </c>
      <c r="AQ110" t="s">
        <v>180</v>
      </c>
      <c r="AR110">
        <v>1391828</v>
      </c>
    </row>
    <row r="111" spans="1:48" hidden="1" x14ac:dyDescent="0.25">
      <c r="A111" s="215">
        <v>44983</v>
      </c>
      <c r="B111" s="203">
        <v>8285759</v>
      </c>
      <c r="C111" s="203">
        <v>375974</v>
      </c>
      <c r="D111" s="203">
        <v>8661733</v>
      </c>
      <c r="E111" s="211">
        <v>95.659367500000002</v>
      </c>
      <c r="F111" s="71">
        <f t="shared" si="8"/>
        <v>8.6617329999999999</v>
      </c>
      <c r="H111" s="215">
        <v>44983</v>
      </c>
      <c r="I111" s="204">
        <v>2122643</v>
      </c>
      <c r="J111" s="204">
        <v>362</v>
      </c>
      <c r="K111" s="204">
        <v>2123005</v>
      </c>
      <c r="L111" s="204">
        <v>99.982948699999994</v>
      </c>
      <c r="M111" s="71">
        <f t="shared" si="15"/>
        <v>2.123005</v>
      </c>
      <c r="O111" s="215">
        <v>44983</v>
      </c>
      <c r="P111" s="204">
        <v>61992066</v>
      </c>
      <c r="Q111" s="204">
        <v>28634185</v>
      </c>
      <c r="R111" s="204">
        <v>90626251</v>
      </c>
      <c r="S111" s="204">
        <v>68.404094099999995</v>
      </c>
      <c r="T111" s="71">
        <f t="shared" si="16"/>
        <v>90.626250999999996</v>
      </c>
      <c r="W111" s="215">
        <v>44983</v>
      </c>
      <c r="X111" s="1">
        <v>5872</v>
      </c>
      <c r="Y111" s="1">
        <v>10000</v>
      </c>
      <c r="Z111" s="1">
        <f t="shared" si="14"/>
        <v>58.72</v>
      </c>
      <c r="AB111" s="215">
        <v>44983</v>
      </c>
      <c r="AC111" s="1">
        <v>1006</v>
      </c>
      <c r="AD111" s="1">
        <v>10000</v>
      </c>
      <c r="AE111" s="1">
        <f t="shared" si="11"/>
        <v>10.06</v>
      </c>
      <c r="AG111" s="215">
        <v>44983</v>
      </c>
      <c r="AH111" s="1">
        <v>6474</v>
      </c>
      <c r="AI111" s="1">
        <v>10000</v>
      </c>
      <c r="AJ111" s="1">
        <f t="shared" si="13"/>
        <v>64.739999999999995</v>
      </c>
      <c r="AL111" s="199">
        <v>44935</v>
      </c>
      <c r="AM111" t="s">
        <v>149</v>
      </c>
      <c r="AN111">
        <v>19809</v>
      </c>
      <c r="AP111" s="199">
        <v>44935</v>
      </c>
      <c r="AQ111" t="s">
        <v>185</v>
      </c>
      <c r="AR111">
        <v>524150</v>
      </c>
    </row>
    <row r="112" spans="1:48" hidden="1" x14ac:dyDescent="0.25">
      <c r="A112" s="215">
        <v>44984</v>
      </c>
      <c r="B112" s="203">
        <v>9502569</v>
      </c>
      <c r="C112" s="203">
        <v>275140</v>
      </c>
      <c r="D112" s="203">
        <v>9777709</v>
      </c>
      <c r="E112" s="211">
        <v>97.186048400000004</v>
      </c>
      <c r="F112" s="71">
        <f t="shared" si="8"/>
        <v>9.7777089999999998</v>
      </c>
      <c r="H112" s="215">
        <v>44984</v>
      </c>
      <c r="I112" s="204">
        <v>2125063</v>
      </c>
      <c r="J112" s="204">
        <v>1153</v>
      </c>
      <c r="K112" s="204">
        <v>2126216</v>
      </c>
      <c r="L112" s="204">
        <v>99.945772199999993</v>
      </c>
      <c r="M112" s="71">
        <f t="shared" si="15"/>
        <v>2.1262159999999999</v>
      </c>
      <c r="O112" s="215">
        <v>44984</v>
      </c>
      <c r="P112" s="204">
        <v>66812081</v>
      </c>
      <c r="Q112" s="204">
        <v>32926624</v>
      </c>
      <c r="R112" s="204">
        <v>99738705</v>
      </c>
      <c r="S112" s="204">
        <v>66.987115000000003</v>
      </c>
      <c r="T112" s="71">
        <f t="shared" si="16"/>
        <v>99.738704999999996</v>
      </c>
      <c r="W112" s="215">
        <v>44984</v>
      </c>
      <c r="X112" s="1">
        <v>9000</v>
      </c>
      <c r="Y112" s="1">
        <v>10000</v>
      </c>
      <c r="Z112" s="1">
        <f t="shared" si="14"/>
        <v>90</v>
      </c>
      <c r="AB112" s="215">
        <v>44984</v>
      </c>
      <c r="AC112" s="1">
        <v>1100</v>
      </c>
      <c r="AD112" s="1">
        <v>10000</v>
      </c>
      <c r="AE112" s="1">
        <f t="shared" si="11"/>
        <v>11</v>
      </c>
      <c r="AG112" s="215">
        <v>44984</v>
      </c>
      <c r="AH112" s="1">
        <v>9619</v>
      </c>
      <c r="AI112" s="1">
        <v>10000</v>
      </c>
      <c r="AJ112" s="1">
        <f t="shared" si="13"/>
        <v>96.19</v>
      </c>
      <c r="AL112" s="199">
        <v>44935</v>
      </c>
      <c r="AM112" t="s">
        <v>180</v>
      </c>
      <c r="AN112">
        <v>13506</v>
      </c>
      <c r="AP112" s="199">
        <v>44935</v>
      </c>
      <c r="AQ112" t="s">
        <v>148</v>
      </c>
      <c r="AR112">
        <v>352605</v>
      </c>
    </row>
    <row r="113" spans="1:48" hidden="1" x14ac:dyDescent="0.25">
      <c r="A113" s="215">
        <v>44985</v>
      </c>
      <c r="B113" s="203">
        <v>9739476</v>
      </c>
      <c r="C113" s="203">
        <v>491504</v>
      </c>
      <c r="D113" s="203">
        <v>10230980</v>
      </c>
      <c r="E113" s="203">
        <v>95.2</v>
      </c>
      <c r="F113" s="211">
        <f t="shared" si="8"/>
        <v>10.230980000000001</v>
      </c>
      <c r="H113" s="215">
        <v>44985</v>
      </c>
      <c r="I113" s="204">
        <v>2122659</v>
      </c>
      <c r="J113" s="204">
        <v>152</v>
      </c>
      <c r="K113" s="204">
        <v>2122811</v>
      </c>
      <c r="L113" s="204">
        <v>99.99</v>
      </c>
      <c r="M113" s="71">
        <f t="shared" si="15"/>
        <v>2.122811</v>
      </c>
      <c r="O113" s="215">
        <v>44985</v>
      </c>
      <c r="P113" s="204">
        <v>73787333</v>
      </c>
      <c r="Q113" s="204">
        <v>35520168</v>
      </c>
      <c r="R113" s="204">
        <v>109307501</v>
      </c>
      <c r="S113" s="204">
        <v>67.5</v>
      </c>
      <c r="T113" s="71">
        <f t="shared" si="16"/>
        <v>109.307501</v>
      </c>
      <c r="W113" s="215">
        <v>44985</v>
      </c>
      <c r="X113" s="1">
        <v>8480</v>
      </c>
      <c r="Y113" s="1">
        <v>10000</v>
      </c>
      <c r="Z113" s="1">
        <f t="shared" si="14"/>
        <v>84.8</v>
      </c>
      <c r="AB113" s="215">
        <v>44985</v>
      </c>
      <c r="AC113" s="1">
        <v>1521</v>
      </c>
      <c r="AD113" s="1">
        <v>10000</v>
      </c>
      <c r="AE113" s="1">
        <f t="shared" si="11"/>
        <v>15.21</v>
      </c>
      <c r="AG113" s="215">
        <v>44985</v>
      </c>
      <c r="AH113" s="1">
        <v>10000</v>
      </c>
      <c r="AI113" s="1">
        <v>10000</v>
      </c>
      <c r="AJ113" s="1">
        <f t="shared" si="13"/>
        <v>100</v>
      </c>
      <c r="AL113" s="199"/>
    </row>
    <row r="114" spans="1:48" hidden="1" x14ac:dyDescent="0.25">
      <c r="A114" s="215">
        <v>44986</v>
      </c>
      <c r="B114" s="203">
        <v>9769483</v>
      </c>
      <c r="C114" s="203">
        <v>437449</v>
      </c>
      <c r="D114" s="203">
        <v>10206932</v>
      </c>
      <c r="E114" s="203">
        <v>95.71</v>
      </c>
      <c r="F114" s="211">
        <f t="shared" si="8"/>
        <v>10.206932</v>
      </c>
      <c r="H114" s="215">
        <v>44986</v>
      </c>
      <c r="I114" s="204">
        <v>2528030</v>
      </c>
      <c r="J114" s="204">
        <v>139</v>
      </c>
      <c r="K114" s="204">
        <v>2528169</v>
      </c>
      <c r="L114" s="204">
        <v>99.99</v>
      </c>
      <c r="M114" s="71">
        <f t="shared" si="15"/>
        <v>2.5281690000000001</v>
      </c>
      <c r="O114" s="215">
        <v>44986</v>
      </c>
      <c r="P114" s="204">
        <v>75168205</v>
      </c>
      <c r="Q114" s="204">
        <v>33813842</v>
      </c>
      <c r="R114" s="204">
        <v>108982047</v>
      </c>
      <c r="S114" s="204">
        <v>68.97</v>
      </c>
      <c r="T114" s="71">
        <f t="shared" si="16"/>
        <v>108.98204699999999</v>
      </c>
      <c r="W114" s="215">
        <v>44986</v>
      </c>
      <c r="X114" s="1">
        <v>9000</v>
      </c>
      <c r="Y114" s="1">
        <v>10000</v>
      </c>
      <c r="Z114" s="1">
        <f t="shared" si="14"/>
        <v>90</v>
      </c>
      <c r="AB114" s="215">
        <v>44986</v>
      </c>
      <c r="AC114" s="1">
        <v>1056</v>
      </c>
      <c r="AD114" s="1">
        <v>10000</v>
      </c>
      <c r="AE114" s="1">
        <f t="shared" si="11"/>
        <v>10.56</v>
      </c>
      <c r="AG114" s="215">
        <v>44986</v>
      </c>
      <c r="AH114" s="1">
        <v>9455</v>
      </c>
      <c r="AI114" s="1">
        <v>10000</v>
      </c>
      <c r="AJ114" s="1">
        <f t="shared" si="13"/>
        <v>94.55</v>
      </c>
      <c r="AL114" s="199">
        <v>44936</v>
      </c>
      <c r="AM114" t="s">
        <v>146</v>
      </c>
      <c r="AN114">
        <v>265259</v>
      </c>
      <c r="AP114" s="199">
        <v>44936</v>
      </c>
      <c r="AQ114" t="s">
        <v>146</v>
      </c>
      <c r="AR114">
        <v>19486490</v>
      </c>
      <c r="AT114" s="199">
        <v>44936</v>
      </c>
      <c r="AU114" t="s">
        <v>147</v>
      </c>
      <c r="AV114">
        <v>49</v>
      </c>
    </row>
    <row r="115" spans="1:48" hidden="1" x14ac:dyDescent="0.25">
      <c r="A115" s="215">
        <v>44987</v>
      </c>
      <c r="B115" s="203">
        <v>9466204</v>
      </c>
      <c r="C115" s="203">
        <v>469761</v>
      </c>
      <c r="D115" s="203">
        <v>9935965</v>
      </c>
      <c r="E115" s="203">
        <v>95.27</v>
      </c>
      <c r="F115" s="211">
        <f t="shared" si="8"/>
        <v>9.9359649999999995</v>
      </c>
      <c r="H115" s="215">
        <v>44987</v>
      </c>
      <c r="I115" s="204">
        <v>2926157</v>
      </c>
      <c r="J115" s="204">
        <v>1062</v>
      </c>
      <c r="K115" s="204">
        <v>2927219</v>
      </c>
      <c r="L115" s="204">
        <v>99.96</v>
      </c>
      <c r="M115" s="71">
        <f t="shared" si="15"/>
        <v>2.927219</v>
      </c>
      <c r="O115" s="215">
        <v>44987</v>
      </c>
      <c r="P115" s="204">
        <v>70994925</v>
      </c>
      <c r="Q115" s="204">
        <v>30213475</v>
      </c>
      <c r="R115" s="204">
        <v>101208400</v>
      </c>
      <c r="S115" s="204">
        <v>70.150000000000006</v>
      </c>
      <c r="T115" s="204">
        <f t="shared" si="16"/>
        <v>101.2084</v>
      </c>
      <c r="W115" s="215">
        <v>44987</v>
      </c>
      <c r="X115" s="1">
        <v>8622</v>
      </c>
      <c r="Y115" s="1">
        <v>10000</v>
      </c>
      <c r="Z115" s="1">
        <f t="shared" si="14"/>
        <v>86.22</v>
      </c>
      <c r="AB115" s="215">
        <v>44987</v>
      </c>
      <c r="AC115" s="1">
        <v>1553</v>
      </c>
      <c r="AD115" s="1">
        <v>10000</v>
      </c>
      <c r="AE115" s="1">
        <f t="shared" si="11"/>
        <v>15.53</v>
      </c>
      <c r="AG115" s="215">
        <v>44987</v>
      </c>
      <c r="AH115" s="1">
        <v>9087</v>
      </c>
      <c r="AI115" s="1">
        <v>10000</v>
      </c>
      <c r="AJ115" s="1">
        <f t="shared" si="13"/>
        <v>90.87</v>
      </c>
      <c r="AL115" s="199">
        <v>44936</v>
      </c>
      <c r="AM115" t="s">
        <v>148</v>
      </c>
      <c r="AN115">
        <v>29863</v>
      </c>
      <c r="AP115" s="199">
        <v>44936</v>
      </c>
      <c r="AQ115" t="s">
        <v>149</v>
      </c>
      <c r="AR115">
        <v>3767841</v>
      </c>
      <c r="AT115" s="199">
        <v>44936</v>
      </c>
      <c r="AU115" t="s">
        <v>155</v>
      </c>
      <c r="AV115">
        <v>33</v>
      </c>
    </row>
    <row r="116" spans="1:48" hidden="1" x14ac:dyDescent="0.25">
      <c r="A116" s="215">
        <v>44988</v>
      </c>
      <c r="B116" s="203">
        <v>9624979</v>
      </c>
      <c r="C116" s="203">
        <v>610660</v>
      </c>
      <c r="D116" s="203">
        <v>10235639</v>
      </c>
      <c r="E116" s="203">
        <v>94.03</v>
      </c>
      <c r="F116" s="211">
        <f t="shared" si="8"/>
        <v>10.235639000000001</v>
      </c>
      <c r="H116" s="215">
        <v>44988</v>
      </c>
      <c r="I116" s="204">
        <v>3533706</v>
      </c>
      <c r="J116" s="204">
        <v>3148</v>
      </c>
      <c r="K116" s="204">
        <v>3536854</v>
      </c>
      <c r="L116" s="204">
        <v>99.91</v>
      </c>
      <c r="M116" s="71">
        <f t="shared" si="15"/>
        <v>3.5368539999999999</v>
      </c>
      <c r="O116" s="215">
        <v>44988</v>
      </c>
      <c r="P116" s="204">
        <v>83574369</v>
      </c>
      <c r="Q116" s="204">
        <v>42162053</v>
      </c>
      <c r="R116" s="204">
        <v>125736422</v>
      </c>
      <c r="S116" s="204">
        <v>66.47</v>
      </c>
      <c r="T116" s="212">
        <f t="shared" si="16"/>
        <v>125.736422</v>
      </c>
      <c r="W116" s="215">
        <v>44988</v>
      </c>
      <c r="X116" s="1">
        <v>9000</v>
      </c>
      <c r="Y116" s="1">
        <v>10000</v>
      </c>
      <c r="Z116" s="1">
        <f t="shared" si="14"/>
        <v>90</v>
      </c>
      <c r="AB116" s="215">
        <v>44988</v>
      </c>
      <c r="AC116" s="1">
        <v>1339</v>
      </c>
      <c r="AD116" s="1">
        <v>10000</v>
      </c>
      <c r="AE116" s="1">
        <f t="shared" si="11"/>
        <v>13.39</v>
      </c>
      <c r="AG116" s="215">
        <v>44988</v>
      </c>
      <c r="AH116" s="1">
        <v>9773</v>
      </c>
      <c r="AI116" s="1">
        <v>10000</v>
      </c>
      <c r="AJ116" s="1">
        <f t="shared" si="13"/>
        <v>97.73</v>
      </c>
      <c r="AL116" s="199">
        <v>44936</v>
      </c>
      <c r="AM116" t="s">
        <v>180</v>
      </c>
      <c r="AN116">
        <v>22820</v>
      </c>
      <c r="AP116" s="199">
        <v>44936</v>
      </c>
      <c r="AQ116" t="s">
        <v>180</v>
      </c>
      <c r="AR116">
        <v>1500072</v>
      </c>
    </row>
    <row r="117" spans="1:48" hidden="1" x14ac:dyDescent="0.25">
      <c r="A117" s="215">
        <v>44989</v>
      </c>
      <c r="B117" s="203">
        <v>9913587</v>
      </c>
      <c r="C117" s="203">
        <v>383386</v>
      </c>
      <c r="D117" s="203">
        <v>10296973</v>
      </c>
      <c r="E117" s="203">
        <v>96.28</v>
      </c>
      <c r="F117" s="211">
        <f t="shared" si="8"/>
        <v>10.296972999999999</v>
      </c>
      <c r="H117" s="215">
        <v>44989</v>
      </c>
      <c r="I117" s="204">
        <v>4340163</v>
      </c>
      <c r="J117" s="204">
        <v>1806</v>
      </c>
      <c r="K117" s="204">
        <v>4341969</v>
      </c>
      <c r="L117" s="204">
        <v>99.96</v>
      </c>
      <c r="M117" s="71">
        <f t="shared" si="15"/>
        <v>4.3419689999999997</v>
      </c>
      <c r="O117" s="215">
        <v>44989</v>
      </c>
      <c r="P117" s="204">
        <v>75347505</v>
      </c>
      <c r="Q117" s="204">
        <v>31333096</v>
      </c>
      <c r="R117" s="204">
        <v>106680601</v>
      </c>
      <c r="S117" s="204">
        <v>70.63</v>
      </c>
      <c r="T117" s="212">
        <f t="shared" si="16"/>
        <v>106.680601</v>
      </c>
      <c r="W117" s="215">
        <v>44989</v>
      </c>
      <c r="X117" s="1">
        <v>9000</v>
      </c>
      <c r="Y117" s="1">
        <v>10000</v>
      </c>
      <c r="Z117" s="1">
        <f t="shared" si="14"/>
        <v>90</v>
      </c>
      <c r="AB117" s="215">
        <v>44989</v>
      </c>
      <c r="AC117" s="1">
        <v>1166</v>
      </c>
      <c r="AD117" s="1">
        <v>10000</v>
      </c>
      <c r="AE117" s="1">
        <f t="shared" si="11"/>
        <v>11.66</v>
      </c>
      <c r="AG117" s="215">
        <v>44989</v>
      </c>
      <c r="AH117" s="1">
        <v>9700</v>
      </c>
      <c r="AI117" s="1">
        <v>10000</v>
      </c>
      <c r="AJ117" s="1">
        <f t="shared" si="13"/>
        <v>97</v>
      </c>
      <c r="AL117" s="199">
        <v>44936</v>
      </c>
      <c r="AM117" t="s">
        <v>186</v>
      </c>
      <c r="AN117">
        <v>21887</v>
      </c>
      <c r="AP117" s="199">
        <v>44936</v>
      </c>
      <c r="AQ117" t="s">
        <v>148</v>
      </c>
      <c r="AR117">
        <v>536727</v>
      </c>
    </row>
    <row r="118" spans="1:48" hidden="1" x14ac:dyDescent="0.25">
      <c r="A118" s="215">
        <v>44990</v>
      </c>
      <c r="B118" s="203">
        <v>9865691</v>
      </c>
      <c r="C118" s="203">
        <v>373870</v>
      </c>
      <c r="D118" s="203">
        <v>10239561</v>
      </c>
      <c r="E118" s="203">
        <v>96.35</v>
      </c>
      <c r="F118" s="211">
        <f t="shared" si="8"/>
        <v>10.239561</v>
      </c>
      <c r="H118" s="215">
        <v>44990</v>
      </c>
      <c r="I118" s="204">
        <v>4159124</v>
      </c>
      <c r="J118" s="204">
        <v>2108</v>
      </c>
      <c r="K118" s="204">
        <v>4161232</v>
      </c>
      <c r="L118" s="204">
        <v>99.95</v>
      </c>
      <c r="M118" s="71">
        <f t="shared" si="15"/>
        <v>4.161232</v>
      </c>
      <c r="O118" s="215">
        <v>44990</v>
      </c>
      <c r="P118" s="204">
        <v>64091435</v>
      </c>
      <c r="Q118" s="204">
        <v>25838384</v>
      </c>
      <c r="R118" s="204">
        <v>89929819</v>
      </c>
      <c r="S118" s="204">
        <v>71.27</v>
      </c>
      <c r="T118" s="212">
        <f t="shared" si="16"/>
        <v>89.929818999999995</v>
      </c>
      <c r="W118" s="215">
        <v>44990</v>
      </c>
      <c r="X118" s="1">
        <v>6651</v>
      </c>
      <c r="Y118" s="1">
        <v>10000</v>
      </c>
      <c r="Z118" s="1">
        <f t="shared" si="14"/>
        <v>66.510000000000005</v>
      </c>
      <c r="AB118" s="215">
        <v>44990</v>
      </c>
      <c r="AC118" s="1">
        <v>1039</v>
      </c>
      <c r="AD118" s="1">
        <v>10000</v>
      </c>
      <c r="AE118" s="1">
        <f t="shared" si="11"/>
        <v>10.39</v>
      </c>
      <c r="AG118" s="215">
        <v>44990</v>
      </c>
      <c r="AH118" s="1">
        <v>7234</v>
      </c>
      <c r="AI118" s="1">
        <v>10000</v>
      </c>
      <c r="AJ118" s="1">
        <f t="shared" si="13"/>
        <v>72.34</v>
      </c>
      <c r="AL118" s="199">
        <v>44936</v>
      </c>
      <c r="AM118" t="s">
        <v>149</v>
      </c>
      <c r="AN118">
        <v>20665</v>
      </c>
      <c r="AP118" s="199">
        <v>44936</v>
      </c>
      <c r="AQ118" t="s">
        <v>185</v>
      </c>
      <c r="AR118">
        <v>535895</v>
      </c>
    </row>
    <row r="119" spans="1:48" hidden="1" x14ac:dyDescent="0.25">
      <c r="A119" s="215">
        <v>44991</v>
      </c>
      <c r="B119" s="203">
        <v>9935119</v>
      </c>
      <c r="C119" s="203">
        <v>347311</v>
      </c>
      <c r="D119" s="203">
        <v>10282430</v>
      </c>
      <c r="E119" s="203">
        <v>96.62</v>
      </c>
      <c r="F119" s="211">
        <f t="shared" si="8"/>
        <v>10.28243</v>
      </c>
      <c r="H119" s="215">
        <v>44991</v>
      </c>
      <c r="I119" s="204">
        <v>3636022</v>
      </c>
      <c r="J119" s="204">
        <v>1963</v>
      </c>
      <c r="K119" s="204">
        <v>3637985</v>
      </c>
      <c r="L119" s="204">
        <v>99.95</v>
      </c>
      <c r="M119" s="71">
        <f t="shared" si="15"/>
        <v>3.637985</v>
      </c>
      <c r="O119" s="215">
        <v>44991</v>
      </c>
      <c r="P119" s="204">
        <v>74766041</v>
      </c>
      <c r="Q119" s="204">
        <v>33328188</v>
      </c>
      <c r="R119" s="204">
        <v>108094229</v>
      </c>
      <c r="S119" s="204">
        <v>69.17</v>
      </c>
      <c r="T119" s="212">
        <f t="shared" si="16"/>
        <v>108.094229</v>
      </c>
      <c r="W119" s="215">
        <v>44991</v>
      </c>
      <c r="X119" s="1">
        <v>9000</v>
      </c>
      <c r="Y119" s="1">
        <v>10000</v>
      </c>
      <c r="Z119" s="1">
        <f t="shared" si="14"/>
        <v>90</v>
      </c>
      <c r="AB119" s="215">
        <v>44991</v>
      </c>
      <c r="AC119" s="1">
        <v>1104</v>
      </c>
      <c r="AD119" s="1">
        <v>10000</v>
      </c>
      <c r="AE119" s="1">
        <f t="shared" si="11"/>
        <v>11.04</v>
      </c>
      <c r="AG119" s="215">
        <v>44991</v>
      </c>
      <c r="AH119" s="1">
        <v>9641</v>
      </c>
      <c r="AI119" s="1">
        <v>10000</v>
      </c>
      <c r="AJ119" s="1">
        <f t="shared" si="13"/>
        <v>96.41</v>
      </c>
      <c r="AL119" s="199"/>
    </row>
    <row r="120" spans="1:48" hidden="1" x14ac:dyDescent="0.25">
      <c r="A120" s="215">
        <v>44992</v>
      </c>
      <c r="B120" s="203">
        <v>9735380</v>
      </c>
      <c r="C120" s="203">
        <v>498051</v>
      </c>
      <c r="D120" s="203">
        <v>10233431</v>
      </c>
      <c r="E120" s="203">
        <v>95.13</v>
      </c>
      <c r="F120" s="211">
        <f t="shared" si="8"/>
        <v>10.233431</v>
      </c>
      <c r="H120" s="215">
        <v>44992</v>
      </c>
      <c r="I120" s="204">
        <v>3015177</v>
      </c>
      <c r="J120" s="204">
        <v>176</v>
      </c>
      <c r="K120" s="204">
        <v>3015353</v>
      </c>
      <c r="L120" s="204">
        <v>99.99</v>
      </c>
      <c r="M120" s="71">
        <f t="shared" si="15"/>
        <v>3.0153530000000002</v>
      </c>
      <c r="O120" s="215">
        <v>44992</v>
      </c>
      <c r="P120" s="204">
        <v>71636739</v>
      </c>
      <c r="Q120" s="204">
        <v>32239400</v>
      </c>
      <c r="R120" s="204">
        <v>103876139</v>
      </c>
      <c r="S120" s="204">
        <v>68.959999999999994</v>
      </c>
      <c r="T120" s="212">
        <f t="shared" si="16"/>
        <v>103.87613899999999</v>
      </c>
      <c r="W120" s="215">
        <v>44992</v>
      </c>
      <c r="X120" s="1">
        <v>9000</v>
      </c>
      <c r="Y120" s="1">
        <v>10000</v>
      </c>
      <c r="Z120" s="1">
        <f t="shared" si="14"/>
        <v>90</v>
      </c>
      <c r="AB120" s="215">
        <v>44992</v>
      </c>
      <c r="AC120" s="1">
        <v>1089</v>
      </c>
      <c r="AD120" s="1">
        <v>10000</v>
      </c>
      <c r="AE120" s="1">
        <f t="shared" si="11"/>
        <v>10.89</v>
      </c>
      <c r="AG120" s="215">
        <v>44992</v>
      </c>
      <c r="AH120" s="1">
        <v>9613</v>
      </c>
      <c r="AI120" s="1">
        <v>10000</v>
      </c>
      <c r="AJ120" s="1">
        <f t="shared" si="13"/>
        <v>96.13</v>
      </c>
      <c r="AL120" s="199">
        <v>44937</v>
      </c>
      <c r="AM120" t="s">
        <v>146</v>
      </c>
      <c r="AN120">
        <v>276326</v>
      </c>
      <c r="AP120" s="199">
        <v>44937</v>
      </c>
      <c r="AQ120" t="s">
        <v>146</v>
      </c>
      <c r="AR120">
        <v>19865604</v>
      </c>
      <c r="AT120" s="199">
        <v>44937</v>
      </c>
      <c r="AU120" t="s">
        <v>147</v>
      </c>
      <c r="AV120">
        <v>41</v>
      </c>
    </row>
    <row r="121" spans="1:48" hidden="1" x14ac:dyDescent="0.25">
      <c r="A121" s="215">
        <v>44993</v>
      </c>
      <c r="B121" s="203">
        <v>9695927</v>
      </c>
      <c r="C121" s="203">
        <v>476788</v>
      </c>
      <c r="D121" s="203">
        <v>10172715</v>
      </c>
      <c r="E121" s="203">
        <v>95.31</v>
      </c>
      <c r="F121" s="211">
        <f t="shared" si="8"/>
        <v>10.172715</v>
      </c>
      <c r="H121" s="215">
        <v>44993</v>
      </c>
      <c r="I121" s="204">
        <v>3399349</v>
      </c>
      <c r="J121" s="204">
        <v>42927</v>
      </c>
      <c r="K121" s="204">
        <v>3442276</v>
      </c>
      <c r="L121" s="204">
        <v>98.75</v>
      </c>
      <c r="M121" s="71">
        <f t="shared" si="15"/>
        <v>3.4422760000000001</v>
      </c>
      <c r="O121" s="215">
        <v>44993</v>
      </c>
      <c r="P121" s="204">
        <v>76938011</v>
      </c>
      <c r="Q121" s="204">
        <v>36744393</v>
      </c>
      <c r="R121" s="204">
        <v>113682404</v>
      </c>
      <c r="S121" s="204">
        <v>67.680000000000007</v>
      </c>
      <c r="T121" s="212">
        <f t="shared" si="16"/>
        <v>113.68240400000001</v>
      </c>
      <c r="W121" s="215">
        <v>44993</v>
      </c>
      <c r="X121" s="1">
        <v>7900</v>
      </c>
      <c r="Y121" s="1">
        <v>10000</v>
      </c>
      <c r="Z121" s="1">
        <f t="shared" si="14"/>
        <v>79</v>
      </c>
      <c r="AB121" s="215">
        <v>44993</v>
      </c>
      <c r="AC121" s="1">
        <v>1093</v>
      </c>
      <c r="AD121" s="1">
        <v>10000</v>
      </c>
      <c r="AE121" s="1">
        <f t="shared" si="11"/>
        <v>10.93</v>
      </c>
      <c r="AG121" s="215">
        <v>44993</v>
      </c>
      <c r="AH121" s="1">
        <v>8497</v>
      </c>
      <c r="AI121" s="1">
        <v>10000</v>
      </c>
      <c r="AJ121" s="1">
        <f t="shared" si="13"/>
        <v>84.97</v>
      </c>
      <c r="AL121" s="199">
        <v>44937</v>
      </c>
      <c r="AM121" t="s">
        <v>148</v>
      </c>
      <c r="AN121">
        <v>31069</v>
      </c>
      <c r="AP121" s="199">
        <v>44937</v>
      </c>
      <c r="AQ121" t="s">
        <v>149</v>
      </c>
      <c r="AR121">
        <v>4301565</v>
      </c>
      <c r="AT121" s="199">
        <v>44937</v>
      </c>
      <c r="AU121" t="s">
        <v>155</v>
      </c>
      <c r="AV121">
        <v>28</v>
      </c>
    </row>
    <row r="122" spans="1:48" hidden="1" x14ac:dyDescent="0.25">
      <c r="A122" s="215">
        <v>44994</v>
      </c>
      <c r="B122" s="203">
        <v>9339106</v>
      </c>
      <c r="C122" s="203">
        <v>477174</v>
      </c>
      <c r="D122" s="203">
        <v>9816280</v>
      </c>
      <c r="E122" s="203">
        <v>95.1</v>
      </c>
      <c r="F122" s="211">
        <f t="shared" si="8"/>
        <v>9.8162800000000008</v>
      </c>
      <c r="H122" s="215">
        <v>44994</v>
      </c>
      <c r="I122" s="104">
        <v>3555620</v>
      </c>
      <c r="J122" s="104">
        <v>73588</v>
      </c>
      <c r="K122" s="104">
        <v>3629208</v>
      </c>
      <c r="L122" s="104">
        <v>98</v>
      </c>
      <c r="M122" s="71">
        <f t="shared" si="15"/>
        <v>3.6292080000000002</v>
      </c>
      <c r="O122" s="215">
        <v>44994</v>
      </c>
      <c r="P122" s="104">
        <v>73488462</v>
      </c>
      <c r="Q122" s="104">
        <v>34234825</v>
      </c>
      <c r="R122" s="104">
        <v>107723287</v>
      </c>
      <c r="S122" s="104">
        <v>66.53</v>
      </c>
      <c r="T122" s="212">
        <f t="shared" si="16"/>
        <v>107.723287</v>
      </c>
      <c r="W122" s="215">
        <v>44994</v>
      </c>
      <c r="X122" s="1">
        <v>9000</v>
      </c>
      <c r="Y122" s="1">
        <v>10000</v>
      </c>
      <c r="Z122" s="1">
        <f t="shared" si="14"/>
        <v>90</v>
      </c>
      <c r="AB122" s="215">
        <v>44994</v>
      </c>
      <c r="AC122" s="1">
        <v>1079</v>
      </c>
      <c r="AD122" s="1">
        <v>10000</v>
      </c>
      <c r="AE122" s="1">
        <f t="shared" si="11"/>
        <v>10.79</v>
      </c>
      <c r="AG122" s="215">
        <v>44994</v>
      </c>
      <c r="AH122" s="1">
        <v>9562</v>
      </c>
      <c r="AI122" s="1">
        <v>10000</v>
      </c>
      <c r="AJ122" s="1">
        <f t="shared" si="13"/>
        <v>95.62</v>
      </c>
      <c r="AL122" s="199">
        <v>44937</v>
      </c>
      <c r="AM122" t="s">
        <v>149</v>
      </c>
      <c r="AN122">
        <v>24760</v>
      </c>
      <c r="AP122" s="199">
        <v>44937</v>
      </c>
      <c r="AQ122" t="s">
        <v>180</v>
      </c>
      <c r="AR122">
        <v>1527157</v>
      </c>
    </row>
    <row r="123" spans="1:48" hidden="1" x14ac:dyDescent="0.25">
      <c r="A123" s="215">
        <v>44995</v>
      </c>
      <c r="B123" s="203">
        <v>9689784</v>
      </c>
      <c r="C123" s="203">
        <v>560656</v>
      </c>
      <c r="D123" s="203">
        <v>10250440</v>
      </c>
      <c r="E123" s="203">
        <v>94.53</v>
      </c>
      <c r="F123" s="211">
        <f t="shared" si="8"/>
        <v>10.250439999999999</v>
      </c>
      <c r="H123" s="215">
        <v>44995</v>
      </c>
      <c r="I123" s="104">
        <v>3388339</v>
      </c>
      <c r="J123" s="104">
        <v>168</v>
      </c>
      <c r="K123" s="104">
        <v>3388507</v>
      </c>
      <c r="L123" s="104">
        <v>100</v>
      </c>
      <c r="M123" s="71">
        <f t="shared" si="15"/>
        <v>3.3885070000000002</v>
      </c>
      <c r="O123" s="215">
        <v>44995</v>
      </c>
      <c r="P123" s="104">
        <v>75526020</v>
      </c>
      <c r="Q123" s="104">
        <v>29778403</v>
      </c>
      <c r="R123" s="104">
        <v>105304423</v>
      </c>
      <c r="S123" s="104">
        <v>71.72</v>
      </c>
      <c r="T123" s="212">
        <f t="shared" si="16"/>
        <v>105.304423</v>
      </c>
      <c r="W123" s="215">
        <v>44995</v>
      </c>
      <c r="X123" s="1">
        <v>9000</v>
      </c>
      <c r="Y123" s="1">
        <v>10000</v>
      </c>
      <c r="Z123" s="1">
        <f t="shared" si="14"/>
        <v>90</v>
      </c>
      <c r="AB123" s="215">
        <v>44995</v>
      </c>
      <c r="AC123" s="1">
        <v>1056</v>
      </c>
      <c r="AD123" s="1">
        <v>10000</v>
      </c>
      <c r="AE123" s="1">
        <f t="shared" si="11"/>
        <v>10.56</v>
      </c>
      <c r="AG123" s="215">
        <v>44995</v>
      </c>
      <c r="AH123" s="1">
        <v>9467</v>
      </c>
      <c r="AI123" s="1">
        <v>10000</v>
      </c>
      <c r="AJ123" s="1">
        <f t="shared" si="13"/>
        <v>94.67</v>
      </c>
      <c r="AL123" s="199">
        <v>44937</v>
      </c>
      <c r="AM123" t="s">
        <v>186</v>
      </c>
      <c r="AN123">
        <v>21054</v>
      </c>
      <c r="AP123" s="199">
        <v>44937</v>
      </c>
      <c r="AQ123" t="s">
        <v>148</v>
      </c>
      <c r="AR123">
        <v>444388</v>
      </c>
    </row>
    <row r="124" spans="1:48" hidden="1" x14ac:dyDescent="0.25">
      <c r="A124" s="215">
        <v>44996</v>
      </c>
      <c r="B124" s="203">
        <v>9857006</v>
      </c>
      <c r="C124" s="203">
        <v>421872</v>
      </c>
      <c r="D124" s="203">
        <v>10278878</v>
      </c>
      <c r="E124" s="203">
        <v>95.9</v>
      </c>
      <c r="F124" s="211">
        <f t="shared" si="8"/>
        <v>10.278878000000001</v>
      </c>
      <c r="H124" s="215">
        <v>44996</v>
      </c>
      <c r="I124" s="104">
        <v>3193716</v>
      </c>
      <c r="J124" s="104">
        <v>147</v>
      </c>
      <c r="K124" s="104">
        <v>3193863</v>
      </c>
      <c r="L124" s="104">
        <v>100</v>
      </c>
      <c r="M124" s="71">
        <f t="shared" si="15"/>
        <v>3.1938629999999999</v>
      </c>
      <c r="O124" s="215">
        <v>44996</v>
      </c>
      <c r="P124" s="104">
        <v>71132443</v>
      </c>
      <c r="Q124" s="104">
        <v>30191189</v>
      </c>
      <c r="R124" s="104">
        <v>101323632</v>
      </c>
      <c r="S124" s="104">
        <v>70.2</v>
      </c>
      <c r="T124" s="212">
        <f t="shared" si="16"/>
        <v>101.323632</v>
      </c>
      <c r="W124" s="215">
        <v>44996</v>
      </c>
      <c r="X124" s="1">
        <v>9000</v>
      </c>
      <c r="Y124" s="1">
        <v>10000</v>
      </c>
      <c r="Z124" s="1">
        <f t="shared" si="14"/>
        <v>90</v>
      </c>
      <c r="AB124" s="215">
        <v>44996</v>
      </c>
      <c r="AC124" s="1">
        <v>1169</v>
      </c>
      <c r="AD124" s="1">
        <v>10000</v>
      </c>
      <c r="AE124" s="1">
        <f t="shared" si="11"/>
        <v>11.69</v>
      </c>
      <c r="AG124" s="215">
        <v>44996</v>
      </c>
      <c r="AH124" s="1">
        <v>9683</v>
      </c>
      <c r="AI124" s="1">
        <v>10000</v>
      </c>
      <c r="AJ124" s="1">
        <f t="shared" si="13"/>
        <v>96.83</v>
      </c>
      <c r="AL124" s="199">
        <v>44937</v>
      </c>
      <c r="AM124" t="s">
        <v>151</v>
      </c>
      <c r="AN124">
        <v>9590</v>
      </c>
      <c r="AP124" s="199">
        <v>44937</v>
      </c>
      <c r="AQ124" t="s">
        <v>173</v>
      </c>
      <c r="AR124">
        <v>120038</v>
      </c>
    </row>
    <row r="125" spans="1:48" hidden="1" x14ac:dyDescent="0.25">
      <c r="A125" s="215">
        <v>44997</v>
      </c>
      <c r="B125" s="203">
        <v>9621182</v>
      </c>
      <c r="C125" s="203">
        <v>424525</v>
      </c>
      <c r="D125" s="203">
        <v>10045707</v>
      </c>
      <c r="E125" s="203">
        <v>95.77</v>
      </c>
      <c r="F125" s="211">
        <f t="shared" si="8"/>
        <v>10.045707</v>
      </c>
      <c r="H125" s="215">
        <v>44997</v>
      </c>
      <c r="I125" s="104">
        <v>2962589</v>
      </c>
      <c r="J125" s="104">
        <v>120859</v>
      </c>
      <c r="K125" s="104">
        <v>3083448</v>
      </c>
      <c r="L125" s="104">
        <v>96.08</v>
      </c>
      <c r="M125" s="71">
        <f t="shared" si="15"/>
        <v>3.0834480000000002</v>
      </c>
      <c r="O125" s="215">
        <v>44997</v>
      </c>
      <c r="P125" s="104">
        <v>54385777</v>
      </c>
      <c r="Q125" s="104">
        <v>21991408</v>
      </c>
      <c r="R125" s="104">
        <v>76377185</v>
      </c>
      <c r="S125" s="104">
        <v>71.209999999999994</v>
      </c>
      <c r="T125" s="212">
        <f t="shared" si="16"/>
        <v>76.377184999999997</v>
      </c>
      <c r="W125" s="215">
        <v>44997</v>
      </c>
      <c r="X125" s="1">
        <v>9000</v>
      </c>
      <c r="Y125" s="1">
        <v>10000</v>
      </c>
      <c r="Z125" s="1">
        <f t="shared" si="14"/>
        <v>90</v>
      </c>
      <c r="AB125" s="215">
        <v>44997</v>
      </c>
      <c r="AC125" s="1">
        <v>1106</v>
      </c>
      <c r="AD125" s="1">
        <v>10000</v>
      </c>
      <c r="AE125" s="1">
        <f t="shared" si="11"/>
        <v>11.06</v>
      </c>
      <c r="AG125" s="215">
        <v>44997</v>
      </c>
      <c r="AH125" s="1">
        <v>9558</v>
      </c>
      <c r="AI125" s="1">
        <v>10000</v>
      </c>
      <c r="AJ125" s="1">
        <f t="shared" si="13"/>
        <v>95.58</v>
      </c>
      <c r="AP125" s="199"/>
    </row>
    <row r="126" spans="1:48" hidden="1" x14ac:dyDescent="0.25">
      <c r="A126" s="215">
        <v>44998</v>
      </c>
      <c r="B126" s="203">
        <v>9686619</v>
      </c>
      <c r="C126" s="203">
        <v>316407</v>
      </c>
      <c r="D126" s="203">
        <v>10003026</v>
      </c>
      <c r="E126" s="203">
        <v>96.84</v>
      </c>
      <c r="F126" s="211">
        <f t="shared" si="8"/>
        <v>10.003026</v>
      </c>
      <c r="H126" s="215">
        <v>44998</v>
      </c>
      <c r="I126" s="104">
        <v>2934991</v>
      </c>
      <c r="J126" s="104">
        <v>184765</v>
      </c>
      <c r="K126" s="104">
        <v>3119756</v>
      </c>
      <c r="L126" s="104">
        <v>94.08</v>
      </c>
      <c r="M126" s="71">
        <f t="shared" si="15"/>
        <v>3.1197560000000002</v>
      </c>
      <c r="O126" s="215">
        <v>44998</v>
      </c>
      <c r="P126" s="104">
        <v>72230288</v>
      </c>
      <c r="Q126" s="104">
        <v>35717612</v>
      </c>
      <c r="R126" s="104">
        <v>107947900</v>
      </c>
      <c r="S126" s="104">
        <v>66.91</v>
      </c>
      <c r="T126" s="212">
        <f t="shared" si="16"/>
        <v>107.9479</v>
      </c>
      <c r="W126" s="215">
        <v>44998</v>
      </c>
      <c r="X126" s="1">
        <v>9000</v>
      </c>
      <c r="Y126" s="1">
        <v>10000</v>
      </c>
      <c r="Z126" s="1">
        <f t="shared" si="14"/>
        <v>90</v>
      </c>
      <c r="AB126" s="215">
        <v>44998</v>
      </c>
      <c r="AC126" s="1">
        <v>1410</v>
      </c>
      <c r="AD126" s="1">
        <v>10000</v>
      </c>
      <c r="AE126" s="1">
        <f t="shared" si="11"/>
        <v>14.1</v>
      </c>
      <c r="AG126" s="215">
        <v>44998</v>
      </c>
      <c r="AH126" s="1">
        <v>9558</v>
      </c>
      <c r="AI126" s="1">
        <v>10000</v>
      </c>
      <c r="AJ126" s="1">
        <f t="shared" si="13"/>
        <v>95.58</v>
      </c>
      <c r="AL126" s="199">
        <v>44938</v>
      </c>
      <c r="AM126" t="s">
        <v>146</v>
      </c>
      <c r="AN126">
        <v>276122</v>
      </c>
      <c r="AP126" s="199">
        <v>44938</v>
      </c>
      <c r="AQ126" t="s">
        <v>146</v>
      </c>
      <c r="AR126">
        <v>20524447</v>
      </c>
      <c r="AT126" s="199">
        <v>44938</v>
      </c>
      <c r="AU126" t="s">
        <v>147</v>
      </c>
      <c r="AV126">
        <v>38</v>
      </c>
    </row>
    <row r="127" spans="1:48" hidden="1" x14ac:dyDescent="0.25">
      <c r="A127" s="215">
        <v>44999</v>
      </c>
      <c r="B127" s="101">
        <v>9616129</v>
      </c>
      <c r="C127" s="101">
        <v>451861</v>
      </c>
      <c r="D127" s="101">
        <v>10067990</v>
      </c>
      <c r="E127">
        <v>95.51</v>
      </c>
      <c r="F127" s="211">
        <f t="shared" si="8"/>
        <v>10.06799</v>
      </c>
      <c r="H127" s="215">
        <v>44999</v>
      </c>
      <c r="I127" s="104">
        <v>2726897</v>
      </c>
      <c r="J127" s="104">
        <v>157511</v>
      </c>
      <c r="K127" s="104">
        <v>2884408</v>
      </c>
      <c r="L127" s="48">
        <v>94.54</v>
      </c>
      <c r="M127" s="71">
        <f t="shared" si="15"/>
        <v>2.8844080000000001</v>
      </c>
      <c r="O127" s="215">
        <v>44999</v>
      </c>
      <c r="P127" s="104">
        <v>63863195</v>
      </c>
      <c r="Q127" s="104">
        <v>31640441</v>
      </c>
      <c r="R127" s="104">
        <v>95503636</v>
      </c>
      <c r="S127" s="104">
        <v>66.87</v>
      </c>
      <c r="T127" s="212">
        <f t="shared" si="16"/>
        <v>95.503636</v>
      </c>
      <c r="W127" s="215">
        <v>44999</v>
      </c>
      <c r="X127" s="1">
        <v>7409</v>
      </c>
      <c r="Y127" s="1">
        <v>10000</v>
      </c>
      <c r="Z127" s="1">
        <f t="shared" si="14"/>
        <v>74.09</v>
      </c>
      <c r="AB127" s="215">
        <v>44999</v>
      </c>
      <c r="AC127" s="1">
        <v>1040</v>
      </c>
      <c r="AD127" s="1">
        <v>10000</v>
      </c>
      <c r="AE127" s="1">
        <f t="shared" si="11"/>
        <v>10.4</v>
      </c>
      <c r="AG127" s="215">
        <v>44999</v>
      </c>
      <c r="AH127" s="1">
        <v>8136</v>
      </c>
      <c r="AI127" s="1">
        <v>10000</v>
      </c>
      <c r="AJ127" s="1">
        <f t="shared" si="13"/>
        <v>81.36</v>
      </c>
      <c r="AL127" s="199">
        <v>44938</v>
      </c>
      <c r="AM127" t="s">
        <v>148</v>
      </c>
      <c r="AN127">
        <v>32433</v>
      </c>
      <c r="AP127" s="199">
        <v>44938</v>
      </c>
      <c r="AQ127" t="s">
        <v>149</v>
      </c>
      <c r="AR127">
        <v>4022263</v>
      </c>
      <c r="AT127" s="199">
        <v>44938</v>
      </c>
      <c r="AU127" t="s">
        <v>155</v>
      </c>
      <c r="AV127">
        <v>34</v>
      </c>
    </row>
    <row r="128" spans="1:48" hidden="1" x14ac:dyDescent="0.25">
      <c r="A128" s="113">
        <v>45000</v>
      </c>
      <c r="B128" s="101">
        <v>9642751</v>
      </c>
      <c r="C128" s="101">
        <v>458053</v>
      </c>
      <c r="D128" s="101">
        <v>10100804</v>
      </c>
      <c r="E128" s="101">
        <v>95.47</v>
      </c>
      <c r="F128" s="211">
        <f t="shared" si="8"/>
        <v>10.100804</v>
      </c>
      <c r="H128" s="215">
        <v>45000</v>
      </c>
      <c r="I128" s="104">
        <v>2644793</v>
      </c>
      <c r="J128" s="104">
        <v>1018</v>
      </c>
      <c r="K128" s="104">
        <v>2645811</v>
      </c>
      <c r="L128" s="104">
        <v>99.96</v>
      </c>
      <c r="M128" s="71">
        <f t="shared" si="15"/>
        <v>2.6458110000000001</v>
      </c>
      <c r="O128" s="215">
        <v>45000</v>
      </c>
      <c r="P128" s="104">
        <v>68709543</v>
      </c>
      <c r="Q128" s="104">
        <v>29406502</v>
      </c>
      <c r="R128" s="104">
        <v>98116045</v>
      </c>
      <c r="S128" s="104">
        <v>70.03</v>
      </c>
      <c r="T128" s="212">
        <f t="shared" si="16"/>
        <v>98.116045</v>
      </c>
      <c r="W128" s="215">
        <v>45000</v>
      </c>
      <c r="X128" s="1">
        <v>9000</v>
      </c>
      <c r="Y128" s="1">
        <v>10000</v>
      </c>
      <c r="Z128" s="1">
        <f t="shared" si="14"/>
        <v>90</v>
      </c>
      <c r="AB128" s="215">
        <v>45000</v>
      </c>
      <c r="AC128" s="1">
        <v>982</v>
      </c>
      <c r="AD128" s="1">
        <v>10000</v>
      </c>
      <c r="AE128" s="1">
        <f t="shared" si="11"/>
        <v>9.82</v>
      </c>
      <c r="AG128" s="215">
        <v>45000</v>
      </c>
      <c r="AH128" s="1">
        <v>9606</v>
      </c>
      <c r="AI128" s="1">
        <v>10000</v>
      </c>
      <c r="AJ128" s="1">
        <f t="shared" si="13"/>
        <v>96.06</v>
      </c>
      <c r="AL128" s="199">
        <v>44938</v>
      </c>
      <c r="AM128" t="s">
        <v>149</v>
      </c>
      <c r="AN128">
        <v>22829</v>
      </c>
      <c r="AP128" s="199">
        <v>44938</v>
      </c>
      <c r="AQ128" t="s">
        <v>180</v>
      </c>
      <c r="AR128">
        <v>1657068</v>
      </c>
    </row>
    <row r="129" spans="1:48" hidden="1" x14ac:dyDescent="0.25">
      <c r="A129" s="113">
        <v>45002</v>
      </c>
      <c r="B129" s="101">
        <v>9960559</v>
      </c>
      <c r="C129" s="101">
        <v>554194</v>
      </c>
      <c r="D129" s="101">
        <v>10514753</v>
      </c>
      <c r="E129" s="101">
        <v>94.73</v>
      </c>
      <c r="F129" s="211">
        <f t="shared" si="8"/>
        <v>10.514753000000001</v>
      </c>
      <c r="H129" s="215">
        <v>45002</v>
      </c>
      <c r="I129" s="104">
        <v>2548720</v>
      </c>
      <c r="J129" s="104">
        <v>173</v>
      </c>
      <c r="K129" s="104">
        <v>2548893</v>
      </c>
      <c r="L129" s="104">
        <v>99.99</v>
      </c>
      <c r="M129" s="71">
        <f t="shared" si="15"/>
        <v>2.5488930000000001</v>
      </c>
      <c r="O129" s="215">
        <v>45002</v>
      </c>
      <c r="P129" s="104">
        <v>75627451</v>
      </c>
      <c r="Q129" s="104">
        <v>31789714</v>
      </c>
      <c r="R129" s="104">
        <v>107417165</v>
      </c>
      <c r="S129" s="104">
        <v>70.41</v>
      </c>
      <c r="T129" s="212">
        <f t="shared" si="16"/>
        <v>107.417165</v>
      </c>
      <c r="W129" s="215">
        <v>45002</v>
      </c>
      <c r="X129" s="1">
        <v>9000</v>
      </c>
      <c r="Y129" s="1">
        <v>10000</v>
      </c>
      <c r="Z129" s="1">
        <f t="shared" si="14"/>
        <v>90</v>
      </c>
      <c r="AB129" s="215">
        <v>45002</v>
      </c>
      <c r="AC129" s="1">
        <v>1453</v>
      </c>
      <c r="AD129" s="1">
        <v>10000</v>
      </c>
      <c r="AE129" s="1">
        <f t="shared" si="11"/>
        <v>14.53</v>
      </c>
      <c r="AG129" s="215">
        <v>45002</v>
      </c>
      <c r="AH129" s="1">
        <v>9678</v>
      </c>
      <c r="AI129" s="1">
        <v>10000</v>
      </c>
      <c r="AJ129" s="1">
        <f t="shared" si="13"/>
        <v>96.78</v>
      </c>
      <c r="AL129" s="199">
        <v>44938</v>
      </c>
      <c r="AM129" t="s">
        <v>180</v>
      </c>
      <c r="AN129">
        <v>20485</v>
      </c>
      <c r="AP129" s="199">
        <v>44938</v>
      </c>
      <c r="AQ129" t="s">
        <v>148</v>
      </c>
      <c r="AR129">
        <v>577680</v>
      </c>
    </row>
    <row r="130" spans="1:48" hidden="1" x14ac:dyDescent="0.25">
      <c r="A130" s="113">
        <v>45003</v>
      </c>
      <c r="B130" s="101">
        <v>9875885</v>
      </c>
      <c r="C130" s="101">
        <v>483452</v>
      </c>
      <c r="D130" s="101">
        <v>10359337</v>
      </c>
      <c r="E130" s="101">
        <v>95.33</v>
      </c>
      <c r="F130" s="211">
        <f t="shared" si="8"/>
        <v>10.359337</v>
      </c>
      <c r="H130" s="215">
        <v>45003</v>
      </c>
      <c r="I130" s="104">
        <v>2818283</v>
      </c>
      <c r="J130" s="104">
        <v>520</v>
      </c>
      <c r="K130" s="104">
        <v>2818803</v>
      </c>
      <c r="L130" s="104">
        <v>99.98</v>
      </c>
      <c r="M130" s="71">
        <f t="shared" si="15"/>
        <v>2.8188029999999999</v>
      </c>
      <c r="O130" s="215">
        <v>45003</v>
      </c>
      <c r="P130" s="104">
        <v>73089774</v>
      </c>
      <c r="Q130" s="104">
        <v>30469982</v>
      </c>
      <c r="R130" s="104">
        <v>103559756</v>
      </c>
      <c r="S130" s="104">
        <v>70.58</v>
      </c>
      <c r="T130" s="212">
        <f t="shared" si="16"/>
        <v>103.55975599999999</v>
      </c>
      <c r="W130" s="215">
        <v>45003</v>
      </c>
      <c r="X130" s="1">
        <v>9000</v>
      </c>
      <c r="Y130" s="1">
        <v>10000</v>
      </c>
      <c r="Z130" s="1">
        <f t="shared" si="14"/>
        <v>90</v>
      </c>
      <c r="AB130" s="215">
        <v>45003</v>
      </c>
      <c r="AC130" s="1">
        <v>1161</v>
      </c>
      <c r="AD130" s="1">
        <v>10000</v>
      </c>
      <c r="AE130" s="1">
        <f t="shared" si="11"/>
        <v>11.61</v>
      </c>
      <c r="AG130" s="215">
        <v>45003</v>
      </c>
      <c r="AH130" s="1">
        <v>9556</v>
      </c>
      <c r="AI130" s="1">
        <v>10000</v>
      </c>
      <c r="AJ130" s="1">
        <f t="shared" si="13"/>
        <v>95.56</v>
      </c>
    </row>
    <row r="131" spans="1:48" hidden="1" x14ac:dyDescent="0.25">
      <c r="A131" s="113">
        <v>45004</v>
      </c>
      <c r="B131" s="101">
        <v>9845194</v>
      </c>
      <c r="C131" s="101">
        <v>372330</v>
      </c>
      <c r="D131" s="101">
        <v>10217524</v>
      </c>
      <c r="E131" s="101">
        <v>96.36</v>
      </c>
      <c r="F131" s="211">
        <f t="shared" si="8"/>
        <v>10.217523999999999</v>
      </c>
      <c r="H131" s="215">
        <v>45004</v>
      </c>
      <c r="I131" s="104">
        <v>3041167</v>
      </c>
      <c r="J131" s="104">
        <v>395</v>
      </c>
      <c r="K131" s="104">
        <v>3041562</v>
      </c>
      <c r="L131" s="104">
        <v>99.99</v>
      </c>
      <c r="M131" s="71">
        <f t="shared" si="15"/>
        <v>3.0415619999999999</v>
      </c>
      <c r="O131" s="215">
        <v>45004</v>
      </c>
      <c r="P131" s="104">
        <v>59651168</v>
      </c>
      <c r="Q131" s="104">
        <v>23575784</v>
      </c>
      <c r="R131" s="104">
        <v>83226952</v>
      </c>
      <c r="S131" s="104">
        <v>71.67</v>
      </c>
      <c r="T131" s="212">
        <f t="shared" si="16"/>
        <v>83.226951999999997</v>
      </c>
      <c r="W131" s="215">
        <v>45004</v>
      </c>
      <c r="X131" s="1">
        <v>6537</v>
      </c>
      <c r="Y131" s="1">
        <v>10000</v>
      </c>
      <c r="Z131" s="1">
        <f t="shared" si="14"/>
        <v>65.37</v>
      </c>
      <c r="AB131" s="215">
        <v>45004</v>
      </c>
      <c r="AC131" s="1">
        <v>961</v>
      </c>
      <c r="AD131" s="1">
        <v>10000</v>
      </c>
      <c r="AE131" s="1">
        <f t="shared" si="11"/>
        <v>9.61</v>
      </c>
      <c r="AG131" s="215">
        <v>45004</v>
      </c>
      <c r="AH131" s="1">
        <v>7293</v>
      </c>
      <c r="AI131" s="1">
        <v>10000</v>
      </c>
      <c r="AJ131" s="1">
        <f t="shared" si="13"/>
        <v>72.930000000000007</v>
      </c>
      <c r="AL131" s="199">
        <v>44939</v>
      </c>
      <c r="AM131" t="s">
        <v>146</v>
      </c>
      <c r="AN131">
        <v>293195</v>
      </c>
      <c r="AP131" s="199">
        <v>44939</v>
      </c>
      <c r="AQ131" t="s">
        <v>146</v>
      </c>
      <c r="AR131">
        <v>19857488</v>
      </c>
      <c r="AT131" s="199">
        <v>44939</v>
      </c>
      <c r="AU131" t="s">
        <v>147</v>
      </c>
      <c r="AV131">
        <v>253</v>
      </c>
    </row>
    <row r="132" spans="1:48" hidden="1" x14ac:dyDescent="0.25">
      <c r="A132" s="113">
        <v>45005</v>
      </c>
      <c r="B132" s="101">
        <v>9960323</v>
      </c>
      <c r="C132" s="101">
        <v>325125</v>
      </c>
      <c r="D132" s="101">
        <v>10285448</v>
      </c>
      <c r="E132" s="101">
        <v>96.84</v>
      </c>
      <c r="F132" s="211">
        <f t="shared" si="8"/>
        <v>10.285448000000001</v>
      </c>
      <c r="H132" s="215">
        <v>45005</v>
      </c>
      <c r="I132" s="104">
        <v>4102233</v>
      </c>
      <c r="J132" s="104">
        <v>650</v>
      </c>
      <c r="K132" s="104">
        <v>4102883</v>
      </c>
      <c r="L132" s="104">
        <v>99.98</v>
      </c>
      <c r="M132" s="71">
        <f t="shared" si="15"/>
        <v>4.1028830000000003</v>
      </c>
      <c r="O132" s="215">
        <v>45005</v>
      </c>
      <c r="P132" s="104">
        <v>71895146</v>
      </c>
      <c r="Q132" s="104">
        <v>32685759</v>
      </c>
      <c r="R132" s="104">
        <v>104580905</v>
      </c>
      <c r="S132" s="104">
        <v>68.75</v>
      </c>
      <c r="T132" s="212">
        <f t="shared" si="16"/>
        <v>104.580905</v>
      </c>
      <c r="W132" s="215">
        <v>45005</v>
      </c>
      <c r="X132" s="1">
        <v>8053</v>
      </c>
      <c r="Y132" s="1">
        <v>10000</v>
      </c>
      <c r="Z132" s="1">
        <f t="shared" si="14"/>
        <v>80.53</v>
      </c>
      <c r="AB132" s="215">
        <v>45005</v>
      </c>
      <c r="AC132" s="1">
        <v>1082</v>
      </c>
      <c r="AD132" s="1">
        <v>10000</v>
      </c>
      <c r="AE132" s="1">
        <f t="shared" si="11"/>
        <v>10.82</v>
      </c>
      <c r="AG132" s="215">
        <v>45005</v>
      </c>
      <c r="AH132" s="1">
        <v>8838</v>
      </c>
      <c r="AI132" s="1">
        <v>10000</v>
      </c>
      <c r="AJ132" s="1">
        <f t="shared" si="13"/>
        <v>88.38</v>
      </c>
      <c r="AL132" s="199">
        <v>44939</v>
      </c>
      <c r="AM132" t="s">
        <v>148</v>
      </c>
      <c r="AN132">
        <v>30911</v>
      </c>
      <c r="AP132" s="199">
        <v>44939</v>
      </c>
      <c r="AQ132" t="s">
        <v>149</v>
      </c>
      <c r="AR132">
        <v>4356014</v>
      </c>
      <c r="AT132" s="199">
        <v>44939</v>
      </c>
      <c r="AU132" t="s">
        <v>155</v>
      </c>
      <c r="AV132">
        <v>17</v>
      </c>
    </row>
    <row r="133" spans="1:48" hidden="1" x14ac:dyDescent="0.25">
      <c r="A133" s="113">
        <v>45006</v>
      </c>
      <c r="B133" s="101">
        <v>10008664</v>
      </c>
      <c r="C133" s="101">
        <v>484075</v>
      </c>
      <c r="D133" s="101">
        <v>10492739</v>
      </c>
      <c r="E133" s="101">
        <v>95.39</v>
      </c>
      <c r="F133" s="211">
        <f t="shared" si="8"/>
        <v>10.492739</v>
      </c>
      <c r="H133" s="215">
        <v>45006</v>
      </c>
      <c r="I133" s="104">
        <v>3014402</v>
      </c>
      <c r="J133" s="104">
        <v>710</v>
      </c>
      <c r="K133" s="104">
        <v>3015112</v>
      </c>
      <c r="L133" s="104">
        <v>99.98</v>
      </c>
      <c r="M133" s="71">
        <f t="shared" si="15"/>
        <v>3.0151119999999998</v>
      </c>
      <c r="O133" s="215">
        <v>45006</v>
      </c>
      <c r="P133" s="104">
        <v>69321374</v>
      </c>
      <c r="Q133" s="104">
        <v>32267946</v>
      </c>
      <c r="R133" s="104">
        <v>101589320</v>
      </c>
      <c r="S133" s="104">
        <v>68.239999999999995</v>
      </c>
      <c r="T133" s="212">
        <f t="shared" si="16"/>
        <v>101.58932</v>
      </c>
      <c r="W133" s="215">
        <v>45006</v>
      </c>
      <c r="X133" s="1">
        <v>9000</v>
      </c>
      <c r="Y133" s="1">
        <v>10000</v>
      </c>
      <c r="Z133" s="1">
        <f t="shared" si="14"/>
        <v>90</v>
      </c>
      <c r="AB133" s="215">
        <v>45006</v>
      </c>
      <c r="AC133" s="1">
        <v>1217</v>
      </c>
      <c r="AD133" s="1">
        <v>10000</v>
      </c>
      <c r="AE133" s="1">
        <f t="shared" si="11"/>
        <v>12.17</v>
      </c>
      <c r="AG133" s="215">
        <v>45006</v>
      </c>
      <c r="AH133" s="1">
        <v>9677</v>
      </c>
      <c r="AI133" s="1">
        <v>10000</v>
      </c>
      <c r="AJ133" s="1">
        <f t="shared" si="13"/>
        <v>96.77</v>
      </c>
      <c r="AL133" s="199">
        <v>44939</v>
      </c>
      <c r="AM133" t="s">
        <v>149</v>
      </c>
      <c r="AN133">
        <v>26158</v>
      </c>
      <c r="AP133" s="199">
        <v>44939</v>
      </c>
      <c r="AQ133" t="s">
        <v>180</v>
      </c>
      <c r="AR133">
        <v>1634961</v>
      </c>
    </row>
    <row r="134" spans="1:48" hidden="1" x14ac:dyDescent="0.25">
      <c r="A134" s="113">
        <v>45008</v>
      </c>
      <c r="B134" s="101">
        <v>9678722</v>
      </c>
      <c r="C134" s="101">
        <v>493619</v>
      </c>
      <c r="D134" s="101">
        <v>10172341</v>
      </c>
      <c r="E134" s="101">
        <v>95.15</v>
      </c>
      <c r="F134" s="211">
        <f t="shared" si="8"/>
        <v>10.172340999999999</v>
      </c>
      <c r="H134" s="215">
        <v>45008</v>
      </c>
      <c r="I134" s="104">
        <v>3131844</v>
      </c>
      <c r="J134" s="104">
        <v>923</v>
      </c>
      <c r="K134" s="104">
        <v>3132767</v>
      </c>
      <c r="L134" s="104">
        <v>99.97</v>
      </c>
      <c r="M134" s="71">
        <f>K134/1000000</f>
        <v>3.1327669999999999</v>
      </c>
      <c r="O134" s="215">
        <v>45008</v>
      </c>
      <c r="P134" s="104">
        <v>74557031</v>
      </c>
      <c r="Q134" s="104">
        <v>33705813</v>
      </c>
      <c r="R134" s="104">
        <v>108262844</v>
      </c>
      <c r="S134" s="104">
        <v>68.87</v>
      </c>
      <c r="T134" s="212">
        <f t="shared" si="16"/>
        <v>108.262844</v>
      </c>
      <c r="W134" s="215">
        <v>45008</v>
      </c>
      <c r="X134" s="1">
        <v>7652</v>
      </c>
      <c r="Y134" s="1">
        <v>10000</v>
      </c>
      <c r="Z134" s="1">
        <f t="shared" si="14"/>
        <v>76.52</v>
      </c>
      <c r="AB134" s="215">
        <v>45008</v>
      </c>
      <c r="AC134" s="1">
        <v>1010</v>
      </c>
      <c r="AD134" s="1">
        <v>10000</v>
      </c>
      <c r="AE134" s="1">
        <f t="shared" si="11"/>
        <v>10.1</v>
      </c>
      <c r="AG134" s="215">
        <v>45008</v>
      </c>
      <c r="AH134" s="1">
        <v>8202</v>
      </c>
      <c r="AI134" s="1">
        <v>10000</v>
      </c>
      <c r="AJ134" s="1">
        <f t="shared" si="13"/>
        <v>82.02</v>
      </c>
      <c r="AL134" s="199">
        <v>44939</v>
      </c>
      <c r="AM134" t="s">
        <v>186</v>
      </c>
      <c r="AN134">
        <v>21522</v>
      </c>
      <c r="AP134" s="199">
        <v>44939</v>
      </c>
      <c r="AQ134" t="s">
        <v>148</v>
      </c>
      <c r="AR134">
        <v>471969</v>
      </c>
    </row>
    <row r="135" spans="1:48" hidden="1" x14ac:dyDescent="0.25">
      <c r="A135" s="113">
        <v>45009</v>
      </c>
      <c r="B135" s="101">
        <v>9707182</v>
      </c>
      <c r="C135" s="101">
        <v>472702</v>
      </c>
      <c r="D135" s="101">
        <v>10179884</v>
      </c>
      <c r="E135" s="101">
        <v>95.36</v>
      </c>
      <c r="F135" s="211">
        <f t="shared" si="8"/>
        <v>10.179883999999999</v>
      </c>
      <c r="H135" s="215">
        <v>45009</v>
      </c>
      <c r="I135" s="104">
        <v>4003224</v>
      </c>
      <c r="J135" s="104">
        <v>575</v>
      </c>
      <c r="K135" s="104">
        <v>4003799</v>
      </c>
      <c r="L135" s="104">
        <v>99.99</v>
      </c>
      <c r="M135" s="71">
        <f t="shared" ref="M135:M198" si="17">K135/1000000</f>
        <v>4.0037989999999999</v>
      </c>
      <c r="O135" s="215">
        <v>45009</v>
      </c>
      <c r="P135" s="104">
        <v>73831549</v>
      </c>
      <c r="Q135" s="104">
        <v>29145911</v>
      </c>
      <c r="R135" s="104">
        <v>102977460</v>
      </c>
      <c r="S135" s="104">
        <v>71.7</v>
      </c>
      <c r="T135" s="212">
        <f t="shared" si="16"/>
        <v>102.97745999999999</v>
      </c>
      <c r="W135" s="215">
        <v>45009</v>
      </c>
      <c r="X135" s="1">
        <v>9000</v>
      </c>
      <c r="Y135" s="1">
        <v>10000</v>
      </c>
      <c r="Z135" s="1">
        <f t="shared" si="14"/>
        <v>90</v>
      </c>
      <c r="AB135" s="215">
        <v>45009</v>
      </c>
      <c r="AC135" s="1">
        <v>1008</v>
      </c>
      <c r="AD135" s="1">
        <v>10000</v>
      </c>
      <c r="AE135" s="1">
        <f t="shared" si="11"/>
        <v>10.08</v>
      </c>
      <c r="AG135" s="215">
        <v>45009</v>
      </c>
      <c r="AH135" s="1">
        <v>9588</v>
      </c>
      <c r="AI135" s="1">
        <v>10000</v>
      </c>
      <c r="AJ135" s="1">
        <f t="shared" si="13"/>
        <v>95.88</v>
      </c>
    </row>
    <row r="136" spans="1:48" hidden="1" x14ac:dyDescent="0.25">
      <c r="A136" s="113">
        <v>45010</v>
      </c>
      <c r="B136" s="101">
        <v>9912520</v>
      </c>
      <c r="C136" s="101">
        <v>460206</v>
      </c>
      <c r="D136" s="101">
        <v>10372726</v>
      </c>
      <c r="E136" s="101">
        <v>95.56</v>
      </c>
      <c r="F136" s="211">
        <f t="shared" si="8"/>
        <v>10.372726</v>
      </c>
      <c r="H136" s="215">
        <v>45010</v>
      </c>
      <c r="I136" s="104">
        <v>3688258</v>
      </c>
      <c r="J136" s="104">
        <v>661</v>
      </c>
      <c r="K136" s="104">
        <v>3688919</v>
      </c>
      <c r="L136" s="104">
        <v>99.98</v>
      </c>
      <c r="M136" s="71">
        <f t="shared" si="17"/>
        <v>3.6889189999999998</v>
      </c>
      <c r="O136" s="215">
        <v>45010</v>
      </c>
      <c r="P136" s="104">
        <v>70606893</v>
      </c>
      <c r="Q136" s="104">
        <v>30907525</v>
      </c>
      <c r="R136" s="104">
        <v>101514418</v>
      </c>
      <c r="S136" s="104">
        <v>69.55</v>
      </c>
      <c r="T136" s="212">
        <f t="shared" si="16"/>
        <v>101.51441800000001</v>
      </c>
      <c r="W136" s="215">
        <v>45010</v>
      </c>
      <c r="X136" s="1">
        <v>9000</v>
      </c>
      <c r="Y136" s="1">
        <v>10000</v>
      </c>
      <c r="Z136" s="1">
        <f t="shared" si="14"/>
        <v>90</v>
      </c>
      <c r="AB136" s="215">
        <v>45010</v>
      </c>
      <c r="AC136" s="1">
        <v>1058</v>
      </c>
      <c r="AD136" s="1">
        <v>10000</v>
      </c>
      <c r="AE136" s="1">
        <f t="shared" si="11"/>
        <v>10.58</v>
      </c>
      <c r="AG136" s="215">
        <v>45010</v>
      </c>
      <c r="AH136" s="1">
        <v>9549</v>
      </c>
      <c r="AI136" s="1">
        <v>10000</v>
      </c>
      <c r="AJ136" s="1">
        <f t="shared" si="13"/>
        <v>95.49</v>
      </c>
      <c r="AL136" s="199">
        <v>44940</v>
      </c>
      <c r="AM136" t="s">
        <v>146</v>
      </c>
      <c r="AN136">
        <v>266191</v>
      </c>
      <c r="AP136" s="199">
        <v>44940</v>
      </c>
      <c r="AQ136" t="s">
        <v>146</v>
      </c>
      <c r="AR136">
        <v>18407820</v>
      </c>
      <c r="AT136" s="199">
        <v>44940</v>
      </c>
      <c r="AU136" t="s">
        <v>147</v>
      </c>
      <c r="AV136">
        <v>116</v>
      </c>
    </row>
    <row r="137" spans="1:48" hidden="1" x14ac:dyDescent="0.25">
      <c r="A137" s="113">
        <v>45011</v>
      </c>
      <c r="B137" s="101">
        <v>9526604</v>
      </c>
      <c r="C137" s="101">
        <v>395117</v>
      </c>
      <c r="D137" s="101">
        <v>9921721</v>
      </c>
      <c r="E137" s="101">
        <v>96.02</v>
      </c>
      <c r="F137" s="211">
        <f t="shared" ref="F137:F200" si="18">D137/1000000</f>
        <v>9.9217209999999998</v>
      </c>
      <c r="H137" s="215">
        <v>45011</v>
      </c>
      <c r="I137" s="104">
        <v>2884893</v>
      </c>
      <c r="J137" s="104">
        <v>589</v>
      </c>
      <c r="K137" s="104">
        <v>2885482</v>
      </c>
      <c r="L137" s="104">
        <v>99.98</v>
      </c>
      <c r="M137" s="71">
        <f t="shared" si="17"/>
        <v>2.8854820000000001</v>
      </c>
      <c r="O137" s="215">
        <v>45011</v>
      </c>
      <c r="P137" s="104">
        <v>56022836</v>
      </c>
      <c r="Q137" s="104">
        <v>22333273</v>
      </c>
      <c r="R137" s="104">
        <v>78356109</v>
      </c>
      <c r="S137" s="104">
        <v>71.5</v>
      </c>
      <c r="T137" s="212">
        <f t="shared" si="16"/>
        <v>78.356109000000004</v>
      </c>
      <c r="W137" s="215">
        <v>45011</v>
      </c>
      <c r="X137" s="1">
        <v>7450</v>
      </c>
      <c r="Y137" s="1">
        <v>10000</v>
      </c>
      <c r="Z137" s="1">
        <f t="shared" si="14"/>
        <v>74.5</v>
      </c>
      <c r="AB137" s="215">
        <v>45011</v>
      </c>
      <c r="AC137" s="1">
        <v>992</v>
      </c>
      <c r="AD137" s="1">
        <v>10000</v>
      </c>
      <c r="AE137" s="1">
        <f t="shared" si="11"/>
        <v>9.92</v>
      </c>
      <c r="AG137" s="215">
        <v>45011</v>
      </c>
      <c r="AH137" s="1">
        <v>7962</v>
      </c>
      <c r="AI137" s="1">
        <v>10000</v>
      </c>
      <c r="AJ137" s="1">
        <f t="shared" si="13"/>
        <v>79.62</v>
      </c>
      <c r="AL137" s="199">
        <v>44940</v>
      </c>
      <c r="AM137" t="s">
        <v>148</v>
      </c>
      <c r="AN137">
        <v>31364</v>
      </c>
      <c r="AP137" s="199">
        <v>44940</v>
      </c>
      <c r="AQ137" t="s">
        <v>149</v>
      </c>
      <c r="AR137">
        <v>3879516</v>
      </c>
      <c r="AT137" s="199">
        <v>44940</v>
      </c>
      <c r="AU137" t="s">
        <v>155</v>
      </c>
      <c r="AV137">
        <v>24</v>
      </c>
    </row>
    <row r="138" spans="1:48" hidden="1" x14ac:dyDescent="0.25">
      <c r="A138" s="113">
        <v>45012</v>
      </c>
      <c r="B138" s="101">
        <v>9208159</v>
      </c>
      <c r="C138" s="101">
        <v>307951</v>
      </c>
      <c r="D138" s="101">
        <v>9516110</v>
      </c>
      <c r="E138" s="101">
        <v>96.76</v>
      </c>
      <c r="F138" s="211">
        <f t="shared" si="18"/>
        <v>9.5161099999999994</v>
      </c>
      <c r="H138" s="215">
        <v>45012</v>
      </c>
      <c r="I138" s="104">
        <v>3667283</v>
      </c>
      <c r="J138" s="104">
        <v>381</v>
      </c>
      <c r="K138" s="104">
        <v>3667664</v>
      </c>
      <c r="L138" s="104">
        <v>99.99</v>
      </c>
      <c r="M138" s="71">
        <f t="shared" si="17"/>
        <v>3.6676639999999998</v>
      </c>
      <c r="O138" s="215">
        <v>45012</v>
      </c>
      <c r="P138" s="104">
        <v>70533556</v>
      </c>
      <c r="Q138" s="104">
        <v>32067145</v>
      </c>
      <c r="R138" s="104">
        <v>102600701</v>
      </c>
      <c r="S138" s="104">
        <v>68.75</v>
      </c>
      <c r="T138" s="212">
        <f t="shared" si="16"/>
        <v>102.600701</v>
      </c>
      <c r="W138" s="215">
        <v>45012</v>
      </c>
      <c r="X138" s="1">
        <v>9000</v>
      </c>
      <c r="Y138" s="1">
        <v>10000</v>
      </c>
      <c r="Z138" s="1">
        <f t="shared" si="14"/>
        <v>90</v>
      </c>
      <c r="AB138" s="215">
        <v>45012</v>
      </c>
      <c r="AC138" s="1">
        <v>1068</v>
      </c>
      <c r="AD138" s="1">
        <v>10000</v>
      </c>
      <c r="AE138" s="1">
        <f t="shared" si="11"/>
        <v>10.68</v>
      </c>
      <c r="AG138" s="215">
        <v>45012</v>
      </c>
      <c r="AH138" s="1">
        <v>9470</v>
      </c>
      <c r="AI138" s="1">
        <v>10000</v>
      </c>
      <c r="AJ138" s="1">
        <f t="shared" si="13"/>
        <v>94.7</v>
      </c>
      <c r="AL138" s="199">
        <v>44940</v>
      </c>
      <c r="AM138" t="s">
        <v>149</v>
      </c>
      <c r="AN138">
        <v>23806</v>
      </c>
      <c r="AP138" s="199">
        <v>44940</v>
      </c>
      <c r="AQ138" t="s">
        <v>180</v>
      </c>
      <c r="AR138">
        <v>1472862</v>
      </c>
    </row>
    <row r="139" spans="1:48" hidden="1" x14ac:dyDescent="0.25">
      <c r="A139" s="113">
        <v>45013</v>
      </c>
      <c r="B139" s="101">
        <v>8892474</v>
      </c>
      <c r="C139" s="101">
        <v>508126</v>
      </c>
      <c r="D139" s="101">
        <v>9400600</v>
      </c>
      <c r="E139" s="101">
        <v>94.59</v>
      </c>
      <c r="F139" s="211">
        <f t="shared" si="18"/>
        <v>9.4006000000000007</v>
      </c>
      <c r="H139" s="215">
        <v>45013</v>
      </c>
      <c r="I139" s="104">
        <v>3209172</v>
      </c>
      <c r="J139" s="104">
        <v>3093</v>
      </c>
      <c r="K139" s="104">
        <v>3212265</v>
      </c>
      <c r="L139" s="104">
        <v>99.9</v>
      </c>
      <c r="M139" s="71">
        <f t="shared" si="17"/>
        <v>3.2122649999999999</v>
      </c>
      <c r="O139" s="215">
        <v>45013</v>
      </c>
      <c r="P139" s="104">
        <v>75920840</v>
      </c>
      <c r="Q139" s="104">
        <v>34667151</v>
      </c>
      <c r="R139" s="104">
        <v>110587991</v>
      </c>
      <c r="S139" s="104">
        <v>68.650000000000006</v>
      </c>
      <c r="T139" s="212">
        <f t="shared" si="16"/>
        <v>110.587991</v>
      </c>
      <c r="W139" s="215">
        <v>45013</v>
      </c>
      <c r="X139" s="1">
        <v>9000</v>
      </c>
      <c r="Y139" s="1">
        <v>10000</v>
      </c>
      <c r="Z139" s="1">
        <f t="shared" si="14"/>
        <v>90</v>
      </c>
      <c r="AB139" s="215">
        <v>45013</v>
      </c>
      <c r="AC139" s="1">
        <v>1047</v>
      </c>
      <c r="AD139" s="1">
        <v>10000</v>
      </c>
      <c r="AE139" s="1">
        <f t="shared" ref="AE139:AE202" si="19">AC139/AD139%</f>
        <v>10.47</v>
      </c>
      <c r="AG139" s="215">
        <v>45013</v>
      </c>
      <c r="AH139" s="1">
        <v>9535</v>
      </c>
      <c r="AI139" s="1">
        <v>10000</v>
      </c>
      <c r="AJ139" s="1">
        <f t="shared" si="13"/>
        <v>95.35</v>
      </c>
      <c r="AL139" s="199">
        <v>44940</v>
      </c>
      <c r="AM139" t="s">
        <v>180</v>
      </c>
      <c r="AN139">
        <v>21770</v>
      </c>
      <c r="AP139" s="199">
        <v>44940</v>
      </c>
      <c r="AQ139" t="s">
        <v>169</v>
      </c>
      <c r="AR139">
        <v>752039</v>
      </c>
    </row>
    <row r="140" spans="1:48" hidden="1" x14ac:dyDescent="0.25">
      <c r="A140" s="113">
        <v>45014</v>
      </c>
      <c r="B140" s="101">
        <v>8985648</v>
      </c>
      <c r="C140" s="101">
        <v>498709</v>
      </c>
      <c r="D140" s="101">
        <v>9484357</v>
      </c>
      <c r="E140" s="101">
        <v>94.74</v>
      </c>
      <c r="F140" s="211">
        <f t="shared" si="18"/>
        <v>9.4843569999999993</v>
      </c>
      <c r="H140" s="215">
        <v>45014</v>
      </c>
      <c r="I140" s="104">
        <v>2504549</v>
      </c>
      <c r="J140" s="104">
        <v>1524</v>
      </c>
      <c r="K140" s="104">
        <v>2506073</v>
      </c>
      <c r="L140" s="104">
        <v>99.94</v>
      </c>
      <c r="M140" s="71">
        <f t="shared" si="17"/>
        <v>2.5060730000000002</v>
      </c>
      <c r="O140" s="215">
        <v>45014</v>
      </c>
      <c r="P140" s="104">
        <v>71117460</v>
      </c>
      <c r="Q140" s="104">
        <v>33173434</v>
      </c>
      <c r="R140" s="104">
        <v>104290894</v>
      </c>
      <c r="S140" s="104">
        <v>68.19</v>
      </c>
      <c r="T140" s="212">
        <f t="shared" si="16"/>
        <v>104.29089399999999</v>
      </c>
      <c r="W140" s="215">
        <v>45014</v>
      </c>
      <c r="X140" s="1">
        <v>7728</v>
      </c>
      <c r="Y140" s="1">
        <v>10000</v>
      </c>
      <c r="Z140" s="1">
        <f t="shared" si="14"/>
        <v>77.28</v>
      </c>
      <c r="AB140" s="215">
        <v>45014</v>
      </c>
      <c r="AC140" s="1">
        <v>1106</v>
      </c>
      <c r="AD140" s="1">
        <v>10000</v>
      </c>
      <c r="AE140" s="1">
        <f t="shared" si="19"/>
        <v>11.06</v>
      </c>
      <c r="AG140" s="215">
        <v>45014</v>
      </c>
      <c r="AH140" s="1">
        <v>8289</v>
      </c>
      <c r="AI140" s="1">
        <v>10000</v>
      </c>
      <c r="AJ140" s="1">
        <f t="shared" si="13"/>
        <v>82.89</v>
      </c>
      <c r="AL140" s="199">
        <v>44940</v>
      </c>
      <c r="AM140" t="s">
        <v>186</v>
      </c>
      <c r="AN140">
        <v>20609</v>
      </c>
      <c r="AP140" s="199">
        <v>44940</v>
      </c>
      <c r="AQ140" t="s">
        <v>148</v>
      </c>
      <c r="AR140">
        <v>335512</v>
      </c>
    </row>
    <row r="141" spans="1:48" hidden="1" x14ac:dyDescent="0.25">
      <c r="A141" s="113">
        <v>45015</v>
      </c>
      <c r="B141" s="101">
        <v>8492704</v>
      </c>
      <c r="C141" s="101">
        <v>457225</v>
      </c>
      <c r="D141" s="101">
        <v>8949929</v>
      </c>
      <c r="E141" s="101">
        <v>94.89</v>
      </c>
      <c r="F141" s="211">
        <f t="shared" si="18"/>
        <v>8.9499289999999991</v>
      </c>
      <c r="H141" s="215">
        <v>45015</v>
      </c>
      <c r="I141" s="104">
        <v>3595456</v>
      </c>
      <c r="J141" s="104">
        <v>2035</v>
      </c>
      <c r="K141" s="104">
        <v>3597491</v>
      </c>
      <c r="L141" s="104">
        <v>99.94</v>
      </c>
      <c r="M141" s="71">
        <f t="shared" si="17"/>
        <v>3.5974910000000002</v>
      </c>
      <c r="O141" s="215">
        <v>45015</v>
      </c>
      <c r="P141" s="104">
        <v>76320360</v>
      </c>
      <c r="Q141" s="104">
        <v>34994502</v>
      </c>
      <c r="R141" s="104">
        <v>111314862</v>
      </c>
      <c r="S141" s="104">
        <v>68.56</v>
      </c>
      <c r="T141" s="212">
        <f t="shared" si="16"/>
        <v>111.31486200000001</v>
      </c>
      <c r="W141" s="215">
        <v>45015</v>
      </c>
      <c r="X141" s="1">
        <v>7741</v>
      </c>
      <c r="Y141" s="1">
        <v>10000</v>
      </c>
      <c r="Z141" s="1">
        <f t="shared" si="14"/>
        <v>77.41</v>
      </c>
      <c r="AB141" s="215">
        <v>45015</v>
      </c>
      <c r="AC141" s="1">
        <v>1090</v>
      </c>
      <c r="AD141" s="1">
        <v>10000</v>
      </c>
      <c r="AE141" s="1">
        <f t="shared" si="19"/>
        <v>10.9</v>
      </c>
      <c r="AG141" s="215">
        <v>45015</v>
      </c>
      <c r="AH141" s="1">
        <v>8302</v>
      </c>
      <c r="AI141" s="1">
        <v>10000</v>
      </c>
      <c r="AJ141" s="1">
        <f t="shared" si="13"/>
        <v>83.02</v>
      </c>
      <c r="AM141" s="70"/>
      <c r="AQ141" s="70"/>
    </row>
    <row r="142" spans="1:48" hidden="1" x14ac:dyDescent="0.25">
      <c r="A142" s="113">
        <v>45016</v>
      </c>
      <c r="B142">
        <v>8768931</v>
      </c>
      <c r="C142" s="101">
        <v>498274</v>
      </c>
      <c r="D142" s="101">
        <v>9267205</v>
      </c>
      <c r="E142" s="101">
        <v>94.62</v>
      </c>
      <c r="F142" s="211">
        <f t="shared" si="18"/>
        <v>9.2672050000000006</v>
      </c>
      <c r="H142" s="215">
        <v>45016</v>
      </c>
      <c r="I142" s="104">
        <v>4582220</v>
      </c>
      <c r="J142" s="104">
        <v>614</v>
      </c>
      <c r="K142" s="104">
        <v>4582834</v>
      </c>
      <c r="L142" s="104">
        <v>99.99</v>
      </c>
      <c r="M142" s="71">
        <f t="shared" si="17"/>
        <v>4.5828340000000001</v>
      </c>
      <c r="O142" s="215">
        <v>45016</v>
      </c>
      <c r="P142" s="104">
        <v>83772900</v>
      </c>
      <c r="Q142" s="104">
        <v>35116316</v>
      </c>
      <c r="R142" s="104">
        <v>118889216</v>
      </c>
      <c r="S142" s="104">
        <v>70.459999999999994</v>
      </c>
      <c r="T142" s="212">
        <f t="shared" si="16"/>
        <v>118.889216</v>
      </c>
      <c r="W142" s="215">
        <v>45016</v>
      </c>
      <c r="X142" s="1">
        <v>9000</v>
      </c>
      <c r="Y142" s="1">
        <v>10000</v>
      </c>
      <c r="Z142" s="1">
        <f t="shared" si="14"/>
        <v>90</v>
      </c>
      <c r="AB142" s="215">
        <v>45016</v>
      </c>
      <c r="AC142" s="1">
        <v>1310</v>
      </c>
      <c r="AD142" s="1">
        <v>10000</v>
      </c>
      <c r="AE142" s="1">
        <f t="shared" si="19"/>
        <v>13.1</v>
      </c>
      <c r="AG142" s="215">
        <v>45016</v>
      </c>
      <c r="AH142" s="1">
        <v>9581</v>
      </c>
      <c r="AI142" s="1">
        <v>10000</v>
      </c>
      <c r="AJ142" s="1">
        <f t="shared" si="13"/>
        <v>95.81</v>
      </c>
      <c r="AL142" s="199">
        <v>44941</v>
      </c>
      <c r="AM142" t="s">
        <v>146</v>
      </c>
      <c r="AN142">
        <v>265131</v>
      </c>
      <c r="AP142" s="199">
        <v>44941</v>
      </c>
      <c r="AQ142" t="s">
        <v>146</v>
      </c>
      <c r="AR142">
        <v>15402020</v>
      </c>
      <c r="AT142" s="199">
        <v>44941</v>
      </c>
      <c r="AU142" t="s">
        <v>147</v>
      </c>
      <c r="AV142">
        <v>1403</v>
      </c>
    </row>
    <row r="143" spans="1:48" hidden="1" x14ac:dyDescent="0.25">
      <c r="A143" s="113">
        <v>45017</v>
      </c>
      <c r="B143" s="101">
        <v>8896157</v>
      </c>
      <c r="C143" s="101">
        <v>489513</v>
      </c>
      <c r="D143" s="101">
        <v>9385670</v>
      </c>
      <c r="E143" s="101">
        <v>94.78</v>
      </c>
      <c r="F143" s="211">
        <f t="shared" si="18"/>
        <v>9.3856699999999993</v>
      </c>
      <c r="H143" s="215">
        <v>45017</v>
      </c>
      <c r="I143" s="104">
        <v>2394206</v>
      </c>
      <c r="J143" s="104">
        <v>659</v>
      </c>
      <c r="K143" s="104">
        <v>2394865</v>
      </c>
      <c r="L143" s="104">
        <v>99.97</v>
      </c>
      <c r="M143" s="71">
        <f t="shared" si="17"/>
        <v>2.3948649999999998</v>
      </c>
      <c r="O143" s="215">
        <v>45017</v>
      </c>
      <c r="P143" s="104">
        <v>76039179</v>
      </c>
      <c r="Q143" s="104">
        <v>32083256</v>
      </c>
      <c r="R143" s="104">
        <v>108122435</v>
      </c>
      <c r="S143" s="104">
        <v>70.33</v>
      </c>
      <c r="T143" s="212">
        <f t="shared" si="16"/>
        <v>108.122435</v>
      </c>
      <c r="W143" s="215">
        <v>45017</v>
      </c>
      <c r="X143" s="1">
        <v>7475</v>
      </c>
      <c r="Y143" s="1">
        <v>10000</v>
      </c>
      <c r="Z143" s="1">
        <f t="shared" si="14"/>
        <v>74.75</v>
      </c>
      <c r="AB143" s="215">
        <v>45017</v>
      </c>
      <c r="AC143" s="1">
        <v>1078</v>
      </c>
      <c r="AD143" s="1">
        <v>10000</v>
      </c>
      <c r="AE143" s="1">
        <f t="shared" si="19"/>
        <v>10.78</v>
      </c>
      <c r="AG143" s="215">
        <v>45017</v>
      </c>
      <c r="AH143" s="1">
        <v>8038</v>
      </c>
      <c r="AI143" s="1">
        <v>10000</v>
      </c>
      <c r="AJ143" s="1">
        <f t="shared" si="13"/>
        <v>80.38</v>
      </c>
      <c r="AL143" s="199">
        <v>44941</v>
      </c>
      <c r="AM143" s="70" t="s">
        <v>148</v>
      </c>
      <c r="AN143">
        <v>29007</v>
      </c>
      <c r="AP143" s="199">
        <v>44941</v>
      </c>
      <c r="AQ143" s="70" t="s">
        <v>149</v>
      </c>
      <c r="AR143">
        <v>2838552</v>
      </c>
      <c r="AT143" s="199">
        <v>44941</v>
      </c>
      <c r="AU143" t="s">
        <v>155</v>
      </c>
      <c r="AV143">
        <v>32</v>
      </c>
    </row>
    <row r="144" spans="1:48" hidden="1" x14ac:dyDescent="0.25">
      <c r="A144" s="113">
        <v>45018</v>
      </c>
      <c r="B144" s="101">
        <v>8488076</v>
      </c>
      <c r="C144" s="101">
        <v>393130</v>
      </c>
      <c r="D144" s="101">
        <v>8881206</v>
      </c>
      <c r="E144" s="101">
        <v>95.57</v>
      </c>
      <c r="F144" s="211">
        <f t="shared" si="18"/>
        <v>8.8812060000000006</v>
      </c>
      <c r="H144" s="215">
        <v>45018</v>
      </c>
      <c r="I144" s="104">
        <v>2086841</v>
      </c>
      <c r="J144" s="104">
        <v>824</v>
      </c>
      <c r="K144" s="104">
        <v>2087665</v>
      </c>
      <c r="L144" s="104">
        <v>99.96</v>
      </c>
      <c r="M144" s="71">
        <f t="shared" si="17"/>
        <v>2.0876649999999999</v>
      </c>
      <c r="O144" s="215">
        <v>45018</v>
      </c>
      <c r="P144" s="104">
        <v>52884283</v>
      </c>
      <c r="Q144" s="104">
        <v>20636082</v>
      </c>
      <c r="R144" s="104">
        <v>73520365</v>
      </c>
      <c r="S144" s="104">
        <v>71.930000000000007</v>
      </c>
      <c r="T144" s="212">
        <f t="shared" si="16"/>
        <v>73.520364999999998</v>
      </c>
      <c r="W144" s="215">
        <v>45018</v>
      </c>
      <c r="X144" s="1">
        <v>5779</v>
      </c>
      <c r="Y144" s="1">
        <v>10000</v>
      </c>
      <c r="Z144" s="1">
        <f t="shared" si="14"/>
        <v>57.79</v>
      </c>
      <c r="AB144" s="215">
        <v>45018</v>
      </c>
      <c r="AC144" s="1">
        <v>953</v>
      </c>
      <c r="AD144" s="1">
        <v>10000</v>
      </c>
      <c r="AE144" s="1">
        <f t="shared" si="19"/>
        <v>9.5299999999999994</v>
      </c>
      <c r="AG144" s="215">
        <v>45018</v>
      </c>
      <c r="AH144" s="1">
        <v>6406</v>
      </c>
      <c r="AI144" s="1">
        <v>10000</v>
      </c>
      <c r="AJ144" s="1">
        <f t="shared" si="13"/>
        <v>64.06</v>
      </c>
      <c r="AL144" s="199">
        <v>44941</v>
      </c>
      <c r="AM144" t="s">
        <v>149</v>
      </c>
      <c r="AN144">
        <v>23978</v>
      </c>
      <c r="AP144" s="199">
        <v>44941</v>
      </c>
      <c r="AQ144" t="s">
        <v>180</v>
      </c>
      <c r="AR144">
        <v>1329682</v>
      </c>
    </row>
    <row r="145" spans="1:48" hidden="1" x14ac:dyDescent="0.25">
      <c r="A145" s="113">
        <v>45019</v>
      </c>
      <c r="B145" s="101">
        <v>8062785</v>
      </c>
      <c r="C145" s="101">
        <v>276082</v>
      </c>
      <c r="D145" s="101">
        <v>8338867</v>
      </c>
      <c r="E145" s="101">
        <v>96.69</v>
      </c>
      <c r="F145" s="211">
        <f t="shared" si="18"/>
        <v>8.3388670000000005</v>
      </c>
      <c r="H145" s="215">
        <v>45019</v>
      </c>
      <c r="I145" s="104">
        <v>1794105</v>
      </c>
      <c r="J145" s="104">
        <v>646</v>
      </c>
      <c r="K145" s="104">
        <v>1794751</v>
      </c>
      <c r="L145" s="104">
        <v>99.96</v>
      </c>
      <c r="M145" s="71">
        <f t="shared" si="17"/>
        <v>1.794751</v>
      </c>
      <c r="O145" s="215">
        <v>45019</v>
      </c>
      <c r="P145" s="104">
        <v>62644461</v>
      </c>
      <c r="Q145" s="104">
        <v>25245133</v>
      </c>
      <c r="R145" s="104">
        <v>87889594</v>
      </c>
      <c r="S145" s="104">
        <v>71.28</v>
      </c>
      <c r="T145" s="212">
        <f t="shared" si="16"/>
        <v>87.889594000000002</v>
      </c>
      <c r="W145" s="215">
        <v>45019</v>
      </c>
      <c r="X145" s="1">
        <v>8219</v>
      </c>
      <c r="Y145" s="1">
        <v>10000</v>
      </c>
      <c r="Z145" s="1">
        <f t="shared" si="14"/>
        <v>82.19</v>
      </c>
      <c r="AB145" s="215">
        <v>45019</v>
      </c>
      <c r="AC145" s="1">
        <v>1122</v>
      </c>
      <c r="AD145" s="1">
        <v>10000</v>
      </c>
      <c r="AE145" s="1">
        <f t="shared" si="19"/>
        <v>11.22</v>
      </c>
      <c r="AG145" s="215">
        <v>45019</v>
      </c>
      <c r="AH145" s="1">
        <v>8956</v>
      </c>
      <c r="AI145" s="1">
        <v>10000</v>
      </c>
      <c r="AJ145" s="1">
        <f t="shared" si="13"/>
        <v>89.56</v>
      </c>
      <c r="AL145" s="199">
        <v>44941</v>
      </c>
      <c r="AM145" s="70" t="s">
        <v>180</v>
      </c>
      <c r="AN145">
        <v>19930</v>
      </c>
      <c r="AP145" s="199">
        <v>44941</v>
      </c>
      <c r="AQ145" s="70" t="s">
        <v>185</v>
      </c>
      <c r="AR145">
        <v>658737</v>
      </c>
    </row>
    <row r="146" spans="1:48" hidden="1" x14ac:dyDescent="0.25">
      <c r="A146" s="113">
        <v>45020</v>
      </c>
      <c r="B146" s="101">
        <v>7795959</v>
      </c>
      <c r="C146" s="101">
        <v>482800</v>
      </c>
      <c r="D146" s="101">
        <v>8278759</v>
      </c>
      <c r="E146" s="101">
        <v>94.17</v>
      </c>
      <c r="F146" s="211">
        <f t="shared" si="18"/>
        <v>8.2787590000000009</v>
      </c>
      <c r="H146" s="215">
        <v>45020</v>
      </c>
      <c r="I146" s="104">
        <v>2067038</v>
      </c>
      <c r="J146" s="104">
        <v>672</v>
      </c>
      <c r="K146" s="104">
        <v>2067710</v>
      </c>
      <c r="L146" s="104">
        <v>99.97</v>
      </c>
      <c r="M146" s="71">
        <f t="shared" si="17"/>
        <v>2.0677099999999999</v>
      </c>
      <c r="O146" s="215">
        <v>45020</v>
      </c>
      <c r="P146" s="104">
        <v>68023885</v>
      </c>
      <c r="Q146" s="104">
        <v>25380613</v>
      </c>
      <c r="R146" s="104">
        <v>93404498</v>
      </c>
      <c r="S146" s="104">
        <v>72.83</v>
      </c>
      <c r="T146" s="212">
        <f t="shared" si="16"/>
        <v>93.404498000000004</v>
      </c>
      <c r="W146" s="215">
        <v>45020</v>
      </c>
      <c r="X146" s="1">
        <v>6726</v>
      </c>
      <c r="Y146" s="1">
        <v>10000</v>
      </c>
      <c r="Z146" s="1">
        <f t="shared" si="14"/>
        <v>67.260000000000005</v>
      </c>
      <c r="AB146" s="215">
        <v>45020</v>
      </c>
      <c r="AC146" s="1">
        <v>1054</v>
      </c>
      <c r="AD146" s="1">
        <v>10000</v>
      </c>
      <c r="AE146" s="1">
        <f t="shared" si="19"/>
        <v>10.54</v>
      </c>
      <c r="AG146" s="215">
        <v>45020</v>
      </c>
      <c r="AH146" s="1">
        <v>7277</v>
      </c>
      <c r="AI146" s="1">
        <v>10000</v>
      </c>
      <c r="AJ146" s="1">
        <f t="shared" si="13"/>
        <v>72.77</v>
      </c>
      <c r="AL146" s="199">
        <v>44941</v>
      </c>
      <c r="AM146" t="s">
        <v>186</v>
      </c>
      <c r="AN146">
        <v>18800</v>
      </c>
      <c r="AP146" s="199">
        <v>44941</v>
      </c>
      <c r="AQ146" t="s">
        <v>148</v>
      </c>
      <c r="AR146">
        <v>144981</v>
      </c>
    </row>
    <row r="147" spans="1:48" hidden="1" x14ac:dyDescent="0.25">
      <c r="A147" s="113">
        <v>45021</v>
      </c>
      <c r="B147" s="101">
        <v>7837024</v>
      </c>
      <c r="C147" s="101">
        <v>395233</v>
      </c>
      <c r="D147" s="101">
        <v>8232257</v>
      </c>
      <c r="E147" s="101">
        <v>95.2</v>
      </c>
      <c r="F147" s="211">
        <f t="shared" si="18"/>
        <v>8.2322570000000006</v>
      </c>
      <c r="H147" s="215">
        <v>45021</v>
      </c>
      <c r="I147" s="104">
        <v>1668805</v>
      </c>
      <c r="J147" s="104">
        <v>624</v>
      </c>
      <c r="K147" s="104">
        <v>1669429</v>
      </c>
      <c r="L147" s="104">
        <v>99.96</v>
      </c>
      <c r="M147" s="71">
        <f t="shared" si="17"/>
        <v>1.6694290000000001</v>
      </c>
      <c r="O147" s="215">
        <v>45021</v>
      </c>
      <c r="P147" s="104">
        <v>60186591</v>
      </c>
      <c r="Q147" s="104">
        <v>19990822</v>
      </c>
      <c r="R147" s="104">
        <v>80177413</v>
      </c>
      <c r="S147" s="104">
        <v>75.069999999999993</v>
      </c>
      <c r="T147" s="212">
        <f t="shared" si="16"/>
        <v>80.177413000000001</v>
      </c>
      <c r="W147" s="215">
        <v>45021</v>
      </c>
      <c r="X147" s="1">
        <v>5853</v>
      </c>
      <c r="Y147" s="1">
        <v>10000</v>
      </c>
      <c r="Z147" s="1">
        <f t="shared" si="14"/>
        <v>58.53</v>
      </c>
      <c r="AB147" s="215">
        <v>45021</v>
      </c>
      <c r="AC147" s="1">
        <v>1091</v>
      </c>
      <c r="AD147" s="1">
        <v>10000</v>
      </c>
      <c r="AE147" s="1">
        <f t="shared" si="19"/>
        <v>10.91</v>
      </c>
      <c r="AG147" s="215">
        <v>45021</v>
      </c>
      <c r="AH147" s="1">
        <v>6596</v>
      </c>
      <c r="AI147" s="1">
        <v>10000</v>
      </c>
      <c r="AJ147" s="1">
        <f t="shared" si="13"/>
        <v>65.959999999999994</v>
      </c>
      <c r="AM147" s="70"/>
      <c r="AQ147" s="70"/>
    </row>
    <row r="148" spans="1:48" hidden="1" x14ac:dyDescent="0.25">
      <c r="A148" s="113">
        <v>45022</v>
      </c>
      <c r="B148" s="101">
        <v>8411464</v>
      </c>
      <c r="C148" s="101">
        <v>392087</v>
      </c>
      <c r="D148" s="101">
        <v>8803551</v>
      </c>
      <c r="E148" s="101">
        <v>95.55</v>
      </c>
      <c r="F148" s="211">
        <f t="shared" si="18"/>
        <v>8.8035510000000006</v>
      </c>
      <c r="H148" s="215">
        <v>45022</v>
      </c>
      <c r="I148" s="104">
        <v>1743689</v>
      </c>
      <c r="J148" s="104">
        <v>601</v>
      </c>
      <c r="K148" s="104">
        <v>1744290</v>
      </c>
      <c r="L148" s="104">
        <v>99.97</v>
      </c>
      <c r="M148" s="71">
        <f t="shared" si="17"/>
        <v>1.7442899999999999</v>
      </c>
      <c r="O148" s="215">
        <v>45022</v>
      </c>
      <c r="P148" s="104">
        <v>59516145</v>
      </c>
      <c r="Q148" s="104">
        <v>16952933</v>
      </c>
      <c r="R148" s="104">
        <v>76469078</v>
      </c>
      <c r="S148" s="104">
        <v>77.83</v>
      </c>
      <c r="T148" s="212">
        <f t="shared" si="16"/>
        <v>76.469077999999996</v>
      </c>
      <c r="W148" s="215">
        <v>45022</v>
      </c>
      <c r="X148" s="1">
        <v>4453</v>
      </c>
      <c r="Y148" s="1">
        <v>10000</v>
      </c>
      <c r="Z148" s="1">
        <f t="shared" si="14"/>
        <v>44.53</v>
      </c>
      <c r="AB148" s="215">
        <v>45022</v>
      </c>
      <c r="AC148" s="1">
        <v>1175</v>
      </c>
      <c r="AD148" s="1">
        <v>10000</v>
      </c>
      <c r="AE148" s="1">
        <f t="shared" si="19"/>
        <v>11.75</v>
      </c>
      <c r="AG148" s="215">
        <v>45022</v>
      </c>
      <c r="AH148" s="1">
        <v>5241</v>
      </c>
      <c r="AI148" s="1">
        <v>10000</v>
      </c>
      <c r="AJ148" s="1">
        <f t="shared" si="13"/>
        <v>52.41</v>
      </c>
      <c r="AL148" s="199">
        <v>44942</v>
      </c>
      <c r="AM148" t="s">
        <v>146</v>
      </c>
      <c r="AN148">
        <v>217564</v>
      </c>
      <c r="AP148" s="199">
        <v>44942</v>
      </c>
      <c r="AQ148" t="s">
        <v>146</v>
      </c>
      <c r="AR148">
        <v>20424975</v>
      </c>
      <c r="AT148" s="199">
        <v>44942</v>
      </c>
      <c r="AU148" t="s">
        <v>147</v>
      </c>
      <c r="AV148">
        <v>520</v>
      </c>
    </row>
    <row r="149" spans="1:48" hidden="1" x14ac:dyDescent="0.25">
      <c r="A149" s="113">
        <v>45023</v>
      </c>
      <c r="B149" s="101">
        <v>8698922</v>
      </c>
      <c r="C149" s="101">
        <v>405143</v>
      </c>
      <c r="D149" s="101">
        <v>9104065</v>
      </c>
      <c r="E149" s="101">
        <v>95.55</v>
      </c>
      <c r="F149" s="211">
        <f t="shared" si="18"/>
        <v>9.1040650000000003</v>
      </c>
      <c r="H149" s="215">
        <v>45023</v>
      </c>
      <c r="I149" s="104">
        <v>3150087</v>
      </c>
      <c r="J149" s="104">
        <v>1160</v>
      </c>
      <c r="K149" s="104">
        <v>3151247</v>
      </c>
      <c r="L149" s="104">
        <v>99.96</v>
      </c>
      <c r="M149" s="71">
        <f t="shared" si="17"/>
        <v>3.1512470000000001</v>
      </c>
      <c r="O149" s="215">
        <v>45023</v>
      </c>
      <c r="P149" s="104">
        <v>75000230</v>
      </c>
      <c r="Q149" s="104">
        <v>25033234</v>
      </c>
      <c r="R149" s="104">
        <v>100033464</v>
      </c>
      <c r="S149" s="104">
        <v>74.98</v>
      </c>
      <c r="T149" s="212">
        <f t="shared" si="16"/>
        <v>100.033464</v>
      </c>
      <c r="W149" s="215">
        <v>45023</v>
      </c>
      <c r="X149" s="1">
        <v>9000</v>
      </c>
      <c r="Y149" s="1">
        <v>10000</v>
      </c>
      <c r="Z149" s="1">
        <f t="shared" si="14"/>
        <v>90</v>
      </c>
      <c r="AB149" s="215">
        <v>45023</v>
      </c>
      <c r="AC149" s="1">
        <v>2377</v>
      </c>
      <c r="AD149" s="1">
        <v>10000</v>
      </c>
      <c r="AE149" s="1">
        <f t="shared" si="19"/>
        <v>23.77</v>
      </c>
      <c r="AG149" s="215">
        <v>45023</v>
      </c>
      <c r="AH149" s="1">
        <v>9761</v>
      </c>
      <c r="AI149" s="1">
        <v>10000</v>
      </c>
      <c r="AJ149" s="1">
        <f t="shared" si="13"/>
        <v>97.61</v>
      </c>
      <c r="AL149" s="199">
        <v>44942</v>
      </c>
      <c r="AM149" s="70" t="s">
        <v>148</v>
      </c>
      <c r="AN149">
        <v>30349</v>
      </c>
      <c r="AP149" s="199">
        <v>44942</v>
      </c>
      <c r="AQ149" s="70" t="s">
        <v>149</v>
      </c>
      <c r="AR149">
        <v>3252886</v>
      </c>
      <c r="AT149" s="199">
        <v>44942</v>
      </c>
      <c r="AU149" t="s">
        <v>155</v>
      </c>
      <c r="AV149">
        <v>27</v>
      </c>
    </row>
    <row r="150" spans="1:48" hidden="1" x14ac:dyDescent="0.25">
      <c r="A150" s="113">
        <v>45024</v>
      </c>
      <c r="B150" s="101">
        <v>8311947</v>
      </c>
      <c r="C150" s="101">
        <v>373963</v>
      </c>
      <c r="D150" s="101">
        <v>8685910</v>
      </c>
      <c r="E150" s="101">
        <v>95.69</v>
      </c>
      <c r="F150" s="211">
        <f t="shared" si="18"/>
        <v>8.6859099999999998</v>
      </c>
      <c r="H150" s="215">
        <v>45024</v>
      </c>
      <c r="I150" s="104">
        <v>1703137</v>
      </c>
      <c r="J150" s="104">
        <v>618</v>
      </c>
      <c r="K150" s="104">
        <v>1703755</v>
      </c>
      <c r="L150" s="104">
        <v>99.96</v>
      </c>
      <c r="M150" s="71">
        <f t="shared" si="17"/>
        <v>1.7037549999999999</v>
      </c>
      <c r="O150" s="215">
        <v>45024</v>
      </c>
      <c r="P150" s="104">
        <v>66503620</v>
      </c>
      <c r="Q150" s="104">
        <v>22241368</v>
      </c>
      <c r="R150" s="104">
        <v>88744988</v>
      </c>
      <c r="S150" s="104">
        <v>74.94</v>
      </c>
      <c r="T150" s="212">
        <f t="shared" si="16"/>
        <v>88.744988000000006</v>
      </c>
      <c r="W150" s="215">
        <v>45024</v>
      </c>
      <c r="X150" s="1">
        <v>6497</v>
      </c>
      <c r="Y150" s="1">
        <v>10000</v>
      </c>
      <c r="Z150" s="1">
        <f t="shared" si="14"/>
        <v>64.97</v>
      </c>
      <c r="AB150" s="215">
        <v>45024</v>
      </c>
      <c r="AC150" s="1">
        <v>1080</v>
      </c>
      <c r="AD150" s="1">
        <v>10000</v>
      </c>
      <c r="AE150" s="1">
        <f t="shared" si="19"/>
        <v>10.8</v>
      </c>
      <c r="AG150" s="215">
        <v>45024</v>
      </c>
      <c r="AH150" s="1">
        <v>7245</v>
      </c>
      <c r="AI150" s="1">
        <v>10000</v>
      </c>
      <c r="AJ150" s="1">
        <f t="shared" si="13"/>
        <v>72.45</v>
      </c>
      <c r="AL150" s="199">
        <v>44942</v>
      </c>
      <c r="AM150" t="s">
        <v>149</v>
      </c>
      <c r="AN150">
        <v>21366</v>
      </c>
      <c r="AP150" s="199">
        <v>44942</v>
      </c>
      <c r="AQ150" t="s">
        <v>186</v>
      </c>
      <c r="AR150">
        <v>2047769</v>
      </c>
    </row>
    <row r="151" spans="1:48" hidden="1" x14ac:dyDescent="0.25">
      <c r="A151" s="113">
        <v>45025</v>
      </c>
      <c r="B151" s="101">
        <v>8370906</v>
      </c>
      <c r="C151" s="101">
        <v>336690</v>
      </c>
      <c r="D151" s="101">
        <v>8707596</v>
      </c>
      <c r="E151" s="101">
        <v>96.13</v>
      </c>
      <c r="F151" s="211">
        <f t="shared" si="18"/>
        <v>8.7075960000000006</v>
      </c>
      <c r="H151" s="215">
        <v>45025</v>
      </c>
      <c r="I151" s="104">
        <v>1636611</v>
      </c>
      <c r="J151" s="104">
        <v>786</v>
      </c>
      <c r="K151" s="104">
        <v>1637397</v>
      </c>
      <c r="L151" s="104">
        <v>99.95</v>
      </c>
      <c r="M151" s="71">
        <f t="shared" si="17"/>
        <v>1.637397</v>
      </c>
      <c r="O151" s="215">
        <v>45025</v>
      </c>
      <c r="P151" s="104">
        <v>55297060</v>
      </c>
      <c r="Q151" s="104">
        <v>14612259</v>
      </c>
      <c r="R151" s="104">
        <v>69909319</v>
      </c>
      <c r="S151" s="104">
        <v>79.099999999999994</v>
      </c>
      <c r="T151" s="212">
        <f t="shared" si="16"/>
        <v>69.909318999999996</v>
      </c>
      <c r="W151" s="215">
        <v>45025</v>
      </c>
      <c r="X151" s="1">
        <v>6366</v>
      </c>
      <c r="Y151" s="1">
        <v>10000</v>
      </c>
      <c r="Z151" s="1">
        <f t="shared" si="14"/>
        <v>63.66</v>
      </c>
      <c r="AB151" s="215">
        <v>45025</v>
      </c>
      <c r="AC151" s="1">
        <v>1024</v>
      </c>
      <c r="AD151" s="1">
        <v>10000</v>
      </c>
      <c r="AE151" s="1">
        <f t="shared" si="19"/>
        <v>10.24</v>
      </c>
      <c r="AG151" s="215">
        <v>45025</v>
      </c>
      <c r="AH151" s="1">
        <v>6925</v>
      </c>
      <c r="AI151" s="1">
        <v>10000</v>
      </c>
      <c r="AJ151" s="1">
        <f t="shared" ref="AJ151:AJ219" si="20">AH151/AI151%</f>
        <v>69.25</v>
      </c>
      <c r="AL151" s="199">
        <v>44942</v>
      </c>
      <c r="AM151" s="70" t="s">
        <v>186</v>
      </c>
      <c r="AN151">
        <v>21212</v>
      </c>
      <c r="AP151" s="199">
        <v>44942</v>
      </c>
      <c r="AQ151" t="s">
        <v>180</v>
      </c>
      <c r="AR151">
        <v>1413126</v>
      </c>
    </row>
    <row r="152" spans="1:48" hidden="1" x14ac:dyDescent="0.25">
      <c r="A152" s="113">
        <v>45026</v>
      </c>
      <c r="B152" s="101">
        <v>8566001</v>
      </c>
      <c r="C152" s="101">
        <v>245666</v>
      </c>
      <c r="D152" s="101">
        <v>8811667</v>
      </c>
      <c r="E152" s="101">
        <v>97.21</v>
      </c>
      <c r="F152" s="211">
        <f t="shared" si="18"/>
        <v>8.8116669999999999</v>
      </c>
      <c r="H152" s="215">
        <v>45026</v>
      </c>
      <c r="I152" s="104">
        <v>1899002</v>
      </c>
      <c r="J152" s="104">
        <v>1111</v>
      </c>
      <c r="K152" s="104">
        <v>1900113</v>
      </c>
      <c r="L152" s="104">
        <v>99.94</v>
      </c>
      <c r="M152" s="71">
        <f t="shared" si="17"/>
        <v>1.9001129999999999</v>
      </c>
      <c r="O152" s="215">
        <v>45026</v>
      </c>
      <c r="P152" s="104">
        <v>50005790</v>
      </c>
      <c r="Q152" s="104">
        <v>9683104</v>
      </c>
      <c r="R152" s="104">
        <v>59688894</v>
      </c>
      <c r="S152" s="104">
        <v>83.78</v>
      </c>
      <c r="T152" s="212">
        <f t="shared" si="16"/>
        <v>59.688893999999998</v>
      </c>
      <c r="W152" s="215">
        <v>45026</v>
      </c>
      <c r="X152" s="1">
        <v>4803</v>
      </c>
      <c r="Y152" s="1">
        <v>10000</v>
      </c>
      <c r="Z152" s="1">
        <f t="shared" si="14"/>
        <v>48.03</v>
      </c>
      <c r="AB152" s="215">
        <v>45026</v>
      </c>
      <c r="AC152" s="1">
        <v>1095</v>
      </c>
      <c r="AD152" s="1">
        <v>10000</v>
      </c>
      <c r="AE152" s="1">
        <f t="shared" si="19"/>
        <v>10.95</v>
      </c>
      <c r="AG152" s="215">
        <v>45026</v>
      </c>
      <c r="AH152" s="1">
        <v>5482</v>
      </c>
      <c r="AI152" s="1">
        <v>10000</v>
      </c>
      <c r="AJ152" s="1">
        <f t="shared" si="20"/>
        <v>54.82</v>
      </c>
      <c r="AL152" s="199">
        <v>44942</v>
      </c>
      <c r="AM152" s="70" t="s">
        <v>180</v>
      </c>
      <c r="AN152">
        <v>13570</v>
      </c>
      <c r="AP152" s="199">
        <v>44942</v>
      </c>
      <c r="AQ152" t="s">
        <v>148</v>
      </c>
      <c r="AR152">
        <v>562037</v>
      </c>
    </row>
    <row r="153" spans="1:48" hidden="1" x14ac:dyDescent="0.25">
      <c r="A153" s="113">
        <v>45027</v>
      </c>
      <c r="B153" s="101">
        <v>9410991</v>
      </c>
      <c r="C153" s="101">
        <v>269172</v>
      </c>
      <c r="D153" s="101">
        <v>9680163</v>
      </c>
      <c r="E153" s="101">
        <v>97.22</v>
      </c>
      <c r="F153" s="211">
        <f t="shared" si="18"/>
        <v>9.6801630000000003</v>
      </c>
      <c r="H153" s="215">
        <v>45027</v>
      </c>
      <c r="I153" s="104">
        <v>6579563</v>
      </c>
      <c r="J153" s="104">
        <v>2491</v>
      </c>
      <c r="K153" s="104">
        <v>6582054</v>
      </c>
      <c r="L153" s="104">
        <v>99.96</v>
      </c>
      <c r="M153" s="71">
        <f t="shared" si="17"/>
        <v>6.5820540000000003</v>
      </c>
      <c r="O153" s="215">
        <v>45027</v>
      </c>
      <c r="P153" s="104">
        <v>80966402</v>
      </c>
      <c r="Q153" s="104">
        <v>27692258</v>
      </c>
      <c r="R153" s="104">
        <v>108658660</v>
      </c>
      <c r="S153" s="104">
        <v>74.510000000000005</v>
      </c>
      <c r="T153" s="212">
        <f t="shared" si="16"/>
        <v>108.65866</v>
      </c>
      <c r="W153" s="215">
        <v>45027</v>
      </c>
      <c r="X153" s="1">
        <v>7182</v>
      </c>
      <c r="Y153" s="1">
        <v>10000</v>
      </c>
      <c r="Z153" s="1">
        <f t="shared" si="14"/>
        <v>71.819999999999993</v>
      </c>
      <c r="AB153" s="215">
        <v>45027</v>
      </c>
      <c r="AC153" s="1">
        <v>1115</v>
      </c>
      <c r="AD153" s="1">
        <v>10000</v>
      </c>
      <c r="AE153" s="1">
        <f t="shared" si="19"/>
        <v>11.15</v>
      </c>
      <c r="AG153" s="215">
        <v>45027</v>
      </c>
      <c r="AH153" s="1">
        <v>8034</v>
      </c>
      <c r="AI153" s="1">
        <v>10000</v>
      </c>
      <c r="AJ153" s="1">
        <f t="shared" si="20"/>
        <v>80.34</v>
      </c>
    </row>
    <row r="154" spans="1:48" hidden="1" x14ac:dyDescent="0.25">
      <c r="A154" s="113">
        <v>45028</v>
      </c>
      <c r="B154" s="101">
        <v>9506059</v>
      </c>
      <c r="C154" s="101">
        <v>411973</v>
      </c>
      <c r="D154" s="101">
        <v>9918032</v>
      </c>
      <c r="E154" s="101">
        <v>95.85</v>
      </c>
      <c r="F154" s="211">
        <f t="shared" si="18"/>
        <v>9.9180320000000002</v>
      </c>
      <c r="H154" s="215">
        <v>45028</v>
      </c>
      <c r="I154" s="104">
        <v>3056451</v>
      </c>
      <c r="J154" s="104">
        <v>576</v>
      </c>
      <c r="K154" s="104">
        <v>3057027</v>
      </c>
      <c r="L154" s="104">
        <v>99.98</v>
      </c>
      <c r="M154" s="71">
        <f t="shared" si="17"/>
        <v>3.0570270000000002</v>
      </c>
      <c r="O154" s="215">
        <v>45028</v>
      </c>
      <c r="P154" s="104">
        <v>69230848</v>
      </c>
      <c r="Q154" s="104">
        <v>24460010</v>
      </c>
      <c r="R154" s="104">
        <v>93690858</v>
      </c>
      <c r="S154" s="104">
        <v>73.89</v>
      </c>
      <c r="T154" s="212">
        <f t="shared" si="16"/>
        <v>93.690858000000006</v>
      </c>
      <c r="W154" s="215">
        <v>45028</v>
      </c>
      <c r="X154" s="1">
        <v>8386</v>
      </c>
      <c r="Y154" s="1">
        <v>10000</v>
      </c>
      <c r="Z154" s="1">
        <f t="shared" si="14"/>
        <v>83.86</v>
      </c>
      <c r="AB154" s="215">
        <v>45028</v>
      </c>
      <c r="AC154" s="1">
        <v>1026</v>
      </c>
      <c r="AD154" s="1">
        <v>10000</v>
      </c>
      <c r="AE154" s="1">
        <f t="shared" si="19"/>
        <v>10.26</v>
      </c>
      <c r="AG154" s="215">
        <v>45028</v>
      </c>
      <c r="AH154" s="1">
        <v>8849</v>
      </c>
      <c r="AI154" s="1">
        <v>10000</v>
      </c>
      <c r="AJ154" s="1">
        <f t="shared" si="20"/>
        <v>88.49</v>
      </c>
      <c r="AL154" s="199">
        <v>44943</v>
      </c>
      <c r="AM154" t="s">
        <v>146</v>
      </c>
      <c r="AN154">
        <v>262930</v>
      </c>
      <c r="AP154" s="199">
        <v>44943</v>
      </c>
      <c r="AQ154" t="s">
        <v>146</v>
      </c>
      <c r="AR154">
        <v>18606018</v>
      </c>
      <c r="AT154" s="199">
        <v>44943</v>
      </c>
      <c r="AU154" t="s">
        <v>147</v>
      </c>
      <c r="AV154">
        <v>178</v>
      </c>
    </row>
    <row r="155" spans="1:48" hidden="1" x14ac:dyDescent="0.25">
      <c r="A155" s="113">
        <v>45029</v>
      </c>
      <c r="B155" s="101">
        <v>9675140</v>
      </c>
      <c r="C155" s="101">
        <v>370884</v>
      </c>
      <c r="D155" s="101">
        <v>10046024</v>
      </c>
      <c r="E155" s="101">
        <v>96.31</v>
      </c>
      <c r="F155" s="211">
        <f t="shared" si="18"/>
        <v>10.046023999999999</v>
      </c>
      <c r="H155" s="215">
        <v>45029</v>
      </c>
      <c r="I155" s="104">
        <v>3465414</v>
      </c>
      <c r="J155" s="104">
        <v>413</v>
      </c>
      <c r="K155" s="104">
        <v>3465827</v>
      </c>
      <c r="L155" s="104">
        <v>99.99</v>
      </c>
      <c r="M155" s="71">
        <f t="shared" si="17"/>
        <v>3.465827</v>
      </c>
      <c r="O155" s="215">
        <v>45029</v>
      </c>
      <c r="P155" s="104">
        <v>68441752</v>
      </c>
      <c r="Q155" s="104">
        <v>21695450</v>
      </c>
      <c r="R155" s="104">
        <v>90137202</v>
      </c>
      <c r="S155" s="104">
        <v>75.930000000000007</v>
      </c>
      <c r="T155" s="212">
        <f t="shared" si="16"/>
        <v>90.137202000000002</v>
      </c>
      <c r="W155" s="215">
        <v>45029</v>
      </c>
      <c r="X155" s="1">
        <v>6758</v>
      </c>
      <c r="Y155" s="1">
        <v>10000</v>
      </c>
      <c r="Z155" s="1">
        <f t="shared" si="14"/>
        <v>67.58</v>
      </c>
      <c r="AB155" s="215">
        <v>45029</v>
      </c>
      <c r="AC155" s="1">
        <v>1075</v>
      </c>
      <c r="AD155" s="1">
        <v>10000</v>
      </c>
      <c r="AE155" s="1">
        <f t="shared" si="19"/>
        <v>10.75</v>
      </c>
      <c r="AG155" s="215">
        <v>45029</v>
      </c>
      <c r="AH155" s="1">
        <v>7478</v>
      </c>
      <c r="AI155" s="1">
        <v>10000</v>
      </c>
      <c r="AJ155" s="1">
        <f t="shared" si="20"/>
        <v>74.78</v>
      </c>
      <c r="AL155" s="199">
        <v>44943</v>
      </c>
      <c r="AM155" s="70" t="s">
        <v>148</v>
      </c>
      <c r="AN155">
        <v>26457</v>
      </c>
      <c r="AP155" s="199">
        <v>44943</v>
      </c>
      <c r="AQ155" s="70" t="s">
        <v>149</v>
      </c>
      <c r="AR155">
        <v>3584222</v>
      </c>
      <c r="AT155" s="199">
        <v>44943</v>
      </c>
      <c r="AU155" t="s">
        <v>155</v>
      </c>
      <c r="AV155">
        <v>48</v>
      </c>
    </row>
    <row r="156" spans="1:48" hidden="1" x14ac:dyDescent="0.25">
      <c r="A156" s="113">
        <v>45030</v>
      </c>
      <c r="B156" s="101">
        <v>9921857</v>
      </c>
      <c r="C156" s="101">
        <v>390964</v>
      </c>
      <c r="D156" s="101">
        <v>10312821</v>
      </c>
      <c r="E156" s="101">
        <v>96.21</v>
      </c>
      <c r="F156" s="211">
        <f t="shared" si="18"/>
        <v>10.312821</v>
      </c>
      <c r="H156" s="215">
        <v>45030</v>
      </c>
      <c r="I156" s="104">
        <v>2667060</v>
      </c>
      <c r="J156" s="104">
        <v>2432</v>
      </c>
      <c r="K156" s="104">
        <v>2669492</v>
      </c>
      <c r="L156" s="104">
        <v>99.91</v>
      </c>
      <c r="M156" s="71">
        <f t="shared" si="17"/>
        <v>2.669492</v>
      </c>
      <c r="O156" s="215">
        <v>45030</v>
      </c>
      <c r="P156" s="104">
        <v>63979390</v>
      </c>
      <c r="Q156" s="104">
        <v>22088000</v>
      </c>
      <c r="R156" s="104">
        <v>86067390</v>
      </c>
      <c r="S156" s="104">
        <v>74.34</v>
      </c>
      <c r="T156" s="212">
        <f t="shared" si="16"/>
        <v>86.067390000000003</v>
      </c>
      <c r="W156" s="215">
        <v>45030</v>
      </c>
      <c r="X156" s="1">
        <v>7617</v>
      </c>
      <c r="Y156" s="1">
        <v>10000</v>
      </c>
      <c r="Z156" s="1">
        <f t="shared" si="14"/>
        <v>76.17</v>
      </c>
      <c r="AB156" s="215">
        <v>45030</v>
      </c>
      <c r="AC156" s="1">
        <v>1106</v>
      </c>
      <c r="AD156" s="1">
        <v>10000</v>
      </c>
      <c r="AE156" s="1">
        <f t="shared" si="19"/>
        <v>11.06</v>
      </c>
      <c r="AG156" s="215">
        <v>45030</v>
      </c>
      <c r="AH156" s="1">
        <v>8370</v>
      </c>
      <c r="AI156" s="1">
        <v>10000</v>
      </c>
      <c r="AJ156" s="1">
        <f t="shared" si="20"/>
        <v>83.7</v>
      </c>
      <c r="AL156" s="199">
        <v>44943</v>
      </c>
      <c r="AM156" t="s">
        <v>149</v>
      </c>
      <c r="AN156">
        <v>26244</v>
      </c>
      <c r="AP156" s="199">
        <v>44943</v>
      </c>
      <c r="AQ156" t="s">
        <v>186</v>
      </c>
      <c r="AR156">
        <v>2030268</v>
      </c>
    </row>
    <row r="157" spans="1:48" hidden="1" x14ac:dyDescent="0.25">
      <c r="A157" s="113">
        <v>45031</v>
      </c>
      <c r="B157" s="101">
        <v>9774706</v>
      </c>
      <c r="C157" s="101">
        <v>424027</v>
      </c>
      <c r="D157" s="101">
        <v>10198733</v>
      </c>
      <c r="E157" s="101">
        <v>95.84</v>
      </c>
      <c r="F157" s="211">
        <f t="shared" si="18"/>
        <v>10.198733000000001</v>
      </c>
      <c r="H157" s="215">
        <v>45031</v>
      </c>
      <c r="I157" s="104">
        <v>2853063</v>
      </c>
      <c r="J157" s="104">
        <v>596</v>
      </c>
      <c r="K157" s="104">
        <v>2853659</v>
      </c>
      <c r="L157" s="104">
        <v>99.98</v>
      </c>
      <c r="M157" s="71">
        <f t="shared" si="17"/>
        <v>2.8536589999999999</v>
      </c>
      <c r="O157" s="215">
        <v>45031</v>
      </c>
      <c r="P157" s="104">
        <v>61269891</v>
      </c>
      <c r="Q157" s="104">
        <v>20819958</v>
      </c>
      <c r="R157" s="104">
        <v>82089849</v>
      </c>
      <c r="S157" s="104">
        <v>74.64</v>
      </c>
      <c r="T157" s="212">
        <f t="shared" si="16"/>
        <v>82.089849000000001</v>
      </c>
      <c r="W157" s="215">
        <v>45031</v>
      </c>
      <c r="X157" s="1">
        <v>6811</v>
      </c>
      <c r="Y157" s="1">
        <v>10000</v>
      </c>
      <c r="Z157" s="1">
        <f>X157/Y157%</f>
        <v>68.11</v>
      </c>
      <c r="AB157" s="215">
        <v>45031</v>
      </c>
      <c r="AC157" s="1">
        <v>1073</v>
      </c>
      <c r="AD157" s="1">
        <v>10000</v>
      </c>
      <c r="AE157" s="1">
        <f t="shared" si="19"/>
        <v>10.73</v>
      </c>
      <c r="AG157" s="215">
        <v>45031</v>
      </c>
      <c r="AH157" s="1">
        <v>7467</v>
      </c>
      <c r="AI157" s="1">
        <v>10000</v>
      </c>
      <c r="AJ157" s="1">
        <f t="shared" si="20"/>
        <v>74.67</v>
      </c>
      <c r="AL157" s="199">
        <v>44943</v>
      </c>
      <c r="AM157" s="70" t="s">
        <v>180</v>
      </c>
      <c r="AN157">
        <v>22319</v>
      </c>
      <c r="AP157" s="199">
        <v>44943</v>
      </c>
      <c r="AQ157" t="s">
        <v>180</v>
      </c>
      <c r="AR157">
        <v>1397747</v>
      </c>
    </row>
    <row r="158" spans="1:48" hidden="1" x14ac:dyDescent="0.25">
      <c r="A158" s="113">
        <v>45032</v>
      </c>
      <c r="B158" s="101">
        <v>9664266</v>
      </c>
      <c r="C158" s="101">
        <v>353136</v>
      </c>
      <c r="D158" s="101">
        <v>10017402</v>
      </c>
      <c r="E158" s="101">
        <v>96.47</v>
      </c>
      <c r="F158" s="211">
        <f t="shared" si="18"/>
        <v>10.017402000000001</v>
      </c>
      <c r="H158" s="215">
        <v>45032</v>
      </c>
      <c r="I158" s="104">
        <v>2184440</v>
      </c>
      <c r="J158" s="104">
        <v>641</v>
      </c>
      <c r="K158" s="104">
        <v>2185081</v>
      </c>
      <c r="L158" s="104">
        <v>99.97</v>
      </c>
      <c r="M158" s="71">
        <f t="shared" si="17"/>
        <v>2.1850809999999998</v>
      </c>
      <c r="O158" s="215">
        <v>45032</v>
      </c>
      <c r="P158" s="104">
        <v>46355632</v>
      </c>
      <c r="Q158" s="104">
        <v>9226905</v>
      </c>
      <c r="R158" s="104">
        <v>55582537</v>
      </c>
      <c r="S158" s="104">
        <v>83.4</v>
      </c>
      <c r="T158" s="212">
        <f t="shared" si="16"/>
        <v>55.582537000000002</v>
      </c>
      <c r="W158" s="215">
        <v>45032</v>
      </c>
      <c r="X158" s="1">
        <v>3007</v>
      </c>
      <c r="Y158" s="1">
        <v>10000</v>
      </c>
      <c r="Z158" s="1">
        <f>X158/Y158%</f>
        <v>30.07</v>
      </c>
      <c r="AB158" s="215">
        <v>45032</v>
      </c>
      <c r="AC158" s="1">
        <v>989</v>
      </c>
      <c r="AD158" s="1">
        <v>10000</v>
      </c>
      <c r="AE158" s="1">
        <f t="shared" si="19"/>
        <v>9.89</v>
      </c>
      <c r="AG158" s="215">
        <v>45032</v>
      </c>
      <c r="AH158" s="1">
        <v>3499</v>
      </c>
      <c r="AI158" s="1">
        <v>10000</v>
      </c>
      <c r="AJ158" s="1">
        <f t="shared" si="20"/>
        <v>34.99</v>
      </c>
      <c r="AL158" s="199">
        <v>44943</v>
      </c>
      <c r="AM158" s="70" t="s">
        <v>186</v>
      </c>
      <c r="AN158">
        <v>19373</v>
      </c>
      <c r="AP158" s="199">
        <v>44943</v>
      </c>
      <c r="AQ158" s="70" t="s">
        <v>185</v>
      </c>
      <c r="AR158">
        <v>590674</v>
      </c>
    </row>
    <row r="159" spans="1:48" hidden="1" x14ac:dyDescent="0.25">
      <c r="A159" s="113">
        <v>45033</v>
      </c>
      <c r="B159" s="101">
        <v>9930313</v>
      </c>
      <c r="C159" s="101">
        <v>273151</v>
      </c>
      <c r="D159" s="101">
        <v>10203464</v>
      </c>
      <c r="E159" s="101">
        <v>97.32</v>
      </c>
      <c r="F159" s="211">
        <f t="shared" si="18"/>
        <v>10.203464</v>
      </c>
      <c r="H159" s="215">
        <v>45033</v>
      </c>
      <c r="I159" s="104">
        <v>2752876</v>
      </c>
      <c r="J159" s="104">
        <v>442</v>
      </c>
      <c r="K159" s="104">
        <v>2753318</v>
      </c>
      <c r="L159" s="104">
        <v>99.98</v>
      </c>
      <c r="M159" s="71">
        <f t="shared" si="17"/>
        <v>2.7533180000000002</v>
      </c>
      <c r="O159" s="215">
        <v>45033</v>
      </c>
      <c r="P159" s="104">
        <v>65462730</v>
      </c>
      <c r="Q159" s="104">
        <v>20522038</v>
      </c>
      <c r="R159" s="104">
        <v>85984768</v>
      </c>
      <c r="S159" s="104">
        <v>76.13</v>
      </c>
      <c r="T159" s="212">
        <f t="shared" si="16"/>
        <v>85.984768000000003</v>
      </c>
      <c r="W159" s="215">
        <v>45033</v>
      </c>
      <c r="X159" s="1">
        <v>7786</v>
      </c>
      <c r="Y159" s="1">
        <v>10000</v>
      </c>
      <c r="Z159" s="1">
        <f>X159/Y159%</f>
        <v>77.86</v>
      </c>
      <c r="AB159" s="215">
        <v>45033</v>
      </c>
      <c r="AC159" s="1">
        <v>1069</v>
      </c>
      <c r="AD159" s="1">
        <v>10000</v>
      </c>
      <c r="AE159" s="1">
        <f t="shared" si="19"/>
        <v>10.69</v>
      </c>
      <c r="AG159" s="215">
        <v>45033</v>
      </c>
      <c r="AH159" s="1">
        <v>8601</v>
      </c>
      <c r="AI159" s="1">
        <v>10000</v>
      </c>
      <c r="AJ159" s="1">
        <f t="shared" si="20"/>
        <v>86.01</v>
      </c>
    </row>
    <row r="160" spans="1:48" hidden="1" x14ac:dyDescent="0.25">
      <c r="A160" s="113">
        <v>45034</v>
      </c>
      <c r="B160" s="101">
        <v>9933092</v>
      </c>
      <c r="C160" s="101">
        <v>410281</v>
      </c>
      <c r="D160" s="101">
        <v>10343373</v>
      </c>
      <c r="E160" s="101">
        <v>96.03</v>
      </c>
      <c r="F160" s="211">
        <f t="shared" si="18"/>
        <v>10.343373</v>
      </c>
      <c r="H160" s="215">
        <v>45034</v>
      </c>
      <c r="I160" s="104">
        <v>3347242</v>
      </c>
      <c r="J160" s="104">
        <v>523</v>
      </c>
      <c r="K160" s="104">
        <v>3347765</v>
      </c>
      <c r="L160" s="104">
        <v>99.98</v>
      </c>
      <c r="M160" s="71">
        <f t="shared" si="17"/>
        <v>3.3477649999999999</v>
      </c>
      <c r="O160" s="215">
        <v>45034</v>
      </c>
      <c r="P160" s="104">
        <v>65178759</v>
      </c>
      <c r="Q160" s="104">
        <v>23160670</v>
      </c>
      <c r="R160" s="104">
        <v>88339429</v>
      </c>
      <c r="S160" s="104">
        <v>73.78</v>
      </c>
      <c r="T160" s="212">
        <f t="shared" si="16"/>
        <v>88.339428999999996</v>
      </c>
      <c r="W160" s="215">
        <v>45034</v>
      </c>
      <c r="X160" s="1">
        <v>6945</v>
      </c>
      <c r="Y160" s="1">
        <v>10000</v>
      </c>
      <c r="Z160" s="1">
        <f>X160/Y160%</f>
        <v>69.45</v>
      </c>
      <c r="AB160" s="215">
        <v>45034</v>
      </c>
      <c r="AC160" s="1">
        <v>976</v>
      </c>
      <c r="AD160" s="1">
        <v>10000</v>
      </c>
      <c r="AE160" s="1">
        <f t="shared" si="19"/>
        <v>9.76</v>
      </c>
      <c r="AG160" s="215">
        <v>45034</v>
      </c>
      <c r="AH160" s="1">
        <v>7564</v>
      </c>
      <c r="AI160" s="1">
        <v>10000</v>
      </c>
      <c r="AJ160" s="1">
        <f t="shared" si="20"/>
        <v>75.64</v>
      </c>
      <c r="AL160" s="199">
        <v>44944</v>
      </c>
      <c r="AM160" t="s">
        <v>146</v>
      </c>
      <c r="AN160">
        <v>261844</v>
      </c>
      <c r="AP160" s="199">
        <v>44944</v>
      </c>
      <c r="AQ160" t="s">
        <v>146</v>
      </c>
      <c r="AR160">
        <v>20658000</v>
      </c>
      <c r="AT160" s="199">
        <v>44944</v>
      </c>
      <c r="AU160" t="s">
        <v>147</v>
      </c>
      <c r="AV160">
        <v>84</v>
      </c>
    </row>
    <row r="161" spans="1:48" hidden="1" x14ac:dyDescent="0.25">
      <c r="A161" s="113">
        <v>45035</v>
      </c>
      <c r="B161" s="101">
        <v>9828455</v>
      </c>
      <c r="C161" s="101">
        <v>353320</v>
      </c>
      <c r="D161" s="101">
        <v>10181775</v>
      </c>
      <c r="E161" s="101">
        <v>96.53</v>
      </c>
      <c r="F161" s="211">
        <f t="shared" si="18"/>
        <v>10.181775</v>
      </c>
      <c r="H161" s="215">
        <v>45035</v>
      </c>
      <c r="I161" s="104">
        <v>3520457</v>
      </c>
      <c r="J161" s="104">
        <v>459</v>
      </c>
      <c r="K161" s="104">
        <v>3520916</v>
      </c>
      <c r="L161" s="104">
        <v>99.99</v>
      </c>
      <c r="M161" s="71">
        <f t="shared" si="17"/>
        <v>3.5209160000000002</v>
      </c>
      <c r="O161" s="215">
        <v>45035</v>
      </c>
      <c r="P161" s="104">
        <v>69193105</v>
      </c>
      <c r="Q161" s="104">
        <v>26587374</v>
      </c>
      <c r="R161" s="104">
        <v>95780479</v>
      </c>
      <c r="S161" s="104">
        <v>72.239999999999995</v>
      </c>
      <c r="T161" s="212">
        <f t="shared" si="16"/>
        <v>95.780479</v>
      </c>
      <c r="W161" s="215">
        <v>45035</v>
      </c>
      <c r="X161" s="1">
        <v>7114</v>
      </c>
      <c r="Y161" s="1">
        <v>10000</v>
      </c>
      <c r="Z161" s="1">
        <f>X161/Y161%</f>
        <v>71.14</v>
      </c>
      <c r="AB161" s="215">
        <v>45035</v>
      </c>
      <c r="AC161" s="1">
        <v>930</v>
      </c>
      <c r="AD161" s="1">
        <v>10000</v>
      </c>
      <c r="AE161" s="1">
        <f t="shared" si="19"/>
        <v>9.3000000000000007</v>
      </c>
      <c r="AG161" s="215">
        <v>45035</v>
      </c>
      <c r="AH161" s="1">
        <v>7739</v>
      </c>
      <c r="AI161" s="1">
        <v>10000</v>
      </c>
      <c r="AJ161" s="1">
        <f t="shared" si="20"/>
        <v>77.39</v>
      </c>
      <c r="AL161" s="199">
        <v>44944</v>
      </c>
      <c r="AM161" s="70" t="s">
        <v>148</v>
      </c>
      <c r="AN161">
        <v>34060</v>
      </c>
      <c r="AP161" s="199">
        <v>44944</v>
      </c>
      <c r="AQ161" s="70" t="s">
        <v>149</v>
      </c>
      <c r="AR161">
        <v>3924252</v>
      </c>
      <c r="AT161" s="199">
        <v>44944</v>
      </c>
      <c r="AU161" t="s">
        <v>155</v>
      </c>
      <c r="AV161">
        <v>28</v>
      </c>
    </row>
    <row r="162" spans="1:48" hidden="1" x14ac:dyDescent="0.25">
      <c r="A162" s="113">
        <v>45036</v>
      </c>
      <c r="B162" s="101">
        <v>9625936</v>
      </c>
      <c r="C162" s="101">
        <v>436886</v>
      </c>
      <c r="D162" s="101">
        <v>10062822</v>
      </c>
      <c r="E162" s="101">
        <v>95.66</v>
      </c>
      <c r="F162" s="211">
        <f t="shared" si="18"/>
        <v>10.062822000000001</v>
      </c>
      <c r="H162" s="215">
        <v>45036</v>
      </c>
      <c r="I162" s="104">
        <v>5816371</v>
      </c>
      <c r="J162" s="104">
        <v>3661</v>
      </c>
      <c r="K162" s="104">
        <v>5820032</v>
      </c>
      <c r="L162" s="104">
        <v>99.94</v>
      </c>
      <c r="M162" s="71">
        <f t="shared" si="17"/>
        <v>5.8200320000000003</v>
      </c>
      <c r="O162" s="215">
        <v>45036</v>
      </c>
      <c r="P162" s="104">
        <v>83003544</v>
      </c>
      <c r="Q162" s="104">
        <v>30258756</v>
      </c>
      <c r="R162" s="104">
        <v>113262300</v>
      </c>
      <c r="S162" s="104">
        <v>73.28</v>
      </c>
      <c r="T162" s="212">
        <f t="shared" si="16"/>
        <v>113.2623</v>
      </c>
      <c r="W162" s="215">
        <v>45036</v>
      </c>
      <c r="X162" s="1">
        <v>8445</v>
      </c>
      <c r="Y162" s="1">
        <v>10000</v>
      </c>
      <c r="Z162" s="1">
        <f t="shared" ref="Z162:Z226" si="21">X162/Y162%</f>
        <v>84.45</v>
      </c>
      <c r="AB162" s="215">
        <v>45036</v>
      </c>
      <c r="AC162" s="1">
        <v>1106</v>
      </c>
      <c r="AD162" s="1">
        <v>10000</v>
      </c>
      <c r="AE162" s="1">
        <f t="shared" si="19"/>
        <v>11.06</v>
      </c>
      <c r="AG162" s="215">
        <v>45036</v>
      </c>
      <c r="AH162" s="1">
        <v>9092</v>
      </c>
      <c r="AI162" s="1">
        <v>10000</v>
      </c>
      <c r="AJ162" s="1">
        <f t="shared" si="20"/>
        <v>90.92</v>
      </c>
      <c r="AL162" s="199">
        <v>44944</v>
      </c>
      <c r="AM162" s="70" t="s">
        <v>180</v>
      </c>
      <c r="AN162">
        <v>24462</v>
      </c>
      <c r="AP162" s="199">
        <v>44944</v>
      </c>
      <c r="AQ162" t="s">
        <v>186</v>
      </c>
      <c r="AR162">
        <v>2029689</v>
      </c>
      <c r="AT162" s="199">
        <v>44944</v>
      </c>
      <c r="AU162" t="s">
        <v>185</v>
      </c>
      <c r="AV162">
        <v>2</v>
      </c>
    </row>
    <row r="163" spans="1:48" hidden="1" x14ac:dyDescent="0.25">
      <c r="A163" s="113">
        <v>45037</v>
      </c>
      <c r="B163" s="101">
        <v>11276080</v>
      </c>
      <c r="C163" s="101">
        <v>388895</v>
      </c>
      <c r="D163" s="101">
        <v>11664975</v>
      </c>
      <c r="E163" s="193">
        <v>96.665999999999997</v>
      </c>
      <c r="F163" s="211">
        <f t="shared" si="18"/>
        <v>11.664975</v>
      </c>
      <c r="H163" s="215">
        <v>45037</v>
      </c>
      <c r="I163" s="104">
        <v>4650649</v>
      </c>
      <c r="J163" s="104">
        <v>815</v>
      </c>
      <c r="K163" s="104">
        <v>4651464</v>
      </c>
      <c r="L163" s="114">
        <v>99.982399999999998</v>
      </c>
      <c r="M163" s="71">
        <f t="shared" si="17"/>
        <v>4.6514639999999998</v>
      </c>
      <c r="O163" s="215">
        <v>45037</v>
      </c>
      <c r="P163" s="104">
        <v>59762325</v>
      </c>
      <c r="Q163" s="104">
        <v>12247680</v>
      </c>
      <c r="R163" s="104">
        <v>72010005</v>
      </c>
      <c r="S163" s="104">
        <v>82.99</v>
      </c>
      <c r="T163" s="212">
        <f t="shared" si="16"/>
        <v>72.010005000000007</v>
      </c>
      <c r="W163" s="215">
        <v>45037</v>
      </c>
      <c r="X163" s="48">
        <v>4106</v>
      </c>
      <c r="Y163" s="48">
        <v>10000</v>
      </c>
      <c r="Z163" s="48">
        <f t="shared" si="21"/>
        <v>41.06</v>
      </c>
      <c r="AB163" s="215">
        <v>45037</v>
      </c>
      <c r="AC163" s="48">
        <v>1024</v>
      </c>
      <c r="AD163" s="48">
        <v>10000</v>
      </c>
      <c r="AE163" s="48">
        <f t="shared" si="19"/>
        <v>10.24</v>
      </c>
      <c r="AG163" s="215">
        <v>45037</v>
      </c>
      <c r="AH163" s="48">
        <v>4846</v>
      </c>
      <c r="AI163" s="48">
        <v>10000</v>
      </c>
      <c r="AJ163" s="48">
        <f t="shared" si="20"/>
        <v>48.46</v>
      </c>
      <c r="AL163" s="199">
        <v>44944</v>
      </c>
      <c r="AM163" t="s">
        <v>149</v>
      </c>
      <c r="AN163">
        <v>23802</v>
      </c>
      <c r="AP163" s="199">
        <v>44944</v>
      </c>
      <c r="AQ163" t="s">
        <v>180</v>
      </c>
      <c r="AR163">
        <v>1470900</v>
      </c>
    </row>
    <row r="164" spans="1:48" hidden="1" x14ac:dyDescent="0.25">
      <c r="A164" s="113">
        <v>45038</v>
      </c>
      <c r="B164" s="101">
        <v>10724342</v>
      </c>
      <c r="C164" s="101">
        <v>288871</v>
      </c>
      <c r="D164" s="101">
        <v>11013213</v>
      </c>
      <c r="E164" s="193">
        <v>97.376999999999995</v>
      </c>
      <c r="F164" s="211">
        <f t="shared" si="18"/>
        <v>11.013213</v>
      </c>
      <c r="H164" s="215">
        <v>45038</v>
      </c>
      <c r="I164" s="104">
        <v>2563707</v>
      </c>
      <c r="J164" s="104">
        <v>614</v>
      </c>
      <c r="K164" s="104">
        <v>2564321</v>
      </c>
      <c r="L164" s="114">
        <v>99.975999999999999</v>
      </c>
      <c r="M164" s="71">
        <f t="shared" si="17"/>
        <v>2.5643210000000001</v>
      </c>
      <c r="O164" s="215">
        <v>45038</v>
      </c>
      <c r="P164" s="104">
        <v>66400676</v>
      </c>
      <c r="Q164" s="104">
        <v>21739548</v>
      </c>
      <c r="R164" s="104">
        <v>88140224</v>
      </c>
      <c r="S164" s="104">
        <v>75.33</v>
      </c>
      <c r="T164" s="212">
        <f t="shared" si="16"/>
        <v>88.140224000000003</v>
      </c>
      <c r="W164" s="215">
        <v>45038</v>
      </c>
      <c r="X164" s="48">
        <v>9000</v>
      </c>
      <c r="Y164" s="48">
        <v>10000</v>
      </c>
      <c r="Z164" s="48">
        <f t="shared" si="21"/>
        <v>90</v>
      </c>
      <c r="AB164" s="215">
        <v>45038</v>
      </c>
      <c r="AC164" s="48">
        <v>1043</v>
      </c>
      <c r="AD164" s="48">
        <v>10000</v>
      </c>
      <c r="AE164" s="48">
        <f t="shared" si="19"/>
        <v>10.43</v>
      </c>
      <c r="AG164" s="215">
        <v>45038</v>
      </c>
      <c r="AH164" s="48">
        <v>9487</v>
      </c>
      <c r="AI164" s="48">
        <v>10000</v>
      </c>
      <c r="AJ164" s="48">
        <f t="shared" si="20"/>
        <v>94.87</v>
      </c>
      <c r="AL164" s="199">
        <v>44944</v>
      </c>
      <c r="AM164" s="70" t="s">
        <v>186</v>
      </c>
      <c r="AN164">
        <v>20604</v>
      </c>
      <c r="AP164" s="199">
        <v>44944</v>
      </c>
      <c r="AQ164" s="70" t="s">
        <v>185</v>
      </c>
      <c r="AR164">
        <v>772716</v>
      </c>
    </row>
    <row r="165" spans="1:48" hidden="1" x14ac:dyDescent="0.25">
      <c r="A165" s="113">
        <v>45039</v>
      </c>
      <c r="B165" s="101">
        <v>10811342</v>
      </c>
      <c r="C165" s="101">
        <v>337322</v>
      </c>
      <c r="D165" s="101">
        <v>11148664</v>
      </c>
      <c r="E165" s="101">
        <v>96.97</v>
      </c>
      <c r="F165" s="211">
        <f t="shared" si="18"/>
        <v>11.148664</v>
      </c>
      <c r="H165" s="215">
        <v>45039</v>
      </c>
      <c r="I165" s="104">
        <v>2213094</v>
      </c>
      <c r="J165" s="104">
        <v>691</v>
      </c>
      <c r="K165" s="104">
        <v>2213785</v>
      </c>
      <c r="L165" s="114">
        <v>99.968699999999998</v>
      </c>
      <c r="M165" s="71">
        <f t="shared" si="17"/>
        <v>2.2137850000000001</v>
      </c>
      <c r="O165" s="215">
        <v>45039</v>
      </c>
      <c r="P165" s="104">
        <v>43203684</v>
      </c>
      <c r="Q165" s="104">
        <v>7402264</v>
      </c>
      <c r="R165" s="104">
        <v>50605948</v>
      </c>
      <c r="S165" s="104">
        <v>85.37</v>
      </c>
      <c r="T165" s="212">
        <f t="shared" ref="T165:T233" si="22">R165/1000000</f>
        <v>50.605947999999998</v>
      </c>
      <c r="W165" s="215">
        <v>45039</v>
      </c>
      <c r="X165" s="48">
        <v>2897</v>
      </c>
      <c r="Y165" s="48">
        <v>10000</v>
      </c>
      <c r="Z165" s="48">
        <f t="shared" si="21"/>
        <v>28.97</v>
      </c>
      <c r="AB165" s="215">
        <v>45039</v>
      </c>
      <c r="AC165" s="48">
        <v>993</v>
      </c>
      <c r="AD165" s="48">
        <v>10000</v>
      </c>
      <c r="AE165" s="48">
        <f t="shared" si="19"/>
        <v>9.93</v>
      </c>
      <c r="AG165" s="215">
        <v>45039</v>
      </c>
      <c r="AH165" s="48">
        <v>3638</v>
      </c>
      <c r="AI165" s="48">
        <v>10000</v>
      </c>
      <c r="AJ165" s="48">
        <f t="shared" si="20"/>
        <v>36.380000000000003</v>
      </c>
    </row>
    <row r="166" spans="1:48" hidden="1" x14ac:dyDescent="0.25">
      <c r="A166" s="113">
        <v>45040</v>
      </c>
      <c r="B166" s="101">
        <v>10925039</v>
      </c>
      <c r="C166" s="101">
        <v>270911</v>
      </c>
      <c r="D166" s="101">
        <v>11195950</v>
      </c>
      <c r="E166" s="101">
        <v>97.58</v>
      </c>
      <c r="F166" s="211">
        <f t="shared" si="18"/>
        <v>11.19595</v>
      </c>
      <c r="H166" s="215">
        <v>45040</v>
      </c>
      <c r="I166" s="104">
        <v>2700883</v>
      </c>
      <c r="J166" s="104">
        <v>562</v>
      </c>
      <c r="K166" s="104">
        <v>2701445</v>
      </c>
      <c r="L166" s="104">
        <v>99.98</v>
      </c>
      <c r="M166" s="71">
        <f t="shared" si="17"/>
        <v>2.7014450000000001</v>
      </c>
      <c r="O166" s="215">
        <v>45040</v>
      </c>
      <c r="P166" s="104">
        <v>76993447</v>
      </c>
      <c r="Q166" s="104">
        <v>25221952</v>
      </c>
      <c r="R166" s="104">
        <v>102215399</v>
      </c>
      <c r="S166" s="104">
        <v>75.319999999999993</v>
      </c>
      <c r="T166" s="212">
        <f t="shared" si="22"/>
        <v>102.21539900000001</v>
      </c>
      <c r="W166" s="215">
        <v>45040</v>
      </c>
      <c r="X166" s="48">
        <v>8402</v>
      </c>
      <c r="Y166" s="48">
        <v>10000</v>
      </c>
      <c r="Z166" s="48">
        <f t="shared" si="21"/>
        <v>84.02</v>
      </c>
      <c r="AA166" s="57"/>
      <c r="AB166" s="215">
        <v>45040</v>
      </c>
      <c r="AC166" s="48">
        <v>1099</v>
      </c>
      <c r="AD166" s="48">
        <v>10000</v>
      </c>
      <c r="AE166" s="48">
        <f t="shared" si="19"/>
        <v>10.99</v>
      </c>
      <c r="AF166" s="57"/>
      <c r="AG166" s="215">
        <v>45040</v>
      </c>
      <c r="AH166" s="48">
        <v>8952</v>
      </c>
      <c r="AI166" s="48">
        <v>10000</v>
      </c>
      <c r="AJ166" s="48">
        <f t="shared" si="20"/>
        <v>89.52</v>
      </c>
      <c r="AL166" s="199">
        <v>44945</v>
      </c>
      <c r="AM166" t="s">
        <v>146</v>
      </c>
      <c r="AN166">
        <v>279727</v>
      </c>
      <c r="AP166" s="199">
        <v>44945</v>
      </c>
      <c r="AQ166" t="s">
        <v>146</v>
      </c>
      <c r="AR166">
        <v>23089082</v>
      </c>
      <c r="AT166" s="199">
        <v>44945</v>
      </c>
      <c r="AU166" t="s">
        <v>147</v>
      </c>
      <c r="AV166">
        <v>444</v>
      </c>
    </row>
    <row r="167" spans="1:48" hidden="1" x14ac:dyDescent="0.25">
      <c r="A167" s="113">
        <v>45041</v>
      </c>
      <c r="B167" s="101">
        <f>3743828+2999590</f>
        <v>6743418</v>
      </c>
      <c r="C167" s="101">
        <f>140524+25203</f>
        <v>165727</v>
      </c>
      <c r="D167" s="101">
        <f>3884352+3024793</f>
        <v>6909145</v>
      </c>
      <c r="E167" s="193">
        <f>B167/D167%</f>
        <v>97.60133851583663</v>
      </c>
      <c r="F167" s="211">
        <f t="shared" si="18"/>
        <v>6.9091449999999996</v>
      </c>
      <c r="H167" s="215">
        <v>45041</v>
      </c>
      <c r="I167" s="104">
        <f>2574908+1002768</f>
        <v>3577676</v>
      </c>
      <c r="J167" s="104">
        <f>86+37</f>
        <v>123</v>
      </c>
      <c r="K167" s="104">
        <f>2574994+1002805</f>
        <v>3577799</v>
      </c>
      <c r="L167" s="219">
        <f>I167/K167%</f>
        <v>99.996562132193574</v>
      </c>
      <c r="M167" s="71">
        <f t="shared" si="17"/>
        <v>3.5777990000000002</v>
      </c>
      <c r="O167" s="215">
        <v>45041</v>
      </c>
      <c r="P167" s="104">
        <f>39491730+30497735</f>
        <v>69989465</v>
      </c>
      <c r="Q167" s="104">
        <f>18753478+6738575</f>
        <v>25492053</v>
      </c>
      <c r="R167" s="104">
        <f>58245208+37236310</f>
        <v>95481518</v>
      </c>
      <c r="S167" s="114">
        <f>P167/R167%</f>
        <v>73.301583873017179</v>
      </c>
      <c r="T167" s="212">
        <f t="shared" si="22"/>
        <v>95.481517999999994</v>
      </c>
      <c r="W167" s="215">
        <v>45041</v>
      </c>
      <c r="X167" s="48">
        <v>8682</v>
      </c>
      <c r="Y167" s="48">
        <v>10000</v>
      </c>
      <c r="Z167" s="48">
        <f t="shared" si="21"/>
        <v>86.82</v>
      </c>
      <c r="AA167" s="57"/>
      <c r="AB167" s="215">
        <v>45041</v>
      </c>
      <c r="AC167" s="48">
        <v>1422</v>
      </c>
      <c r="AD167" s="48">
        <v>10000</v>
      </c>
      <c r="AE167" s="48">
        <f t="shared" si="19"/>
        <v>14.22</v>
      </c>
      <c r="AF167" s="57"/>
      <c r="AG167" s="215">
        <v>45041</v>
      </c>
      <c r="AH167" s="48">
        <v>9249</v>
      </c>
      <c r="AI167" s="48">
        <v>10000</v>
      </c>
      <c r="AJ167" s="48">
        <f t="shared" si="20"/>
        <v>92.49</v>
      </c>
      <c r="AL167" s="199">
        <v>44945</v>
      </c>
      <c r="AM167" s="70" t="s">
        <v>148</v>
      </c>
      <c r="AN167">
        <v>32085</v>
      </c>
      <c r="AP167" s="199">
        <v>44945</v>
      </c>
      <c r="AQ167" s="70" t="s">
        <v>149</v>
      </c>
      <c r="AR167">
        <v>4823021</v>
      </c>
      <c r="AT167" s="199">
        <v>44945</v>
      </c>
      <c r="AU167" t="s">
        <v>155</v>
      </c>
      <c r="AV167">
        <v>52</v>
      </c>
    </row>
    <row r="168" spans="1:48" hidden="1" x14ac:dyDescent="0.25">
      <c r="A168" s="113">
        <v>45042</v>
      </c>
      <c r="B168" s="101">
        <f>10647730+295174</f>
        <v>10942904</v>
      </c>
      <c r="C168" s="101">
        <f>56217+117526</f>
        <v>173743</v>
      </c>
      <c r="D168" s="101">
        <f>10703947+412700</f>
        <v>11116647</v>
      </c>
      <c r="E168" s="193">
        <f>B168/D168%</f>
        <v>98.437091687808376</v>
      </c>
      <c r="F168" s="211">
        <f t="shared" si="18"/>
        <v>11.116647</v>
      </c>
      <c r="H168" s="215">
        <v>45042</v>
      </c>
      <c r="I168" s="104">
        <f>1379289+57858</f>
        <v>1437147</v>
      </c>
      <c r="J168" s="104">
        <f>3426+1134</f>
        <v>4560</v>
      </c>
      <c r="K168" s="104">
        <f>1382715+58992</f>
        <v>1441707</v>
      </c>
      <c r="L168" s="114">
        <f>I168/K168%</f>
        <v>99.683708270820631</v>
      </c>
      <c r="M168" s="71">
        <f t="shared" si="17"/>
        <v>1.4417070000000001</v>
      </c>
      <c r="O168" s="215">
        <v>45042</v>
      </c>
      <c r="P168" s="104">
        <f>37353735+20309767</f>
        <v>57663502</v>
      </c>
      <c r="Q168" s="104">
        <f>21331476+12763858</f>
        <v>34095334</v>
      </c>
      <c r="R168" s="104">
        <f>58685211+33073625</f>
        <v>91758836</v>
      </c>
      <c r="S168" s="114">
        <f>P168/R168%</f>
        <v>62.842451488813566</v>
      </c>
      <c r="T168" s="212">
        <f t="shared" si="22"/>
        <v>91.758836000000002</v>
      </c>
      <c r="W168" s="215">
        <v>45042</v>
      </c>
      <c r="X168" s="48">
        <v>9000</v>
      </c>
      <c r="Y168" s="48">
        <v>10000</v>
      </c>
      <c r="Z168" s="48">
        <f t="shared" si="21"/>
        <v>90</v>
      </c>
      <c r="AA168" s="57"/>
      <c r="AB168" s="215">
        <v>45042</v>
      </c>
      <c r="AC168" s="48">
        <v>2023</v>
      </c>
      <c r="AD168" s="48">
        <v>10000</v>
      </c>
      <c r="AE168" s="48">
        <f t="shared" si="19"/>
        <v>20.23</v>
      </c>
      <c r="AF168" s="57"/>
      <c r="AG168" s="215">
        <v>45042</v>
      </c>
      <c r="AH168" s="48">
        <v>9595</v>
      </c>
      <c r="AI168" s="48">
        <v>10000</v>
      </c>
      <c r="AJ168" s="48">
        <f t="shared" si="20"/>
        <v>95.95</v>
      </c>
      <c r="AL168" s="199">
        <v>44945</v>
      </c>
      <c r="AM168" s="70" t="s">
        <v>180</v>
      </c>
      <c r="AN168">
        <v>25251</v>
      </c>
      <c r="AP168" s="199">
        <v>44945</v>
      </c>
      <c r="AQ168" t="s">
        <v>180</v>
      </c>
      <c r="AR168">
        <v>1679766</v>
      </c>
      <c r="AT168" s="199">
        <v>44945</v>
      </c>
      <c r="AU168" t="s">
        <v>173</v>
      </c>
      <c r="AV168">
        <v>24</v>
      </c>
    </row>
    <row r="169" spans="1:48" hidden="1" x14ac:dyDescent="0.25">
      <c r="A169" s="113">
        <v>45043</v>
      </c>
      <c r="B169" s="101">
        <v>9304664</v>
      </c>
      <c r="C169" s="101">
        <v>386504</v>
      </c>
      <c r="D169" s="101">
        <v>9691168</v>
      </c>
      <c r="E169" s="101">
        <v>96.01</v>
      </c>
      <c r="F169" s="211">
        <f t="shared" si="18"/>
        <v>9.6911679999999993</v>
      </c>
      <c r="H169" s="215">
        <v>45043</v>
      </c>
      <c r="I169" s="104">
        <v>3229807</v>
      </c>
      <c r="J169" s="104">
        <v>15</v>
      </c>
      <c r="K169" s="104">
        <v>3229822</v>
      </c>
      <c r="L169" s="104">
        <v>100</v>
      </c>
      <c r="M169" s="71">
        <f t="shared" si="17"/>
        <v>3.229822</v>
      </c>
      <c r="O169" s="215">
        <v>45043</v>
      </c>
      <c r="P169" s="104">
        <v>68237043</v>
      </c>
      <c r="Q169" s="104">
        <v>28406329</v>
      </c>
      <c r="R169" s="104">
        <v>96643372</v>
      </c>
      <c r="S169" s="104">
        <v>70.61</v>
      </c>
      <c r="T169" s="212">
        <f t="shared" si="22"/>
        <v>96.643371999999999</v>
      </c>
      <c r="W169" s="215">
        <v>45043</v>
      </c>
      <c r="X169" s="48">
        <v>9000</v>
      </c>
      <c r="Y169" s="48">
        <v>10000</v>
      </c>
      <c r="Z169" s="48">
        <f t="shared" si="21"/>
        <v>90</v>
      </c>
      <c r="AB169" s="215">
        <v>45043</v>
      </c>
      <c r="AC169" s="48">
        <v>1512</v>
      </c>
      <c r="AD169" s="48">
        <v>10000</v>
      </c>
      <c r="AE169" s="48">
        <f t="shared" si="19"/>
        <v>15.12</v>
      </c>
      <c r="AG169" s="215">
        <v>45043</v>
      </c>
      <c r="AH169" s="48">
        <v>9760</v>
      </c>
      <c r="AI169" s="48">
        <v>10000</v>
      </c>
      <c r="AJ169" s="48">
        <f t="shared" si="20"/>
        <v>97.6</v>
      </c>
      <c r="AL169" s="199">
        <v>44945</v>
      </c>
      <c r="AM169" t="s">
        <v>149</v>
      </c>
      <c r="AN169">
        <v>24844</v>
      </c>
      <c r="AP169" s="199">
        <v>44945</v>
      </c>
      <c r="AQ169" t="s">
        <v>186</v>
      </c>
      <c r="AR169">
        <v>1114172</v>
      </c>
      <c r="AT169" s="199">
        <v>44945</v>
      </c>
      <c r="AU169" t="s">
        <v>146</v>
      </c>
      <c r="AV169">
        <v>3</v>
      </c>
    </row>
    <row r="170" spans="1:48" hidden="1" x14ac:dyDescent="0.25">
      <c r="A170" s="113">
        <v>45044</v>
      </c>
      <c r="B170" s="101">
        <v>10662872</v>
      </c>
      <c r="C170" s="101">
        <v>293316</v>
      </c>
      <c r="D170" s="101">
        <v>10956188</v>
      </c>
      <c r="E170" s="101">
        <v>97.32</v>
      </c>
      <c r="F170" s="211">
        <f t="shared" si="18"/>
        <v>10.956187999999999</v>
      </c>
      <c r="H170" s="215">
        <v>45044</v>
      </c>
      <c r="I170" s="104">
        <v>3819302</v>
      </c>
      <c r="J170" s="104">
        <v>25</v>
      </c>
      <c r="K170" s="104">
        <v>3819327</v>
      </c>
      <c r="L170" s="104">
        <v>99.99</v>
      </c>
      <c r="M170" s="71">
        <f t="shared" si="17"/>
        <v>3.8193269999999999</v>
      </c>
      <c r="O170" s="215">
        <v>45044</v>
      </c>
      <c r="P170" s="104">
        <v>75558432</v>
      </c>
      <c r="Q170" s="104">
        <v>31052837</v>
      </c>
      <c r="R170" s="104">
        <v>106611269</v>
      </c>
      <c r="S170" s="104">
        <v>70.87</v>
      </c>
      <c r="T170" s="212">
        <f t="shared" si="22"/>
        <v>106.61126899999999</v>
      </c>
      <c r="W170" s="215">
        <v>45044</v>
      </c>
      <c r="X170" s="48">
        <v>8301</v>
      </c>
      <c r="Y170" s="48">
        <v>10000</v>
      </c>
      <c r="Z170" s="48">
        <f t="shared" si="21"/>
        <v>83.01</v>
      </c>
      <c r="AB170" s="215">
        <v>45044</v>
      </c>
      <c r="AC170" s="48">
        <v>1100</v>
      </c>
      <c r="AD170" s="48">
        <v>10000</v>
      </c>
      <c r="AE170" s="48">
        <f t="shared" si="19"/>
        <v>11</v>
      </c>
      <c r="AG170" s="215">
        <v>45044</v>
      </c>
      <c r="AH170" s="48">
        <v>8865</v>
      </c>
      <c r="AI170" s="48">
        <v>10000</v>
      </c>
      <c r="AJ170" s="48">
        <f t="shared" si="20"/>
        <v>88.65</v>
      </c>
      <c r="AL170" s="199">
        <v>44945</v>
      </c>
      <c r="AM170" s="70" t="s">
        <v>186</v>
      </c>
      <c r="AN170">
        <v>21037</v>
      </c>
      <c r="AP170" s="199">
        <v>44945</v>
      </c>
      <c r="AQ170" s="70" t="s">
        <v>185</v>
      </c>
      <c r="AR170">
        <v>812034</v>
      </c>
    </row>
    <row r="171" spans="1:48" hidden="1" x14ac:dyDescent="0.25">
      <c r="A171" s="113">
        <v>45045</v>
      </c>
      <c r="B171" s="101">
        <v>10570448</v>
      </c>
      <c r="C171" s="101">
        <v>354821</v>
      </c>
      <c r="D171" s="101">
        <v>10925269</v>
      </c>
      <c r="E171" s="101">
        <v>96.75</v>
      </c>
      <c r="F171" s="211">
        <f t="shared" si="18"/>
        <v>10.925269</v>
      </c>
      <c r="H171" s="215">
        <v>45045</v>
      </c>
      <c r="I171" s="104">
        <v>4492352</v>
      </c>
      <c r="J171" s="104">
        <v>768</v>
      </c>
      <c r="K171" s="104">
        <v>4493120</v>
      </c>
      <c r="L171" s="104">
        <v>99.98</v>
      </c>
      <c r="M171" s="71">
        <f t="shared" si="17"/>
        <v>4.4931200000000002</v>
      </c>
      <c r="O171" s="215">
        <v>45045</v>
      </c>
      <c r="P171" s="104">
        <v>77414462</v>
      </c>
      <c r="Q171" s="104">
        <v>28545773</v>
      </c>
      <c r="R171" s="104">
        <v>105960235</v>
      </c>
      <c r="S171" s="104">
        <v>73.05</v>
      </c>
      <c r="T171" s="212">
        <f t="shared" si="22"/>
        <v>105.960235</v>
      </c>
      <c r="W171" s="215">
        <v>45045</v>
      </c>
      <c r="X171" s="48">
        <v>9000</v>
      </c>
      <c r="Y171" s="48">
        <v>10000</v>
      </c>
      <c r="Z171" s="48">
        <f t="shared" si="21"/>
        <v>90</v>
      </c>
      <c r="AB171" s="215">
        <v>45045</v>
      </c>
      <c r="AC171" s="48">
        <v>1604</v>
      </c>
      <c r="AD171" s="48">
        <v>10000</v>
      </c>
      <c r="AE171" s="48">
        <f t="shared" si="19"/>
        <v>16.04</v>
      </c>
      <c r="AG171" s="215">
        <v>45045</v>
      </c>
      <c r="AH171" s="48">
        <v>9736</v>
      </c>
      <c r="AI171" s="48">
        <v>10000</v>
      </c>
      <c r="AJ171" s="48">
        <f t="shared" si="20"/>
        <v>97.36</v>
      </c>
    </row>
    <row r="172" spans="1:48" hidden="1" x14ac:dyDescent="0.25">
      <c r="A172" s="113">
        <v>45046</v>
      </c>
      <c r="B172" s="101">
        <v>10703122</v>
      </c>
      <c r="C172" s="101">
        <v>328366</v>
      </c>
      <c r="D172" s="101">
        <v>11031488</v>
      </c>
      <c r="E172" s="101">
        <v>97.02</v>
      </c>
      <c r="F172" s="211">
        <f t="shared" si="18"/>
        <v>11.031488</v>
      </c>
      <c r="H172" s="215">
        <v>45046</v>
      </c>
      <c r="I172" s="104">
        <v>3685100</v>
      </c>
      <c r="J172" s="104">
        <v>706</v>
      </c>
      <c r="K172" s="104">
        <v>3685806</v>
      </c>
      <c r="L172" s="104">
        <v>99.98</v>
      </c>
      <c r="M172" s="71">
        <f t="shared" si="17"/>
        <v>3.6858059999999999</v>
      </c>
      <c r="O172" s="215">
        <v>45046</v>
      </c>
      <c r="P172" s="104">
        <v>53092809</v>
      </c>
      <c r="Q172" s="104">
        <v>14371741</v>
      </c>
      <c r="R172" s="104">
        <v>67464550</v>
      </c>
      <c r="S172" s="104">
        <v>78.69</v>
      </c>
      <c r="T172" s="212">
        <f t="shared" si="22"/>
        <v>67.464550000000003</v>
      </c>
      <c r="W172" s="215">
        <v>45046</v>
      </c>
      <c r="X172" s="48">
        <v>8739</v>
      </c>
      <c r="Y172" s="48">
        <v>10000</v>
      </c>
      <c r="Z172" s="48">
        <f t="shared" si="21"/>
        <v>87.39</v>
      </c>
      <c r="AB172" s="215">
        <v>45046</v>
      </c>
      <c r="AC172" s="48">
        <v>2555</v>
      </c>
      <c r="AD172" s="48">
        <v>10000</v>
      </c>
      <c r="AE172" s="48">
        <f t="shared" si="19"/>
        <v>25.55</v>
      </c>
      <c r="AG172" s="215">
        <v>45046</v>
      </c>
      <c r="AH172" s="48">
        <v>9421</v>
      </c>
      <c r="AI172" s="48">
        <v>10000</v>
      </c>
      <c r="AJ172" s="48">
        <f t="shared" si="20"/>
        <v>94.21</v>
      </c>
      <c r="AL172" s="199">
        <v>44946</v>
      </c>
      <c r="AM172" t="s">
        <v>146</v>
      </c>
      <c r="AN172">
        <v>282841</v>
      </c>
      <c r="AP172" s="199">
        <v>44946</v>
      </c>
      <c r="AQ172" t="s">
        <v>146</v>
      </c>
      <c r="AR172">
        <v>22231758</v>
      </c>
      <c r="AT172" s="199">
        <v>44946</v>
      </c>
      <c r="AU172" t="s">
        <v>147</v>
      </c>
      <c r="AV172">
        <v>164</v>
      </c>
    </row>
    <row r="173" spans="1:48" hidden="1" x14ac:dyDescent="0.25">
      <c r="A173" s="113">
        <v>45047</v>
      </c>
      <c r="B173" s="101">
        <v>10942279</v>
      </c>
      <c r="C173" s="101">
        <v>285345</v>
      </c>
      <c r="D173" s="101">
        <v>11227624</v>
      </c>
      <c r="E173" s="101">
        <v>97.46</v>
      </c>
      <c r="F173" s="211">
        <f t="shared" si="18"/>
        <v>11.227624</v>
      </c>
      <c r="H173" s="215">
        <v>45047</v>
      </c>
      <c r="I173" s="104">
        <v>2585960</v>
      </c>
      <c r="J173" s="104">
        <v>740</v>
      </c>
      <c r="K173" s="104">
        <v>2586700</v>
      </c>
      <c r="L173" s="104">
        <v>99.97</v>
      </c>
      <c r="M173" s="71">
        <f t="shared" si="17"/>
        <v>2.5867</v>
      </c>
      <c r="O173" s="215">
        <v>45047</v>
      </c>
      <c r="P173" s="104">
        <v>60811846</v>
      </c>
      <c r="Q173" s="104">
        <v>17646522</v>
      </c>
      <c r="R173" s="104">
        <v>78458368</v>
      </c>
      <c r="S173" s="104">
        <v>77.510000000000005</v>
      </c>
      <c r="T173" s="212">
        <f t="shared" si="22"/>
        <v>78.458367999999993</v>
      </c>
      <c r="W173" s="215">
        <v>45047</v>
      </c>
      <c r="X173" s="48">
        <v>5937</v>
      </c>
      <c r="Y173" s="48">
        <v>10000</v>
      </c>
      <c r="Z173" s="48">
        <f t="shared" si="21"/>
        <v>59.37</v>
      </c>
      <c r="AB173" s="215">
        <v>45047</v>
      </c>
      <c r="AC173" s="48">
        <v>933</v>
      </c>
      <c r="AD173" s="48">
        <v>10000</v>
      </c>
      <c r="AE173" s="48">
        <f t="shared" si="19"/>
        <v>9.33</v>
      </c>
      <c r="AG173" s="215">
        <v>45047</v>
      </c>
      <c r="AH173" s="48">
        <v>6601</v>
      </c>
      <c r="AI173" s="48">
        <v>10000</v>
      </c>
      <c r="AJ173" s="48">
        <f t="shared" si="20"/>
        <v>66.010000000000005</v>
      </c>
      <c r="AL173" s="199">
        <v>44946</v>
      </c>
      <c r="AM173" s="70" t="s">
        <v>180</v>
      </c>
      <c r="AN173">
        <v>45933</v>
      </c>
      <c r="AP173" s="199">
        <v>44946</v>
      </c>
      <c r="AQ173" s="70" t="s">
        <v>149</v>
      </c>
      <c r="AR173">
        <v>4668409</v>
      </c>
      <c r="AT173" s="199">
        <v>44946</v>
      </c>
      <c r="AU173" t="s">
        <v>155</v>
      </c>
      <c r="AV173">
        <v>11</v>
      </c>
    </row>
    <row r="174" spans="1:48" hidden="1" x14ac:dyDescent="0.25">
      <c r="A174" s="113">
        <v>45048</v>
      </c>
      <c r="B174" s="101">
        <v>10055324</v>
      </c>
      <c r="C174" s="101">
        <v>326464</v>
      </c>
      <c r="D174" s="101">
        <v>10381788</v>
      </c>
      <c r="E174" s="101">
        <v>96.86</v>
      </c>
      <c r="F174" s="211">
        <f t="shared" si="18"/>
        <v>10.381788</v>
      </c>
      <c r="H174" s="215">
        <v>45048</v>
      </c>
      <c r="I174" s="104">
        <v>3347034</v>
      </c>
      <c r="J174" s="104">
        <v>763</v>
      </c>
      <c r="K174" s="104">
        <v>3347797</v>
      </c>
      <c r="L174" s="104">
        <v>99.98</v>
      </c>
      <c r="M174" s="71">
        <f t="shared" si="17"/>
        <v>3.3477969999999999</v>
      </c>
      <c r="O174" s="215">
        <v>45048</v>
      </c>
      <c r="P174" s="104">
        <v>69102550</v>
      </c>
      <c r="Q174" s="104">
        <v>26327627</v>
      </c>
      <c r="R174" s="104">
        <v>95430177</v>
      </c>
      <c r="S174" s="104">
        <v>72.41</v>
      </c>
      <c r="T174" s="212">
        <f t="shared" si="22"/>
        <v>95.430177</v>
      </c>
      <c r="W174" s="215">
        <v>45048</v>
      </c>
      <c r="X174" s="48">
        <v>7115</v>
      </c>
      <c r="Y174" s="48">
        <v>10000</v>
      </c>
      <c r="Z174" s="48">
        <f t="shared" si="21"/>
        <v>71.150000000000006</v>
      </c>
      <c r="AB174" s="215">
        <v>45048</v>
      </c>
      <c r="AC174" s="48">
        <v>1068</v>
      </c>
      <c r="AD174" s="48">
        <v>10000</v>
      </c>
      <c r="AE174" s="48">
        <f t="shared" si="19"/>
        <v>10.68</v>
      </c>
      <c r="AG174" s="215">
        <v>45048</v>
      </c>
      <c r="AH174" s="48">
        <v>7708</v>
      </c>
      <c r="AI174" s="48">
        <v>10000</v>
      </c>
      <c r="AJ174" s="48">
        <f t="shared" si="20"/>
        <v>77.08</v>
      </c>
      <c r="AL174" s="199">
        <v>44946</v>
      </c>
      <c r="AM174" s="70" t="s">
        <v>148</v>
      </c>
      <c r="AN174">
        <v>37754</v>
      </c>
      <c r="AP174" s="199">
        <v>44946</v>
      </c>
      <c r="AQ174" t="s">
        <v>180</v>
      </c>
      <c r="AR174">
        <v>1635102</v>
      </c>
      <c r="AT174" s="199"/>
    </row>
    <row r="175" spans="1:48" hidden="1" x14ac:dyDescent="0.25">
      <c r="A175" s="113">
        <v>45049</v>
      </c>
      <c r="B175" s="101">
        <v>10318439</v>
      </c>
      <c r="C175" s="101">
        <v>354387</v>
      </c>
      <c r="D175" s="101">
        <v>10672826</v>
      </c>
      <c r="E175" s="101">
        <v>96.68</v>
      </c>
      <c r="F175" s="211">
        <f t="shared" si="18"/>
        <v>10.672826000000001</v>
      </c>
      <c r="H175" s="215">
        <v>45049</v>
      </c>
      <c r="I175" s="104">
        <v>3262676</v>
      </c>
      <c r="J175" s="104">
        <v>725</v>
      </c>
      <c r="K175" s="104">
        <v>3263401</v>
      </c>
      <c r="L175" s="104">
        <v>99.98</v>
      </c>
      <c r="M175" s="71">
        <f t="shared" si="17"/>
        <v>3.263401</v>
      </c>
      <c r="O175" s="215">
        <v>45049</v>
      </c>
      <c r="P175" s="104">
        <v>65550640</v>
      </c>
      <c r="Q175" s="104">
        <v>21243886</v>
      </c>
      <c r="R175" s="104">
        <v>86794526</v>
      </c>
      <c r="S175" s="104">
        <v>75.52</v>
      </c>
      <c r="T175" s="212">
        <f t="shared" si="22"/>
        <v>86.794526000000005</v>
      </c>
      <c r="W175" s="215">
        <v>45049</v>
      </c>
      <c r="X175" s="48">
        <v>6631</v>
      </c>
      <c r="Y175" s="48">
        <v>10000</v>
      </c>
      <c r="Z175" s="48">
        <f t="shared" si="21"/>
        <v>66.31</v>
      </c>
      <c r="AB175" s="215">
        <v>45049</v>
      </c>
      <c r="AC175" s="48">
        <v>982</v>
      </c>
      <c r="AD175" s="48">
        <v>10000</v>
      </c>
      <c r="AE175" s="48">
        <f t="shared" si="19"/>
        <v>9.82</v>
      </c>
      <c r="AG175" s="215">
        <v>45049</v>
      </c>
      <c r="AH175" s="48">
        <v>7225</v>
      </c>
      <c r="AI175" s="48">
        <v>10000</v>
      </c>
      <c r="AJ175" s="48">
        <f t="shared" si="20"/>
        <v>72.25</v>
      </c>
      <c r="AL175" s="199">
        <v>44946</v>
      </c>
      <c r="AM175" t="s">
        <v>149</v>
      </c>
      <c r="AN175">
        <v>24455</v>
      </c>
      <c r="AP175" s="199">
        <v>44946</v>
      </c>
      <c r="AQ175" s="70" t="s">
        <v>185</v>
      </c>
      <c r="AR175">
        <v>775183</v>
      </c>
    </row>
    <row r="176" spans="1:48" hidden="1" x14ac:dyDescent="0.25">
      <c r="A176" s="113">
        <v>45050</v>
      </c>
      <c r="B176" s="101">
        <v>9858224</v>
      </c>
      <c r="C176" s="101">
        <v>358776</v>
      </c>
      <c r="D176" s="101">
        <v>10217000</v>
      </c>
      <c r="E176" s="101">
        <v>96.49</v>
      </c>
      <c r="F176" s="211">
        <f t="shared" si="18"/>
        <v>10.217000000000001</v>
      </c>
      <c r="H176" s="215">
        <v>45050</v>
      </c>
      <c r="I176" s="104">
        <v>2922749</v>
      </c>
      <c r="J176" s="104">
        <v>2272</v>
      </c>
      <c r="K176" s="104">
        <v>2925021</v>
      </c>
      <c r="L176" s="104">
        <v>99.92</v>
      </c>
      <c r="M176" s="71">
        <f t="shared" si="17"/>
        <v>2.9250210000000001</v>
      </c>
      <c r="O176" s="215">
        <v>45050</v>
      </c>
      <c r="P176" s="104">
        <v>75266520</v>
      </c>
      <c r="Q176" s="104">
        <v>29175786</v>
      </c>
      <c r="R176" s="104">
        <v>104442306</v>
      </c>
      <c r="S176" s="104">
        <v>72.069999999999993</v>
      </c>
      <c r="T176" s="212">
        <f t="shared" si="22"/>
        <v>104.442306</v>
      </c>
      <c r="W176" s="215">
        <v>45050</v>
      </c>
      <c r="X176" s="48">
        <v>9000</v>
      </c>
      <c r="Y176" s="48">
        <v>10000</v>
      </c>
      <c r="Z176" s="48">
        <f t="shared" si="21"/>
        <v>90</v>
      </c>
      <c r="AB176" s="215">
        <v>45050</v>
      </c>
      <c r="AC176" s="48">
        <v>1719</v>
      </c>
      <c r="AD176" s="48">
        <v>10000</v>
      </c>
      <c r="AE176" s="48">
        <f t="shared" si="19"/>
        <v>17.190000000000001</v>
      </c>
      <c r="AG176" s="215">
        <v>45050</v>
      </c>
      <c r="AH176" s="48">
        <v>9553</v>
      </c>
      <c r="AI176" s="48">
        <v>10000</v>
      </c>
      <c r="AJ176" s="48">
        <f t="shared" si="20"/>
        <v>95.53</v>
      </c>
      <c r="AL176" s="199">
        <v>44946</v>
      </c>
      <c r="AM176" s="70" t="s">
        <v>186</v>
      </c>
      <c r="AN176">
        <v>20931</v>
      </c>
      <c r="AP176" s="199">
        <v>44946</v>
      </c>
      <c r="AQ176" t="s">
        <v>148</v>
      </c>
      <c r="AR176">
        <v>724877</v>
      </c>
    </row>
    <row r="177" spans="1:48" hidden="1" x14ac:dyDescent="0.25">
      <c r="A177" s="113">
        <v>45051</v>
      </c>
      <c r="B177" s="101">
        <v>9596375</v>
      </c>
      <c r="C177" s="101">
        <v>350775</v>
      </c>
      <c r="D177" s="101">
        <v>9947150</v>
      </c>
      <c r="E177" s="178">
        <f>B177/D177%</f>
        <v>96.473613044942525</v>
      </c>
      <c r="F177" s="211">
        <f t="shared" si="18"/>
        <v>9.9471500000000006</v>
      </c>
      <c r="H177" s="215">
        <v>45051</v>
      </c>
      <c r="I177" s="104">
        <v>4382789</v>
      </c>
      <c r="J177" s="104">
        <v>176</v>
      </c>
      <c r="K177" s="104">
        <v>4382965</v>
      </c>
      <c r="L177" s="104">
        <v>99.99</v>
      </c>
      <c r="M177" s="71">
        <f t="shared" si="17"/>
        <v>4.3829650000000004</v>
      </c>
      <c r="O177" s="215">
        <v>45051</v>
      </c>
      <c r="P177" s="104">
        <v>65698571</v>
      </c>
      <c r="Q177" s="104">
        <v>26861704</v>
      </c>
      <c r="R177" s="104">
        <v>92560275</v>
      </c>
      <c r="S177" s="104">
        <v>70.97</v>
      </c>
      <c r="T177" s="212">
        <f t="shared" si="22"/>
        <v>92.560275000000004</v>
      </c>
      <c r="W177" s="215">
        <v>45051</v>
      </c>
      <c r="X177" s="48">
        <v>7352</v>
      </c>
      <c r="Y177" s="48">
        <v>10000</v>
      </c>
      <c r="Z177" s="48">
        <f t="shared" si="21"/>
        <v>73.52</v>
      </c>
      <c r="AB177" s="215">
        <v>45051</v>
      </c>
      <c r="AC177" s="48">
        <v>1074</v>
      </c>
      <c r="AD177" s="48">
        <v>10000</v>
      </c>
      <c r="AE177" s="48">
        <f t="shared" si="19"/>
        <v>10.74</v>
      </c>
      <c r="AG177" s="215">
        <v>45051</v>
      </c>
      <c r="AH177" s="48">
        <v>8096</v>
      </c>
      <c r="AI177" s="48">
        <v>10000</v>
      </c>
      <c r="AJ177" s="48">
        <f t="shared" si="20"/>
        <v>80.959999999999994</v>
      </c>
    </row>
    <row r="178" spans="1:48" hidden="1" x14ac:dyDescent="0.25">
      <c r="A178" s="113">
        <v>45052</v>
      </c>
      <c r="B178" s="101">
        <v>10006848</v>
      </c>
      <c r="C178" s="101">
        <v>324856</v>
      </c>
      <c r="D178" s="101">
        <v>10331704</v>
      </c>
      <c r="E178" s="178">
        <f>B178/D178%</f>
        <v>96.855736478706717</v>
      </c>
      <c r="F178" s="211">
        <f t="shared" si="18"/>
        <v>10.331704</v>
      </c>
      <c r="H178" s="215">
        <v>45052</v>
      </c>
      <c r="I178" s="104">
        <v>3883333</v>
      </c>
      <c r="J178" s="104">
        <v>98</v>
      </c>
      <c r="K178" s="104">
        <v>3883431</v>
      </c>
      <c r="L178" s="104">
        <v>99.99</v>
      </c>
      <c r="M178" s="71">
        <f t="shared" si="17"/>
        <v>3.8834309999999999</v>
      </c>
      <c r="O178" s="215">
        <v>45052</v>
      </c>
      <c r="P178" s="104">
        <v>61682321</v>
      </c>
      <c r="Q178" s="104">
        <v>16633870</v>
      </c>
      <c r="R178" s="104">
        <v>78316191</v>
      </c>
      <c r="S178" s="104">
        <v>78.760000000000005</v>
      </c>
      <c r="T178" s="212">
        <f t="shared" si="22"/>
        <v>78.316191000000003</v>
      </c>
      <c r="W178" s="215">
        <v>45052</v>
      </c>
      <c r="X178" s="48">
        <v>9000</v>
      </c>
      <c r="Y178" s="48">
        <v>10000</v>
      </c>
      <c r="Z178" s="48">
        <f t="shared" si="21"/>
        <v>90</v>
      </c>
      <c r="AB178" s="215">
        <v>45052</v>
      </c>
      <c r="AC178" s="48">
        <v>1387</v>
      </c>
      <c r="AD178" s="48">
        <v>10000</v>
      </c>
      <c r="AE178" s="48">
        <f>AC178/AD178%</f>
        <v>13.87</v>
      </c>
      <c r="AG178" s="215">
        <v>45052</v>
      </c>
      <c r="AH178" s="48">
        <v>9515</v>
      </c>
      <c r="AI178" s="48">
        <v>10000</v>
      </c>
      <c r="AJ178" s="48">
        <f t="shared" si="20"/>
        <v>95.15</v>
      </c>
      <c r="AL178" s="199">
        <v>44947</v>
      </c>
      <c r="AM178" t="s">
        <v>146</v>
      </c>
      <c r="AN178">
        <v>269239</v>
      </c>
      <c r="AP178" s="199">
        <v>44947</v>
      </c>
      <c r="AQ178" t="s">
        <v>146</v>
      </c>
      <c r="AR178">
        <v>21219461</v>
      </c>
      <c r="AT178" s="199">
        <v>44947</v>
      </c>
      <c r="AU178" t="s">
        <v>147</v>
      </c>
      <c r="AV178">
        <v>242</v>
      </c>
    </row>
    <row r="179" spans="1:48" hidden="1" x14ac:dyDescent="0.25">
      <c r="A179" s="113">
        <v>45053</v>
      </c>
      <c r="B179" s="101">
        <v>9689332</v>
      </c>
      <c r="C179" s="101">
        <v>289367</v>
      </c>
      <c r="D179" s="101">
        <v>9978699</v>
      </c>
      <c r="E179" s="178">
        <f>B179/D179%</f>
        <v>97.100153035981947</v>
      </c>
      <c r="F179" s="211">
        <f t="shared" si="18"/>
        <v>9.9786990000000007</v>
      </c>
      <c r="H179" s="215">
        <v>45053</v>
      </c>
      <c r="I179" s="104">
        <v>2951525</v>
      </c>
      <c r="J179" s="104">
        <v>76</v>
      </c>
      <c r="K179" s="104">
        <v>2951601</v>
      </c>
      <c r="L179" s="104">
        <v>99.99</v>
      </c>
      <c r="M179" s="71">
        <f t="shared" si="17"/>
        <v>2.9516010000000001</v>
      </c>
      <c r="O179" s="215">
        <v>45053</v>
      </c>
      <c r="P179" s="104">
        <v>51136060</v>
      </c>
      <c r="Q179" s="104">
        <v>14911773</v>
      </c>
      <c r="R179" s="104">
        <v>66047833</v>
      </c>
      <c r="S179" s="104">
        <v>77.42</v>
      </c>
      <c r="T179" s="212">
        <f t="shared" si="22"/>
        <v>66.047832999999997</v>
      </c>
      <c r="W179" s="215">
        <v>45053</v>
      </c>
      <c r="X179" s="48">
        <v>4925</v>
      </c>
      <c r="Y179" s="48">
        <v>10000</v>
      </c>
      <c r="Z179" s="48">
        <f t="shared" si="21"/>
        <v>49.25</v>
      </c>
      <c r="AB179" s="215">
        <v>45053</v>
      </c>
      <c r="AC179" s="48">
        <v>949</v>
      </c>
      <c r="AD179" s="48">
        <v>10000</v>
      </c>
      <c r="AE179" s="48">
        <f t="shared" si="19"/>
        <v>9.49</v>
      </c>
      <c r="AG179" s="215">
        <v>45053</v>
      </c>
      <c r="AH179" s="48">
        <v>5385</v>
      </c>
      <c r="AI179" s="48">
        <v>10000</v>
      </c>
      <c r="AJ179" s="48">
        <f t="shared" si="20"/>
        <v>53.85</v>
      </c>
      <c r="AL179" s="199">
        <v>44947</v>
      </c>
      <c r="AM179" t="s">
        <v>180</v>
      </c>
      <c r="AN179">
        <v>69648</v>
      </c>
      <c r="AP179" s="199">
        <v>44947</v>
      </c>
      <c r="AQ179" t="s">
        <v>149</v>
      </c>
      <c r="AR179">
        <v>4487020</v>
      </c>
      <c r="AT179" s="199">
        <v>44947</v>
      </c>
      <c r="AU179" t="s">
        <v>155</v>
      </c>
      <c r="AV179">
        <v>17</v>
      </c>
    </row>
    <row r="180" spans="1:48" hidden="1" x14ac:dyDescent="0.25">
      <c r="A180" s="113">
        <v>45054</v>
      </c>
      <c r="B180" s="101">
        <v>9827068</v>
      </c>
      <c r="C180" s="101">
        <v>300171</v>
      </c>
      <c r="D180" s="101">
        <v>10127239</v>
      </c>
      <c r="E180" s="101">
        <v>97.04</v>
      </c>
      <c r="F180" s="211">
        <f t="shared" si="18"/>
        <v>10.127238999999999</v>
      </c>
      <c r="H180" s="215">
        <v>45054</v>
      </c>
      <c r="I180" s="104">
        <v>3411938</v>
      </c>
      <c r="J180" s="104">
        <v>61</v>
      </c>
      <c r="K180" s="104">
        <v>3411999</v>
      </c>
      <c r="L180" s="104">
        <v>100</v>
      </c>
      <c r="M180" s="71">
        <f t="shared" si="17"/>
        <v>3.4119989999999998</v>
      </c>
      <c r="O180" s="215">
        <v>45054</v>
      </c>
      <c r="P180" s="104">
        <v>70603892</v>
      </c>
      <c r="Q180" s="104">
        <v>25426050</v>
      </c>
      <c r="R180" s="104">
        <v>96029942</v>
      </c>
      <c r="S180" s="104">
        <v>73.52</v>
      </c>
      <c r="T180" s="212">
        <f t="shared" si="22"/>
        <v>96.029942000000005</v>
      </c>
      <c r="W180" s="215">
        <v>45054</v>
      </c>
      <c r="X180" s="48">
        <v>9000</v>
      </c>
      <c r="Y180" s="48">
        <v>10000</v>
      </c>
      <c r="Z180" s="48">
        <f t="shared" si="21"/>
        <v>90</v>
      </c>
      <c r="AB180" s="215">
        <v>45054</v>
      </c>
      <c r="AC180" s="48">
        <v>1643</v>
      </c>
      <c r="AD180" s="48">
        <v>10000</v>
      </c>
      <c r="AE180" s="48">
        <f t="shared" si="19"/>
        <v>16.43</v>
      </c>
      <c r="AG180" s="215">
        <v>45054</v>
      </c>
      <c r="AH180" s="48">
        <v>9730</v>
      </c>
      <c r="AI180" s="48">
        <v>10000</v>
      </c>
      <c r="AJ180" s="48">
        <f t="shared" si="20"/>
        <v>97.3</v>
      </c>
      <c r="AL180" s="199">
        <v>44947</v>
      </c>
      <c r="AM180" t="s">
        <v>148</v>
      </c>
      <c r="AN180">
        <v>32255</v>
      </c>
      <c r="AP180" s="199">
        <v>44947</v>
      </c>
      <c r="AQ180" t="s">
        <v>180</v>
      </c>
      <c r="AR180">
        <v>1239139</v>
      </c>
    </row>
    <row r="181" spans="1:48" hidden="1" x14ac:dyDescent="0.25">
      <c r="A181" s="113">
        <v>45055</v>
      </c>
      <c r="B181" s="101">
        <v>9440555</v>
      </c>
      <c r="C181" s="101">
        <v>391220</v>
      </c>
      <c r="D181" s="101">
        <v>9831775</v>
      </c>
      <c r="E181" s="101">
        <v>96.02</v>
      </c>
      <c r="F181" s="211">
        <f t="shared" si="18"/>
        <v>9.8317750000000004</v>
      </c>
      <c r="H181" s="215">
        <v>45055</v>
      </c>
      <c r="I181" s="104">
        <v>4531090</v>
      </c>
      <c r="J181" s="104">
        <v>281</v>
      </c>
      <c r="K181" s="104">
        <v>4531371</v>
      </c>
      <c r="L181" s="104">
        <v>99.99</v>
      </c>
      <c r="M181" s="71">
        <f t="shared" si="17"/>
        <v>4.531371</v>
      </c>
      <c r="O181" s="215">
        <v>45055</v>
      </c>
      <c r="P181" s="104">
        <v>77415094</v>
      </c>
      <c r="Q181" s="104">
        <v>33232023</v>
      </c>
      <c r="R181" s="104">
        <v>110647117</v>
      </c>
      <c r="S181" s="104">
        <v>69.97</v>
      </c>
      <c r="T181" s="212">
        <f t="shared" si="22"/>
        <v>110.64711699999999</v>
      </c>
      <c r="W181" s="215">
        <v>45055</v>
      </c>
      <c r="X181" s="48">
        <v>9000</v>
      </c>
      <c r="Y181" s="48">
        <v>10000</v>
      </c>
      <c r="Z181" s="48">
        <f t="shared" si="21"/>
        <v>90</v>
      </c>
      <c r="AB181" s="215">
        <v>45055</v>
      </c>
      <c r="AC181" s="48">
        <v>1000</v>
      </c>
      <c r="AD181" s="48">
        <v>10000</v>
      </c>
      <c r="AE181" s="48">
        <f t="shared" si="19"/>
        <v>10</v>
      </c>
      <c r="AG181" s="215">
        <v>45055</v>
      </c>
      <c r="AH181" s="48">
        <v>10000</v>
      </c>
      <c r="AI181" s="48">
        <v>10000</v>
      </c>
      <c r="AJ181" s="48">
        <f t="shared" si="20"/>
        <v>100</v>
      </c>
      <c r="AL181" s="199">
        <v>44947</v>
      </c>
      <c r="AM181" t="s">
        <v>149</v>
      </c>
      <c r="AN181">
        <v>24117</v>
      </c>
      <c r="AP181" s="199">
        <v>44947</v>
      </c>
      <c r="AQ181" t="s">
        <v>169</v>
      </c>
      <c r="AR181">
        <v>703353</v>
      </c>
      <c r="AU181" s="70"/>
    </row>
    <row r="182" spans="1:48" hidden="1" x14ac:dyDescent="0.25">
      <c r="A182" s="113">
        <v>45056</v>
      </c>
      <c r="B182" s="101">
        <v>9626490</v>
      </c>
      <c r="C182" s="101">
        <v>404657</v>
      </c>
      <c r="D182" s="101">
        <v>10031147</v>
      </c>
      <c r="E182" s="101">
        <v>95.97</v>
      </c>
      <c r="F182" s="211">
        <f t="shared" si="18"/>
        <v>10.031147000000001</v>
      </c>
      <c r="H182" s="215">
        <v>45056</v>
      </c>
      <c r="I182" s="104">
        <v>4392560</v>
      </c>
      <c r="J182" s="104">
        <v>1205</v>
      </c>
      <c r="K182" s="104">
        <v>4393765</v>
      </c>
      <c r="L182" s="104">
        <v>99.97</v>
      </c>
      <c r="M182" s="71">
        <f t="shared" si="17"/>
        <v>4.3937650000000001</v>
      </c>
      <c r="O182" s="215">
        <v>45056</v>
      </c>
      <c r="P182" s="104">
        <v>71585176</v>
      </c>
      <c r="Q182" s="104">
        <v>26491217</v>
      </c>
      <c r="R182" s="104">
        <v>98076393</v>
      </c>
      <c r="S182" s="104">
        <v>72.989999999999995</v>
      </c>
      <c r="T182" s="212">
        <f t="shared" si="22"/>
        <v>98.076392999999996</v>
      </c>
      <c r="W182" s="215">
        <v>45056</v>
      </c>
      <c r="X182" s="48">
        <v>7726</v>
      </c>
      <c r="Y182" s="48">
        <v>10000</v>
      </c>
      <c r="Z182" s="48">
        <f t="shared" si="21"/>
        <v>77.260000000000005</v>
      </c>
      <c r="AB182" s="215">
        <v>45056</v>
      </c>
      <c r="AC182" s="48">
        <v>1038</v>
      </c>
      <c r="AD182" s="48">
        <v>10000</v>
      </c>
      <c r="AE182" s="48">
        <f t="shared" si="19"/>
        <v>10.38</v>
      </c>
      <c r="AG182" s="215">
        <v>45056</v>
      </c>
      <c r="AH182" s="48">
        <v>8280</v>
      </c>
      <c r="AI182" s="48">
        <v>10000</v>
      </c>
      <c r="AJ182" s="48">
        <f t="shared" si="20"/>
        <v>82.8</v>
      </c>
      <c r="AL182" s="199">
        <v>44947</v>
      </c>
      <c r="AM182" t="s">
        <v>186</v>
      </c>
      <c r="AN182">
        <v>20952</v>
      </c>
      <c r="AP182" s="199">
        <v>44947</v>
      </c>
      <c r="AQ182" t="s">
        <v>148</v>
      </c>
      <c r="AR182">
        <v>347544</v>
      </c>
    </row>
    <row r="183" spans="1:48" hidden="1" x14ac:dyDescent="0.25">
      <c r="A183" s="113">
        <v>45057</v>
      </c>
      <c r="B183" s="101">
        <v>9923041</v>
      </c>
      <c r="C183" s="101">
        <v>407727</v>
      </c>
      <c r="D183" s="101">
        <v>10330768</v>
      </c>
      <c r="E183" s="101">
        <v>96.05</v>
      </c>
      <c r="F183" s="211">
        <f t="shared" si="18"/>
        <v>10.330768000000001</v>
      </c>
      <c r="H183" s="215">
        <v>45057</v>
      </c>
      <c r="I183" s="104">
        <v>4307499</v>
      </c>
      <c r="J183" s="104">
        <v>162</v>
      </c>
      <c r="K183" s="104">
        <v>4307661</v>
      </c>
      <c r="L183" s="104">
        <v>100</v>
      </c>
      <c r="M183" s="71">
        <f t="shared" si="17"/>
        <v>4.3076610000000004</v>
      </c>
      <c r="O183" s="215">
        <v>45057</v>
      </c>
      <c r="P183" s="104">
        <v>78854366</v>
      </c>
      <c r="Q183" s="104">
        <v>28094321</v>
      </c>
      <c r="R183" s="104">
        <v>106948687</v>
      </c>
      <c r="S183" s="104">
        <v>73.73</v>
      </c>
      <c r="T183" s="212">
        <f t="shared" si="22"/>
        <v>106.94868700000001</v>
      </c>
      <c r="W183" s="215">
        <v>45057</v>
      </c>
      <c r="X183" s="48">
        <v>9000</v>
      </c>
      <c r="Y183" s="48">
        <v>10000</v>
      </c>
      <c r="Z183" s="48">
        <f t="shared" si="21"/>
        <v>90</v>
      </c>
      <c r="AB183" s="215">
        <v>45057</v>
      </c>
      <c r="AC183" s="48">
        <v>997</v>
      </c>
      <c r="AD183" s="48">
        <v>10000</v>
      </c>
      <c r="AE183" s="48">
        <f t="shared" si="19"/>
        <v>9.9700000000000006</v>
      </c>
      <c r="AG183" s="215">
        <v>45057</v>
      </c>
      <c r="AH183" s="48">
        <v>9471</v>
      </c>
      <c r="AI183" s="48">
        <v>10000</v>
      </c>
      <c r="AJ183" s="48">
        <f t="shared" si="20"/>
        <v>94.71</v>
      </c>
    </row>
    <row r="184" spans="1:48" hidden="1" x14ac:dyDescent="0.25">
      <c r="A184" s="113">
        <v>45058</v>
      </c>
      <c r="B184" s="101">
        <v>10143914</v>
      </c>
      <c r="C184" s="101">
        <v>411350</v>
      </c>
      <c r="D184" s="101">
        <v>10555264</v>
      </c>
      <c r="E184" s="101">
        <v>96.1</v>
      </c>
      <c r="F184" s="211">
        <f t="shared" si="18"/>
        <v>10.555263999999999</v>
      </c>
      <c r="H184" s="215">
        <v>45058</v>
      </c>
      <c r="I184" s="104">
        <v>4613179</v>
      </c>
      <c r="J184" s="104">
        <v>124</v>
      </c>
      <c r="K184" s="104">
        <v>4613303</v>
      </c>
      <c r="L184" s="104">
        <v>99.99</v>
      </c>
      <c r="M184" s="71">
        <f t="shared" si="17"/>
        <v>4.6133030000000002</v>
      </c>
      <c r="O184" s="215">
        <v>45058</v>
      </c>
      <c r="P184" s="104">
        <v>79690960</v>
      </c>
      <c r="Q184" s="104">
        <v>36259716</v>
      </c>
      <c r="R184" s="104">
        <v>115950676</v>
      </c>
      <c r="S184" s="104">
        <v>68.72</v>
      </c>
      <c r="T184" s="212">
        <f t="shared" si="22"/>
        <v>115.950676</v>
      </c>
      <c r="W184" s="215">
        <v>45058</v>
      </c>
      <c r="X184" s="48">
        <v>9000</v>
      </c>
      <c r="Y184" s="48">
        <v>10000</v>
      </c>
      <c r="Z184" s="48">
        <f t="shared" si="21"/>
        <v>90</v>
      </c>
      <c r="AB184" s="215">
        <v>45058</v>
      </c>
      <c r="AC184" s="48">
        <v>1089</v>
      </c>
      <c r="AD184" s="48">
        <v>10000</v>
      </c>
      <c r="AE184" s="48">
        <f t="shared" si="19"/>
        <v>10.89</v>
      </c>
      <c r="AG184" s="215">
        <v>45058</v>
      </c>
      <c r="AH184" s="48">
        <v>9591</v>
      </c>
      <c r="AI184" s="48">
        <v>10000</v>
      </c>
      <c r="AJ184" s="48">
        <f t="shared" si="20"/>
        <v>95.91</v>
      </c>
      <c r="AL184" s="199">
        <v>44948</v>
      </c>
      <c r="AM184" t="s">
        <v>146</v>
      </c>
      <c r="AN184">
        <v>258723</v>
      </c>
      <c r="AP184" s="199">
        <v>44948</v>
      </c>
      <c r="AQ184" t="s">
        <v>146</v>
      </c>
      <c r="AR184">
        <v>15629259</v>
      </c>
      <c r="AT184" s="199">
        <v>44948</v>
      </c>
      <c r="AU184" t="s">
        <v>147</v>
      </c>
      <c r="AV184">
        <v>114</v>
      </c>
    </row>
    <row r="185" spans="1:48" hidden="1" x14ac:dyDescent="0.25">
      <c r="A185" s="113">
        <v>45059</v>
      </c>
      <c r="B185" s="101">
        <v>10229528</v>
      </c>
      <c r="C185" s="101">
        <v>403595</v>
      </c>
      <c r="D185" s="101">
        <v>10633123</v>
      </c>
      <c r="E185" s="101">
        <v>96.2</v>
      </c>
      <c r="F185" s="211">
        <f t="shared" si="18"/>
        <v>10.633122999999999</v>
      </c>
      <c r="H185" s="215">
        <v>45059</v>
      </c>
      <c r="I185" s="104">
        <v>6896432</v>
      </c>
      <c r="J185" s="104">
        <v>128</v>
      </c>
      <c r="K185" s="104">
        <v>6896560</v>
      </c>
      <c r="L185" s="104">
        <v>99.99</v>
      </c>
      <c r="M185" s="71">
        <f t="shared" si="17"/>
        <v>6.89656</v>
      </c>
      <c r="O185" s="215">
        <v>45059</v>
      </c>
      <c r="P185" s="104">
        <v>79215355</v>
      </c>
      <c r="Q185" s="104">
        <v>31775691</v>
      </c>
      <c r="R185" s="104">
        <v>110991046</v>
      </c>
      <c r="S185" s="104">
        <v>71.37</v>
      </c>
      <c r="T185" s="212">
        <f t="shared" si="22"/>
        <v>110.991046</v>
      </c>
      <c r="W185" s="215">
        <v>45059</v>
      </c>
      <c r="X185" s="48">
        <v>9000</v>
      </c>
      <c r="Y185" s="48">
        <v>10000</v>
      </c>
      <c r="Z185" s="48">
        <f t="shared" si="21"/>
        <v>90</v>
      </c>
      <c r="AB185" s="215">
        <v>45059</v>
      </c>
      <c r="AC185" s="48">
        <v>2742</v>
      </c>
      <c r="AD185" s="48">
        <v>10000</v>
      </c>
      <c r="AE185" s="48">
        <f t="shared" si="19"/>
        <v>27.42</v>
      </c>
      <c r="AG185" s="215">
        <v>45059</v>
      </c>
      <c r="AH185" s="48">
        <v>10000</v>
      </c>
      <c r="AI185" s="48">
        <v>10000</v>
      </c>
      <c r="AJ185" s="48">
        <f t="shared" si="20"/>
        <v>100</v>
      </c>
      <c r="AL185" s="199">
        <v>44948</v>
      </c>
      <c r="AM185" t="s">
        <v>180</v>
      </c>
      <c r="AN185">
        <v>48467</v>
      </c>
      <c r="AP185" s="199">
        <v>44948</v>
      </c>
      <c r="AQ185" t="s">
        <v>149</v>
      </c>
      <c r="AR185">
        <v>2900927</v>
      </c>
      <c r="AT185" s="199">
        <v>44948</v>
      </c>
      <c r="AU185" t="s">
        <v>155</v>
      </c>
      <c r="AV185">
        <v>20</v>
      </c>
    </row>
    <row r="186" spans="1:48" hidden="1" x14ac:dyDescent="0.25">
      <c r="A186" s="113">
        <v>45060</v>
      </c>
      <c r="B186" s="101">
        <v>10502735</v>
      </c>
      <c r="C186" s="101">
        <v>397432</v>
      </c>
      <c r="D186" s="101">
        <v>10900167</v>
      </c>
      <c r="E186" s="101">
        <v>96.35</v>
      </c>
      <c r="F186" s="211">
        <f t="shared" si="18"/>
        <v>10.900167</v>
      </c>
      <c r="H186" s="215">
        <v>45060</v>
      </c>
      <c r="I186" s="104">
        <v>3523985</v>
      </c>
      <c r="J186" s="104">
        <v>115</v>
      </c>
      <c r="K186" s="104">
        <v>3524100</v>
      </c>
      <c r="L186" s="104">
        <v>99.99</v>
      </c>
      <c r="M186" s="71">
        <f t="shared" si="17"/>
        <v>3.5240999999999998</v>
      </c>
      <c r="O186" s="215">
        <v>45060</v>
      </c>
      <c r="P186" s="104">
        <v>50647958</v>
      </c>
      <c r="Q186" s="104">
        <v>12792558</v>
      </c>
      <c r="R186" s="104">
        <v>63440516</v>
      </c>
      <c r="S186" s="104">
        <v>79.83</v>
      </c>
      <c r="T186" s="212">
        <f t="shared" si="22"/>
        <v>63.440516000000002</v>
      </c>
      <c r="W186" s="215">
        <v>45060</v>
      </c>
      <c r="X186" s="48">
        <v>5257</v>
      </c>
      <c r="Y186" s="48">
        <v>10000</v>
      </c>
      <c r="Z186" s="48">
        <f t="shared" si="21"/>
        <v>52.57</v>
      </c>
      <c r="AB186" s="215">
        <v>45060</v>
      </c>
      <c r="AC186" s="48">
        <v>873</v>
      </c>
      <c r="AD186" s="48">
        <v>10000</v>
      </c>
      <c r="AE186" s="48">
        <f t="shared" si="19"/>
        <v>8.73</v>
      </c>
      <c r="AG186" s="215">
        <v>45060</v>
      </c>
      <c r="AH186" s="48">
        <v>5777</v>
      </c>
      <c r="AI186" s="48">
        <v>10000</v>
      </c>
      <c r="AJ186" s="48">
        <f t="shared" si="20"/>
        <v>57.77</v>
      </c>
      <c r="AL186" s="199">
        <v>44948</v>
      </c>
      <c r="AM186" t="s">
        <v>148</v>
      </c>
      <c r="AN186">
        <v>32408</v>
      </c>
      <c r="AP186" s="199">
        <v>44948</v>
      </c>
      <c r="AQ186" t="s">
        <v>180</v>
      </c>
      <c r="AR186">
        <v>1131069</v>
      </c>
    </row>
    <row r="187" spans="1:48" hidden="1" x14ac:dyDescent="0.25">
      <c r="A187" s="113">
        <v>45061</v>
      </c>
      <c r="B187" s="101">
        <v>9645192</v>
      </c>
      <c r="C187" s="101">
        <v>476250</v>
      </c>
      <c r="D187" s="101">
        <v>10121442</v>
      </c>
      <c r="E187" s="101">
        <v>95.29</v>
      </c>
      <c r="F187" s="211">
        <f t="shared" si="18"/>
        <v>10.121442</v>
      </c>
      <c r="H187" s="215">
        <v>45061</v>
      </c>
      <c r="I187" s="104">
        <v>6500068</v>
      </c>
      <c r="J187" s="104">
        <v>2611</v>
      </c>
      <c r="K187" s="104">
        <v>6502679</v>
      </c>
      <c r="L187" s="104">
        <v>99.96</v>
      </c>
      <c r="M187" s="71">
        <f t="shared" si="17"/>
        <v>6.5026789999999997</v>
      </c>
      <c r="O187" s="215">
        <v>45061</v>
      </c>
      <c r="P187" s="104">
        <v>83698173</v>
      </c>
      <c r="Q187" s="104">
        <v>33643921</v>
      </c>
      <c r="R187" s="104">
        <v>117342094</v>
      </c>
      <c r="S187" s="104">
        <v>71.33</v>
      </c>
      <c r="T187" s="212">
        <f t="shared" si="22"/>
        <v>117.342094</v>
      </c>
      <c r="W187" s="215">
        <v>45061</v>
      </c>
      <c r="X187" s="48">
        <v>9000</v>
      </c>
      <c r="Y187" s="48">
        <v>10000</v>
      </c>
      <c r="Z187" s="48">
        <f t="shared" si="21"/>
        <v>90</v>
      </c>
      <c r="AB187" s="215">
        <v>45061</v>
      </c>
      <c r="AC187" s="48">
        <v>2741</v>
      </c>
      <c r="AD187" s="48">
        <v>10000</v>
      </c>
      <c r="AE187" s="48">
        <f t="shared" si="19"/>
        <v>27.41</v>
      </c>
      <c r="AG187" s="215">
        <v>45061</v>
      </c>
      <c r="AH187" s="48">
        <v>9564</v>
      </c>
      <c r="AI187" s="48">
        <v>10000</v>
      </c>
      <c r="AJ187" s="48">
        <f t="shared" si="20"/>
        <v>95.64</v>
      </c>
      <c r="AL187" s="199">
        <v>44948</v>
      </c>
      <c r="AM187" t="s">
        <v>172</v>
      </c>
      <c r="AN187">
        <v>30173</v>
      </c>
      <c r="AP187" s="199">
        <v>44948</v>
      </c>
      <c r="AQ187" t="s">
        <v>169</v>
      </c>
      <c r="AR187">
        <v>705958</v>
      </c>
    </row>
    <row r="188" spans="1:48" hidden="1" x14ac:dyDescent="0.25">
      <c r="A188" s="113">
        <v>45062</v>
      </c>
      <c r="B188" s="101">
        <v>10562967</v>
      </c>
      <c r="C188" s="101">
        <v>381097</v>
      </c>
      <c r="D188" s="101">
        <v>10944064</v>
      </c>
      <c r="E188" s="101">
        <v>96.52</v>
      </c>
      <c r="F188" s="211">
        <f t="shared" si="18"/>
        <v>10.944063999999999</v>
      </c>
      <c r="H188" s="215">
        <v>45062</v>
      </c>
      <c r="I188" s="104">
        <v>6231719</v>
      </c>
      <c r="J188" s="104">
        <v>167</v>
      </c>
      <c r="K188" s="104">
        <v>6231886</v>
      </c>
      <c r="L188" s="104">
        <v>100</v>
      </c>
      <c r="M188" s="71">
        <f t="shared" si="17"/>
        <v>6.2318860000000003</v>
      </c>
      <c r="O188" s="215">
        <v>45062</v>
      </c>
      <c r="P188" s="104">
        <v>84160804</v>
      </c>
      <c r="Q188" s="104">
        <v>34473345</v>
      </c>
      <c r="R188" s="104">
        <v>118634149</v>
      </c>
      <c r="S188" s="104">
        <v>70.94</v>
      </c>
      <c r="T188" s="212">
        <f t="shared" si="22"/>
        <v>118.63414899999999</v>
      </c>
      <c r="W188" s="215">
        <v>45062</v>
      </c>
      <c r="X188" s="48">
        <v>9000</v>
      </c>
      <c r="Y188" s="48">
        <v>10000</v>
      </c>
      <c r="Z188" s="48">
        <f t="shared" si="21"/>
        <v>90</v>
      </c>
      <c r="AB188" s="215">
        <v>45062</v>
      </c>
      <c r="AC188" s="48">
        <v>1084</v>
      </c>
      <c r="AD188" s="48">
        <v>10000</v>
      </c>
      <c r="AE188" s="48">
        <f t="shared" si="19"/>
        <v>10.84</v>
      </c>
      <c r="AG188" s="215">
        <v>45062</v>
      </c>
      <c r="AH188" s="48">
        <v>9552</v>
      </c>
      <c r="AI188" s="48">
        <v>10000</v>
      </c>
      <c r="AJ188" s="48">
        <f t="shared" si="20"/>
        <v>95.52</v>
      </c>
      <c r="AL188" s="199">
        <v>44948</v>
      </c>
      <c r="AM188" t="s">
        <v>149</v>
      </c>
      <c r="AN188">
        <v>27030</v>
      </c>
      <c r="AP188" s="199">
        <v>44948</v>
      </c>
      <c r="AQ188" t="s">
        <v>148</v>
      </c>
      <c r="AR188">
        <v>181020</v>
      </c>
    </row>
    <row r="189" spans="1:48" hidden="1" x14ac:dyDescent="0.25">
      <c r="A189" s="113">
        <v>45063</v>
      </c>
      <c r="B189" s="101">
        <v>10554018</v>
      </c>
      <c r="C189" s="101">
        <v>420451</v>
      </c>
      <c r="D189" s="101">
        <v>10974469</v>
      </c>
      <c r="E189" s="101">
        <v>96.17</v>
      </c>
      <c r="F189" s="211">
        <f t="shared" si="18"/>
        <v>10.974468999999999</v>
      </c>
      <c r="H189" s="215">
        <v>45063</v>
      </c>
      <c r="I189" s="104">
        <v>6440725</v>
      </c>
      <c r="J189" s="104">
        <v>4290</v>
      </c>
      <c r="K189" s="104">
        <v>6445015</v>
      </c>
      <c r="L189" s="104">
        <v>99.93</v>
      </c>
      <c r="M189" s="71">
        <f t="shared" si="17"/>
        <v>6.4450149999999997</v>
      </c>
      <c r="O189" s="215">
        <v>45063</v>
      </c>
      <c r="P189" s="104">
        <v>82569053</v>
      </c>
      <c r="Q189" s="104">
        <v>33833656</v>
      </c>
      <c r="R189" s="104">
        <v>116402709</v>
      </c>
      <c r="S189" s="104">
        <v>70.930000000000007</v>
      </c>
      <c r="T189" s="212">
        <f t="shared" si="22"/>
        <v>116.402709</v>
      </c>
      <c r="W189" s="215">
        <v>45063</v>
      </c>
      <c r="X189" s="48">
        <v>9000</v>
      </c>
      <c r="Y189" s="48">
        <v>10000</v>
      </c>
      <c r="Z189" s="48">
        <f t="shared" si="21"/>
        <v>90</v>
      </c>
      <c r="AB189" s="215">
        <v>45063</v>
      </c>
      <c r="AC189" s="48">
        <v>1033</v>
      </c>
      <c r="AD189" s="48">
        <v>10000</v>
      </c>
      <c r="AE189" s="48">
        <f t="shared" si="19"/>
        <v>10.33</v>
      </c>
      <c r="AG189" s="215">
        <v>45063</v>
      </c>
      <c r="AH189" s="48">
        <v>9467</v>
      </c>
      <c r="AI189" s="48">
        <v>10000</v>
      </c>
      <c r="AJ189" s="48">
        <f t="shared" si="20"/>
        <v>94.67</v>
      </c>
      <c r="AL189" s="199"/>
      <c r="AM189" s="70"/>
      <c r="AQ189" s="70"/>
    </row>
    <row r="190" spans="1:48" hidden="1" x14ac:dyDescent="0.25">
      <c r="A190" s="113">
        <v>45064</v>
      </c>
      <c r="B190" s="101">
        <v>11343650</v>
      </c>
      <c r="C190" s="101">
        <v>408297</v>
      </c>
      <c r="D190" s="101">
        <v>11751947</v>
      </c>
      <c r="E190" s="101">
        <v>96.53</v>
      </c>
      <c r="F190" s="211">
        <f t="shared" si="18"/>
        <v>11.751946999999999</v>
      </c>
      <c r="H190" s="215">
        <v>45064</v>
      </c>
      <c r="I190" s="104">
        <v>4649127</v>
      </c>
      <c r="J190" s="104">
        <v>84</v>
      </c>
      <c r="K190" s="104">
        <v>4649211</v>
      </c>
      <c r="L190" s="104">
        <v>100</v>
      </c>
      <c r="M190" s="71">
        <f t="shared" si="17"/>
        <v>4.6492110000000002</v>
      </c>
      <c r="O190" s="215">
        <v>45064</v>
      </c>
      <c r="P190" s="104">
        <v>69222217</v>
      </c>
      <c r="Q190" s="104">
        <v>27707776</v>
      </c>
      <c r="R190" s="104">
        <v>96929993</v>
      </c>
      <c r="S190" s="104">
        <v>71.41</v>
      </c>
      <c r="T190" s="212">
        <f t="shared" si="22"/>
        <v>96.929992999999996</v>
      </c>
      <c r="W190" s="215">
        <v>45064</v>
      </c>
      <c r="X190" s="48">
        <v>8088</v>
      </c>
      <c r="Y190" s="48">
        <v>10000</v>
      </c>
      <c r="Z190" s="48">
        <f t="shared" si="21"/>
        <v>80.88</v>
      </c>
      <c r="AB190" s="215">
        <v>45064</v>
      </c>
      <c r="AC190" s="48">
        <v>885</v>
      </c>
      <c r="AD190" s="48">
        <v>10000</v>
      </c>
      <c r="AE190" s="48">
        <f t="shared" si="19"/>
        <v>8.85</v>
      </c>
      <c r="AG190" s="215">
        <v>45064</v>
      </c>
      <c r="AH190" s="48">
        <v>8653</v>
      </c>
      <c r="AI190" s="48">
        <v>10000</v>
      </c>
      <c r="AJ190" s="48">
        <f t="shared" si="20"/>
        <v>86.53</v>
      </c>
      <c r="AL190" s="199">
        <v>44949</v>
      </c>
      <c r="AM190" t="s">
        <v>146</v>
      </c>
      <c r="AN190">
        <v>209437</v>
      </c>
      <c r="AP190" s="199">
        <v>44949</v>
      </c>
      <c r="AQ190" t="s">
        <v>146</v>
      </c>
      <c r="AR190">
        <v>18509364</v>
      </c>
      <c r="AT190" s="199">
        <v>44949</v>
      </c>
      <c r="AU190" t="s">
        <v>147</v>
      </c>
      <c r="AV190">
        <v>111</v>
      </c>
    </row>
    <row r="191" spans="1:48" hidden="1" x14ac:dyDescent="0.25">
      <c r="A191" s="113">
        <v>45065</v>
      </c>
      <c r="B191" s="101">
        <v>11018889</v>
      </c>
      <c r="C191" s="101">
        <v>382484</v>
      </c>
      <c r="D191" s="101">
        <v>11401373</v>
      </c>
      <c r="E191" s="101">
        <v>96.64</v>
      </c>
      <c r="F191" s="211">
        <f t="shared" si="18"/>
        <v>11.401373</v>
      </c>
      <c r="H191" s="215">
        <v>45065</v>
      </c>
      <c r="I191" s="104">
        <v>3825926</v>
      </c>
      <c r="J191" s="104">
        <v>298</v>
      </c>
      <c r="K191" s="104">
        <v>3826224</v>
      </c>
      <c r="L191" s="104">
        <v>99.99</v>
      </c>
      <c r="M191" s="71">
        <f t="shared" si="17"/>
        <v>3.8262239999999998</v>
      </c>
      <c r="O191" s="215">
        <v>45065</v>
      </c>
      <c r="P191" s="104">
        <v>79105327</v>
      </c>
      <c r="Q191" s="104">
        <v>32587141</v>
      </c>
      <c r="R191" s="104">
        <v>111692468</v>
      </c>
      <c r="S191" s="104">
        <v>70.819999999999993</v>
      </c>
      <c r="T191" s="212">
        <f t="shared" si="22"/>
        <v>111.69246800000001</v>
      </c>
      <c r="W191" s="215">
        <v>45065</v>
      </c>
      <c r="X191" s="48">
        <v>8491</v>
      </c>
      <c r="Y191" s="48">
        <v>10000</v>
      </c>
      <c r="Z191" s="48">
        <f t="shared" si="21"/>
        <v>84.91</v>
      </c>
      <c r="AB191" s="215">
        <v>45065</v>
      </c>
      <c r="AC191" s="48">
        <v>1229</v>
      </c>
      <c r="AD191" s="48">
        <v>10000</v>
      </c>
      <c r="AE191" s="48">
        <f t="shared" si="19"/>
        <v>12.29</v>
      </c>
      <c r="AG191" s="215">
        <v>45065</v>
      </c>
      <c r="AH191" s="48">
        <v>9130</v>
      </c>
      <c r="AI191" s="48">
        <v>10000</v>
      </c>
      <c r="AJ191" s="48">
        <f t="shared" si="20"/>
        <v>91.3</v>
      </c>
      <c r="AL191" s="199">
        <v>44949</v>
      </c>
      <c r="AM191" t="s">
        <v>148</v>
      </c>
      <c r="AN191">
        <v>33764</v>
      </c>
      <c r="AP191" s="199">
        <v>44949</v>
      </c>
      <c r="AQ191" t="s">
        <v>149</v>
      </c>
      <c r="AR191">
        <v>3052054</v>
      </c>
      <c r="AT191" s="199">
        <v>44949</v>
      </c>
      <c r="AU191" t="s">
        <v>187</v>
      </c>
      <c r="AV191">
        <v>63</v>
      </c>
    </row>
    <row r="192" spans="1:48" hidden="1" x14ac:dyDescent="0.25">
      <c r="A192" s="113">
        <v>45066</v>
      </c>
      <c r="B192" s="101">
        <v>11453214</v>
      </c>
      <c r="C192" s="101">
        <v>407841</v>
      </c>
      <c r="D192" s="101">
        <v>11861055</v>
      </c>
      <c r="E192" s="101">
        <v>96.56</v>
      </c>
      <c r="F192" s="211">
        <f t="shared" si="18"/>
        <v>11.861055</v>
      </c>
      <c r="H192" s="215">
        <v>45066</v>
      </c>
      <c r="I192" s="104">
        <v>6558695</v>
      </c>
      <c r="J192" s="104">
        <v>135</v>
      </c>
      <c r="K192" s="104">
        <v>6558830</v>
      </c>
      <c r="L192" s="104">
        <v>99.99</v>
      </c>
      <c r="M192" s="71">
        <f t="shared" si="17"/>
        <v>6.5588300000000004</v>
      </c>
      <c r="O192" s="215">
        <v>45066</v>
      </c>
      <c r="P192" s="104">
        <v>76665801</v>
      </c>
      <c r="Q192" s="104">
        <v>26866963</v>
      </c>
      <c r="R192" s="104">
        <v>103532764</v>
      </c>
      <c r="S192" s="104">
        <v>74.040000000000006</v>
      </c>
      <c r="T192" s="212">
        <f t="shared" si="22"/>
        <v>103.532764</v>
      </c>
      <c r="W192" s="215">
        <v>45066</v>
      </c>
      <c r="X192" s="48">
        <v>9000</v>
      </c>
      <c r="Y192" s="48">
        <v>10000</v>
      </c>
      <c r="Z192" s="48">
        <f t="shared" si="21"/>
        <v>90</v>
      </c>
      <c r="AB192" s="215">
        <v>45066</v>
      </c>
      <c r="AC192" s="48">
        <v>959</v>
      </c>
      <c r="AD192" s="48">
        <v>10000</v>
      </c>
      <c r="AE192" s="48">
        <f t="shared" si="19"/>
        <v>9.59</v>
      </c>
      <c r="AG192" s="215">
        <v>45066</v>
      </c>
      <c r="AH192" s="48">
        <v>9552</v>
      </c>
      <c r="AI192" s="48">
        <v>10000</v>
      </c>
      <c r="AJ192" s="48">
        <f t="shared" si="20"/>
        <v>95.52</v>
      </c>
      <c r="AL192" s="199">
        <v>44949</v>
      </c>
      <c r="AM192" t="s">
        <v>149</v>
      </c>
      <c r="AN192">
        <v>20425</v>
      </c>
      <c r="AP192" s="199">
        <v>44949</v>
      </c>
      <c r="AQ192" t="s">
        <v>188</v>
      </c>
      <c r="AR192">
        <v>1190953</v>
      </c>
      <c r="AT192" s="199">
        <v>44949</v>
      </c>
      <c r="AU192" t="s">
        <v>155</v>
      </c>
      <c r="AV192">
        <v>40</v>
      </c>
    </row>
    <row r="193" spans="1:48" hidden="1" x14ac:dyDescent="0.25">
      <c r="A193" s="113">
        <v>45067</v>
      </c>
      <c r="B193" s="101">
        <v>11371686</v>
      </c>
      <c r="C193" s="101">
        <v>376256</v>
      </c>
      <c r="D193" s="101">
        <v>11747942</v>
      </c>
      <c r="E193" s="101">
        <v>96.79</v>
      </c>
      <c r="F193" s="211">
        <f t="shared" si="18"/>
        <v>11.747942</v>
      </c>
      <c r="H193" s="215">
        <v>45067</v>
      </c>
      <c r="I193" s="104">
        <v>2267239</v>
      </c>
      <c r="J193" s="104">
        <v>96</v>
      </c>
      <c r="K193" s="104">
        <v>2267335</v>
      </c>
      <c r="L193" s="104">
        <v>100</v>
      </c>
      <c r="M193" s="71">
        <f t="shared" si="17"/>
        <v>2.2673350000000001</v>
      </c>
      <c r="O193" s="215">
        <v>45067</v>
      </c>
      <c r="P193" s="104">
        <v>55470943</v>
      </c>
      <c r="Q193" s="104">
        <v>14307262</v>
      </c>
      <c r="R193" s="104">
        <v>69778205</v>
      </c>
      <c r="S193" s="104">
        <v>79.489999999999995</v>
      </c>
      <c r="T193" s="212">
        <f t="shared" si="22"/>
        <v>69.778205</v>
      </c>
      <c r="W193" s="215">
        <v>45067</v>
      </c>
      <c r="X193" s="48">
        <v>5132</v>
      </c>
      <c r="Y193" s="48">
        <v>10000</v>
      </c>
      <c r="Z193" s="48">
        <f t="shared" si="21"/>
        <v>51.32</v>
      </c>
      <c r="AB193" s="215">
        <v>45067</v>
      </c>
      <c r="AC193" s="48">
        <v>927</v>
      </c>
      <c r="AD193" s="48">
        <v>10000</v>
      </c>
      <c r="AE193" s="48">
        <f t="shared" si="19"/>
        <v>9.27</v>
      </c>
      <c r="AG193" s="215">
        <v>45067</v>
      </c>
      <c r="AH193" s="48">
        <v>5683</v>
      </c>
      <c r="AI193" s="48">
        <v>10000</v>
      </c>
      <c r="AJ193" s="48">
        <f t="shared" si="20"/>
        <v>56.83</v>
      </c>
      <c r="AL193" s="199">
        <v>44949</v>
      </c>
      <c r="AM193" s="70" t="s">
        <v>180</v>
      </c>
      <c r="AN193">
        <v>20050</v>
      </c>
      <c r="AP193" s="199">
        <v>44949</v>
      </c>
      <c r="AQ193" s="70" t="s">
        <v>148</v>
      </c>
      <c r="AR193">
        <v>632089</v>
      </c>
    </row>
    <row r="194" spans="1:48" hidden="1" x14ac:dyDescent="0.25">
      <c r="A194" s="113">
        <v>45068</v>
      </c>
      <c r="B194" s="101">
        <v>11252662</v>
      </c>
      <c r="C194" s="101">
        <v>309678</v>
      </c>
      <c r="D194" s="101">
        <v>11562340</v>
      </c>
      <c r="E194" s="101">
        <v>97.32</v>
      </c>
      <c r="F194" s="211">
        <f t="shared" si="18"/>
        <v>11.562340000000001</v>
      </c>
      <c r="H194" s="215">
        <v>45068</v>
      </c>
      <c r="I194" s="104">
        <v>6421624</v>
      </c>
      <c r="J194" s="104">
        <v>39</v>
      </c>
      <c r="K194" s="104">
        <v>6421663</v>
      </c>
      <c r="L194" s="104">
        <v>100</v>
      </c>
      <c r="M194" s="71">
        <f t="shared" si="17"/>
        <v>6.4216629999999997</v>
      </c>
      <c r="O194" s="215">
        <v>45068</v>
      </c>
      <c r="P194" s="104">
        <v>82218784</v>
      </c>
      <c r="Q194" s="104">
        <v>28379726</v>
      </c>
      <c r="R194" s="104">
        <v>110598510</v>
      </c>
      <c r="S194" s="104">
        <v>74.34</v>
      </c>
      <c r="T194" s="212">
        <f t="shared" si="22"/>
        <v>110.59851</v>
      </c>
      <c r="W194" s="215">
        <v>45068</v>
      </c>
      <c r="X194" s="48">
        <v>9000</v>
      </c>
      <c r="Y194" s="48">
        <v>10000</v>
      </c>
      <c r="Z194" s="48">
        <f t="shared" si="21"/>
        <v>90</v>
      </c>
      <c r="AB194" s="215">
        <v>45068</v>
      </c>
      <c r="AC194" s="48">
        <v>998</v>
      </c>
      <c r="AD194" s="48">
        <v>10000</v>
      </c>
      <c r="AE194" s="48">
        <f t="shared" si="19"/>
        <v>9.98</v>
      </c>
      <c r="AG194" s="215">
        <v>45068</v>
      </c>
      <c r="AH194" s="48">
        <v>9543</v>
      </c>
      <c r="AI194" s="48">
        <v>10000</v>
      </c>
      <c r="AJ194" s="48">
        <f t="shared" si="20"/>
        <v>95.43</v>
      </c>
      <c r="AL194" s="199">
        <v>44949</v>
      </c>
      <c r="AM194" t="s">
        <v>186</v>
      </c>
      <c r="AN194">
        <v>9244</v>
      </c>
      <c r="AP194" s="199">
        <v>44949</v>
      </c>
      <c r="AQ194" t="s">
        <v>185</v>
      </c>
      <c r="AR194">
        <v>567224</v>
      </c>
    </row>
    <row r="195" spans="1:48" hidden="1" x14ac:dyDescent="0.25">
      <c r="A195" s="113">
        <v>45069</v>
      </c>
      <c r="B195" s="101">
        <v>11532583</v>
      </c>
      <c r="C195" s="101">
        <v>429764</v>
      </c>
      <c r="D195" s="101">
        <v>11962347</v>
      </c>
      <c r="E195" s="101">
        <v>96.41</v>
      </c>
      <c r="F195" s="211">
        <f t="shared" si="18"/>
        <v>11.962346999999999</v>
      </c>
      <c r="H195" s="215">
        <v>45069</v>
      </c>
      <c r="I195" s="104">
        <v>6461427</v>
      </c>
      <c r="J195" s="104">
        <v>64</v>
      </c>
      <c r="K195" s="104">
        <v>6461491</v>
      </c>
      <c r="L195" s="104">
        <v>100</v>
      </c>
      <c r="M195" s="71">
        <f t="shared" si="17"/>
        <v>6.4614909999999997</v>
      </c>
      <c r="O195" s="215">
        <v>45069</v>
      </c>
      <c r="P195" s="104">
        <v>80485494</v>
      </c>
      <c r="Q195" s="104">
        <v>33825034</v>
      </c>
      <c r="R195" s="104">
        <v>114310528</v>
      </c>
      <c r="S195" s="104">
        <v>70.41</v>
      </c>
      <c r="T195" s="212">
        <f t="shared" si="22"/>
        <v>114.31052800000001</v>
      </c>
      <c r="W195" s="215">
        <v>45069</v>
      </c>
      <c r="X195" s="48">
        <v>9000</v>
      </c>
      <c r="Y195" s="48">
        <v>10000</v>
      </c>
      <c r="Z195" s="48">
        <f t="shared" si="21"/>
        <v>90</v>
      </c>
      <c r="AB195" s="215">
        <v>45069</v>
      </c>
      <c r="AC195" s="48">
        <v>1537</v>
      </c>
      <c r="AD195" s="48">
        <v>10000</v>
      </c>
      <c r="AE195" s="48">
        <f t="shared" si="19"/>
        <v>15.37</v>
      </c>
      <c r="AG195" s="215">
        <v>45069</v>
      </c>
      <c r="AH195" s="48">
        <v>9936</v>
      </c>
      <c r="AI195" s="48">
        <v>10000</v>
      </c>
      <c r="AJ195" s="48">
        <f t="shared" si="20"/>
        <v>99.36</v>
      </c>
      <c r="AL195" s="199"/>
    </row>
    <row r="196" spans="1:48" hidden="1" x14ac:dyDescent="0.25">
      <c r="A196" s="113">
        <v>45070</v>
      </c>
      <c r="B196" s="101">
        <v>11294444</v>
      </c>
      <c r="C196" s="101">
        <v>443539</v>
      </c>
      <c r="D196" s="101">
        <v>11737983</v>
      </c>
      <c r="E196" s="101">
        <v>96.22</v>
      </c>
      <c r="F196" s="211">
        <f t="shared" si="18"/>
        <v>11.737983</v>
      </c>
      <c r="H196" s="215">
        <v>45070</v>
      </c>
      <c r="I196" s="104">
        <v>6237726</v>
      </c>
      <c r="J196" s="104">
        <v>119</v>
      </c>
      <c r="K196" s="104">
        <v>6237845</v>
      </c>
      <c r="L196" s="104">
        <v>100</v>
      </c>
      <c r="M196" s="71">
        <f t="shared" si="17"/>
        <v>6.2378450000000001</v>
      </c>
      <c r="O196" s="215">
        <v>45070</v>
      </c>
      <c r="P196" s="104">
        <v>73388996</v>
      </c>
      <c r="Q196" s="104">
        <v>30276807</v>
      </c>
      <c r="R196" s="104">
        <v>103665803</v>
      </c>
      <c r="S196" s="104">
        <v>70.790000000000006</v>
      </c>
      <c r="T196" s="212">
        <f t="shared" si="22"/>
        <v>103.665803</v>
      </c>
      <c r="W196" s="215">
        <v>45070</v>
      </c>
      <c r="X196" s="48">
        <v>9000</v>
      </c>
      <c r="Y196" s="48">
        <v>10000</v>
      </c>
      <c r="Z196" s="48">
        <f t="shared" si="21"/>
        <v>90</v>
      </c>
      <c r="AB196" s="215">
        <v>45070</v>
      </c>
      <c r="AC196" s="48">
        <v>980</v>
      </c>
      <c r="AD196" s="48">
        <v>10000</v>
      </c>
      <c r="AE196" s="48">
        <f t="shared" si="19"/>
        <v>9.8000000000000007</v>
      </c>
      <c r="AG196" s="215">
        <v>45070</v>
      </c>
      <c r="AH196" s="48">
        <v>9497</v>
      </c>
      <c r="AI196" s="48">
        <v>10000</v>
      </c>
      <c r="AJ196" s="48">
        <f t="shared" si="20"/>
        <v>94.97</v>
      </c>
    </row>
    <row r="197" spans="1:48" hidden="1" x14ac:dyDescent="0.25">
      <c r="A197" s="113">
        <v>45071</v>
      </c>
      <c r="B197" s="101">
        <v>11377271</v>
      </c>
      <c r="C197" s="101">
        <v>449536</v>
      </c>
      <c r="D197" s="101">
        <v>11826807</v>
      </c>
      <c r="E197" s="101">
        <v>96.2</v>
      </c>
      <c r="F197" s="211">
        <f t="shared" si="18"/>
        <v>11.826807000000001</v>
      </c>
      <c r="H197" s="215">
        <v>45071</v>
      </c>
      <c r="I197" s="104">
        <v>3675503</v>
      </c>
      <c r="J197" s="104">
        <v>90</v>
      </c>
      <c r="K197" s="104">
        <v>3675593</v>
      </c>
      <c r="L197" s="104">
        <v>100</v>
      </c>
      <c r="M197" s="71">
        <f t="shared" si="17"/>
        <v>3.6755930000000001</v>
      </c>
      <c r="O197" s="215">
        <v>45071</v>
      </c>
      <c r="P197" s="104">
        <v>71794713</v>
      </c>
      <c r="Q197" s="104">
        <v>31186374</v>
      </c>
      <c r="R197" s="104">
        <v>102981087</v>
      </c>
      <c r="S197" s="104">
        <v>69.72</v>
      </c>
      <c r="T197" s="212">
        <f t="shared" si="22"/>
        <v>102.981087</v>
      </c>
      <c r="W197" s="215">
        <v>45071</v>
      </c>
      <c r="X197" s="48">
        <v>9000</v>
      </c>
      <c r="Y197" s="48">
        <v>10000</v>
      </c>
      <c r="Z197" s="48">
        <f t="shared" si="21"/>
        <v>90</v>
      </c>
      <c r="AB197" s="215">
        <v>45071</v>
      </c>
      <c r="AC197" s="48">
        <v>952</v>
      </c>
      <c r="AD197" s="48">
        <v>10000</v>
      </c>
      <c r="AE197" s="48">
        <f t="shared" si="19"/>
        <v>9.52</v>
      </c>
      <c r="AG197" s="215">
        <v>45071</v>
      </c>
      <c r="AH197" s="48">
        <v>9513</v>
      </c>
      <c r="AI197" s="48">
        <v>10000</v>
      </c>
      <c r="AJ197" s="48">
        <f t="shared" si="20"/>
        <v>95.13</v>
      </c>
      <c r="AL197" s="199">
        <v>44950</v>
      </c>
      <c r="AM197" t="s">
        <v>146</v>
      </c>
      <c r="AN197">
        <v>212791</v>
      </c>
      <c r="AP197" s="199">
        <v>44950</v>
      </c>
      <c r="AQ197" t="s">
        <v>146</v>
      </c>
      <c r="AR197">
        <v>16627561</v>
      </c>
      <c r="AT197" s="199">
        <v>44950</v>
      </c>
      <c r="AU197" t="s">
        <v>147</v>
      </c>
      <c r="AV197">
        <v>2169</v>
      </c>
    </row>
    <row r="198" spans="1:48" hidden="1" x14ac:dyDescent="0.25">
      <c r="A198" s="113">
        <v>45072</v>
      </c>
      <c r="B198" s="101">
        <v>11176009</v>
      </c>
      <c r="C198" s="101">
        <v>407934</v>
      </c>
      <c r="D198" s="101">
        <v>11583943</v>
      </c>
      <c r="E198" s="101">
        <v>96.47</v>
      </c>
      <c r="F198" s="211">
        <f t="shared" si="18"/>
        <v>11.583943</v>
      </c>
      <c r="H198" s="215">
        <v>45072</v>
      </c>
      <c r="I198" s="104">
        <v>3423609</v>
      </c>
      <c r="J198" s="104">
        <v>774</v>
      </c>
      <c r="K198" s="104">
        <v>3424383</v>
      </c>
      <c r="L198" s="104">
        <v>99.97</v>
      </c>
      <c r="M198" s="71">
        <f t="shared" si="17"/>
        <v>3.4243830000000002</v>
      </c>
      <c r="O198" s="215">
        <v>45072</v>
      </c>
      <c r="P198" s="104">
        <v>77436492</v>
      </c>
      <c r="Q198" s="104">
        <v>35030606</v>
      </c>
      <c r="R198" s="104">
        <v>112467098</v>
      </c>
      <c r="S198" s="104">
        <v>68.849999999999994</v>
      </c>
      <c r="T198" s="212">
        <f t="shared" si="22"/>
        <v>112.46709799999999</v>
      </c>
      <c r="W198" s="215">
        <v>45072</v>
      </c>
      <c r="X198" s="48">
        <v>9000</v>
      </c>
      <c r="Y198" s="48">
        <v>10000</v>
      </c>
      <c r="Z198" s="48">
        <f t="shared" si="21"/>
        <v>90</v>
      </c>
      <c r="AB198" s="215">
        <v>45072</v>
      </c>
      <c r="AC198" s="48">
        <v>1126</v>
      </c>
      <c r="AD198" s="48">
        <v>10000</v>
      </c>
      <c r="AE198" s="48">
        <f t="shared" si="19"/>
        <v>11.26</v>
      </c>
      <c r="AG198" s="215">
        <v>45072</v>
      </c>
      <c r="AH198" s="48">
        <v>9479</v>
      </c>
      <c r="AI198" s="48">
        <v>10000</v>
      </c>
      <c r="AJ198" s="48">
        <f t="shared" si="20"/>
        <v>94.79</v>
      </c>
      <c r="AL198" s="199">
        <v>44950</v>
      </c>
      <c r="AM198" t="s">
        <v>180</v>
      </c>
      <c r="AN198">
        <v>61542</v>
      </c>
      <c r="AP198" s="199">
        <v>44950</v>
      </c>
      <c r="AQ198" t="s">
        <v>149</v>
      </c>
      <c r="AR198">
        <v>3275100</v>
      </c>
      <c r="AT198" s="199">
        <v>44950</v>
      </c>
      <c r="AU198" t="s">
        <v>187</v>
      </c>
      <c r="AV198">
        <v>94</v>
      </c>
    </row>
    <row r="199" spans="1:48" hidden="1" x14ac:dyDescent="0.25">
      <c r="A199" s="113">
        <v>45073</v>
      </c>
      <c r="B199" s="101">
        <v>10874218</v>
      </c>
      <c r="C199" s="101">
        <v>430633</v>
      </c>
      <c r="D199" s="101">
        <v>11304851</v>
      </c>
      <c r="E199" s="101">
        <v>96.19</v>
      </c>
      <c r="F199" s="211">
        <f t="shared" si="18"/>
        <v>11.304850999999999</v>
      </c>
      <c r="H199" s="215">
        <v>45073</v>
      </c>
      <c r="I199" s="104">
        <v>6524234</v>
      </c>
      <c r="J199" s="104">
        <v>33</v>
      </c>
      <c r="K199" s="104">
        <v>6524267</v>
      </c>
      <c r="L199" s="104">
        <v>99.99</v>
      </c>
      <c r="M199" s="71">
        <f t="shared" ref="M199:M262" si="23">K199/1000000</f>
        <v>6.524267</v>
      </c>
      <c r="O199" s="215">
        <v>45073</v>
      </c>
      <c r="P199" s="104">
        <v>87504330</v>
      </c>
      <c r="Q199" s="104">
        <v>37755529</v>
      </c>
      <c r="R199" s="104">
        <v>125259859</v>
      </c>
      <c r="S199" s="104">
        <v>69.849999999999994</v>
      </c>
      <c r="T199" s="212">
        <f t="shared" si="22"/>
        <v>125.25985900000001</v>
      </c>
      <c r="W199" s="215">
        <v>45073</v>
      </c>
      <c r="X199" s="48">
        <v>9000</v>
      </c>
      <c r="Y199" s="48">
        <v>10000</v>
      </c>
      <c r="Z199" s="48">
        <f t="shared" si="21"/>
        <v>90</v>
      </c>
      <c r="AB199" s="215">
        <v>45073</v>
      </c>
      <c r="AC199" s="48">
        <v>982</v>
      </c>
      <c r="AD199" s="48">
        <v>10000</v>
      </c>
      <c r="AE199" s="48">
        <f t="shared" si="19"/>
        <v>9.82</v>
      </c>
      <c r="AG199" s="215">
        <v>45073</v>
      </c>
      <c r="AH199" s="48">
        <v>9595</v>
      </c>
      <c r="AI199" s="48">
        <v>10000</v>
      </c>
      <c r="AJ199" s="48">
        <f t="shared" si="20"/>
        <v>95.95</v>
      </c>
      <c r="AL199" s="199">
        <v>44950</v>
      </c>
      <c r="AM199" t="s">
        <v>172</v>
      </c>
      <c r="AN199">
        <v>36653</v>
      </c>
      <c r="AP199" s="199">
        <v>44950</v>
      </c>
      <c r="AQ199" t="s">
        <v>180</v>
      </c>
      <c r="AR199">
        <v>1051407</v>
      </c>
      <c r="AT199" s="199">
        <v>44950</v>
      </c>
      <c r="AU199" t="s">
        <v>155</v>
      </c>
      <c r="AV199">
        <v>24</v>
      </c>
    </row>
    <row r="200" spans="1:48" hidden="1" x14ac:dyDescent="0.25">
      <c r="A200" s="113">
        <v>45074</v>
      </c>
      <c r="B200" s="101">
        <v>10860669</v>
      </c>
      <c r="C200" s="101">
        <v>386794</v>
      </c>
      <c r="D200" s="101">
        <v>11247463</v>
      </c>
      <c r="E200" s="101">
        <v>96.56</v>
      </c>
      <c r="F200" s="211">
        <f t="shared" si="18"/>
        <v>11.247463</v>
      </c>
      <c r="H200" s="215">
        <v>45074</v>
      </c>
      <c r="I200" s="104">
        <v>3493582</v>
      </c>
      <c r="J200" s="104">
        <v>146</v>
      </c>
      <c r="K200" s="104">
        <v>3493728</v>
      </c>
      <c r="L200" s="104">
        <v>99.99</v>
      </c>
      <c r="M200" s="71">
        <f t="shared" si="23"/>
        <v>3.4937279999999999</v>
      </c>
      <c r="O200" s="215">
        <v>45074</v>
      </c>
      <c r="P200" s="104">
        <v>66797364</v>
      </c>
      <c r="Q200" s="104">
        <v>22634335</v>
      </c>
      <c r="R200" s="104">
        <v>89431699</v>
      </c>
      <c r="S200" s="104">
        <v>74.69</v>
      </c>
      <c r="T200" s="212">
        <f t="shared" si="22"/>
        <v>89.431698999999995</v>
      </c>
      <c r="W200" s="215">
        <v>45074</v>
      </c>
      <c r="X200" s="48">
        <v>5862</v>
      </c>
      <c r="Y200" s="48">
        <v>10000</v>
      </c>
      <c r="Z200" s="48">
        <f t="shared" si="21"/>
        <v>58.62</v>
      </c>
      <c r="AB200" s="215">
        <v>45074</v>
      </c>
      <c r="AC200" s="48">
        <v>907</v>
      </c>
      <c r="AD200" s="48">
        <v>10000</v>
      </c>
      <c r="AE200" s="48">
        <f t="shared" si="19"/>
        <v>9.07</v>
      </c>
      <c r="AG200" s="215">
        <v>45074</v>
      </c>
      <c r="AH200" s="48">
        <v>6398</v>
      </c>
      <c r="AI200" s="48">
        <v>10000</v>
      </c>
      <c r="AJ200" s="48">
        <f t="shared" si="20"/>
        <v>63.98</v>
      </c>
      <c r="AL200" s="199">
        <v>44950</v>
      </c>
      <c r="AM200" t="s">
        <v>148</v>
      </c>
      <c r="AN200">
        <v>30398</v>
      </c>
      <c r="AP200" s="199">
        <v>44950</v>
      </c>
      <c r="AQ200" t="s">
        <v>185</v>
      </c>
      <c r="AR200">
        <v>654834</v>
      </c>
    </row>
    <row r="201" spans="1:48" hidden="1" x14ac:dyDescent="0.25">
      <c r="A201" s="113">
        <v>45075</v>
      </c>
      <c r="B201" s="101">
        <v>10813082</v>
      </c>
      <c r="C201" s="101">
        <v>321082</v>
      </c>
      <c r="D201" s="101">
        <v>11134164</v>
      </c>
      <c r="E201" s="101">
        <v>97.11</v>
      </c>
      <c r="F201" s="211">
        <f t="shared" ref="F201:F264" si="24">D201/1000000</f>
        <v>11.134164</v>
      </c>
      <c r="H201" s="215">
        <v>45075</v>
      </c>
      <c r="I201" s="104">
        <v>6332595</v>
      </c>
      <c r="J201" s="104">
        <v>2239</v>
      </c>
      <c r="K201" s="104">
        <v>6334834</v>
      </c>
      <c r="L201" s="104">
        <v>99.96</v>
      </c>
      <c r="M201" s="71">
        <f t="shared" si="23"/>
        <v>6.3348339999999999</v>
      </c>
      <c r="O201" s="215">
        <v>45075</v>
      </c>
      <c r="P201" s="104">
        <v>76625746</v>
      </c>
      <c r="Q201" s="104">
        <v>29981130</v>
      </c>
      <c r="R201" s="104">
        <v>106606876</v>
      </c>
      <c r="S201" s="104">
        <v>71.87</v>
      </c>
      <c r="T201" s="212">
        <f t="shared" si="22"/>
        <v>106.606876</v>
      </c>
      <c r="W201" s="215">
        <v>45075</v>
      </c>
      <c r="X201" s="48">
        <v>9000</v>
      </c>
      <c r="Y201" s="48">
        <v>10000</v>
      </c>
      <c r="Z201" s="48">
        <f t="shared" si="21"/>
        <v>90</v>
      </c>
      <c r="AB201" s="215">
        <v>45075</v>
      </c>
      <c r="AC201" s="48">
        <v>1101</v>
      </c>
      <c r="AD201" s="48">
        <v>10000</v>
      </c>
      <c r="AE201" s="48">
        <f t="shared" si="19"/>
        <v>11.01</v>
      </c>
      <c r="AG201" s="215">
        <v>45075</v>
      </c>
      <c r="AH201" s="48">
        <v>9456</v>
      </c>
      <c r="AI201" s="48">
        <v>10000</v>
      </c>
      <c r="AJ201" s="48">
        <f t="shared" si="20"/>
        <v>94.56</v>
      </c>
      <c r="AL201" s="199">
        <v>44950</v>
      </c>
      <c r="AM201" t="s">
        <v>186</v>
      </c>
      <c r="AN201">
        <v>20517</v>
      </c>
      <c r="AP201" s="199">
        <v>44950</v>
      </c>
      <c r="AQ201" t="s">
        <v>148</v>
      </c>
      <c r="AR201">
        <v>484307</v>
      </c>
    </row>
    <row r="202" spans="1:48" hidden="1" x14ac:dyDescent="0.25">
      <c r="A202" s="113">
        <v>45076</v>
      </c>
      <c r="B202" s="101">
        <v>11047624</v>
      </c>
      <c r="C202" s="101">
        <v>362709</v>
      </c>
      <c r="D202" s="101">
        <v>11410333</v>
      </c>
      <c r="E202" s="101">
        <v>96.82</v>
      </c>
      <c r="F202" s="211">
        <f t="shared" si="24"/>
        <v>11.410333</v>
      </c>
      <c r="H202" s="215">
        <v>45076</v>
      </c>
      <c r="I202" s="104">
        <v>6456104</v>
      </c>
      <c r="J202" s="104">
        <v>15098</v>
      </c>
      <c r="K202" s="104">
        <v>6471202</v>
      </c>
      <c r="L202" s="104">
        <v>99.77</v>
      </c>
      <c r="M202" s="71">
        <f t="shared" si="23"/>
        <v>6.4712019999999999</v>
      </c>
      <c r="O202" s="215">
        <v>45076</v>
      </c>
      <c r="P202" s="104">
        <v>77466675</v>
      </c>
      <c r="Q202" s="104">
        <v>33076419</v>
      </c>
      <c r="R202" s="104">
        <v>110543094</v>
      </c>
      <c r="S202" s="104">
        <v>70.08</v>
      </c>
      <c r="T202" s="212">
        <f t="shared" si="22"/>
        <v>110.543094</v>
      </c>
      <c r="W202" s="215">
        <v>45076</v>
      </c>
      <c r="X202" s="48">
        <v>9000</v>
      </c>
      <c r="Y202" s="48">
        <v>10000</v>
      </c>
      <c r="Z202" s="48">
        <f t="shared" si="21"/>
        <v>90</v>
      </c>
      <c r="AB202" s="215">
        <v>45076</v>
      </c>
      <c r="AC202" s="48">
        <v>1060</v>
      </c>
      <c r="AD202" s="48">
        <v>10000</v>
      </c>
      <c r="AE202" s="48">
        <f t="shared" si="19"/>
        <v>10.6</v>
      </c>
      <c r="AG202" s="215">
        <v>45076</v>
      </c>
      <c r="AH202" s="48">
        <v>9440</v>
      </c>
      <c r="AI202" s="48">
        <v>10000</v>
      </c>
      <c r="AJ202" s="48">
        <f t="shared" si="20"/>
        <v>94.4</v>
      </c>
    </row>
    <row r="203" spans="1:48" hidden="1" x14ac:dyDescent="0.25">
      <c r="A203" s="113">
        <v>45077</v>
      </c>
      <c r="B203" s="101">
        <v>10717311</v>
      </c>
      <c r="C203" s="101">
        <v>431434</v>
      </c>
      <c r="D203" s="101">
        <v>11148745</v>
      </c>
      <c r="E203" s="101">
        <v>96.13</v>
      </c>
      <c r="F203" s="211">
        <f t="shared" si="24"/>
        <v>11.148745</v>
      </c>
      <c r="H203" s="215">
        <v>45077</v>
      </c>
      <c r="I203" s="104">
        <v>5687406</v>
      </c>
      <c r="J203" s="104">
        <v>663</v>
      </c>
      <c r="K203" s="104">
        <v>5688069</v>
      </c>
      <c r="L203" s="104">
        <v>99.99</v>
      </c>
      <c r="M203" s="71">
        <f t="shared" si="23"/>
        <v>5.6880689999999996</v>
      </c>
      <c r="O203" s="215">
        <v>45077</v>
      </c>
      <c r="P203" s="104">
        <v>74609239</v>
      </c>
      <c r="Q203" s="104">
        <v>26741076</v>
      </c>
      <c r="R203" s="104">
        <v>101350315</v>
      </c>
      <c r="S203" s="104">
        <v>73.62</v>
      </c>
      <c r="T203" s="212">
        <f t="shared" si="22"/>
        <v>101.35031499999999</v>
      </c>
      <c r="W203" s="215">
        <v>45077</v>
      </c>
      <c r="X203" s="48">
        <v>9000</v>
      </c>
      <c r="Y203" s="48">
        <v>10000</v>
      </c>
      <c r="Z203" s="48">
        <f t="shared" si="21"/>
        <v>90</v>
      </c>
      <c r="AB203" s="215">
        <v>45077</v>
      </c>
      <c r="AC203" s="48">
        <v>1821</v>
      </c>
      <c r="AD203" s="48">
        <v>10000</v>
      </c>
      <c r="AE203" s="48">
        <f t="shared" ref="AE203:AE266" si="25">AC203/AD203%</f>
        <v>18.21</v>
      </c>
      <c r="AG203" s="215">
        <v>45077</v>
      </c>
      <c r="AH203" s="48">
        <v>10000</v>
      </c>
      <c r="AI203" s="48">
        <v>10000</v>
      </c>
      <c r="AJ203" s="48">
        <f t="shared" si="20"/>
        <v>100</v>
      </c>
      <c r="AL203" s="199">
        <v>44951</v>
      </c>
      <c r="AM203" t="s">
        <v>148</v>
      </c>
      <c r="AN203">
        <v>30691</v>
      </c>
      <c r="AP203" s="199">
        <v>44951</v>
      </c>
      <c r="AQ203" t="s">
        <v>146</v>
      </c>
      <c r="AR203">
        <v>23645611</v>
      </c>
      <c r="AT203" s="199">
        <v>44951</v>
      </c>
      <c r="AU203" t="s">
        <v>147</v>
      </c>
      <c r="AV203">
        <v>199</v>
      </c>
    </row>
    <row r="204" spans="1:48" hidden="1" x14ac:dyDescent="0.25">
      <c r="A204" s="113">
        <v>45078</v>
      </c>
      <c r="B204" s="101">
        <v>10301655</v>
      </c>
      <c r="C204" s="101">
        <v>837937</v>
      </c>
      <c r="D204" s="101">
        <v>11139592</v>
      </c>
      <c r="E204" s="101">
        <v>92.48</v>
      </c>
      <c r="F204" s="211">
        <f t="shared" si="24"/>
        <v>11.139592</v>
      </c>
      <c r="H204" s="215">
        <v>45078</v>
      </c>
      <c r="I204" s="104">
        <v>2028500</v>
      </c>
      <c r="J204" s="104">
        <v>96</v>
      </c>
      <c r="K204" s="104">
        <v>2028596</v>
      </c>
      <c r="L204" s="104">
        <v>100</v>
      </c>
      <c r="M204" s="71">
        <f t="shared" si="23"/>
        <v>2.0285959999999998</v>
      </c>
      <c r="O204" s="215">
        <v>45078</v>
      </c>
      <c r="P204" s="104">
        <v>67931259</v>
      </c>
      <c r="Q204" s="104">
        <v>21791576</v>
      </c>
      <c r="R204" s="104">
        <v>89722835</v>
      </c>
      <c r="S204" s="104">
        <v>75.709999999999994</v>
      </c>
      <c r="T204" s="212">
        <f t="shared" si="22"/>
        <v>89.722835000000003</v>
      </c>
      <c r="W204" s="215">
        <v>45078</v>
      </c>
      <c r="X204" s="48">
        <v>6240</v>
      </c>
      <c r="Y204" s="48">
        <v>10000</v>
      </c>
      <c r="Z204" s="48">
        <f t="shared" si="21"/>
        <v>62.4</v>
      </c>
      <c r="AB204" s="215">
        <v>45078</v>
      </c>
      <c r="AC204" s="48">
        <v>973</v>
      </c>
      <c r="AD204" s="48">
        <v>10000</v>
      </c>
      <c r="AE204" s="48">
        <f t="shared" si="25"/>
        <v>9.73</v>
      </c>
      <c r="AG204" s="215">
        <v>45078</v>
      </c>
      <c r="AH204" s="48">
        <v>6743</v>
      </c>
      <c r="AI204" s="48">
        <v>10000</v>
      </c>
      <c r="AJ204" s="48">
        <f t="shared" si="20"/>
        <v>67.430000000000007</v>
      </c>
      <c r="AL204" s="199">
        <v>44951</v>
      </c>
      <c r="AM204" t="s">
        <v>186</v>
      </c>
      <c r="AN204">
        <v>19153</v>
      </c>
      <c r="AP204" s="199">
        <v>44951</v>
      </c>
      <c r="AQ204" t="s">
        <v>149</v>
      </c>
      <c r="AR204">
        <v>4572534</v>
      </c>
    </row>
    <row r="205" spans="1:48" hidden="1" x14ac:dyDescent="0.25">
      <c r="A205" s="113">
        <v>45079</v>
      </c>
      <c r="B205" s="101">
        <v>9673026</v>
      </c>
      <c r="C205" s="101">
        <v>527283</v>
      </c>
      <c r="D205" s="101">
        <v>10200309</v>
      </c>
      <c r="E205" s="101">
        <v>94.83</v>
      </c>
      <c r="F205" s="211">
        <f t="shared" si="24"/>
        <v>10.200309000000001</v>
      </c>
      <c r="H205" s="215">
        <v>45079</v>
      </c>
      <c r="I205" s="104">
        <v>2362166</v>
      </c>
      <c r="J205" s="104">
        <v>43</v>
      </c>
      <c r="K205" s="104">
        <v>2362209</v>
      </c>
      <c r="L205" s="104">
        <v>99.99</v>
      </c>
      <c r="M205" s="71">
        <f t="shared" si="23"/>
        <v>2.362209</v>
      </c>
      <c r="O205" s="215">
        <v>45079</v>
      </c>
      <c r="P205" s="104">
        <v>65946234</v>
      </c>
      <c r="Q205" s="104">
        <v>25940538</v>
      </c>
      <c r="R205" s="104">
        <v>91886772</v>
      </c>
      <c r="S205" s="104">
        <v>71.760000000000005</v>
      </c>
      <c r="T205" s="212">
        <f t="shared" si="22"/>
        <v>91.886771999999993</v>
      </c>
      <c r="W205" s="215">
        <v>45079</v>
      </c>
      <c r="X205" s="48">
        <v>7434</v>
      </c>
      <c r="Y205" s="48">
        <v>10000</v>
      </c>
      <c r="Z205" s="48">
        <f t="shared" si="21"/>
        <v>74.34</v>
      </c>
      <c r="AB205" s="215">
        <v>45079</v>
      </c>
      <c r="AC205" s="48">
        <v>1025</v>
      </c>
      <c r="AD205" s="48">
        <v>10000</v>
      </c>
      <c r="AE205" s="48">
        <f t="shared" si="25"/>
        <v>10.25</v>
      </c>
      <c r="AG205" s="215">
        <v>45079</v>
      </c>
      <c r="AH205" s="48">
        <v>8196</v>
      </c>
      <c r="AI205" s="48">
        <v>10000</v>
      </c>
      <c r="AJ205" s="48">
        <f t="shared" si="20"/>
        <v>81.96</v>
      </c>
      <c r="AL205" s="199">
        <v>44951</v>
      </c>
      <c r="AM205" t="s">
        <v>151</v>
      </c>
      <c r="AN205">
        <v>12531</v>
      </c>
      <c r="AP205" s="199">
        <v>44951</v>
      </c>
      <c r="AQ205" t="s">
        <v>180</v>
      </c>
      <c r="AR205">
        <v>1192788</v>
      </c>
    </row>
    <row r="206" spans="1:48" hidden="1" x14ac:dyDescent="0.25">
      <c r="A206" s="113">
        <v>45080</v>
      </c>
      <c r="B206" s="101">
        <v>9254535</v>
      </c>
      <c r="C206" s="101">
        <v>858921</v>
      </c>
      <c r="D206" s="101">
        <v>10113456</v>
      </c>
      <c r="E206" s="101">
        <v>91.5</v>
      </c>
      <c r="F206" s="211">
        <f t="shared" si="24"/>
        <v>10.113455999999999</v>
      </c>
      <c r="H206" s="215">
        <v>45080</v>
      </c>
      <c r="I206" s="104">
        <v>6472909</v>
      </c>
      <c r="J206" s="104">
        <v>160</v>
      </c>
      <c r="K206" s="104">
        <v>6473069</v>
      </c>
      <c r="L206" s="104">
        <v>99.99</v>
      </c>
      <c r="M206" s="71">
        <f t="shared" si="23"/>
        <v>6.4730689999999997</v>
      </c>
      <c r="O206" s="215">
        <v>45080</v>
      </c>
      <c r="P206" s="104">
        <v>79137185</v>
      </c>
      <c r="Q206" s="104">
        <v>29666750</v>
      </c>
      <c r="R206" s="104">
        <v>108803935</v>
      </c>
      <c r="S206" s="104">
        <v>72.73</v>
      </c>
      <c r="T206" s="212">
        <f t="shared" si="22"/>
        <v>108.803935</v>
      </c>
      <c r="W206" s="215">
        <v>45080</v>
      </c>
      <c r="X206" s="48">
        <v>9000</v>
      </c>
      <c r="Y206" s="48">
        <v>10000</v>
      </c>
      <c r="Z206" s="48">
        <f t="shared" si="21"/>
        <v>90</v>
      </c>
      <c r="AB206" s="215">
        <v>45080</v>
      </c>
      <c r="AC206" s="48">
        <v>2224</v>
      </c>
      <c r="AD206" s="48">
        <v>10000</v>
      </c>
      <c r="AE206" s="48">
        <f t="shared" si="25"/>
        <v>22.24</v>
      </c>
      <c r="AG206" s="215">
        <v>45080</v>
      </c>
      <c r="AH206" s="48">
        <v>10000</v>
      </c>
      <c r="AI206" s="48">
        <v>10000</v>
      </c>
      <c r="AJ206" s="48">
        <f t="shared" si="20"/>
        <v>100</v>
      </c>
      <c r="AL206" s="199">
        <v>44951</v>
      </c>
      <c r="AM206" t="s">
        <v>146</v>
      </c>
      <c r="AN206">
        <v>10508</v>
      </c>
      <c r="AP206" s="199">
        <v>44951</v>
      </c>
      <c r="AQ206" t="s">
        <v>169</v>
      </c>
      <c r="AR206">
        <v>777664</v>
      </c>
    </row>
    <row r="207" spans="1:48" hidden="1" x14ac:dyDescent="0.25">
      <c r="A207" s="113">
        <v>45081</v>
      </c>
      <c r="B207" s="101">
        <v>11815521</v>
      </c>
      <c r="C207" s="101">
        <v>661401</v>
      </c>
      <c r="D207" s="101">
        <v>12476922</v>
      </c>
      <c r="E207" s="101">
        <v>94.69</v>
      </c>
      <c r="F207" s="211">
        <f t="shared" si="24"/>
        <v>12.476922</v>
      </c>
      <c r="H207" s="215">
        <v>45081</v>
      </c>
      <c r="I207" s="104">
        <v>2288440</v>
      </c>
      <c r="J207" s="104">
        <v>117</v>
      </c>
      <c r="K207" s="104">
        <v>2288557</v>
      </c>
      <c r="L207" s="104">
        <v>99.99</v>
      </c>
      <c r="M207" s="71">
        <f t="shared" si="23"/>
        <v>2.288557</v>
      </c>
      <c r="O207" s="215">
        <v>45081</v>
      </c>
      <c r="P207" s="104">
        <v>63786260</v>
      </c>
      <c r="Q207" s="104">
        <v>20951893</v>
      </c>
      <c r="R207" s="104">
        <v>84738153</v>
      </c>
      <c r="S207" s="104">
        <v>75.27</v>
      </c>
      <c r="T207" s="212">
        <f t="shared" si="22"/>
        <v>84.738152999999997</v>
      </c>
      <c r="W207" s="215">
        <v>45081</v>
      </c>
      <c r="X207" s="48">
        <v>5211</v>
      </c>
      <c r="Y207" s="48">
        <v>10000</v>
      </c>
      <c r="Z207" s="48">
        <f t="shared" si="21"/>
        <v>52.11</v>
      </c>
      <c r="AB207" s="215">
        <v>45081</v>
      </c>
      <c r="AC207" s="48">
        <v>925</v>
      </c>
      <c r="AD207" s="48">
        <v>10000</v>
      </c>
      <c r="AE207" s="48">
        <f t="shared" si="25"/>
        <v>9.25</v>
      </c>
      <c r="AG207" s="215">
        <v>45081</v>
      </c>
      <c r="AH207" s="48">
        <v>5767</v>
      </c>
      <c r="AI207" s="48">
        <v>10000</v>
      </c>
      <c r="AJ207" s="48">
        <f t="shared" si="20"/>
        <v>57.67</v>
      </c>
      <c r="AL207" s="199">
        <v>44951</v>
      </c>
      <c r="AM207" t="s">
        <v>172</v>
      </c>
      <c r="AN207">
        <v>9390</v>
      </c>
      <c r="AP207" s="199">
        <v>44951</v>
      </c>
      <c r="AQ207" t="s">
        <v>148</v>
      </c>
      <c r="AR207">
        <v>674919</v>
      </c>
    </row>
    <row r="208" spans="1:48" hidden="1" x14ac:dyDescent="0.25">
      <c r="A208" s="113">
        <v>45082</v>
      </c>
      <c r="B208" s="101">
        <v>11047243</v>
      </c>
      <c r="C208" s="101">
        <v>383668</v>
      </c>
      <c r="D208" s="101">
        <v>11430911</v>
      </c>
      <c r="E208" s="101">
        <v>96.64</v>
      </c>
      <c r="F208" s="211">
        <f t="shared" si="24"/>
        <v>11.430911</v>
      </c>
      <c r="H208" s="215">
        <v>45082</v>
      </c>
      <c r="I208" s="104">
        <v>6276594</v>
      </c>
      <c r="J208" s="104">
        <v>248</v>
      </c>
      <c r="K208" s="104">
        <v>6276842</v>
      </c>
      <c r="L208" s="104">
        <v>100</v>
      </c>
      <c r="M208" s="71">
        <f t="shared" si="23"/>
        <v>6.2768420000000003</v>
      </c>
      <c r="O208" s="215">
        <v>45082</v>
      </c>
      <c r="P208" s="104">
        <v>83390179</v>
      </c>
      <c r="Q208" s="104">
        <v>31581102</v>
      </c>
      <c r="R208" s="104">
        <v>114971281</v>
      </c>
      <c r="S208" s="104">
        <v>72.53</v>
      </c>
      <c r="T208" s="212">
        <f t="shared" si="22"/>
        <v>114.971281</v>
      </c>
      <c r="W208" s="215">
        <v>45082</v>
      </c>
      <c r="X208" s="48">
        <v>9000</v>
      </c>
      <c r="Y208" s="48">
        <v>10000</v>
      </c>
      <c r="Z208" s="48">
        <f t="shared" si="21"/>
        <v>90</v>
      </c>
      <c r="AB208" s="215">
        <v>45082</v>
      </c>
      <c r="AC208" s="48">
        <v>1001</v>
      </c>
      <c r="AD208" s="48">
        <v>10000</v>
      </c>
      <c r="AE208" s="48">
        <f t="shared" si="25"/>
        <v>10.01</v>
      </c>
      <c r="AG208" s="215">
        <v>45082</v>
      </c>
      <c r="AH208" s="48">
        <v>9503</v>
      </c>
      <c r="AI208" s="48">
        <v>10000</v>
      </c>
      <c r="AJ208" s="48">
        <f t="shared" si="20"/>
        <v>95.03</v>
      </c>
      <c r="AL208" s="140">
        <v>44984</v>
      </c>
      <c r="AM208" t="s">
        <v>146</v>
      </c>
      <c r="AN208">
        <v>167754</v>
      </c>
      <c r="AP208" s="140">
        <v>44984</v>
      </c>
      <c r="AQ208" t="s">
        <v>146</v>
      </c>
      <c r="AR208">
        <v>25174217</v>
      </c>
      <c r="AT208" s="140">
        <v>44984</v>
      </c>
      <c r="AU208" t="s">
        <v>147</v>
      </c>
      <c r="AV208">
        <v>777</v>
      </c>
    </row>
    <row r="209" spans="1:48" hidden="1" x14ac:dyDescent="0.25">
      <c r="A209" s="113">
        <v>45083</v>
      </c>
      <c r="B209" s="101">
        <v>10899988</v>
      </c>
      <c r="C209" s="101">
        <v>471044</v>
      </c>
      <c r="D209" s="101">
        <v>11371032</v>
      </c>
      <c r="E209" s="101">
        <v>95.86</v>
      </c>
      <c r="F209" s="211">
        <f t="shared" si="24"/>
        <v>11.371032</v>
      </c>
      <c r="H209" s="215">
        <v>45083</v>
      </c>
      <c r="I209" s="104">
        <v>4463894</v>
      </c>
      <c r="J209" s="104">
        <v>107</v>
      </c>
      <c r="K209" s="104">
        <v>4464001</v>
      </c>
      <c r="L209" s="104">
        <v>100</v>
      </c>
      <c r="M209" s="71">
        <f t="shared" si="23"/>
        <v>4.4640009999999997</v>
      </c>
      <c r="O209" s="215">
        <v>45083</v>
      </c>
      <c r="P209" s="104">
        <v>72881902</v>
      </c>
      <c r="Q209" s="104">
        <v>28706246</v>
      </c>
      <c r="R209" s="104">
        <v>101588148</v>
      </c>
      <c r="S209" s="104">
        <v>71.739999999999995</v>
      </c>
      <c r="T209" s="212">
        <f t="shared" si="22"/>
        <v>101.588148</v>
      </c>
      <c r="W209" s="215">
        <v>45083</v>
      </c>
      <c r="X209" s="48">
        <v>9000</v>
      </c>
      <c r="Y209" s="48">
        <v>10000</v>
      </c>
      <c r="Z209" s="48">
        <f t="shared" si="21"/>
        <v>90</v>
      </c>
      <c r="AB209" s="215">
        <v>45083</v>
      </c>
      <c r="AC209" s="48">
        <v>1069</v>
      </c>
      <c r="AD209" s="48">
        <v>10000</v>
      </c>
      <c r="AE209" s="48">
        <f t="shared" si="25"/>
        <v>10.69</v>
      </c>
      <c r="AG209" s="215">
        <v>45083</v>
      </c>
      <c r="AH209" s="48">
        <v>9571</v>
      </c>
      <c r="AI209" s="48">
        <v>10000</v>
      </c>
      <c r="AJ209" s="48">
        <f t="shared" si="20"/>
        <v>95.71</v>
      </c>
      <c r="AL209" s="140">
        <v>44984</v>
      </c>
      <c r="AM209" t="s">
        <v>148</v>
      </c>
      <c r="AN209">
        <v>28443</v>
      </c>
      <c r="AP209" s="140">
        <v>44984</v>
      </c>
      <c r="AQ209" t="s">
        <v>149</v>
      </c>
      <c r="AR209">
        <v>4270169</v>
      </c>
      <c r="AT209" s="140">
        <v>44984</v>
      </c>
      <c r="AU209" t="s">
        <v>155</v>
      </c>
      <c r="AV209">
        <v>376</v>
      </c>
    </row>
    <row r="210" spans="1:48" hidden="1" x14ac:dyDescent="0.25">
      <c r="A210" s="113">
        <v>45084</v>
      </c>
      <c r="B210" s="101">
        <v>10667766</v>
      </c>
      <c r="C210" s="101">
        <v>474169</v>
      </c>
      <c r="D210" s="101">
        <v>11141935</v>
      </c>
      <c r="E210" s="101">
        <v>95.74</v>
      </c>
      <c r="F210" s="211">
        <f t="shared" si="24"/>
        <v>11.141935</v>
      </c>
      <c r="H210" s="215">
        <v>45084</v>
      </c>
      <c r="I210" s="104">
        <v>3677292</v>
      </c>
      <c r="J210" s="104">
        <v>128</v>
      </c>
      <c r="K210" s="104">
        <v>3677420</v>
      </c>
      <c r="L210" s="104">
        <v>100</v>
      </c>
      <c r="M210" s="71">
        <f t="shared" si="23"/>
        <v>3.6774200000000001</v>
      </c>
      <c r="O210" s="215">
        <v>45084</v>
      </c>
      <c r="P210" s="104">
        <v>75829607</v>
      </c>
      <c r="Q210" s="104">
        <v>33075462</v>
      </c>
      <c r="R210" s="104">
        <v>108905069</v>
      </c>
      <c r="S210" s="104">
        <v>69.63</v>
      </c>
      <c r="T210" s="212">
        <f t="shared" si="22"/>
        <v>108.905069</v>
      </c>
      <c r="W210" s="215">
        <v>45084</v>
      </c>
      <c r="X210" s="48">
        <v>9000</v>
      </c>
      <c r="Y210" s="48">
        <v>10000</v>
      </c>
      <c r="Z210" s="48">
        <f t="shared" si="21"/>
        <v>90</v>
      </c>
      <c r="AB210" s="215">
        <v>45084</v>
      </c>
      <c r="AC210" s="48">
        <v>935</v>
      </c>
      <c r="AD210" s="48">
        <v>10000</v>
      </c>
      <c r="AE210" s="48">
        <f t="shared" si="25"/>
        <v>9.35</v>
      </c>
      <c r="AG210" s="215">
        <v>45084</v>
      </c>
      <c r="AH210" s="48">
        <v>9635</v>
      </c>
      <c r="AI210" s="48">
        <v>10000</v>
      </c>
      <c r="AJ210" s="48">
        <f t="shared" si="20"/>
        <v>96.35</v>
      </c>
      <c r="AL210" s="140">
        <v>44984</v>
      </c>
      <c r="AM210" t="s">
        <v>149</v>
      </c>
      <c r="AN210">
        <v>19907</v>
      </c>
      <c r="AP210" s="140">
        <v>44984</v>
      </c>
      <c r="AQ210" t="s">
        <v>180</v>
      </c>
      <c r="AR210">
        <v>1351415</v>
      </c>
      <c r="AT210" s="140"/>
    </row>
    <row r="211" spans="1:48" hidden="1" x14ac:dyDescent="0.25">
      <c r="A211" s="113">
        <v>45085</v>
      </c>
      <c r="B211" s="101">
        <v>10688871</v>
      </c>
      <c r="C211" s="101">
        <v>485909</v>
      </c>
      <c r="D211" s="101">
        <v>11174780</v>
      </c>
      <c r="E211" s="101">
        <v>95.65</v>
      </c>
      <c r="F211" s="211">
        <f t="shared" si="24"/>
        <v>11.17478</v>
      </c>
      <c r="H211" s="215">
        <v>45085</v>
      </c>
      <c r="I211" s="104">
        <v>3202607</v>
      </c>
      <c r="J211" s="104">
        <v>68</v>
      </c>
      <c r="K211" s="104">
        <v>3202675</v>
      </c>
      <c r="L211" s="104">
        <v>100</v>
      </c>
      <c r="M211" s="71">
        <f t="shared" si="23"/>
        <v>3.2026750000000002</v>
      </c>
      <c r="O211" s="215">
        <v>45085</v>
      </c>
      <c r="P211" s="104">
        <v>74979851</v>
      </c>
      <c r="Q211" s="104">
        <v>28156272</v>
      </c>
      <c r="R211" s="104">
        <v>103136123</v>
      </c>
      <c r="S211" s="104">
        <v>72.7</v>
      </c>
      <c r="T211" s="212">
        <f t="shared" si="22"/>
        <v>103.136123</v>
      </c>
      <c r="W211" s="215">
        <v>45085</v>
      </c>
      <c r="X211" s="48">
        <v>9000</v>
      </c>
      <c r="Y211" s="48">
        <v>10000</v>
      </c>
      <c r="Z211" s="48">
        <f t="shared" si="21"/>
        <v>90</v>
      </c>
      <c r="AB211" s="215">
        <v>45085</v>
      </c>
      <c r="AC211" s="48">
        <v>1060</v>
      </c>
      <c r="AD211" s="48">
        <v>10000</v>
      </c>
      <c r="AE211" s="48">
        <f t="shared" si="25"/>
        <v>10.6</v>
      </c>
      <c r="AG211" s="215">
        <v>45085</v>
      </c>
      <c r="AH211" s="48">
        <v>9593</v>
      </c>
      <c r="AI211" s="48">
        <v>10000</v>
      </c>
      <c r="AJ211" s="48">
        <f t="shared" si="20"/>
        <v>95.93</v>
      </c>
      <c r="AL211" s="140">
        <v>44984</v>
      </c>
      <c r="AM211" t="s">
        <v>180</v>
      </c>
      <c r="AN211">
        <v>13174</v>
      </c>
      <c r="AP211" s="140">
        <v>44984</v>
      </c>
      <c r="AQ211" t="s">
        <v>185</v>
      </c>
      <c r="AR211">
        <v>881048</v>
      </c>
    </row>
    <row r="212" spans="1:48" hidden="1" x14ac:dyDescent="0.25">
      <c r="A212" s="113">
        <v>45086</v>
      </c>
      <c r="B212" s="101">
        <v>10889602</v>
      </c>
      <c r="C212" s="101">
        <v>441642</v>
      </c>
      <c r="D212" s="101">
        <v>11331244</v>
      </c>
      <c r="E212" s="101">
        <v>96.1</v>
      </c>
      <c r="F212" s="211">
        <f t="shared" si="24"/>
        <v>11.331244</v>
      </c>
      <c r="H212" s="215">
        <v>45086</v>
      </c>
      <c r="I212" s="104">
        <v>3622396</v>
      </c>
      <c r="J212" s="104">
        <v>120</v>
      </c>
      <c r="K212" s="104">
        <v>3622516</v>
      </c>
      <c r="L212" s="104">
        <v>99.99</v>
      </c>
      <c r="M212" s="71">
        <f t="shared" si="23"/>
        <v>3.6225160000000001</v>
      </c>
      <c r="O212" s="215">
        <v>45086</v>
      </c>
      <c r="P212" s="104">
        <v>77535411</v>
      </c>
      <c r="Q212" s="104">
        <v>32075409</v>
      </c>
      <c r="R212" s="104">
        <v>109610820</v>
      </c>
      <c r="S212" s="104">
        <v>70.73</v>
      </c>
      <c r="T212" s="212">
        <f t="shared" si="22"/>
        <v>109.61082</v>
      </c>
      <c r="W212" s="215">
        <v>45086</v>
      </c>
      <c r="X212" s="48">
        <v>8410</v>
      </c>
      <c r="Y212" s="48">
        <v>10000</v>
      </c>
      <c r="Z212" s="48">
        <f t="shared" si="21"/>
        <v>84.1</v>
      </c>
      <c r="AB212" s="215">
        <v>45086</v>
      </c>
      <c r="AC212" s="48">
        <v>1002</v>
      </c>
      <c r="AD212" s="48">
        <v>10000</v>
      </c>
      <c r="AE212" s="48">
        <f t="shared" si="25"/>
        <v>10.02</v>
      </c>
      <c r="AG212" s="215">
        <v>45086</v>
      </c>
      <c r="AH212" s="48">
        <v>9055</v>
      </c>
      <c r="AI212" s="48">
        <v>10000</v>
      </c>
      <c r="AJ212" s="48">
        <f t="shared" si="20"/>
        <v>90.55</v>
      </c>
      <c r="AL212" s="140">
        <v>44984</v>
      </c>
      <c r="AM212" t="s">
        <v>151</v>
      </c>
      <c r="AN212">
        <v>12621</v>
      </c>
      <c r="AP212" s="140">
        <v>44984</v>
      </c>
      <c r="AQ212" t="s">
        <v>148</v>
      </c>
      <c r="AR212">
        <v>545104</v>
      </c>
    </row>
    <row r="213" spans="1:48" hidden="1" x14ac:dyDescent="0.25">
      <c r="A213" s="113">
        <v>45087</v>
      </c>
      <c r="B213" s="101">
        <v>10898181</v>
      </c>
      <c r="C213" s="101">
        <v>472567</v>
      </c>
      <c r="D213" s="101">
        <v>11370748</v>
      </c>
      <c r="E213" s="101">
        <v>95.84</v>
      </c>
      <c r="F213" s="211">
        <f t="shared" si="24"/>
        <v>11.370748000000001</v>
      </c>
      <c r="H213" s="215">
        <v>45087</v>
      </c>
      <c r="I213" s="104">
        <v>2679472</v>
      </c>
      <c r="J213" s="104">
        <v>146</v>
      </c>
      <c r="K213" s="104">
        <v>2679618</v>
      </c>
      <c r="L213" s="104">
        <v>99.99</v>
      </c>
      <c r="M213" s="71">
        <f t="shared" si="23"/>
        <v>2.6796180000000001</v>
      </c>
      <c r="O213" s="215">
        <v>45087</v>
      </c>
      <c r="P213" s="104">
        <v>68591769</v>
      </c>
      <c r="Q213" s="104">
        <v>27081200</v>
      </c>
      <c r="R213" s="104">
        <v>95672969</v>
      </c>
      <c r="S213" s="104">
        <v>71.69</v>
      </c>
      <c r="T213" s="212">
        <f t="shared" si="22"/>
        <v>95.672968999999995</v>
      </c>
      <c r="W213" s="215">
        <v>45087</v>
      </c>
      <c r="X213" s="48">
        <v>7000</v>
      </c>
      <c r="Y213" s="48">
        <v>10000</v>
      </c>
      <c r="Z213" s="48">
        <f t="shared" si="21"/>
        <v>70</v>
      </c>
      <c r="AB213" s="215">
        <v>45087</v>
      </c>
      <c r="AC213" s="48">
        <v>907</v>
      </c>
      <c r="AD213" s="48">
        <v>10000</v>
      </c>
      <c r="AE213" s="48">
        <f t="shared" si="25"/>
        <v>9.07</v>
      </c>
      <c r="AG213" s="215">
        <v>45087</v>
      </c>
      <c r="AH213" s="48">
        <v>7566</v>
      </c>
      <c r="AI213" s="48">
        <v>10000</v>
      </c>
      <c r="AJ213" s="48">
        <f t="shared" si="20"/>
        <v>75.66</v>
      </c>
      <c r="AL213" s="140">
        <v>44985</v>
      </c>
      <c r="AM213" t="s">
        <v>146</v>
      </c>
      <c r="AN213">
        <v>270256</v>
      </c>
      <c r="AP213" s="140">
        <v>44985</v>
      </c>
      <c r="AQ213" t="s">
        <v>146</v>
      </c>
      <c r="AR213">
        <v>24823364</v>
      </c>
      <c r="AT213" s="140">
        <v>44985</v>
      </c>
      <c r="AU213" t="s">
        <v>147</v>
      </c>
      <c r="AV213">
        <v>132</v>
      </c>
    </row>
    <row r="214" spans="1:48" hidden="1" x14ac:dyDescent="0.25">
      <c r="A214" s="113">
        <v>45088</v>
      </c>
      <c r="B214" s="101">
        <v>10763400</v>
      </c>
      <c r="C214" s="101">
        <v>421485</v>
      </c>
      <c r="D214" s="101">
        <v>11184885</v>
      </c>
      <c r="E214" s="101">
        <v>96.23</v>
      </c>
      <c r="F214" s="211">
        <f t="shared" si="24"/>
        <v>11.184885</v>
      </c>
      <c r="H214" s="215">
        <v>45088</v>
      </c>
      <c r="I214" s="104">
        <v>1806481</v>
      </c>
      <c r="J214" s="104">
        <v>81</v>
      </c>
      <c r="K214" s="104">
        <v>1806562</v>
      </c>
      <c r="L214" s="104">
        <v>99.99</v>
      </c>
      <c r="M214" s="71">
        <f t="shared" si="23"/>
        <v>1.806562</v>
      </c>
      <c r="O214" s="215">
        <v>45088</v>
      </c>
      <c r="P214" s="104">
        <v>56121753</v>
      </c>
      <c r="Q214" s="104">
        <v>16011585</v>
      </c>
      <c r="R214" s="104">
        <v>72133338</v>
      </c>
      <c r="S214" s="104">
        <v>77.8</v>
      </c>
      <c r="T214" s="212">
        <f t="shared" si="22"/>
        <v>72.133337999999995</v>
      </c>
      <c r="W214" s="215">
        <v>45088</v>
      </c>
      <c r="X214" s="48">
        <v>4281</v>
      </c>
      <c r="Y214" s="48">
        <v>10000</v>
      </c>
      <c r="Z214" s="48">
        <f t="shared" si="21"/>
        <v>42.81</v>
      </c>
      <c r="AB214" s="215">
        <v>45088</v>
      </c>
      <c r="AC214" s="48">
        <v>910</v>
      </c>
      <c r="AD214" s="48">
        <v>10000</v>
      </c>
      <c r="AE214" s="48">
        <f t="shared" si="25"/>
        <v>9.1</v>
      </c>
      <c r="AG214" s="215">
        <v>45088</v>
      </c>
      <c r="AH214" s="48">
        <v>4772</v>
      </c>
      <c r="AI214" s="48">
        <v>10000</v>
      </c>
      <c r="AJ214" s="48">
        <f t="shared" si="20"/>
        <v>47.72</v>
      </c>
      <c r="AL214" s="140">
        <v>44985</v>
      </c>
      <c r="AM214" t="s">
        <v>151</v>
      </c>
      <c r="AN214">
        <v>48811</v>
      </c>
      <c r="AP214" s="140">
        <v>44985</v>
      </c>
      <c r="AQ214" t="s">
        <v>149</v>
      </c>
      <c r="AR214">
        <v>4475267</v>
      </c>
      <c r="AT214" s="140">
        <v>44985</v>
      </c>
      <c r="AU214" t="s">
        <v>155</v>
      </c>
      <c r="AV214">
        <v>20</v>
      </c>
    </row>
    <row r="215" spans="1:48" hidden="1" x14ac:dyDescent="0.25">
      <c r="A215" s="113">
        <v>45089</v>
      </c>
      <c r="B215" s="101">
        <v>10506622</v>
      </c>
      <c r="C215" s="101">
        <v>343288</v>
      </c>
      <c r="D215" s="101">
        <v>10849910</v>
      </c>
      <c r="E215" s="101">
        <v>96.84</v>
      </c>
      <c r="F215" s="211">
        <f t="shared" si="24"/>
        <v>10.849909999999999</v>
      </c>
      <c r="H215" s="215">
        <v>45089</v>
      </c>
      <c r="I215" s="104">
        <v>3296882</v>
      </c>
      <c r="J215" s="104">
        <v>106</v>
      </c>
      <c r="K215" s="104">
        <v>3296988</v>
      </c>
      <c r="L215" s="104">
        <v>100</v>
      </c>
      <c r="M215" s="71">
        <f t="shared" si="23"/>
        <v>3.2969879999999998</v>
      </c>
      <c r="O215" s="215">
        <v>45089</v>
      </c>
      <c r="P215" s="104">
        <v>73712990</v>
      </c>
      <c r="Q215" s="104">
        <v>25667368</v>
      </c>
      <c r="R215" s="104">
        <v>99380358</v>
      </c>
      <c r="S215" s="104">
        <v>74.17</v>
      </c>
      <c r="T215" s="212">
        <f t="shared" si="22"/>
        <v>99.380358000000001</v>
      </c>
      <c r="W215" s="215">
        <v>45089</v>
      </c>
      <c r="X215" s="48">
        <v>6998</v>
      </c>
      <c r="Y215" s="48">
        <v>10000</v>
      </c>
      <c r="Z215" s="48">
        <f t="shared" si="21"/>
        <v>69.98</v>
      </c>
      <c r="AB215" s="215">
        <v>45089</v>
      </c>
      <c r="AC215" s="48">
        <v>964</v>
      </c>
      <c r="AD215" s="48">
        <v>10000</v>
      </c>
      <c r="AE215" s="48">
        <f t="shared" si="25"/>
        <v>9.64</v>
      </c>
      <c r="AG215" s="215">
        <v>45089</v>
      </c>
      <c r="AH215" s="48">
        <v>7660</v>
      </c>
      <c r="AI215" s="48">
        <v>10000</v>
      </c>
      <c r="AJ215" s="48">
        <f t="shared" si="20"/>
        <v>76.599999999999994</v>
      </c>
      <c r="AL215" s="140">
        <v>44985</v>
      </c>
      <c r="AM215" t="s">
        <v>180</v>
      </c>
      <c r="AN215">
        <v>43269</v>
      </c>
      <c r="AP215" s="140">
        <v>44985</v>
      </c>
      <c r="AQ215" t="s">
        <v>180</v>
      </c>
      <c r="AR215">
        <v>1446280</v>
      </c>
    </row>
    <row r="216" spans="1:48" hidden="1" x14ac:dyDescent="0.25">
      <c r="A216" s="113">
        <v>45090</v>
      </c>
      <c r="B216" s="101">
        <v>10335949</v>
      </c>
      <c r="C216" s="101">
        <v>445097</v>
      </c>
      <c r="D216" s="101">
        <v>10781046</v>
      </c>
      <c r="E216" s="101">
        <v>95.87</v>
      </c>
      <c r="F216" s="211">
        <f t="shared" si="24"/>
        <v>10.781046</v>
      </c>
      <c r="H216" s="215">
        <v>45090</v>
      </c>
      <c r="I216" s="104">
        <v>3938185</v>
      </c>
      <c r="J216" s="104">
        <v>665</v>
      </c>
      <c r="K216" s="104">
        <v>3938850</v>
      </c>
      <c r="L216" s="104">
        <v>99.98</v>
      </c>
      <c r="M216" s="71">
        <f t="shared" si="23"/>
        <v>3.93885</v>
      </c>
      <c r="O216" s="215">
        <v>45090</v>
      </c>
      <c r="P216" s="104">
        <v>76928231</v>
      </c>
      <c r="Q216" s="104">
        <v>31299399</v>
      </c>
      <c r="R216" s="104">
        <v>108227630</v>
      </c>
      <c r="S216" s="104">
        <v>71.08</v>
      </c>
      <c r="T216" s="212">
        <f t="shared" si="22"/>
        <v>108.22763</v>
      </c>
      <c r="W216" s="215">
        <v>45090</v>
      </c>
      <c r="X216" s="48">
        <v>9000</v>
      </c>
      <c r="Y216" s="48">
        <v>10000</v>
      </c>
      <c r="Z216" s="48">
        <f t="shared" si="21"/>
        <v>90</v>
      </c>
      <c r="AB216" s="215">
        <v>45090</v>
      </c>
      <c r="AC216" s="48">
        <v>1022</v>
      </c>
      <c r="AD216" s="48">
        <v>10000</v>
      </c>
      <c r="AE216" s="48">
        <f t="shared" si="25"/>
        <v>10.220000000000001</v>
      </c>
      <c r="AG216" s="215">
        <v>45090</v>
      </c>
      <c r="AH216" s="48">
        <v>9597</v>
      </c>
      <c r="AI216" s="48">
        <v>10000</v>
      </c>
      <c r="AJ216" s="48">
        <f t="shared" si="20"/>
        <v>95.97</v>
      </c>
      <c r="AL216" s="140">
        <v>44985</v>
      </c>
      <c r="AM216" t="s">
        <v>149</v>
      </c>
      <c r="AN216">
        <v>27725</v>
      </c>
      <c r="AP216" s="140">
        <v>44985</v>
      </c>
      <c r="AQ216" t="s">
        <v>157</v>
      </c>
      <c r="AR216">
        <v>1078842</v>
      </c>
      <c r="AU216" s="70"/>
    </row>
    <row r="217" spans="1:48" hidden="1" x14ac:dyDescent="0.25">
      <c r="A217" s="113">
        <v>45091</v>
      </c>
      <c r="B217" s="101">
        <v>10230240</v>
      </c>
      <c r="C217" s="101">
        <v>437461</v>
      </c>
      <c r="D217" s="101">
        <v>10667701</v>
      </c>
      <c r="E217" s="101">
        <v>95.9</v>
      </c>
      <c r="F217" s="211">
        <f t="shared" si="24"/>
        <v>10.667700999999999</v>
      </c>
      <c r="H217" s="215">
        <v>45091</v>
      </c>
      <c r="I217" s="104">
        <v>2814401</v>
      </c>
      <c r="J217" s="104">
        <v>182</v>
      </c>
      <c r="K217" s="104">
        <v>2814583</v>
      </c>
      <c r="L217" s="104">
        <v>99.99</v>
      </c>
      <c r="M217" s="71">
        <f t="shared" si="23"/>
        <v>2.8145829999999998</v>
      </c>
      <c r="O217" s="215">
        <v>45091</v>
      </c>
      <c r="P217" s="104">
        <v>70618538</v>
      </c>
      <c r="Q217" s="104">
        <v>27284238</v>
      </c>
      <c r="R217" s="104">
        <v>97902776</v>
      </c>
      <c r="S217" s="104">
        <v>72.13</v>
      </c>
      <c r="T217" s="212">
        <f t="shared" si="22"/>
        <v>97.902776000000003</v>
      </c>
      <c r="W217" s="215">
        <v>45091</v>
      </c>
      <c r="X217" s="48">
        <v>6555</v>
      </c>
      <c r="Y217" s="48">
        <v>10000</v>
      </c>
      <c r="Z217" s="48">
        <f t="shared" si="21"/>
        <v>65.55</v>
      </c>
      <c r="AB217" s="215">
        <v>45091</v>
      </c>
      <c r="AC217" s="48">
        <v>946</v>
      </c>
      <c r="AD217" s="48">
        <v>10000</v>
      </c>
      <c r="AE217" s="48">
        <f t="shared" si="25"/>
        <v>9.4600000000000009</v>
      </c>
      <c r="AG217" s="215">
        <v>45091</v>
      </c>
      <c r="AH217" s="48">
        <v>7111</v>
      </c>
      <c r="AI217" s="48">
        <v>10000</v>
      </c>
      <c r="AJ217" s="48">
        <f t="shared" si="20"/>
        <v>71.11</v>
      </c>
      <c r="AL217" s="140">
        <v>44985</v>
      </c>
      <c r="AM217" t="s">
        <v>172</v>
      </c>
      <c r="AN217">
        <v>25745</v>
      </c>
      <c r="AP217" s="140">
        <v>44985</v>
      </c>
      <c r="AQ217" t="s">
        <v>185</v>
      </c>
      <c r="AR217">
        <v>1072871</v>
      </c>
    </row>
    <row r="218" spans="1:48" hidden="1" x14ac:dyDescent="0.25">
      <c r="A218" s="113">
        <v>45092</v>
      </c>
      <c r="B218" s="101">
        <v>9570098</v>
      </c>
      <c r="C218" s="101">
        <v>820734</v>
      </c>
      <c r="D218" s="101">
        <v>10390832</v>
      </c>
      <c r="E218" s="101">
        <v>92.1</v>
      </c>
      <c r="F218" s="211">
        <f t="shared" si="24"/>
        <v>10.390832</v>
      </c>
      <c r="H218" s="215">
        <v>45092</v>
      </c>
      <c r="I218" s="104">
        <v>3079157</v>
      </c>
      <c r="J218" s="104">
        <v>382</v>
      </c>
      <c r="K218" s="104">
        <v>3079539</v>
      </c>
      <c r="L218" s="104">
        <v>99.99</v>
      </c>
      <c r="M218" s="71">
        <f t="shared" si="23"/>
        <v>3.079539</v>
      </c>
      <c r="O218" s="215">
        <v>45092</v>
      </c>
      <c r="P218" s="104">
        <v>68178720</v>
      </c>
      <c r="Q218" s="104">
        <v>21186011</v>
      </c>
      <c r="R218" s="104">
        <v>89364731</v>
      </c>
      <c r="S218" s="104">
        <v>76.290000000000006</v>
      </c>
      <c r="T218" s="212">
        <f t="shared" si="22"/>
        <v>89.364731000000006</v>
      </c>
      <c r="W218" s="215">
        <v>45092</v>
      </c>
      <c r="X218" s="48">
        <v>6050</v>
      </c>
      <c r="Y218" s="48">
        <v>10000</v>
      </c>
      <c r="Z218" s="48">
        <f t="shared" si="21"/>
        <v>60.5</v>
      </c>
      <c r="AB218" s="215">
        <v>45092</v>
      </c>
      <c r="AC218" s="48">
        <v>4259</v>
      </c>
      <c r="AD218" s="48">
        <v>10000</v>
      </c>
      <c r="AE218" s="48">
        <f t="shared" si="25"/>
        <v>42.59</v>
      </c>
      <c r="AG218" s="215">
        <v>45092</v>
      </c>
      <c r="AH218" s="48">
        <v>6785</v>
      </c>
      <c r="AI218" s="48">
        <v>10000</v>
      </c>
      <c r="AJ218" s="48">
        <f t="shared" si="20"/>
        <v>67.849999999999994</v>
      </c>
      <c r="AL218" s="140">
        <v>44986</v>
      </c>
      <c r="AM218" t="s">
        <v>146</v>
      </c>
      <c r="AN218">
        <v>243410</v>
      </c>
      <c r="AP218" s="140">
        <v>44986</v>
      </c>
      <c r="AQ218" t="s">
        <v>146</v>
      </c>
      <c r="AR218">
        <v>24824588</v>
      </c>
      <c r="AT218" s="140">
        <v>44986</v>
      </c>
      <c r="AU218" t="s">
        <v>147</v>
      </c>
      <c r="AV218">
        <v>123</v>
      </c>
    </row>
    <row r="219" spans="1:48" hidden="1" x14ac:dyDescent="0.25">
      <c r="A219" s="113">
        <v>45093</v>
      </c>
      <c r="B219" s="101">
        <v>9932710</v>
      </c>
      <c r="C219" s="101">
        <v>981811</v>
      </c>
      <c r="D219" s="101">
        <v>10914521</v>
      </c>
      <c r="E219" s="101">
        <v>91</v>
      </c>
      <c r="F219" s="211">
        <f t="shared" si="24"/>
        <v>10.914521000000001</v>
      </c>
      <c r="H219" s="215">
        <v>45093</v>
      </c>
      <c r="I219" s="104">
        <v>3497680</v>
      </c>
      <c r="J219" s="104">
        <v>161</v>
      </c>
      <c r="K219" s="104">
        <v>3497841</v>
      </c>
      <c r="L219" s="104">
        <v>99.99</v>
      </c>
      <c r="M219" s="71">
        <f t="shared" si="23"/>
        <v>3.4978410000000002</v>
      </c>
      <c r="O219" s="215">
        <v>45093</v>
      </c>
      <c r="P219" s="104">
        <v>78898135</v>
      </c>
      <c r="Q219" s="104">
        <v>32047688</v>
      </c>
      <c r="R219" s="104">
        <v>110945823</v>
      </c>
      <c r="S219" s="104">
        <v>71.11</v>
      </c>
      <c r="T219" s="212">
        <f t="shared" si="22"/>
        <v>110.945823</v>
      </c>
      <c r="W219" s="215">
        <v>45093</v>
      </c>
      <c r="X219" s="48">
        <v>9000</v>
      </c>
      <c r="Y219" s="48">
        <v>10000</v>
      </c>
      <c r="Z219" s="48">
        <f t="shared" si="21"/>
        <v>90</v>
      </c>
      <c r="AB219" s="215">
        <v>45093</v>
      </c>
      <c r="AC219" s="48">
        <v>999</v>
      </c>
      <c r="AD219" s="48">
        <v>10000</v>
      </c>
      <c r="AE219" s="48">
        <f t="shared" si="25"/>
        <v>9.99</v>
      </c>
      <c r="AG219" s="215">
        <v>45093</v>
      </c>
      <c r="AH219" s="48">
        <v>9556</v>
      </c>
      <c r="AI219" s="48">
        <v>10000</v>
      </c>
      <c r="AJ219" s="48">
        <f t="shared" si="20"/>
        <v>95.56</v>
      </c>
      <c r="AL219" s="140">
        <v>44986</v>
      </c>
      <c r="AM219" t="s">
        <v>151</v>
      </c>
      <c r="AN219">
        <v>42344</v>
      </c>
      <c r="AP219" s="140">
        <v>44986</v>
      </c>
      <c r="AQ219" t="s">
        <v>149</v>
      </c>
      <c r="AR219">
        <v>4491933</v>
      </c>
      <c r="AT219" s="140">
        <v>44986</v>
      </c>
      <c r="AU219" t="s">
        <v>155</v>
      </c>
      <c r="AV219">
        <v>16</v>
      </c>
    </row>
    <row r="220" spans="1:48" hidden="1" x14ac:dyDescent="0.25">
      <c r="A220" s="113">
        <v>45094</v>
      </c>
      <c r="B220" s="101">
        <v>10965548</v>
      </c>
      <c r="C220" s="101">
        <v>402215</v>
      </c>
      <c r="D220" s="101">
        <v>11367763</v>
      </c>
      <c r="E220" s="101">
        <v>96.46</v>
      </c>
      <c r="F220" s="211">
        <f t="shared" si="24"/>
        <v>11.367763</v>
      </c>
      <c r="H220" s="215">
        <v>45094</v>
      </c>
      <c r="I220" s="104">
        <v>2649017</v>
      </c>
      <c r="J220" s="104">
        <v>135</v>
      </c>
      <c r="K220" s="104">
        <v>2649152</v>
      </c>
      <c r="L220" s="104">
        <v>99.99</v>
      </c>
      <c r="M220" s="71">
        <f t="shared" si="23"/>
        <v>2.649152</v>
      </c>
      <c r="O220" s="215">
        <v>45094</v>
      </c>
      <c r="P220" s="104">
        <v>69478230</v>
      </c>
      <c r="Q220" s="104">
        <v>31153595</v>
      </c>
      <c r="R220" s="104">
        <v>100631825</v>
      </c>
      <c r="S220" s="104">
        <v>69.040000000000006</v>
      </c>
      <c r="T220" s="212">
        <f t="shared" si="22"/>
        <v>100.63182500000001</v>
      </c>
      <c r="W220" s="215">
        <v>45094</v>
      </c>
      <c r="X220" s="48">
        <v>7299</v>
      </c>
      <c r="Y220" s="48">
        <v>10000</v>
      </c>
      <c r="Z220" s="48">
        <f t="shared" si="21"/>
        <v>72.989999999999995</v>
      </c>
      <c r="AB220" s="215">
        <v>45094</v>
      </c>
      <c r="AC220" s="48">
        <v>929</v>
      </c>
      <c r="AD220" s="48">
        <v>10000</v>
      </c>
      <c r="AE220" s="48">
        <f t="shared" si="25"/>
        <v>9.2899999999999991</v>
      </c>
      <c r="AG220" s="215">
        <v>45094</v>
      </c>
      <c r="AH220" s="48">
        <v>7914</v>
      </c>
      <c r="AI220" s="48">
        <v>10000</v>
      </c>
      <c r="AJ220" s="48">
        <f t="shared" ref="AJ220:AJ283" si="26">AH220/AI220%</f>
        <v>79.14</v>
      </c>
      <c r="AL220" s="140">
        <v>44986</v>
      </c>
      <c r="AM220" t="s">
        <v>180</v>
      </c>
      <c r="AN220">
        <v>37465</v>
      </c>
      <c r="AP220" s="140">
        <v>44986</v>
      </c>
      <c r="AQ220" t="s">
        <v>180</v>
      </c>
      <c r="AR220">
        <v>1479714</v>
      </c>
    </row>
    <row r="221" spans="1:48" hidden="1" x14ac:dyDescent="0.25">
      <c r="A221" s="113">
        <v>45095</v>
      </c>
      <c r="B221" s="101">
        <v>12327890</v>
      </c>
      <c r="C221" s="101">
        <v>417997</v>
      </c>
      <c r="D221" s="101">
        <v>12745887</v>
      </c>
      <c r="E221" s="101">
        <v>96.72</v>
      </c>
      <c r="F221" s="211">
        <f t="shared" si="24"/>
        <v>12.745887</v>
      </c>
      <c r="H221" s="215">
        <v>45095</v>
      </c>
      <c r="I221" s="104">
        <v>1584428</v>
      </c>
      <c r="J221" s="104">
        <v>724</v>
      </c>
      <c r="K221" s="104">
        <v>1585152</v>
      </c>
      <c r="L221" s="104">
        <v>99.95</v>
      </c>
      <c r="M221" s="71">
        <f t="shared" si="23"/>
        <v>1.5851519999999999</v>
      </c>
      <c r="O221" s="215">
        <v>45095</v>
      </c>
      <c r="P221" s="104">
        <v>56716014</v>
      </c>
      <c r="Q221" s="104">
        <v>22795545</v>
      </c>
      <c r="R221" s="104">
        <v>79511559</v>
      </c>
      <c r="S221" s="104">
        <v>71.33</v>
      </c>
      <c r="T221" s="212">
        <f t="shared" si="22"/>
        <v>79.511559000000005</v>
      </c>
      <c r="W221" s="215">
        <v>45095</v>
      </c>
      <c r="X221" s="48">
        <v>7910</v>
      </c>
      <c r="Y221" s="48">
        <v>10000</v>
      </c>
      <c r="Z221" s="48">
        <f t="shared" si="21"/>
        <v>79.099999999999994</v>
      </c>
      <c r="AB221" s="215">
        <v>45095</v>
      </c>
      <c r="AC221" s="48">
        <v>1496</v>
      </c>
      <c r="AD221" s="48">
        <v>10000</v>
      </c>
      <c r="AE221" s="48">
        <f t="shared" si="25"/>
        <v>14.96</v>
      </c>
      <c r="AG221" s="215">
        <v>45095</v>
      </c>
      <c r="AH221" s="48">
        <v>8541</v>
      </c>
      <c r="AI221" s="48">
        <v>10000</v>
      </c>
      <c r="AJ221" s="48">
        <f t="shared" si="26"/>
        <v>85.41</v>
      </c>
      <c r="AL221" s="140">
        <v>44986</v>
      </c>
      <c r="AM221" t="s">
        <v>149</v>
      </c>
      <c r="AN221">
        <v>29359</v>
      </c>
      <c r="AP221" s="140">
        <v>44986</v>
      </c>
      <c r="AQ221" t="s">
        <v>148</v>
      </c>
      <c r="AR221">
        <v>1022773</v>
      </c>
      <c r="AU221" s="70"/>
    </row>
    <row r="222" spans="1:48" hidden="1" x14ac:dyDescent="0.25">
      <c r="A222" s="113">
        <v>45096</v>
      </c>
      <c r="B222" s="101">
        <v>12153429</v>
      </c>
      <c r="C222" s="101">
        <v>384254</v>
      </c>
      <c r="D222" s="101">
        <v>12537683</v>
      </c>
      <c r="E222" s="101">
        <v>96.94</v>
      </c>
      <c r="F222" s="211">
        <f t="shared" si="24"/>
        <v>12.537682999999999</v>
      </c>
      <c r="H222" s="215">
        <v>45096</v>
      </c>
      <c r="I222" s="104">
        <v>2603408</v>
      </c>
      <c r="J222" s="104">
        <v>42798</v>
      </c>
      <c r="K222" s="104">
        <v>2646206</v>
      </c>
      <c r="L222" s="104">
        <v>98.38</v>
      </c>
      <c r="M222" s="71">
        <f t="shared" si="23"/>
        <v>2.6462059999999998</v>
      </c>
      <c r="O222" s="215">
        <v>45096</v>
      </c>
      <c r="P222" s="104">
        <v>74040404</v>
      </c>
      <c r="Q222" s="104">
        <v>27244826</v>
      </c>
      <c r="R222" s="104">
        <v>101285230</v>
      </c>
      <c r="S222" s="104">
        <v>73.099999999999994</v>
      </c>
      <c r="T222" s="212">
        <f t="shared" si="22"/>
        <v>101.28523</v>
      </c>
      <c r="W222" s="215">
        <v>45096</v>
      </c>
      <c r="X222" s="48">
        <v>9000</v>
      </c>
      <c r="Y222" s="48">
        <v>10000</v>
      </c>
      <c r="Z222" s="48">
        <f t="shared" si="21"/>
        <v>90</v>
      </c>
      <c r="AB222" s="215">
        <v>45096</v>
      </c>
      <c r="AC222" s="48">
        <v>918</v>
      </c>
      <c r="AD222" s="48">
        <v>10000</v>
      </c>
      <c r="AE222" s="48">
        <f t="shared" si="25"/>
        <v>9.18</v>
      </c>
      <c r="AG222" s="215">
        <v>45096</v>
      </c>
      <c r="AH222" s="48">
        <v>9570</v>
      </c>
      <c r="AI222" s="48">
        <v>10000</v>
      </c>
      <c r="AJ222" s="48">
        <f t="shared" si="26"/>
        <v>95.7</v>
      </c>
      <c r="AL222" s="140">
        <v>44986</v>
      </c>
      <c r="AM222" t="s">
        <v>148</v>
      </c>
      <c r="AN222">
        <v>26522</v>
      </c>
      <c r="AP222" s="140">
        <v>44986</v>
      </c>
      <c r="AQ222" t="s">
        <v>185</v>
      </c>
      <c r="AR222">
        <v>923221</v>
      </c>
    </row>
    <row r="223" spans="1:48" hidden="1" x14ac:dyDescent="0.25">
      <c r="A223" s="113">
        <v>45097</v>
      </c>
      <c r="B223" s="101">
        <v>11778471</v>
      </c>
      <c r="C223" s="101">
        <v>422118</v>
      </c>
      <c r="D223" s="101">
        <v>12200589</v>
      </c>
      <c r="E223" s="101">
        <v>96.54</v>
      </c>
      <c r="F223" s="211">
        <f t="shared" si="24"/>
        <v>12.200589000000001</v>
      </c>
      <c r="H223" s="215">
        <v>45097</v>
      </c>
      <c r="I223" s="104">
        <v>2796120</v>
      </c>
      <c r="J223" s="104">
        <v>42675</v>
      </c>
      <c r="K223" s="104">
        <v>2838795</v>
      </c>
      <c r="L223" s="104">
        <v>98.5</v>
      </c>
      <c r="M223" s="71">
        <f t="shared" si="23"/>
        <v>2.8387950000000002</v>
      </c>
      <c r="O223" s="215">
        <v>45097</v>
      </c>
      <c r="P223" s="104">
        <v>79481207</v>
      </c>
      <c r="Q223" s="104">
        <v>38009283</v>
      </c>
      <c r="R223" s="104">
        <v>117490490</v>
      </c>
      <c r="S223" s="104">
        <v>67.650000000000006</v>
      </c>
      <c r="T223" s="212">
        <f t="shared" si="22"/>
        <v>117.49048999999999</v>
      </c>
      <c r="W223" s="215">
        <v>45097</v>
      </c>
      <c r="X223" s="48">
        <v>9000</v>
      </c>
      <c r="Y223" s="48">
        <v>10000</v>
      </c>
      <c r="Z223" s="48">
        <f t="shared" si="21"/>
        <v>90</v>
      </c>
      <c r="AB223" s="215">
        <v>45097</v>
      </c>
      <c r="AC223" s="48">
        <v>986</v>
      </c>
      <c r="AD223" s="48">
        <v>10000</v>
      </c>
      <c r="AE223" s="48">
        <f t="shared" si="25"/>
        <v>9.86</v>
      </c>
      <c r="AG223" s="215">
        <v>45097</v>
      </c>
      <c r="AH223" s="48">
        <v>9592</v>
      </c>
      <c r="AI223" s="48">
        <v>10000</v>
      </c>
      <c r="AJ223" s="48">
        <f t="shared" si="26"/>
        <v>95.92</v>
      </c>
      <c r="AL223" s="140">
        <v>44987</v>
      </c>
      <c r="AM223" t="s">
        <v>146</v>
      </c>
      <c r="AN223">
        <v>266974</v>
      </c>
      <c r="AP223" s="140">
        <v>44987</v>
      </c>
      <c r="AQ223" t="s">
        <v>146</v>
      </c>
      <c r="AR223">
        <v>22352313</v>
      </c>
      <c r="AT223" s="140">
        <v>44987</v>
      </c>
      <c r="AU223" t="s">
        <v>147</v>
      </c>
      <c r="AV223">
        <v>1032</v>
      </c>
    </row>
    <row r="224" spans="1:48" hidden="1" x14ac:dyDescent="0.25">
      <c r="A224" s="113">
        <v>45098</v>
      </c>
      <c r="B224" s="101">
        <v>11877976</v>
      </c>
      <c r="C224" s="101">
        <v>463872</v>
      </c>
      <c r="D224" s="101">
        <v>12341848</v>
      </c>
      <c r="E224" s="101">
        <v>96.24</v>
      </c>
      <c r="F224" s="211">
        <f t="shared" si="24"/>
        <v>12.341848000000001</v>
      </c>
      <c r="H224" s="215">
        <v>45098</v>
      </c>
      <c r="I224" s="104">
        <v>2164232</v>
      </c>
      <c r="J224" s="104">
        <v>2846</v>
      </c>
      <c r="K224" s="104">
        <v>2167078</v>
      </c>
      <c r="L224" s="104">
        <v>99.87</v>
      </c>
      <c r="M224" s="71">
        <f t="shared" si="23"/>
        <v>2.1670780000000001</v>
      </c>
      <c r="O224" s="215">
        <v>45098</v>
      </c>
      <c r="P224" s="104">
        <v>70463614</v>
      </c>
      <c r="Q224" s="104">
        <v>32122264</v>
      </c>
      <c r="R224" s="104">
        <v>102585878</v>
      </c>
      <c r="S224" s="104">
        <v>68.69</v>
      </c>
      <c r="T224" s="212">
        <f t="shared" si="22"/>
        <v>102.58587799999999</v>
      </c>
      <c r="W224" s="215">
        <v>45098</v>
      </c>
      <c r="X224" s="48">
        <v>9000</v>
      </c>
      <c r="Y224" s="48">
        <v>10000</v>
      </c>
      <c r="Z224" s="48">
        <f t="shared" si="21"/>
        <v>90</v>
      </c>
      <c r="AB224" s="215">
        <v>45098</v>
      </c>
      <c r="AC224" s="48">
        <v>875</v>
      </c>
      <c r="AD224" s="48">
        <v>10000</v>
      </c>
      <c r="AE224" s="48">
        <f t="shared" si="25"/>
        <v>8.75</v>
      </c>
      <c r="AG224" s="215">
        <v>45098</v>
      </c>
      <c r="AH224" s="48">
        <v>9576</v>
      </c>
      <c r="AI224" s="48">
        <v>10000</v>
      </c>
      <c r="AJ224" s="48">
        <f t="shared" si="26"/>
        <v>95.76</v>
      </c>
      <c r="AL224" s="140">
        <v>44987</v>
      </c>
      <c r="AM224" t="s">
        <v>151</v>
      </c>
      <c r="AN224">
        <v>42670</v>
      </c>
      <c r="AP224" s="140">
        <v>44987</v>
      </c>
      <c r="AQ224" t="s">
        <v>149</v>
      </c>
      <c r="AR224">
        <v>4101837</v>
      </c>
      <c r="AT224" s="140">
        <v>44987</v>
      </c>
      <c r="AU224" t="s">
        <v>155</v>
      </c>
      <c r="AV224">
        <v>30</v>
      </c>
    </row>
    <row r="225" spans="1:48" hidden="1" x14ac:dyDescent="0.25">
      <c r="A225" s="113">
        <v>45099</v>
      </c>
      <c r="B225" s="101">
        <v>12019112</v>
      </c>
      <c r="C225" s="101">
        <v>463428</v>
      </c>
      <c r="D225" s="101">
        <v>12482540</v>
      </c>
      <c r="E225" s="101">
        <v>96.29</v>
      </c>
      <c r="F225" s="211">
        <f t="shared" si="24"/>
        <v>12.48254</v>
      </c>
      <c r="H225" s="215">
        <v>45099</v>
      </c>
      <c r="I225" s="104">
        <v>2146739</v>
      </c>
      <c r="J225" s="104">
        <v>557</v>
      </c>
      <c r="K225" s="104">
        <v>2147296</v>
      </c>
      <c r="L225" s="104">
        <v>99.97</v>
      </c>
      <c r="M225" s="71">
        <f t="shared" si="23"/>
        <v>2.1472959999999999</v>
      </c>
      <c r="O225" s="215">
        <v>45099</v>
      </c>
      <c r="P225" s="104">
        <v>74427158</v>
      </c>
      <c r="Q225" s="104">
        <v>33096972</v>
      </c>
      <c r="R225" s="104">
        <v>107524130</v>
      </c>
      <c r="S225" s="104">
        <v>69.22</v>
      </c>
      <c r="T225" s="212">
        <f t="shared" si="22"/>
        <v>107.52413</v>
      </c>
      <c r="W225" s="215">
        <v>45099</v>
      </c>
      <c r="X225" s="48">
        <v>9000</v>
      </c>
      <c r="Y225" s="48">
        <v>10000</v>
      </c>
      <c r="Z225" s="48">
        <f t="shared" si="21"/>
        <v>90</v>
      </c>
      <c r="AB225" s="215">
        <v>45099</v>
      </c>
      <c r="AC225" s="48">
        <v>1415</v>
      </c>
      <c r="AD225" s="48">
        <v>10000</v>
      </c>
      <c r="AE225" s="48">
        <f t="shared" si="25"/>
        <v>14.15</v>
      </c>
      <c r="AG225" s="215">
        <v>45099</v>
      </c>
      <c r="AH225" s="48">
        <v>10000</v>
      </c>
      <c r="AI225" s="48">
        <v>10000</v>
      </c>
      <c r="AJ225" s="48">
        <f t="shared" si="26"/>
        <v>100</v>
      </c>
      <c r="AL225" s="140">
        <v>44987</v>
      </c>
      <c r="AM225" t="s">
        <v>180</v>
      </c>
      <c r="AN225">
        <v>39759</v>
      </c>
      <c r="AP225" s="140">
        <v>44987</v>
      </c>
      <c r="AQ225" t="s">
        <v>180</v>
      </c>
      <c r="AR225">
        <v>1391110</v>
      </c>
    </row>
    <row r="226" spans="1:48" hidden="1" x14ac:dyDescent="0.25">
      <c r="A226" s="113">
        <v>45100</v>
      </c>
      <c r="B226" s="101">
        <v>12402578</v>
      </c>
      <c r="C226" s="101">
        <v>445990</v>
      </c>
      <c r="D226" s="101">
        <v>12848568</v>
      </c>
      <c r="E226" s="101">
        <v>96.52</v>
      </c>
      <c r="F226" s="211">
        <f t="shared" si="24"/>
        <v>12.848568</v>
      </c>
      <c r="H226" s="215">
        <v>45100</v>
      </c>
      <c r="I226" s="104">
        <v>5425551</v>
      </c>
      <c r="J226" s="104">
        <v>516</v>
      </c>
      <c r="K226" s="104">
        <v>5426067</v>
      </c>
      <c r="L226" s="104">
        <v>99.99</v>
      </c>
      <c r="M226" s="71">
        <f t="shared" si="23"/>
        <v>5.4260669999999998</v>
      </c>
      <c r="O226" s="215">
        <v>45100</v>
      </c>
      <c r="P226" s="104">
        <v>80687391</v>
      </c>
      <c r="Q226" s="104">
        <v>34649983</v>
      </c>
      <c r="R226" s="104">
        <v>115337374</v>
      </c>
      <c r="S226" s="104">
        <v>69.95</v>
      </c>
      <c r="T226" s="212">
        <f t="shared" si="22"/>
        <v>115.337374</v>
      </c>
      <c r="W226" s="215">
        <v>45100</v>
      </c>
      <c r="X226" s="48">
        <v>9000</v>
      </c>
      <c r="Y226" s="48">
        <v>10000</v>
      </c>
      <c r="Z226" s="48">
        <f t="shared" si="21"/>
        <v>90</v>
      </c>
      <c r="AB226" s="215">
        <v>45100</v>
      </c>
      <c r="AC226" s="48">
        <v>1809</v>
      </c>
      <c r="AD226" s="48">
        <v>10000</v>
      </c>
      <c r="AE226" s="48">
        <f t="shared" si="25"/>
        <v>18.09</v>
      </c>
      <c r="AG226" s="215">
        <v>45100</v>
      </c>
      <c r="AH226" s="48">
        <v>9544</v>
      </c>
      <c r="AI226" s="48">
        <v>10000</v>
      </c>
      <c r="AJ226" s="48">
        <f t="shared" si="26"/>
        <v>95.44</v>
      </c>
      <c r="AL226" s="140">
        <v>44987</v>
      </c>
      <c r="AM226" t="s">
        <v>172</v>
      </c>
      <c r="AN226">
        <v>34217</v>
      </c>
      <c r="AP226" s="140">
        <v>44987</v>
      </c>
      <c r="AQ226" t="s">
        <v>148</v>
      </c>
      <c r="AR226">
        <v>949248</v>
      </c>
      <c r="AU226" s="70"/>
    </row>
    <row r="227" spans="1:48" hidden="1" x14ac:dyDescent="0.25">
      <c r="A227" s="113">
        <v>45101</v>
      </c>
      <c r="B227" s="101">
        <v>11578143</v>
      </c>
      <c r="C227" s="101">
        <v>439251</v>
      </c>
      <c r="D227" s="101">
        <v>12017394</v>
      </c>
      <c r="E227" s="101">
        <v>96.34</v>
      </c>
      <c r="F227" s="211">
        <f t="shared" si="24"/>
        <v>12.017393999999999</v>
      </c>
      <c r="H227" s="215">
        <v>45101</v>
      </c>
      <c r="I227" s="104">
        <v>6235897</v>
      </c>
      <c r="J227" s="104">
        <v>9900</v>
      </c>
      <c r="K227" s="104">
        <v>6245797</v>
      </c>
      <c r="L227" s="104">
        <v>99.84</v>
      </c>
      <c r="M227" s="71">
        <f t="shared" si="23"/>
        <v>6.2457969999999996</v>
      </c>
      <c r="O227" s="215">
        <v>45101</v>
      </c>
      <c r="P227" s="104">
        <v>70822505</v>
      </c>
      <c r="Q227" s="104">
        <v>26431982</v>
      </c>
      <c r="R227" s="104">
        <v>97254487</v>
      </c>
      <c r="S227" s="104">
        <v>72.819999999999993</v>
      </c>
      <c r="T227" s="212">
        <f t="shared" si="22"/>
        <v>97.254486999999997</v>
      </c>
      <c r="W227" s="215">
        <v>45101</v>
      </c>
      <c r="X227" s="48">
        <v>9000</v>
      </c>
      <c r="Y227" s="48">
        <v>10000</v>
      </c>
      <c r="Z227" s="48">
        <f t="shared" ref="Z227:Z290" si="27">X227/Y227%</f>
        <v>90</v>
      </c>
      <c r="AB227" s="215">
        <v>45101</v>
      </c>
      <c r="AC227" s="48">
        <v>964</v>
      </c>
      <c r="AD227" s="48">
        <v>10000</v>
      </c>
      <c r="AE227" s="48">
        <f t="shared" si="25"/>
        <v>9.64</v>
      </c>
      <c r="AG227" s="215">
        <v>45101</v>
      </c>
      <c r="AH227" s="48">
        <v>9575</v>
      </c>
      <c r="AI227" s="48">
        <v>10000</v>
      </c>
      <c r="AJ227" s="48">
        <f t="shared" si="26"/>
        <v>95.75</v>
      </c>
      <c r="AL227" s="140">
        <v>44987</v>
      </c>
      <c r="AM227" t="s">
        <v>149</v>
      </c>
      <c r="AN227">
        <v>28863</v>
      </c>
      <c r="AP227" s="140">
        <v>44987</v>
      </c>
      <c r="AQ227" t="s">
        <v>185</v>
      </c>
      <c r="AR227">
        <v>756267</v>
      </c>
    </row>
    <row r="228" spans="1:48" hidden="1" x14ac:dyDescent="0.25">
      <c r="A228" s="113">
        <v>45102</v>
      </c>
      <c r="B228" s="101">
        <v>11355688</v>
      </c>
      <c r="C228" s="101">
        <v>390825</v>
      </c>
      <c r="D228" s="101">
        <v>11746513</v>
      </c>
      <c r="E228" s="101">
        <v>96.67</v>
      </c>
      <c r="F228" s="211">
        <f t="shared" si="24"/>
        <v>11.746513</v>
      </c>
      <c r="H228" s="215">
        <v>45102</v>
      </c>
      <c r="I228" s="104">
        <v>1768207</v>
      </c>
      <c r="J228" s="104">
        <v>636</v>
      </c>
      <c r="K228" s="104">
        <v>1768843</v>
      </c>
      <c r="L228" s="104">
        <v>99.96</v>
      </c>
      <c r="M228" s="71">
        <f t="shared" si="23"/>
        <v>1.7688429999999999</v>
      </c>
      <c r="O228" s="215">
        <v>45102</v>
      </c>
      <c r="P228" s="104">
        <v>61301220</v>
      </c>
      <c r="Q228" s="104">
        <v>26786527</v>
      </c>
      <c r="R228" s="104">
        <v>88087747</v>
      </c>
      <c r="S228" s="104">
        <v>69.59</v>
      </c>
      <c r="T228" s="212">
        <f t="shared" si="22"/>
        <v>88.087746999999993</v>
      </c>
      <c r="W228" s="215">
        <v>45102</v>
      </c>
      <c r="X228" s="48">
        <v>5539</v>
      </c>
      <c r="Y228" s="48">
        <v>10000</v>
      </c>
      <c r="Z228" s="48">
        <f t="shared" si="27"/>
        <v>55.39</v>
      </c>
      <c r="AB228" s="215">
        <v>45102</v>
      </c>
      <c r="AC228" s="48">
        <v>887</v>
      </c>
      <c r="AD228" s="48">
        <v>10000</v>
      </c>
      <c r="AE228" s="48">
        <f t="shared" si="25"/>
        <v>8.8699999999999992</v>
      </c>
      <c r="AG228" s="215">
        <v>45102</v>
      </c>
      <c r="AH228" s="48">
        <v>6109</v>
      </c>
      <c r="AI228" s="48">
        <v>10000</v>
      </c>
      <c r="AJ228" s="48">
        <f t="shared" si="26"/>
        <v>61.09</v>
      </c>
      <c r="AL228" s="140">
        <v>44990</v>
      </c>
      <c r="AM228" s="70" t="s">
        <v>146</v>
      </c>
      <c r="AN228">
        <v>230331</v>
      </c>
      <c r="AP228" s="140">
        <v>44990</v>
      </c>
      <c r="AQ228" s="70" t="s">
        <v>146</v>
      </c>
      <c r="AR228">
        <v>19371101</v>
      </c>
      <c r="AT228" s="140">
        <v>44990</v>
      </c>
      <c r="AU228" t="s">
        <v>147</v>
      </c>
      <c r="AV228">
        <v>2082</v>
      </c>
    </row>
    <row r="229" spans="1:48" hidden="1" x14ac:dyDescent="0.25">
      <c r="A229" s="113">
        <v>45103</v>
      </c>
      <c r="B229" s="101">
        <f>11660302+148</f>
        <v>11660450</v>
      </c>
      <c r="C229" s="101">
        <f>329589+5205</f>
        <v>334794</v>
      </c>
      <c r="D229" s="101">
        <f>11989891+5353</f>
        <v>11995244</v>
      </c>
      <c r="E229" s="193">
        <f>B229/D229%</f>
        <v>97.208943811397248</v>
      </c>
      <c r="F229" s="211">
        <f t="shared" si="24"/>
        <v>11.995244</v>
      </c>
      <c r="H229" s="215">
        <v>45103</v>
      </c>
      <c r="I229" s="104">
        <v>6297218</v>
      </c>
      <c r="J229" s="104">
        <f>944+9</f>
        <v>953</v>
      </c>
      <c r="K229" s="104">
        <f>6298162+9</f>
        <v>6298171</v>
      </c>
      <c r="L229" s="114">
        <f>I229/K229%</f>
        <v>99.984868622970069</v>
      </c>
      <c r="M229" s="71">
        <f t="shared" si="23"/>
        <v>6.298171</v>
      </c>
      <c r="O229" s="215">
        <v>45103</v>
      </c>
      <c r="P229" s="104">
        <f>84855475+1541545</f>
        <v>86397020</v>
      </c>
      <c r="Q229" s="104">
        <f>33533317+1304931</f>
        <v>34838248</v>
      </c>
      <c r="R229" s="104">
        <f>118388792+2846476</f>
        <v>121235268</v>
      </c>
      <c r="S229" s="114">
        <f>P229/R229%</f>
        <v>71.263932868115575</v>
      </c>
      <c r="T229" s="212">
        <f t="shared" si="22"/>
        <v>121.235268</v>
      </c>
      <c r="W229" s="215">
        <v>45103</v>
      </c>
      <c r="X229" s="48">
        <v>9000</v>
      </c>
      <c r="Y229" s="48">
        <v>10000</v>
      </c>
      <c r="Z229" s="48">
        <f t="shared" si="27"/>
        <v>90</v>
      </c>
      <c r="AB229" s="215">
        <v>45103</v>
      </c>
      <c r="AC229" s="48">
        <v>1154</v>
      </c>
      <c r="AD229" s="48">
        <v>10000</v>
      </c>
      <c r="AE229" s="48">
        <f t="shared" si="25"/>
        <v>11.54</v>
      </c>
      <c r="AG229" s="215">
        <v>45103</v>
      </c>
      <c r="AH229" s="48">
        <v>10000</v>
      </c>
      <c r="AI229" s="48">
        <v>10000</v>
      </c>
      <c r="AJ229" s="48">
        <f t="shared" si="26"/>
        <v>100</v>
      </c>
      <c r="AL229" s="140">
        <v>44990</v>
      </c>
      <c r="AM229" t="s">
        <v>180</v>
      </c>
      <c r="AN229">
        <v>46986</v>
      </c>
      <c r="AP229" s="140">
        <v>44990</v>
      </c>
      <c r="AQ229" s="70" t="s">
        <v>149</v>
      </c>
      <c r="AR229">
        <v>3786904</v>
      </c>
      <c r="AT229" s="140">
        <v>44990</v>
      </c>
      <c r="AU229" t="s">
        <v>155</v>
      </c>
      <c r="AV229">
        <v>26</v>
      </c>
    </row>
    <row r="230" spans="1:48" hidden="1" x14ac:dyDescent="0.25">
      <c r="A230" s="113">
        <v>45104</v>
      </c>
      <c r="B230" s="101">
        <v>10822057</v>
      </c>
      <c r="C230" s="101">
        <f>440570+107</f>
        <v>440677</v>
      </c>
      <c r="D230" s="101">
        <f>11262627+107</f>
        <v>11262734</v>
      </c>
      <c r="E230" s="193">
        <f>B230/D230%</f>
        <v>96.087299939783719</v>
      </c>
      <c r="F230" s="211">
        <f t="shared" si="24"/>
        <v>11.262734</v>
      </c>
      <c r="H230" s="215">
        <v>45104</v>
      </c>
      <c r="I230" s="104">
        <v>5847928</v>
      </c>
      <c r="J230" s="104">
        <v>272380</v>
      </c>
      <c r="K230" s="104">
        <v>6120308</v>
      </c>
      <c r="L230" s="114">
        <f>I230/K230%</f>
        <v>95.549570381098462</v>
      </c>
      <c r="M230" s="71">
        <f t="shared" si="23"/>
        <v>6.1203079999999996</v>
      </c>
      <c r="O230" s="215">
        <v>45104</v>
      </c>
      <c r="P230" s="104">
        <f>90794355+386</f>
        <v>90794741</v>
      </c>
      <c r="Q230" s="104">
        <f>39176077+56</f>
        <v>39176133</v>
      </c>
      <c r="R230" s="104">
        <f>129970432+442</f>
        <v>129970874</v>
      </c>
      <c r="S230" s="114">
        <f>P230/R230%</f>
        <v>69.857759823943326</v>
      </c>
      <c r="T230" s="212">
        <f t="shared" si="22"/>
        <v>129.97087400000001</v>
      </c>
      <c r="W230" s="215">
        <v>45104</v>
      </c>
      <c r="X230" s="48">
        <v>9000</v>
      </c>
      <c r="Y230" s="48">
        <v>10000</v>
      </c>
      <c r="Z230" s="48">
        <f t="shared" si="27"/>
        <v>90</v>
      </c>
      <c r="AB230" s="215">
        <v>45104</v>
      </c>
      <c r="AC230" s="48">
        <v>1024</v>
      </c>
      <c r="AD230" s="48">
        <v>10000</v>
      </c>
      <c r="AE230" s="48">
        <f t="shared" si="25"/>
        <v>10.24</v>
      </c>
      <c r="AG230" s="215">
        <v>45104</v>
      </c>
      <c r="AH230" s="48">
        <v>9757</v>
      </c>
      <c r="AI230" s="48">
        <v>10000</v>
      </c>
      <c r="AJ230" s="48">
        <f t="shared" si="26"/>
        <v>97.57</v>
      </c>
      <c r="AL230" s="140">
        <v>44990</v>
      </c>
      <c r="AM230" t="s">
        <v>148</v>
      </c>
      <c r="AN230">
        <v>24941</v>
      </c>
      <c r="AP230" s="140">
        <v>44990</v>
      </c>
      <c r="AQ230" t="s">
        <v>180</v>
      </c>
      <c r="AR230">
        <v>1313653</v>
      </c>
    </row>
    <row r="231" spans="1:48" hidden="1" x14ac:dyDescent="0.25">
      <c r="A231" s="113">
        <v>45105</v>
      </c>
      <c r="B231" s="101">
        <v>11240736</v>
      </c>
      <c r="C231" s="101">
        <v>410454</v>
      </c>
      <c r="D231" s="101">
        <v>11651190</v>
      </c>
      <c r="E231" s="101">
        <v>96.48</v>
      </c>
      <c r="F231" s="211">
        <f t="shared" si="24"/>
        <v>11.65119</v>
      </c>
      <c r="H231" s="215">
        <v>45105</v>
      </c>
      <c r="I231" s="104">
        <v>6155077</v>
      </c>
      <c r="J231" s="104">
        <v>1060</v>
      </c>
      <c r="K231" s="104">
        <v>6156137</v>
      </c>
      <c r="L231" s="104">
        <v>99.98</v>
      </c>
      <c r="M231" s="71">
        <f t="shared" si="23"/>
        <v>6.1561370000000002</v>
      </c>
      <c r="O231" s="215">
        <v>45105</v>
      </c>
      <c r="P231" s="104">
        <v>73439765</v>
      </c>
      <c r="Q231" s="104">
        <v>23025748</v>
      </c>
      <c r="R231" s="104">
        <v>96465513</v>
      </c>
      <c r="S231" s="104">
        <v>76.13</v>
      </c>
      <c r="T231" s="212">
        <f t="shared" si="22"/>
        <v>96.465513000000001</v>
      </c>
      <c r="W231" s="215">
        <v>45105</v>
      </c>
      <c r="X231" s="48">
        <v>7229</v>
      </c>
      <c r="Y231" s="48">
        <v>10000</v>
      </c>
      <c r="Z231" s="48">
        <f t="shared" si="27"/>
        <v>72.290000000000006</v>
      </c>
      <c r="AB231" s="215">
        <v>45105</v>
      </c>
      <c r="AC231" s="48">
        <v>852</v>
      </c>
      <c r="AD231" s="48">
        <v>10000</v>
      </c>
      <c r="AE231" s="48">
        <f t="shared" si="25"/>
        <v>8.52</v>
      </c>
      <c r="AG231" s="215">
        <v>45105</v>
      </c>
      <c r="AH231" s="48">
        <v>7829</v>
      </c>
      <c r="AI231" s="48">
        <v>10000</v>
      </c>
      <c r="AJ231" s="48">
        <f t="shared" si="26"/>
        <v>78.290000000000006</v>
      </c>
      <c r="AL231" s="140">
        <v>44990</v>
      </c>
      <c r="AM231" t="s">
        <v>149</v>
      </c>
      <c r="AN231">
        <v>24766</v>
      </c>
      <c r="AP231" s="140">
        <v>44990</v>
      </c>
      <c r="AQ231" t="s">
        <v>169</v>
      </c>
      <c r="AR231">
        <v>629695</v>
      </c>
      <c r="AU231" s="70"/>
    </row>
    <row r="232" spans="1:48" hidden="1" x14ac:dyDescent="0.25">
      <c r="A232" s="113">
        <v>45106</v>
      </c>
      <c r="B232" s="101">
        <v>11593625</v>
      </c>
      <c r="C232" s="101">
        <v>346700</v>
      </c>
      <c r="D232" s="101">
        <v>11940325</v>
      </c>
      <c r="E232" s="101">
        <v>97.1</v>
      </c>
      <c r="F232" s="211">
        <f t="shared" si="24"/>
        <v>11.940325</v>
      </c>
      <c r="H232" s="215">
        <v>45106</v>
      </c>
      <c r="I232" s="104">
        <v>5665134</v>
      </c>
      <c r="J232" s="104">
        <v>1101</v>
      </c>
      <c r="K232" s="104">
        <v>5666235</v>
      </c>
      <c r="L232" s="104">
        <v>99.98</v>
      </c>
      <c r="M232" s="71">
        <f t="shared" si="23"/>
        <v>5.6662350000000004</v>
      </c>
      <c r="O232" s="215">
        <v>45106</v>
      </c>
      <c r="P232" s="104">
        <v>83548586</v>
      </c>
      <c r="Q232" s="104">
        <v>35742477</v>
      </c>
      <c r="R232" s="104">
        <v>119291063</v>
      </c>
      <c r="S232" s="104">
        <v>70.040000000000006</v>
      </c>
      <c r="T232" s="212">
        <f t="shared" si="22"/>
        <v>119.29106299999999</v>
      </c>
      <c r="W232" s="215">
        <v>45106</v>
      </c>
      <c r="X232" s="48">
        <v>9000</v>
      </c>
      <c r="Y232" s="48">
        <v>10000</v>
      </c>
      <c r="Z232" s="48">
        <f t="shared" si="27"/>
        <v>90</v>
      </c>
      <c r="AB232" s="215">
        <v>45106</v>
      </c>
      <c r="AC232" s="48">
        <v>870</v>
      </c>
      <c r="AD232" s="48">
        <v>10000</v>
      </c>
      <c r="AE232" s="48">
        <f t="shared" si="25"/>
        <v>8.6999999999999993</v>
      </c>
      <c r="AG232" s="215">
        <v>45106</v>
      </c>
      <c r="AH232" s="48">
        <v>9472</v>
      </c>
      <c r="AI232" s="48">
        <v>10000</v>
      </c>
      <c r="AJ232" s="48">
        <f t="shared" si="26"/>
        <v>94.72</v>
      </c>
      <c r="AL232" s="140">
        <v>44990</v>
      </c>
      <c r="AM232" t="s">
        <v>172</v>
      </c>
      <c r="AN232">
        <v>20299</v>
      </c>
      <c r="AP232" s="140">
        <v>44990</v>
      </c>
      <c r="AQ232" t="s">
        <v>148</v>
      </c>
      <c r="AR232">
        <v>213993</v>
      </c>
    </row>
    <row r="233" spans="1:48" hidden="1" x14ac:dyDescent="0.25">
      <c r="A233" s="113">
        <v>45107</v>
      </c>
      <c r="B233" s="101">
        <v>11606106</v>
      </c>
      <c r="C233" s="101">
        <v>371406</v>
      </c>
      <c r="D233" s="101">
        <v>11977512</v>
      </c>
      <c r="E233" s="101">
        <v>96.89</v>
      </c>
      <c r="F233" s="211">
        <f t="shared" si="24"/>
        <v>11.977512000000001</v>
      </c>
      <c r="H233" s="215">
        <v>45107</v>
      </c>
      <c r="I233" s="104">
        <v>2342266</v>
      </c>
      <c r="J233" s="104">
        <v>973</v>
      </c>
      <c r="K233" s="104">
        <v>2343239</v>
      </c>
      <c r="L233" s="104">
        <v>99.95</v>
      </c>
      <c r="M233" s="71">
        <f t="shared" si="23"/>
        <v>2.3432390000000001</v>
      </c>
      <c r="O233" s="215">
        <v>45107</v>
      </c>
      <c r="P233" s="104">
        <v>75986078</v>
      </c>
      <c r="Q233" s="104">
        <v>34845915</v>
      </c>
      <c r="R233" s="104">
        <v>110831993</v>
      </c>
      <c r="S233" s="104">
        <v>68.55</v>
      </c>
      <c r="T233" s="212">
        <f t="shared" si="22"/>
        <v>110.831993</v>
      </c>
      <c r="W233" s="215">
        <v>45107</v>
      </c>
      <c r="X233" s="48">
        <v>9000</v>
      </c>
      <c r="Y233" s="48">
        <v>10000</v>
      </c>
      <c r="Z233" s="48">
        <f t="shared" si="27"/>
        <v>90</v>
      </c>
      <c r="AB233" s="215">
        <v>45107</v>
      </c>
      <c r="AC233" s="48">
        <v>1293</v>
      </c>
      <c r="AD233" s="48">
        <v>10000</v>
      </c>
      <c r="AE233" s="48">
        <f t="shared" si="25"/>
        <v>12.93</v>
      </c>
      <c r="AG233" s="215">
        <v>45107</v>
      </c>
      <c r="AH233" s="48">
        <v>9411</v>
      </c>
      <c r="AI233" s="48">
        <v>10000</v>
      </c>
      <c r="AJ233" s="48">
        <f t="shared" si="26"/>
        <v>94.11</v>
      </c>
      <c r="AL233" s="140">
        <v>44991</v>
      </c>
      <c r="AM233" s="70" t="s">
        <v>146</v>
      </c>
      <c r="AN233">
        <v>228939</v>
      </c>
      <c r="AP233" s="140">
        <v>44991</v>
      </c>
      <c r="AQ233" s="70" t="s">
        <v>146</v>
      </c>
      <c r="AR233">
        <v>25336129</v>
      </c>
      <c r="AT233" s="140">
        <v>44991</v>
      </c>
      <c r="AU233" t="s">
        <v>147</v>
      </c>
      <c r="AV233">
        <v>1936</v>
      </c>
    </row>
    <row r="234" spans="1:48" hidden="1" x14ac:dyDescent="0.25">
      <c r="A234" s="113">
        <v>45108</v>
      </c>
      <c r="B234" s="101">
        <v>11224583</v>
      </c>
      <c r="C234" s="101">
        <v>403392</v>
      </c>
      <c r="D234" s="101">
        <v>11627975</v>
      </c>
      <c r="E234" s="101">
        <v>96.53</v>
      </c>
      <c r="F234" s="211">
        <f t="shared" si="24"/>
        <v>11.627974999999999</v>
      </c>
      <c r="H234" s="215">
        <v>45108</v>
      </c>
      <c r="I234" s="104">
        <v>1868446</v>
      </c>
      <c r="J234" s="104">
        <v>239</v>
      </c>
      <c r="K234" s="104">
        <v>1868685</v>
      </c>
      <c r="L234" s="104">
        <v>99.98</v>
      </c>
      <c r="M234" s="71">
        <f t="shared" si="23"/>
        <v>1.8686849999999999</v>
      </c>
      <c r="O234" s="215">
        <v>45108</v>
      </c>
      <c r="P234" s="104">
        <v>77000537</v>
      </c>
      <c r="Q234" s="104">
        <v>31674054</v>
      </c>
      <c r="R234" s="104">
        <v>108674591</v>
      </c>
      <c r="S234" s="104">
        <v>70.849999999999994</v>
      </c>
      <c r="T234" s="212">
        <f t="shared" ref="T234:T303" si="28">R234/1000000</f>
        <v>108.67459100000001</v>
      </c>
      <c r="W234" s="215">
        <v>45108</v>
      </c>
      <c r="X234" s="48">
        <v>9000</v>
      </c>
      <c r="Y234" s="48">
        <v>10000</v>
      </c>
      <c r="Z234" s="48">
        <f t="shared" si="27"/>
        <v>90</v>
      </c>
      <c r="AB234" s="215">
        <v>45108</v>
      </c>
      <c r="AC234" s="48">
        <v>1477</v>
      </c>
      <c r="AD234" s="48">
        <v>10000</v>
      </c>
      <c r="AE234" s="48">
        <f t="shared" si="25"/>
        <v>14.77</v>
      </c>
      <c r="AG234" s="215">
        <v>45108</v>
      </c>
      <c r="AH234" s="48">
        <v>9438</v>
      </c>
      <c r="AI234" s="48">
        <v>10000</v>
      </c>
      <c r="AJ234" s="48">
        <f t="shared" si="26"/>
        <v>94.38</v>
      </c>
      <c r="AL234" s="140">
        <v>44991</v>
      </c>
      <c r="AM234" t="s">
        <v>148</v>
      </c>
      <c r="AN234">
        <v>31566</v>
      </c>
      <c r="AP234" s="140">
        <v>44991</v>
      </c>
      <c r="AQ234" t="s">
        <v>149</v>
      </c>
      <c r="AR234">
        <v>4405617</v>
      </c>
      <c r="AT234" s="140">
        <v>44991</v>
      </c>
      <c r="AU234" t="s">
        <v>155</v>
      </c>
      <c r="AV234">
        <v>27</v>
      </c>
    </row>
    <row r="235" spans="1:48" hidden="1" x14ac:dyDescent="0.25">
      <c r="A235" s="113">
        <v>45109</v>
      </c>
      <c r="B235" s="101">
        <v>11617837</v>
      </c>
      <c r="C235" s="101">
        <v>398274</v>
      </c>
      <c r="D235" s="101">
        <v>12016111</v>
      </c>
      <c r="E235" s="101">
        <v>96.68</v>
      </c>
      <c r="F235" s="211">
        <f t="shared" si="24"/>
        <v>12.016111</v>
      </c>
      <c r="H235" s="215">
        <v>45109</v>
      </c>
      <c r="I235" s="104">
        <v>1681415</v>
      </c>
      <c r="J235" s="104">
        <v>195</v>
      </c>
      <c r="K235" s="104">
        <v>1681610</v>
      </c>
      <c r="L235" s="104">
        <v>99.98</v>
      </c>
      <c r="M235" s="71">
        <f t="shared" si="23"/>
        <v>1.68161</v>
      </c>
      <c r="O235" s="215">
        <v>45109</v>
      </c>
      <c r="P235" s="104">
        <v>58683062</v>
      </c>
      <c r="Q235" s="104">
        <v>25424764</v>
      </c>
      <c r="R235" s="104">
        <v>84107826</v>
      </c>
      <c r="S235" s="104">
        <v>69.77</v>
      </c>
      <c r="T235" s="212">
        <f t="shared" si="28"/>
        <v>84.107826000000003</v>
      </c>
      <c r="W235" s="215">
        <v>45109</v>
      </c>
      <c r="X235" s="48">
        <v>6623</v>
      </c>
      <c r="Y235" s="48">
        <v>10000</v>
      </c>
      <c r="Z235" s="48">
        <f t="shared" si="27"/>
        <v>66.23</v>
      </c>
      <c r="AB235" s="215">
        <v>45109</v>
      </c>
      <c r="AC235" s="48">
        <v>863</v>
      </c>
      <c r="AD235" s="48">
        <v>10000</v>
      </c>
      <c r="AE235" s="48">
        <f t="shared" si="25"/>
        <v>8.6300000000000008</v>
      </c>
      <c r="AG235" s="215">
        <v>45109</v>
      </c>
      <c r="AH235" s="48">
        <v>7109</v>
      </c>
      <c r="AI235" s="48">
        <v>10000</v>
      </c>
      <c r="AJ235" s="48">
        <f t="shared" si="26"/>
        <v>71.09</v>
      </c>
      <c r="AL235" s="140">
        <v>44991</v>
      </c>
      <c r="AM235" t="s">
        <v>149</v>
      </c>
      <c r="AN235">
        <v>24566</v>
      </c>
      <c r="AP235" s="140">
        <v>44991</v>
      </c>
      <c r="AQ235" t="s">
        <v>180</v>
      </c>
      <c r="AR235">
        <v>1467304</v>
      </c>
    </row>
    <row r="236" spans="1:48" hidden="1" x14ac:dyDescent="0.25">
      <c r="A236" s="113">
        <v>45110</v>
      </c>
      <c r="B236" s="101">
        <v>10840804</v>
      </c>
      <c r="C236" s="101">
        <v>364660</v>
      </c>
      <c r="D236" s="101">
        <v>11205464</v>
      </c>
      <c r="E236" s="101">
        <v>96.75</v>
      </c>
      <c r="F236" s="211">
        <f t="shared" si="24"/>
        <v>11.205463999999999</v>
      </c>
      <c r="H236" s="215">
        <v>45110</v>
      </c>
      <c r="I236" s="104">
        <v>1560139</v>
      </c>
      <c r="J236" s="104">
        <v>156</v>
      </c>
      <c r="K236" s="104">
        <v>1560295</v>
      </c>
      <c r="L236" s="104">
        <v>99.99</v>
      </c>
      <c r="M236" s="71">
        <f t="shared" si="23"/>
        <v>1.560295</v>
      </c>
      <c r="O236" s="215">
        <v>45110</v>
      </c>
      <c r="P236" s="104">
        <v>68760018</v>
      </c>
      <c r="Q236" s="104">
        <v>30247281</v>
      </c>
      <c r="R236" s="104">
        <v>99007299</v>
      </c>
      <c r="S236" s="104">
        <v>69.45</v>
      </c>
      <c r="T236" s="212">
        <f t="shared" si="28"/>
        <v>99.007299000000003</v>
      </c>
      <c r="W236" s="215">
        <v>45110</v>
      </c>
      <c r="X236" s="48">
        <v>7155</v>
      </c>
      <c r="Y236" s="48">
        <v>10000</v>
      </c>
      <c r="Z236" s="48">
        <f t="shared" si="27"/>
        <v>71.55</v>
      </c>
      <c r="AB236" s="215">
        <v>45110</v>
      </c>
      <c r="AC236" s="48">
        <v>936</v>
      </c>
      <c r="AD236" s="48">
        <v>10000</v>
      </c>
      <c r="AE236" s="48">
        <f t="shared" si="25"/>
        <v>9.36</v>
      </c>
      <c r="AG236" s="215">
        <v>45110</v>
      </c>
      <c r="AH236" s="48">
        <v>10000</v>
      </c>
      <c r="AI236" s="48">
        <v>10000</v>
      </c>
      <c r="AJ236" s="48">
        <f t="shared" si="26"/>
        <v>100</v>
      </c>
      <c r="AL236" s="140">
        <v>44991</v>
      </c>
      <c r="AM236" t="s">
        <v>180</v>
      </c>
      <c r="AN236">
        <v>20992</v>
      </c>
      <c r="AP236" s="140">
        <v>44991</v>
      </c>
      <c r="AQ236" t="s">
        <v>169</v>
      </c>
      <c r="AR236">
        <v>783108</v>
      </c>
      <c r="AU236" s="70"/>
    </row>
    <row r="237" spans="1:48" hidden="1" x14ac:dyDescent="0.25">
      <c r="A237" s="113">
        <v>45111</v>
      </c>
      <c r="B237" s="101">
        <v>10994143</v>
      </c>
      <c r="C237" s="101">
        <v>434647</v>
      </c>
      <c r="D237" s="101">
        <v>11428790</v>
      </c>
      <c r="E237" s="101">
        <v>96.2</v>
      </c>
      <c r="F237" s="211">
        <f t="shared" si="24"/>
        <v>11.428789999999999</v>
      </c>
      <c r="H237" s="215">
        <v>45111</v>
      </c>
      <c r="I237" s="104">
        <v>1634636</v>
      </c>
      <c r="J237" s="104">
        <v>186</v>
      </c>
      <c r="K237" s="104">
        <v>1634822</v>
      </c>
      <c r="L237" s="104">
        <v>99.99</v>
      </c>
      <c r="M237" s="71">
        <f t="shared" si="23"/>
        <v>1.634822</v>
      </c>
      <c r="O237" s="215">
        <v>45111</v>
      </c>
      <c r="P237" s="104">
        <v>73052162</v>
      </c>
      <c r="Q237" s="104">
        <v>29337357</v>
      </c>
      <c r="R237" s="104">
        <v>102389519</v>
      </c>
      <c r="S237" s="104">
        <v>71.349999999999994</v>
      </c>
      <c r="T237" s="212">
        <f t="shared" si="28"/>
        <v>102.38951900000001</v>
      </c>
      <c r="W237" s="215">
        <v>45111</v>
      </c>
      <c r="X237" s="48">
        <v>7529</v>
      </c>
      <c r="Y237" s="48">
        <v>10000</v>
      </c>
      <c r="Z237" s="48">
        <f t="shared" si="27"/>
        <v>75.290000000000006</v>
      </c>
      <c r="AB237" s="215">
        <v>45111</v>
      </c>
      <c r="AC237" s="48">
        <v>1079</v>
      </c>
      <c r="AD237" s="48">
        <v>10000</v>
      </c>
      <c r="AE237" s="48">
        <f t="shared" si="25"/>
        <v>10.79</v>
      </c>
      <c r="AG237" s="215">
        <v>45111</v>
      </c>
      <c r="AH237" s="48">
        <v>5767</v>
      </c>
      <c r="AI237" s="48">
        <v>10000</v>
      </c>
      <c r="AJ237" s="48">
        <f t="shared" si="26"/>
        <v>57.67</v>
      </c>
      <c r="AL237" s="140">
        <v>44991</v>
      </c>
      <c r="AM237" t="s">
        <v>186</v>
      </c>
      <c r="AN237">
        <v>9440</v>
      </c>
      <c r="AP237" s="140">
        <v>44991</v>
      </c>
      <c r="AQ237" t="s">
        <v>148</v>
      </c>
      <c r="AR237">
        <v>660036</v>
      </c>
    </row>
    <row r="238" spans="1:48" hidden="1" x14ac:dyDescent="0.25">
      <c r="A238" s="113">
        <v>45112</v>
      </c>
      <c r="B238" s="101">
        <v>11551748</v>
      </c>
      <c r="C238" s="101">
        <v>445234</v>
      </c>
      <c r="D238" s="101">
        <v>11996982</v>
      </c>
      <c r="E238" s="101">
        <v>96.29</v>
      </c>
      <c r="F238" s="211">
        <f t="shared" si="24"/>
        <v>11.996981999999999</v>
      </c>
      <c r="H238" s="215">
        <v>45112</v>
      </c>
      <c r="I238" s="104">
        <v>1619582</v>
      </c>
      <c r="J238" s="104">
        <v>130</v>
      </c>
      <c r="K238" s="104">
        <v>1619712</v>
      </c>
      <c r="L238" s="104">
        <v>99.99</v>
      </c>
      <c r="M238" s="71">
        <f t="shared" si="23"/>
        <v>1.619712</v>
      </c>
      <c r="O238" s="215">
        <v>45112</v>
      </c>
      <c r="P238" s="104">
        <v>76341499</v>
      </c>
      <c r="Q238" s="104">
        <v>33266580</v>
      </c>
      <c r="R238" s="104">
        <v>109608079</v>
      </c>
      <c r="S238" s="104">
        <v>69.650000000000006</v>
      </c>
      <c r="T238" s="212">
        <f t="shared" si="28"/>
        <v>109.608079</v>
      </c>
      <c r="W238" s="215">
        <v>45112</v>
      </c>
      <c r="X238" s="48">
        <v>9000</v>
      </c>
      <c r="Y238" s="48">
        <v>10000</v>
      </c>
      <c r="Z238" s="48">
        <f t="shared" si="27"/>
        <v>90</v>
      </c>
      <c r="AB238" s="215">
        <v>45112</v>
      </c>
      <c r="AC238" s="48">
        <v>932</v>
      </c>
      <c r="AD238" s="48">
        <v>10000</v>
      </c>
      <c r="AE238" s="48">
        <f t="shared" si="25"/>
        <v>9.32</v>
      </c>
      <c r="AG238" s="215">
        <v>45112</v>
      </c>
      <c r="AH238" s="48">
        <v>9503</v>
      </c>
      <c r="AI238" s="48">
        <v>10000</v>
      </c>
      <c r="AJ238" s="48">
        <f t="shared" si="26"/>
        <v>95.03</v>
      </c>
      <c r="AL238" s="140">
        <v>44992</v>
      </c>
      <c r="AM238" s="70" t="s">
        <v>146</v>
      </c>
      <c r="AN238">
        <v>288121</v>
      </c>
      <c r="AP238" s="140">
        <v>44992</v>
      </c>
      <c r="AQ238" s="70" t="s">
        <v>146</v>
      </c>
      <c r="AR238">
        <v>24040974</v>
      </c>
      <c r="AT238" s="140">
        <v>44992</v>
      </c>
      <c r="AU238" t="s">
        <v>147</v>
      </c>
      <c r="AV238">
        <v>148</v>
      </c>
    </row>
    <row r="239" spans="1:48" hidden="1" x14ac:dyDescent="0.25">
      <c r="A239" s="113">
        <v>45113</v>
      </c>
      <c r="B239" s="101">
        <v>11280819</v>
      </c>
      <c r="C239" s="101">
        <v>463079</v>
      </c>
      <c r="D239" s="101">
        <v>11743898</v>
      </c>
      <c r="E239" s="101">
        <v>96.06</v>
      </c>
      <c r="F239" s="211">
        <f t="shared" si="24"/>
        <v>11.743898</v>
      </c>
      <c r="H239" s="215">
        <v>45113</v>
      </c>
      <c r="I239" s="104">
        <v>2103725</v>
      </c>
      <c r="J239" s="104">
        <v>148</v>
      </c>
      <c r="K239" s="104">
        <v>2103873</v>
      </c>
      <c r="L239" s="104">
        <v>99.99</v>
      </c>
      <c r="M239" s="71">
        <f t="shared" si="23"/>
        <v>2.1038730000000001</v>
      </c>
      <c r="O239" s="215">
        <v>45113</v>
      </c>
      <c r="P239" s="104">
        <v>79807879</v>
      </c>
      <c r="Q239" s="104">
        <v>36030438</v>
      </c>
      <c r="R239" s="104">
        <v>115838317</v>
      </c>
      <c r="S239" s="104">
        <v>68.900000000000006</v>
      </c>
      <c r="T239" s="212">
        <f t="shared" si="28"/>
        <v>115.838317</v>
      </c>
      <c r="W239" s="215">
        <v>45113</v>
      </c>
      <c r="X239" s="48">
        <v>9000</v>
      </c>
      <c r="Y239" s="48">
        <v>10000</v>
      </c>
      <c r="Z239" s="48">
        <f t="shared" si="27"/>
        <v>90</v>
      </c>
      <c r="AB239" s="215">
        <v>45113</v>
      </c>
      <c r="AC239" s="48">
        <v>944</v>
      </c>
      <c r="AD239" s="48">
        <v>10000</v>
      </c>
      <c r="AE239" s="48">
        <f t="shared" si="25"/>
        <v>9.44</v>
      </c>
      <c r="AG239" s="215">
        <v>45113</v>
      </c>
      <c r="AH239" s="48">
        <v>9618</v>
      </c>
      <c r="AI239" s="48">
        <v>10000</v>
      </c>
      <c r="AJ239" s="48">
        <f t="shared" si="26"/>
        <v>96.18</v>
      </c>
      <c r="AL239" s="140">
        <v>44992</v>
      </c>
      <c r="AM239" t="s">
        <v>180</v>
      </c>
      <c r="AN239">
        <v>76005</v>
      </c>
      <c r="AP239" s="140">
        <v>44992</v>
      </c>
      <c r="AQ239" t="s">
        <v>149</v>
      </c>
      <c r="AR239">
        <v>4575472</v>
      </c>
      <c r="AT239" s="140">
        <v>44992</v>
      </c>
      <c r="AU239" t="s">
        <v>155</v>
      </c>
      <c r="AV239">
        <v>26</v>
      </c>
    </row>
    <row r="240" spans="1:48" hidden="1" x14ac:dyDescent="0.25">
      <c r="A240" s="113">
        <v>45114</v>
      </c>
      <c r="B240" s="101">
        <v>10937060</v>
      </c>
      <c r="C240" s="101">
        <v>505708</v>
      </c>
      <c r="D240" s="101">
        <v>11442768</v>
      </c>
      <c r="E240" s="193">
        <f>B240/D240%</f>
        <v>95.580544847190822</v>
      </c>
      <c r="F240" s="211">
        <f t="shared" si="24"/>
        <v>11.442767999999999</v>
      </c>
      <c r="H240" s="215">
        <v>45114</v>
      </c>
      <c r="I240" s="104">
        <v>2079482</v>
      </c>
      <c r="J240" s="104">
        <v>94</v>
      </c>
      <c r="K240" s="104">
        <v>2079576</v>
      </c>
      <c r="L240" s="219">
        <f>I240/K240%</f>
        <v>99.995479847815133</v>
      </c>
      <c r="M240" s="71">
        <f t="shared" si="23"/>
        <v>2.0795759999999999</v>
      </c>
      <c r="O240" s="215">
        <v>45114</v>
      </c>
      <c r="P240" s="104">
        <v>76623637</v>
      </c>
      <c r="Q240" s="104">
        <v>34906647</v>
      </c>
      <c r="R240" s="104">
        <v>111530284</v>
      </c>
      <c r="S240" s="114">
        <f>P240/R240%</f>
        <v>68.702090815083011</v>
      </c>
      <c r="T240" s="212">
        <f t="shared" si="28"/>
        <v>111.53028399999999</v>
      </c>
      <c r="W240" s="215">
        <v>45114</v>
      </c>
      <c r="X240" s="48">
        <v>9000</v>
      </c>
      <c r="Y240" s="48">
        <v>10000</v>
      </c>
      <c r="Z240" s="48">
        <f t="shared" si="27"/>
        <v>90</v>
      </c>
      <c r="AB240" s="215">
        <v>45114</v>
      </c>
      <c r="AC240" s="48">
        <v>981</v>
      </c>
      <c r="AD240" s="48">
        <v>10000</v>
      </c>
      <c r="AE240" s="48">
        <f t="shared" si="25"/>
        <v>9.81</v>
      </c>
      <c r="AG240" s="215">
        <v>45114</v>
      </c>
      <c r="AH240" s="48">
        <v>9641</v>
      </c>
      <c r="AI240" s="48">
        <v>10000</v>
      </c>
      <c r="AJ240" s="48">
        <f t="shared" si="26"/>
        <v>96.41</v>
      </c>
      <c r="AL240" s="140">
        <v>44992</v>
      </c>
      <c r="AM240" t="s">
        <v>172</v>
      </c>
      <c r="AN240">
        <v>36774</v>
      </c>
      <c r="AP240" s="140">
        <v>44992</v>
      </c>
      <c r="AQ240" t="s">
        <v>180</v>
      </c>
      <c r="AR240">
        <v>1511991</v>
      </c>
    </row>
    <row r="241" spans="1:48" hidden="1" x14ac:dyDescent="0.25">
      <c r="A241" s="113">
        <v>45115</v>
      </c>
      <c r="B241" s="101">
        <v>11428748</v>
      </c>
      <c r="C241" s="101">
        <v>468088</v>
      </c>
      <c r="D241" s="101">
        <v>11896836</v>
      </c>
      <c r="E241" s="193">
        <f>B241/D241%</f>
        <v>96.065441265223797</v>
      </c>
      <c r="F241" s="211">
        <f t="shared" si="24"/>
        <v>11.896836</v>
      </c>
      <c r="H241" s="215">
        <v>45115</v>
      </c>
      <c r="I241" s="104">
        <v>2576925</v>
      </c>
      <c r="J241" s="104">
        <v>125</v>
      </c>
      <c r="K241" s="104">
        <v>2577050</v>
      </c>
      <c r="L241" s="219">
        <f>I241/K241%</f>
        <v>99.995149492636926</v>
      </c>
      <c r="M241" s="71">
        <f t="shared" si="23"/>
        <v>2.5770499999999998</v>
      </c>
      <c r="O241" s="215">
        <v>45115</v>
      </c>
      <c r="P241" s="104">
        <v>77458546</v>
      </c>
      <c r="Q241" s="104">
        <v>37820408</v>
      </c>
      <c r="R241" s="104">
        <v>115278954</v>
      </c>
      <c r="S241" s="114">
        <f>P241/R241%</f>
        <v>67.19226997843856</v>
      </c>
      <c r="T241" s="212">
        <f t="shared" si="28"/>
        <v>115.278954</v>
      </c>
      <c r="W241" s="215">
        <v>45115</v>
      </c>
      <c r="X241" s="48">
        <v>9000</v>
      </c>
      <c r="Y241" s="48">
        <v>10000</v>
      </c>
      <c r="Z241" s="48">
        <f t="shared" si="27"/>
        <v>90</v>
      </c>
      <c r="AB241" s="215">
        <v>45115</v>
      </c>
      <c r="AC241" s="48">
        <v>955</v>
      </c>
      <c r="AD241" s="48">
        <v>10000</v>
      </c>
      <c r="AE241" s="48">
        <f t="shared" si="25"/>
        <v>9.5500000000000007</v>
      </c>
      <c r="AG241" s="215">
        <v>45115</v>
      </c>
      <c r="AH241" s="48">
        <v>9427</v>
      </c>
      <c r="AI241" s="48">
        <v>10000</v>
      </c>
      <c r="AJ241" s="48">
        <f t="shared" si="26"/>
        <v>94.27</v>
      </c>
      <c r="AL241" s="140">
        <v>44992</v>
      </c>
      <c r="AM241" t="s">
        <v>148</v>
      </c>
      <c r="AN241">
        <v>31101</v>
      </c>
      <c r="AP241" s="140">
        <v>44992</v>
      </c>
      <c r="AQ241" t="s">
        <v>148</v>
      </c>
      <c r="AR241">
        <v>752563</v>
      </c>
      <c r="AU241" s="70"/>
    </row>
    <row r="242" spans="1:48" hidden="1" x14ac:dyDescent="0.25">
      <c r="A242" s="113">
        <v>45116</v>
      </c>
      <c r="B242" s="101">
        <f>444729+10089631</f>
        <v>10534360</v>
      </c>
      <c r="C242" s="101">
        <f>357956+54849</f>
        <v>412805</v>
      </c>
      <c r="D242" s="101">
        <f>802685+10144480</f>
        <v>10947165</v>
      </c>
      <c r="E242" s="193">
        <f>B242/D242%</f>
        <v>96.229115026584509</v>
      </c>
      <c r="F242" s="211">
        <f t="shared" si="24"/>
        <v>10.947165</v>
      </c>
      <c r="H242" s="215">
        <v>45116</v>
      </c>
      <c r="I242" s="104">
        <f>30762+1817108</f>
        <v>1847870</v>
      </c>
      <c r="J242" s="104">
        <f>1444+12</f>
        <v>1456</v>
      </c>
      <c r="K242" s="104">
        <f>32206+1817120</f>
        <v>1849326</v>
      </c>
      <c r="L242" s="114">
        <f>I242/K242%</f>
        <v>99.921268613538132</v>
      </c>
      <c r="M242" s="71">
        <f t="shared" si="23"/>
        <v>1.849326</v>
      </c>
      <c r="O242" s="215">
        <v>45116</v>
      </c>
      <c r="P242" s="104">
        <f>3697511+53226370</f>
        <v>56923881</v>
      </c>
      <c r="Q242" s="104">
        <f>4033466+15825982</f>
        <v>19859448</v>
      </c>
      <c r="R242" s="104">
        <f>7730977+69052352</f>
        <v>76783329</v>
      </c>
      <c r="S242" s="114">
        <f>P242/R242%</f>
        <v>74.135729384694955</v>
      </c>
      <c r="T242" s="212">
        <f t="shared" si="28"/>
        <v>76.783328999999995</v>
      </c>
      <c r="W242" s="215">
        <v>45116</v>
      </c>
      <c r="X242" s="48">
        <v>5398</v>
      </c>
      <c r="Y242" s="48">
        <v>10000</v>
      </c>
      <c r="Z242" s="48">
        <f t="shared" si="27"/>
        <v>53.98</v>
      </c>
      <c r="AB242" s="215">
        <v>45116</v>
      </c>
      <c r="AC242" s="48">
        <v>923</v>
      </c>
      <c r="AD242" s="48">
        <v>10000</v>
      </c>
      <c r="AE242" s="48">
        <f t="shared" si="25"/>
        <v>9.23</v>
      </c>
      <c r="AG242" s="215">
        <v>45116</v>
      </c>
      <c r="AH242" s="48">
        <v>5856</v>
      </c>
      <c r="AI242" s="48">
        <v>10000</v>
      </c>
      <c r="AJ242" s="48">
        <f t="shared" si="26"/>
        <v>58.56</v>
      </c>
      <c r="AL242" s="140">
        <v>44992</v>
      </c>
      <c r="AM242" t="s">
        <v>149</v>
      </c>
      <c r="AN242">
        <v>30716</v>
      </c>
      <c r="AP242" s="140">
        <v>44992</v>
      </c>
      <c r="AQ242" t="s">
        <v>169</v>
      </c>
      <c r="AR242">
        <v>668640</v>
      </c>
    </row>
    <row r="243" spans="1:48" hidden="1" x14ac:dyDescent="0.25">
      <c r="A243" s="113">
        <v>45117</v>
      </c>
      <c r="B243" s="101">
        <v>11877481</v>
      </c>
      <c r="C243" s="101">
        <v>350761</v>
      </c>
      <c r="D243" s="101">
        <v>12228242</v>
      </c>
      <c r="E243" s="101">
        <v>97.13</v>
      </c>
      <c r="F243" s="211">
        <f t="shared" si="24"/>
        <v>12.228242</v>
      </c>
      <c r="H243" s="215">
        <v>45117</v>
      </c>
      <c r="I243" s="104">
        <v>2724881</v>
      </c>
      <c r="J243" s="104">
        <v>15086</v>
      </c>
      <c r="K243" s="104">
        <v>2739967</v>
      </c>
      <c r="L243" s="104">
        <v>99.45</v>
      </c>
      <c r="M243" s="71">
        <f t="shared" si="23"/>
        <v>2.739967</v>
      </c>
      <c r="O243" s="215">
        <v>45117</v>
      </c>
      <c r="P243" s="104">
        <v>70659967</v>
      </c>
      <c r="Q243" s="104">
        <v>30211063</v>
      </c>
      <c r="R243" s="104">
        <v>100871030</v>
      </c>
      <c r="S243" s="104">
        <v>70.05</v>
      </c>
      <c r="T243" s="212">
        <f t="shared" si="28"/>
        <v>100.87103</v>
      </c>
      <c r="W243" s="215">
        <v>45117</v>
      </c>
      <c r="X243" s="48">
        <v>11000</v>
      </c>
      <c r="Y243" s="48">
        <v>10000</v>
      </c>
      <c r="Z243" s="48">
        <f t="shared" si="27"/>
        <v>110</v>
      </c>
      <c r="AB243" s="215">
        <v>45117</v>
      </c>
      <c r="AC243" s="48">
        <v>981</v>
      </c>
      <c r="AD243" s="48">
        <v>10000</v>
      </c>
      <c r="AE243" s="48">
        <f t="shared" si="25"/>
        <v>9.81</v>
      </c>
      <c r="AG243" s="215">
        <v>45117</v>
      </c>
      <c r="AH243" s="48">
        <v>11621</v>
      </c>
      <c r="AI243" s="48">
        <v>10000</v>
      </c>
      <c r="AJ243" s="48">
        <f t="shared" si="26"/>
        <v>116.21</v>
      </c>
      <c r="AL243" s="140">
        <v>44993</v>
      </c>
      <c r="AM243" s="70" t="s">
        <v>146</v>
      </c>
      <c r="AN243">
        <v>284242</v>
      </c>
      <c r="AP243" s="140">
        <v>44993</v>
      </c>
      <c r="AQ243" s="70" t="s">
        <v>146</v>
      </c>
      <c r="AR243">
        <v>27055167</v>
      </c>
      <c r="AT243" s="140">
        <v>44993</v>
      </c>
      <c r="AU243" t="s">
        <v>155</v>
      </c>
      <c r="AV243">
        <v>42797</v>
      </c>
    </row>
    <row r="244" spans="1:48" hidden="1" x14ac:dyDescent="0.25">
      <c r="A244" s="113">
        <v>45118</v>
      </c>
      <c r="B244" s="101">
        <v>11635705</v>
      </c>
      <c r="C244" s="101">
        <v>505983</v>
      </c>
      <c r="D244" s="101">
        <v>12141688</v>
      </c>
      <c r="E244" s="101">
        <v>95.83</v>
      </c>
      <c r="F244" s="211">
        <f t="shared" si="24"/>
        <v>12.141688</v>
      </c>
      <c r="H244" s="215">
        <v>45118</v>
      </c>
      <c r="I244" s="104">
        <v>2504079</v>
      </c>
      <c r="J244" s="104">
        <v>606</v>
      </c>
      <c r="K244" s="104">
        <v>2504685</v>
      </c>
      <c r="L244" s="104">
        <v>99.98</v>
      </c>
      <c r="M244" s="71">
        <f t="shared" si="23"/>
        <v>2.5046849999999998</v>
      </c>
      <c r="O244" s="215">
        <v>45118</v>
      </c>
      <c r="P244" s="104">
        <v>72355096</v>
      </c>
      <c r="Q244" s="104">
        <v>33315056</v>
      </c>
      <c r="R244" s="104">
        <v>105670152</v>
      </c>
      <c r="S244" s="104">
        <v>68.47</v>
      </c>
      <c r="T244" s="212">
        <f t="shared" si="28"/>
        <v>105.670152</v>
      </c>
      <c r="W244" s="215">
        <v>45118</v>
      </c>
      <c r="X244" s="48">
        <v>11000</v>
      </c>
      <c r="Y244" s="48">
        <v>10000</v>
      </c>
      <c r="Z244" s="48">
        <f t="shared" si="27"/>
        <v>110</v>
      </c>
      <c r="AB244" s="215">
        <v>45118</v>
      </c>
      <c r="AC244" s="48">
        <v>1377</v>
      </c>
      <c r="AD244" s="48">
        <v>10000</v>
      </c>
      <c r="AE244" s="48">
        <f t="shared" si="25"/>
        <v>13.77</v>
      </c>
      <c r="AG244" s="215">
        <v>45118</v>
      </c>
      <c r="AH244" s="48">
        <v>11591</v>
      </c>
      <c r="AI244" s="48">
        <v>10000</v>
      </c>
      <c r="AJ244" s="48">
        <f t="shared" si="26"/>
        <v>115.91</v>
      </c>
      <c r="AL244" s="140">
        <v>44993</v>
      </c>
      <c r="AM244" t="s">
        <v>180</v>
      </c>
      <c r="AN244">
        <v>60711</v>
      </c>
      <c r="AP244" s="140">
        <v>44993</v>
      </c>
      <c r="AQ244" t="s">
        <v>149</v>
      </c>
      <c r="AR244">
        <v>5644448</v>
      </c>
      <c r="AT244" s="140">
        <v>44993</v>
      </c>
      <c r="AU244" t="s">
        <v>147</v>
      </c>
      <c r="AV244">
        <v>130</v>
      </c>
    </row>
    <row r="245" spans="1:48" hidden="1" x14ac:dyDescent="0.25">
      <c r="A245" s="113">
        <v>45119</v>
      </c>
      <c r="B245" s="101">
        <v>11432406</v>
      </c>
      <c r="C245" s="101">
        <v>504074</v>
      </c>
      <c r="D245" s="101">
        <v>11936480</v>
      </c>
      <c r="E245" s="101">
        <v>95.78</v>
      </c>
      <c r="F245" s="211">
        <f t="shared" si="24"/>
        <v>11.93648</v>
      </c>
      <c r="H245" s="215">
        <v>45119</v>
      </c>
      <c r="I245" s="104">
        <v>2566106</v>
      </c>
      <c r="J245" s="104">
        <v>590</v>
      </c>
      <c r="K245" s="104">
        <v>2566696</v>
      </c>
      <c r="L245" s="104">
        <v>99.98</v>
      </c>
      <c r="M245" s="71">
        <f t="shared" si="23"/>
        <v>2.5666959999999999</v>
      </c>
      <c r="O245" s="215">
        <v>45119</v>
      </c>
      <c r="P245" s="104">
        <v>64972889</v>
      </c>
      <c r="Q245" s="104">
        <v>25384218</v>
      </c>
      <c r="R245" s="104">
        <v>90357107</v>
      </c>
      <c r="S245" s="104">
        <v>71.91</v>
      </c>
      <c r="T245" s="212">
        <f t="shared" si="28"/>
        <v>90.357106999999999</v>
      </c>
      <c r="W245" s="215">
        <v>45119</v>
      </c>
      <c r="X245" s="48">
        <v>7751</v>
      </c>
      <c r="Y245" s="48">
        <v>10000</v>
      </c>
      <c r="Z245" s="48">
        <f t="shared" si="27"/>
        <v>77.510000000000005</v>
      </c>
      <c r="AB245" s="215">
        <v>45119</v>
      </c>
      <c r="AC245" s="48">
        <v>926</v>
      </c>
      <c r="AD245" s="48">
        <v>10000</v>
      </c>
      <c r="AE245" s="48">
        <f t="shared" si="25"/>
        <v>9.26</v>
      </c>
      <c r="AG245" s="215">
        <v>45119</v>
      </c>
      <c r="AH245" s="48">
        <v>8374</v>
      </c>
      <c r="AI245" s="48">
        <v>10000</v>
      </c>
      <c r="AJ245" s="48">
        <f t="shared" si="26"/>
        <v>83.74</v>
      </c>
      <c r="AL245" s="140">
        <v>44993</v>
      </c>
      <c r="AM245" t="s">
        <v>149</v>
      </c>
      <c r="AN245">
        <v>33650</v>
      </c>
      <c r="AP245" s="140">
        <v>44993</v>
      </c>
      <c r="AQ245" t="s">
        <v>180</v>
      </c>
      <c r="AR245">
        <v>1413265</v>
      </c>
    </row>
    <row r="246" spans="1:48" hidden="1" x14ac:dyDescent="0.25">
      <c r="A246" s="113">
        <v>45120</v>
      </c>
      <c r="B246" s="101">
        <v>11446162</v>
      </c>
      <c r="C246" s="101">
        <v>239818</v>
      </c>
      <c r="D246" s="101">
        <v>11685980</v>
      </c>
      <c r="E246" s="101">
        <v>97.95</v>
      </c>
      <c r="F246" s="211">
        <f t="shared" si="24"/>
        <v>11.685980000000001</v>
      </c>
      <c r="H246" s="215">
        <v>45120</v>
      </c>
      <c r="I246" s="104">
        <v>5208487</v>
      </c>
      <c r="J246" s="104">
        <v>97</v>
      </c>
      <c r="K246" s="104">
        <v>5208584</v>
      </c>
      <c r="L246" s="104">
        <v>100</v>
      </c>
      <c r="M246" s="71">
        <f t="shared" si="23"/>
        <v>5.2085840000000001</v>
      </c>
      <c r="O246" s="215">
        <v>45120</v>
      </c>
      <c r="P246" s="104">
        <v>78983985</v>
      </c>
      <c r="Q246" s="104">
        <v>33399926</v>
      </c>
      <c r="R246" s="104">
        <v>112383911</v>
      </c>
      <c r="S246" s="104">
        <v>70.28</v>
      </c>
      <c r="T246" s="212">
        <f t="shared" si="28"/>
        <v>112.383911</v>
      </c>
      <c r="W246" s="215">
        <v>45120</v>
      </c>
      <c r="X246" s="48">
        <v>11000</v>
      </c>
      <c r="Y246" s="48">
        <v>10000</v>
      </c>
      <c r="Z246" s="48">
        <f t="shared" si="27"/>
        <v>110</v>
      </c>
      <c r="AB246" s="215">
        <v>45120</v>
      </c>
      <c r="AC246" s="48">
        <v>1056</v>
      </c>
      <c r="AD246" s="48">
        <v>10000</v>
      </c>
      <c r="AE246" s="48">
        <f t="shared" si="25"/>
        <v>10.56</v>
      </c>
      <c r="AG246" s="215">
        <v>45120</v>
      </c>
      <c r="AH246" s="48">
        <v>11382</v>
      </c>
      <c r="AI246" s="48">
        <v>10000</v>
      </c>
      <c r="AJ246" s="48">
        <f t="shared" si="26"/>
        <v>113.82</v>
      </c>
      <c r="AL246" s="140">
        <v>44993</v>
      </c>
      <c r="AM246" t="s">
        <v>172</v>
      </c>
      <c r="AN246">
        <v>32193</v>
      </c>
      <c r="AP246" s="140">
        <v>44993</v>
      </c>
      <c r="AQ246" t="s">
        <v>148</v>
      </c>
      <c r="AR246">
        <v>1111603</v>
      </c>
      <c r="AU246" s="70"/>
    </row>
    <row r="247" spans="1:48" hidden="1" x14ac:dyDescent="0.25">
      <c r="A247" s="113">
        <v>45121</v>
      </c>
      <c r="B247" s="101">
        <v>11990319</v>
      </c>
      <c r="C247" s="101">
        <v>429049</v>
      </c>
      <c r="D247" s="101">
        <v>12419368</v>
      </c>
      <c r="E247" s="101">
        <v>96.55</v>
      </c>
      <c r="F247" s="211">
        <f t="shared" si="24"/>
        <v>12.419368</v>
      </c>
      <c r="H247" s="215">
        <v>45121</v>
      </c>
      <c r="I247" s="104">
        <v>3441229</v>
      </c>
      <c r="J247" s="104">
        <v>349</v>
      </c>
      <c r="K247" s="104">
        <v>3441578</v>
      </c>
      <c r="L247" s="104">
        <v>99.99</v>
      </c>
      <c r="M247" s="71">
        <f t="shared" si="23"/>
        <v>3.4415779999999998</v>
      </c>
      <c r="O247" s="215">
        <v>45121</v>
      </c>
      <c r="P247" s="104">
        <v>72895869</v>
      </c>
      <c r="Q247" s="104">
        <v>27229836</v>
      </c>
      <c r="R247" s="104">
        <v>100125705</v>
      </c>
      <c r="S247" s="104">
        <v>72.8</v>
      </c>
      <c r="T247" s="212">
        <f t="shared" si="28"/>
        <v>100.125705</v>
      </c>
      <c r="W247" s="215">
        <v>45121</v>
      </c>
      <c r="X247" s="48">
        <v>10063</v>
      </c>
      <c r="Y247" s="48">
        <v>10000</v>
      </c>
      <c r="Z247" s="48">
        <f t="shared" si="27"/>
        <v>100.63</v>
      </c>
      <c r="AB247" s="215">
        <v>45121</v>
      </c>
      <c r="AC247" s="48">
        <v>1023</v>
      </c>
      <c r="AD247" s="48">
        <v>10000</v>
      </c>
      <c r="AE247" s="48">
        <f t="shared" si="25"/>
        <v>10.23</v>
      </c>
      <c r="AG247" s="215">
        <v>45121</v>
      </c>
      <c r="AH247" s="48">
        <v>10647</v>
      </c>
      <c r="AI247" s="48">
        <v>10000</v>
      </c>
      <c r="AJ247" s="48">
        <f t="shared" si="26"/>
        <v>106.47</v>
      </c>
      <c r="AL247" s="140">
        <v>44993</v>
      </c>
      <c r="AM247" t="s">
        <v>148</v>
      </c>
      <c r="AN247">
        <v>27529</v>
      </c>
      <c r="AP247" s="140">
        <v>44993</v>
      </c>
      <c r="AQ247" t="s">
        <v>169</v>
      </c>
      <c r="AR247">
        <v>815439</v>
      </c>
    </row>
    <row r="248" spans="1:48" hidden="1" x14ac:dyDescent="0.25">
      <c r="A248" s="113">
        <v>45122</v>
      </c>
      <c r="B248" s="101">
        <v>12172260</v>
      </c>
      <c r="C248" s="101">
        <v>478013</v>
      </c>
      <c r="D248" s="101">
        <v>12650273</v>
      </c>
      <c r="E248" s="101">
        <v>96.22</v>
      </c>
      <c r="F248" s="211">
        <f t="shared" si="24"/>
        <v>12.650273</v>
      </c>
      <c r="H248" s="215">
        <v>45122</v>
      </c>
      <c r="I248" s="104">
        <v>5707406</v>
      </c>
      <c r="J248" s="104">
        <v>183</v>
      </c>
      <c r="K248" s="104">
        <v>5707589</v>
      </c>
      <c r="L248" s="104">
        <v>100</v>
      </c>
      <c r="M248" s="71">
        <f t="shared" si="23"/>
        <v>5.7075889999999996</v>
      </c>
      <c r="O248" s="215">
        <v>45122</v>
      </c>
      <c r="P248" s="104">
        <v>74504847</v>
      </c>
      <c r="Q248" s="104">
        <v>34671713</v>
      </c>
      <c r="R248" s="104">
        <v>109176560</v>
      </c>
      <c r="S248" s="104">
        <v>68.239999999999995</v>
      </c>
      <c r="T248" s="212">
        <f t="shared" si="28"/>
        <v>109.17655999999999</v>
      </c>
      <c r="W248" s="215">
        <v>45122</v>
      </c>
      <c r="X248" s="48">
        <v>7202</v>
      </c>
      <c r="Y248" s="48">
        <v>10000</v>
      </c>
      <c r="Z248" s="48">
        <f t="shared" si="27"/>
        <v>72.02</v>
      </c>
      <c r="AB248" s="215">
        <v>45122</v>
      </c>
      <c r="AC248" s="48">
        <v>1048</v>
      </c>
      <c r="AD248" s="48">
        <v>10000</v>
      </c>
      <c r="AE248" s="48">
        <f t="shared" si="25"/>
        <v>10.48</v>
      </c>
      <c r="AG248" s="215">
        <v>45122</v>
      </c>
      <c r="AH248" s="48">
        <v>8117</v>
      </c>
      <c r="AI248" s="48">
        <v>10000</v>
      </c>
      <c r="AJ248" s="48">
        <f t="shared" si="26"/>
        <v>81.17</v>
      </c>
      <c r="AL248" s="140">
        <v>44994</v>
      </c>
      <c r="AM248" t="s">
        <v>146</v>
      </c>
      <c r="AN248">
        <v>282490</v>
      </c>
      <c r="AP248" s="140">
        <v>44994</v>
      </c>
      <c r="AQ248" t="s">
        <v>146</v>
      </c>
      <c r="AR248">
        <v>25635031</v>
      </c>
      <c r="AT248" s="140">
        <v>44994</v>
      </c>
      <c r="AU248" s="70" t="s">
        <v>155</v>
      </c>
      <c r="AV248">
        <v>73400</v>
      </c>
    </row>
    <row r="249" spans="1:48" hidden="1" x14ac:dyDescent="0.25">
      <c r="A249" s="113">
        <v>45123</v>
      </c>
      <c r="B249" s="101">
        <v>12189303</v>
      </c>
      <c r="C249" s="101">
        <v>412547</v>
      </c>
      <c r="D249" s="101">
        <v>12601850</v>
      </c>
      <c r="E249" s="101">
        <v>96.73</v>
      </c>
      <c r="F249" s="211">
        <f t="shared" si="24"/>
        <v>12.601850000000001</v>
      </c>
      <c r="H249" s="215">
        <v>45123</v>
      </c>
      <c r="I249" s="104">
        <v>2535786</v>
      </c>
      <c r="J249" s="104">
        <v>137</v>
      </c>
      <c r="K249" s="104">
        <v>2535923</v>
      </c>
      <c r="L249" s="104">
        <v>99.99</v>
      </c>
      <c r="M249" s="71">
        <f t="shared" si="23"/>
        <v>2.5359229999999999</v>
      </c>
      <c r="O249" s="215">
        <v>45123</v>
      </c>
      <c r="P249" s="104">
        <v>56164906</v>
      </c>
      <c r="Q249" s="104">
        <v>18323240</v>
      </c>
      <c r="R249" s="104">
        <v>74488146</v>
      </c>
      <c r="S249" s="104">
        <v>75.400000000000006</v>
      </c>
      <c r="T249" s="212">
        <f t="shared" si="28"/>
        <v>74.488146</v>
      </c>
      <c r="W249" s="215">
        <v>45123</v>
      </c>
      <c r="X249" s="48">
        <v>7854</v>
      </c>
      <c r="Y249" s="48">
        <v>10000</v>
      </c>
      <c r="Z249" s="48">
        <f t="shared" si="27"/>
        <v>78.540000000000006</v>
      </c>
      <c r="AB249" s="215">
        <v>45123</v>
      </c>
      <c r="AC249" s="48">
        <v>1037</v>
      </c>
      <c r="AD249" s="48">
        <v>10000</v>
      </c>
      <c r="AE249" s="48">
        <f t="shared" si="25"/>
        <v>10.37</v>
      </c>
      <c r="AG249" s="215">
        <v>45123</v>
      </c>
      <c r="AH249" s="48">
        <v>8891</v>
      </c>
      <c r="AI249" s="48">
        <v>10000</v>
      </c>
      <c r="AJ249" s="48">
        <f t="shared" si="26"/>
        <v>88.91</v>
      </c>
      <c r="AL249" s="140">
        <v>44994</v>
      </c>
      <c r="AM249" s="70" t="s">
        <v>180</v>
      </c>
      <c r="AN249">
        <v>71489</v>
      </c>
      <c r="AP249" s="140">
        <v>44994</v>
      </c>
      <c r="AQ249" t="s">
        <v>149</v>
      </c>
      <c r="AR249">
        <v>5190232</v>
      </c>
      <c r="AT249" s="140">
        <v>44994</v>
      </c>
      <c r="AU249" s="70" t="s">
        <v>147</v>
      </c>
      <c r="AV249">
        <v>157</v>
      </c>
    </row>
    <row r="250" spans="1:48" hidden="1" x14ac:dyDescent="0.25">
      <c r="A250" s="113">
        <v>45124</v>
      </c>
      <c r="B250" s="101">
        <v>12922299</v>
      </c>
      <c r="C250" s="101">
        <v>341106</v>
      </c>
      <c r="D250" s="101">
        <v>13263405</v>
      </c>
      <c r="E250" s="101">
        <v>97.43</v>
      </c>
      <c r="F250" s="211">
        <f t="shared" si="24"/>
        <v>13.263405000000001</v>
      </c>
      <c r="H250" s="215">
        <v>45124</v>
      </c>
      <c r="I250" s="104">
        <v>5801396</v>
      </c>
      <c r="J250" s="104">
        <v>190</v>
      </c>
      <c r="K250" s="104">
        <v>5801586</v>
      </c>
      <c r="L250" s="104">
        <v>100</v>
      </c>
      <c r="M250" s="71">
        <f t="shared" si="23"/>
        <v>5.8015860000000004</v>
      </c>
      <c r="O250" s="215">
        <v>45124</v>
      </c>
      <c r="P250" s="104">
        <v>77723123</v>
      </c>
      <c r="Q250" s="104">
        <v>31985644</v>
      </c>
      <c r="R250" s="104">
        <v>109708767</v>
      </c>
      <c r="S250" s="104">
        <v>70.84</v>
      </c>
      <c r="T250" s="212">
        <f t="shared" si="28"/>
        <v>109.70876699999999</v>
      </c>
      <c r="W250" s="215">
        <v>45124</v>
      </c>
      <c r="X250" s="48">
        <v>10394</v>
      </c>
      <c r="Y250" s="48">
        <v>10000</v>
      </c>
      <c r="Z250" s="48">
        <f t="shared" si="27"/>
        <v>103.94</v>
      </c>
      <c r="AB250" s="215">
        <v>45124</v>
      </c>
      <c r="AC250" s="48">
        <v>961</v>
      </c>
      <c r="AD250" s="48">
        <v>10000</v>
      </c>
      <c r="AE250" s="48">
        <f t="shared" si="25"/>
        <v>9.61</v>
      </c>
      <c r="AG250" s="215">
        <v>45124</v>
      </c>
      <c r="AH250" s="48">
        <v>11114</v>
      </c>
      <c r="AI250" s="48">
        <v>10000</v>
      </c>
      <c r="AJ250" s="48">
        <f t="shared" si="26"/>
        <v>111.14</v>
      </c>
      <c r="AL250" s="140">
        <v>44994</v>
      </c>
      <c r="AM250" s="70" t="s">
        <v>172</v>
      </c>
      <c r="AN250">
        <v>49644</v>
      </c>
      <c r="AP250" s="140">
        <v>44994</v>
      </c>
      <c r="AQ250" s="70" t="s">
        <v>180</v>
      </c>
      <c r="AR250">
        <v>1445006</v>
      </c>
    </row>
    <row r="251" spans="1:48" hidden="1" x14ac:dyDescent="0.25">
      <c r="A251" s="113">
        <v>45125</v>
      </c>
      <c r="B251" s="101">
        <v>12707392</v>
      </c>
      <c r="C251" s="101">
        <v>449892</v>
      </c>
      <c r="D251" s="101">
        <v>13157284</v>
      </c>
      <c r="E251" s="101">
        <v>96.58</v>
      </c>
      <c r="F251" s="211">
        <f t="shared" si="24"/>
        <v>13.157284000000001</v>
      </c>
      <c r="H251" s="215">
        <v>45125</v>
      </c>
      <c r="I251" s="104">
        <v>4759370</v>
      </c>
      <c r="J251" s="104">
        <v>262</v>
      </c>
      <c r="K251" s="104">
        <v>4759632</v>
      </c>
      <c r="L251" s="104">
        <v>99.99</v>
      </c>
      <c r="M251" s="71">
        <f t="shared" si="23"/>
        <v>4.7596319999999999</v>
      </c>
      <c r="O251" s="215">
        <v>45125</v>
      </c>
      <c r="P251" s="104">
        <v>78144921</v>
      </c>
      <c r="Q251" s="104">
        <v>33195123</v>
      </c>
      <c r="R251" s="104">
        <v>111340044</v>
      </c>
      <c r="S251" s="104">
        <v>70.19</v>
      </c>
      <c r="T251" s="212">
        <f t="shared" si="28"/>
        <v>111.34004400000001</v>
      </c>
      <c r="W251" s="215">
        <v>45125</v>
      </c>
      <c r="X251" s="48">
        <v>7383</v>
      </c>
      <c r="Y251" s="48">
        <v>10000</v>
      </c>
      <c r="Z251" s="48">
        <f t="shared" si="27"/>
        <v>73.83</v>
      </c>
      <c r="AB251" s="215">
        <v>45125</v>
      </c>
      <c r="AC251" s="48">
        <v>1067</v>
      </c>
      <c r="AD251" s="48">
        <v>10000</v>
      </c>
      <c r="AE251" s="48">
        <f t="shared" si="25"/>
        <v>10.67</v>
      </c>
      <c r="AG251" s="215">
        <v>45125</v>
      </c>
      <c r="AH251" s="48">
        <v>8013</v>
      </c>
      <c r="AI251" s="48">
        <v>10000</v>
      </c>
      <c r="AJ251" s="48">
        <f t="shared" si="26"/>
        <v>80.13</v>
      </c>
      <c r="AL251" s="140">
        <v>44994</v>
      </c>
      <c r="AM251" t="s">
        <v>149</v>
      </c>
      <c r="AN251">
        <v>34726</v>
      </c>
      <c r="AP251" s="140">
        <v>44994</v>
      </c>
      <c r="AQ251" t="s">
        <v>185</v>
      </c>
      <c r="AR251">
        <v>834452</v>
      </c>
    </row>
    <row r="252" spans="1:48" hidden="1" x14ac:dyDescent="0.25">
      <c r="A252" s="113">
        <v>45126</v>
      </c>
      <c r="B252" s="101">
        <v>12068586</v>
      </c>
      <c r="C252" s="101">
        <v>441938</v>
      </c>
      <c r="D252" s="101">
        <v>12510524</v>
      </c>
      <c r="E252" s="101">
        <v>96.47</v>
      </c>
      <c r="F252" s="211">
        <f t="shared" si="24"/>
        <v>12.510524</v>
      </c>
      <c r="H252" s="215">
        <v>45126</v>
      </c>
      <c r="I252" s="104">
        <v>4376898</v>
      </c>
      <c r="J252" s="104">
        <v>688</v>
      </c>
      <c r="K252" s="104">
        <v>4377586</v>
      </c>
      <c r="L252" s="104">
        <v>99.98</v>
      </c>
      <c r="M252" s="71">
        <f t="shared" si="23"/>
        <v>4.377586</v>
      </c>
      <c r="O252" s="215">
        <v>45126</v>
      </c>
      <c r="P252" s="104">
        <v>74109035</v>
      </c>
      <c r="Q252" s="104">
        <v>30164248</v>
      </c>
      <c r="R252" s="104">
        <v>104273283</v>
      </c>
      <c r="S252" s="104">
        <v>71.069999999999993</v>
      </c>
      <c r="T252" s="212">
        <f t="shared" si="28"/>
        <v>104.27328300000001</v>
      </c>
      <c r="W252" s="215">
        <v>45126</v>
      </c>
      <c r="X252" s="48">
        <v>10495</v>
      </c>
      <c r="Y252" s="48">
        <v>10000</v>
      </c>
      <c r="Z252" s="48">
        <f t="shared" si="27"/>
        <v>104.95</v>
      </c>
      <c r="AB252" s="215">
        <v>45126</v>
      </c>
      <c r="AC252" s="48">
        <v>1072</v>
      </c>
      <c r="AD252" s="48">
        <v>10000</v>
      </c>
      <c r="AE252" s="48">
        <f t="shared" si="25"/>
        <v>10.72</v>
      </c>
      <c r="AG252" s="215">
        <v>45126</v>
      </c>
      <c r="AH252" s="48">
        <v>10980</v>
      </c>
      <c r="AI252" s="48">
        <v>10000</v>
      </c>
      <c r="AJ252" s="48">
        <f t="shared" si="26"/>
        <v>109.8</v>
      </c>
      <c r="AL252" s="140">
        <v>44994</v>
      </c>
      <c r="AM252" t="s">
        <v>148</v>
      </c>
      <c r="AN252">
        <v>12979</v>
      </c>
      <c r="AP252" s="140">
        <v>44994</v>
      </c>
      <c r="AQ252" t="s">
        <v>148</v>
      </c>
      <c r="AR252">
        <v>429291</v>
      </c>
      <c r="AT252" s="140">
        <v>44995</v>
      </c>
      <c r="AU252" t="s">
        <v>147</v>
      </c>
      <c r="AV252">
        <v>111</v>
      </c>
    </row>
    <row r="253" spans="1:48" hidden="1" x14ac:dyDescent="0.25">
      <c r="A253" s="113">
        <v>45127</v>
      </c>
      <c r="B253" s="101">
        <v>12161233</v>
      </c>
      <c r="C253" s="101">
        <v>434700</v>
      </c>
      <c r="D253" s="101">
        <v>12595933</v>
      </c>
      <c r="E253" s="101">
        <v>96.55</v>
      </c>
      <c r="F253" s="211">
        <f t="shared" si="24"/>
        <v>12.595933</v>
      </c>
      <c r="H253" s="215">
        <v>45127</v>
      </c>
      <c r="I253" s="104">
        <v>4681322</v>
      </c>
      <c r="J253" s="104">
        <v>371</v>
      </c>
      <c r="K253" s="104">
        <v>4681693</v>
      </c>
      <c r="L253" s="104">
        <v>99.99</v>
      </c>
      <c r="M253" s="71">
        <f t="shared" si="23"/>
        <v>4.6816930000000001</v>
      </c>
      <c r="O253" s="215">
        <v>45127</v>
      </c>
      <c r="P253" s="104">
        <v>71165743</v>
      </c>
      <c r="Q253" s="104">
        <v>32233905</v>
      </c>
      <c r="R253" s="104">
        <v>103399648</v>
      </c>
      <c r="S253" s="104">
        <v>68.83</v>
      </c>
      <c r="T253" s="212">
        <f t="shared" si="28"/>
        <v>103.399648</v>
      </c>
      <c r="W253" s="215">
        <v>45127</v>
      </c>
      <c r="X253" s="48">
        <v>7365</v>
      </c>
      <c r="Y253" s="48">
        <v>10000</v>
      </c>
      <c r="Z253" s="48">
        <f t="shared" si="27"/>
        <v>73.650000000000006</v>
      </c>
      <c r="AB253" s="215">
        <v>45127</v>
      </c>
      <c r="AC253" s="48">
        <v>905</v>
      </c>
      <c r="AD253" s="48">
        <v>10000</v>
      </c>
      <c r="AE253" s="48">
        <f t="shared" si="25"/>
        <v>9.0500000000000007</v>
      </c>
      <c r="AG253" s="215">
        <v>45127</v>
      </c>
      <c r="AH253" s="48">
        <v>7934</v>
      </c>
      <c r="AI253" s="48">
        <v>10000</v>
      </c>
      <c r="AJ253" s="48">
        <f t="shared" si="26"/>
        <v>79.34</v>
      </c>
      <c r="AL253" s="140">
        <v>44995</v>
      </c>
      <c r="AM253" s="70" t="s">
        <v>146</v>
      </c>
      <c r="AN253">
        <v>205158</v>
      </c>
      <c r="AP253" s="140">
        <v>44995</v>
      </c>
      <c r="AQ253" s="70" t="s">
        <v>146</v>
      </c>
      <c r="AR253">
        <v>21403696</v>
      </c>
      <c r="AT253" s="140">
        <v>44995</v>
      </c>
      <c r="AU253" t="s">
        <v>155</v>
      </c>
      <c r="AV253">
        <v>57</v>
      </c>
    </row>
    <row r="254" spans="1:48" hidden="1" x14ac:dyDescent="0.25">
      <c r="A254" s="113">
        <v>45128</v>
      </c>
      <c r="B254" s="101">
        <v>11857276</v>
      </c>
      <c r="C254" s="101">
        <v>435224</v>
      </c>
      <c r="D254" s="101">
        <v>12292500</v>
      </c>
      <c r="E254" s="101">
        <v>96.46</v>
      </c>
      <c r="F254" s="211">
        <f t="shared" si="24"/>
        <v>12.2925</v>
      </c>
      <c r="H254" s="215">
        <v>45128</v>
      </c>
      <c r="I254" s="104">
        <v>4463670</v>
      </c>
      <c r="J254" s="104">
        <v>311</v>
      </c>
      <c r="K254" s="104">
        <v>4463981</v>
      </c>
      <c r="L254" s="104">
        <v>99.99</v>
      </c>
      <c r="M254" s="114">
        <f t="shared" si="23"/>
        <v>4.4639810000000004</v>
      </c>
      <c r="O254" s="215">
        <v>45128</v>
      </c>
      <c r="P254" s="104">
        <v>74449852</v>
      </c>
      <c r="Q254" s="104">
        <v>29421166</v>
      </c>
      <c r="R254" s="104">
        <v>103871018</v>
      </c>
      <c r="S254" s="104">
        <v>71.680000000000007</v>
      </c>
      <c r="T254" s="212">
        <f t="shared" si="28"/>
        <v>103.87101800000001</v>
      </c>
      <c r="W254" s="215">
        <v>45128</v>
      </c>
      <c r="X254" s="1">
        <v>7169</v>
      </c>
      <c r="Y254" s="48">
        <v>10000</v>
      </c>
      <c r="Z254" s="48">
        <f t="shared" si="27"/>
        <v>71.69</v>
      </c>
      <c r="AB254" s="215">
        <v>45128</v>
      </c>
      <c r="AC254" s="1">
        <v>980</v>
      </c>
      <c r="AD254" s="48">
        <v>10000</v>
      </c>
      <c r="AE254" s="48">
        <f t="shared" si="25"/>
        <v>9.8000000000000007</v>
      </c>
      <c r="AG254" s="215">
        <v>45128</v>
      </c>
      <c r="AH254" s="1">
        <v>7881</v>
      </c>
      <c r="AI254" s="48">
        <v>10000</v>
      </c>
      <c r="AJ254" s="48">
        <f t="shared" si="26"/>
        <v>78.81</v>
      </c>
      <c r="AL254" s="140">
        <v>44995</v>
      </c>
      <c r="AM254" s="70" t="s">
        <v>186</v>
      </c>
      <c r="AN254">
        <v>166761</v>
      </c>
      <c r="AP254" s="140">
        <v>44995</v>
      </c>
      <c r="AQ254" s="70" t="s">
        <v>149</v>
      </c>
      <c r="AR254">
        <v>4852040</v>
      </c>
    </row>
    <row r="255" spans="1:48" hidden="1" x14ac:dyDescent="0.25">
      <c r="A255" s="113">
        <v>45129</v>
      </c>
      <c r="B255" s="101">
        <v>12155294</v>
      </c>
      <c r="C255" s="101">
        <v>426246</v>
      </c>
      <c r="D255" s="101">
        <v>12581540</v>
      </c>
      <c r="E255" s="101">
        <v>96.61</v>
      </c>
      <c r="F255" s="211">
        <f t="shared" si="24"/>
        <v>12.58154</v>
      </c>
      <c r="H255" s="215">
        <v>45129</v>
      </c>
      <c r="I255" s="104">
        <v>4662889</v>
      </c>
      <c r="J255" s="104">
        <v>162</v>
      </c>
      <c r="K255" s="104">
        <v>4663051</v>
      </c>
      <c r="L255" s="104">
        <v>100</v>
      </c>
      <c r="M255" s="114">
        <f t="shared" si="23"/>
        <v>4.6630510000000003</v>
      </c>
      <c r="O255" s="215">
        <v>45129</v>
      </c>
      <c r="P255" s="104">
        <v>79351349</v>
      </c>
      <c r="Q255" s="104">
        <v>35460818</v>
      </c>
      <c r="R255" s="104">
        <v>114812167</v>
      </c>
      <c r="S255" s="104">
        <v>69.11</v>
      </c>
      <c r="T255" s="212">
        <f t="shared" si="28"/>
        <v>114.812167</v>
      </c>
      <c r="W255" s="215">
        <v>45129</v>
      </c>
      <c r="X255" s="1">
        <v>11000</v>
      </c>
      <c r="Y255" s="48">
        <v>10000</v>
      </c>
      <c r="Z255" s="48">
        <f t="shared" si="27"/>
        <v>110</v>
      </c>
      <c r="AB255" s="215">
        <v>45129</v>
      </c>
      <c r="AC255" s="1">
        <v>941</v>
      </c>
      <c r="AD255" s="48">
        <v>10000</v>
      </c>
      <c r="AE255" s="48">
        <f t="shared" si="25"/>
        <v>9.41</v>
      </c>
      <c r="AG255" s="215">
        <v>45129</v>
      </c>
      <c r="AH255" s="1">
        <v>11370</v>
      </c>
      <c r="AI255" s="48">
        <v>10000</v>
      </c>
      <c r="AJ255" s="48">
        <f t="shared" si="26"/>
        <v>113.7</v>
      </c>
      <c r="AL255" s="140">
        <v>44995</v>
      </c>
      <c r="AM255" s="70" t="s">
        <v>180</v>
      </c>
      <c r="AN255">
        <v>62841</v>
      </c>
      <c r="AP255" s="140">
        <v>44995</v>
      </c>
      <c r="AQ255" t="s">
        <v>180</v>
      </c>
      <c r="AR255">
        <v>1480169</v>
      </c>
      <c r="AT255" s="140">
        <v>44996</v>
      </c>
      <c r="AU255" t="s">
        <v>147</v>
      </c>
      <c r="AV255">
        <v>121</v>
      </c>
    </row>
    <row r="256" spans="1:48" hidden="1" x14ac:dyDescent="0.25">
      <c r="A256" s="113">
        <v>45130</v>
      </c>
      <c r="B256" s="101">
        <v>11996828</v>
      </c>
      <c r="C256" s="101">
        <v>414574</v>
      </c>
      <c r="D256" s="101">
        <v>12411402</v>
      </c>
      <c r="E256" s="101">
        <v>96.66</v>
      </c>
      <c r="F256" s="211">
        <f t="shared" si="24"/>
        <v>12.411402000000001</v>
      </c>
      <c r="H256" s="215">
        <v>45130</v>
      </c>
      <c r="I256" s="104">
        <v>2141078</v>
      </c>
      <c r="J256" s="104">
        <v>96</v>
      </c>
      <c r="K256" s="104">
        <v>2141174</v>
      </c>
      <c r="L256" s="104">
        <v>100</v>
      </c>
      <c r="M256" s="114">
        <f t="shared" si="23"/>
        <v>2.1411739999999999</v>
      </c>
      <c r="O256" s="215">
        <v>45130</v>
      </c>
      <c r="P256" s="104">
        <v>61999709</v>
      </c>
      <c r="Q256" s="104">
        <v>25359961</v>
      </c>
      <c r="R256" s="104">
        <v>87359670</v>
      </c>
      <c r="S256" s="104">
        <v>70.97</v>
      </c>
      <c r="T256" s="212">
        <f t="shared" si="28"/>
        <v>87.359669999999994</v>
      </c>
      <c r="W256" s="215">
        <v>45130</v>
      </c>
      <c r="X256" s="1">
        <v>6488</v>
      </c>
      <c r="Y256" s="48">
        <v>10000</v>
      </c>
      <c r="Z256" s="48">
        <f t="shared" si="27"/>
        <v>64.88</v>
      </c>
      <c r="AB256" s="215">
        <v>45130</v>
      </c>
      <c r="AC256" s="1">
        <v>887</v>
      </c>
      <c r="AD256" s="48">
        <v>10000</v>
      </c>
      <c r="AE256" s="48">
        <f t="shared" si="25"/>
        <v>8.8699999999999992</v>
      </c>
      <c r="AG256" s="215">
        <v>45130</v>
      </c>
      <c r="AH256" s="1">
        <v>6966</v>
      </c>
      <c r="AI256" s="48">
        <v>10000</v>
      </c>
      <c r="AJ256" s="48">
        <f t="shared" si="26"/>
        <v>69.66</v>
      </c>
      <c r="AL256" s="140">
        <v>44995</v>
      </c>
      <c r="AM256" t="s">
        <v>172</v>
      </c>
      <c r="AN256">
        <v>41125</v>
      </c>
      <c r="AP256" s="140">
        <v>44995</v>
      </c>
      <c r="AQ256" t="s">
        <v>185</v>
      </c>
      <c r="AR256">
        <v>726995</v>
      </c>
      <c r="AT256" s="140">
        <v>44996</v>
      </c>
      <c r="AU256" t="s">
        <v>155</v>
      </c>
      <c r="AV256">
        <v>26</v>
      </c>
    </row>
    <row r="257" spans="1:48" hidden="1" x14ac:dyDescent="0.25">
      <c r="A257" s="113">
        <v>45131</v>
      </c>
      <c r="B257" s="101">
        <v>13747033</v>
      </c>
      <c r="C257" s="101">
        <v>371714</v>
      </c>
      <c r="D257" s="101">
        <v>14118747</v>
      </c>
      <c r="E257" s="101">
        <v>97.37</v>
      </c>
      <c r="F257" s="211">
        <f t="shared" si="24"/>
        <v>14.118747000000001</v>
      </c>
      <c r="H257" s="215">
        <v>45131</v>
      </c>
      <c r="I257" s="104">
        <v>4688895</v>
      </c>
      <c r="J257" s="104">
        <v>678</v>
      </c>
      <c r="K257" s="104">
        <v>4689573</v>
      </c>
      <c r="L257" s="104">
        <v>99.99</v>
      </c>
      <c r="M257" s="114">
        <f t="shared" si="23"/>
        <v>4.6895730000000002</v>
      </c>
      <c r="O257" s="215">
        <v>45131</v>
      </c>
      <c r="P257" s="104">
        <v>72295341</v>
      </c>
      <c r="Q257" s="104">
        <v>28013932</v>
      </c>
      <c r="R257" s="104">
        <v>100309273</v>
      </c>
      <c r="S257" s="104">
        <v>72.069999999999993</v>
      </c>
      <c r="T257" s="212">
        <f t="shared" si="28"/>
        <v>100.309273</v>
      </c>
      <c r="W257" s="215">
        <v>45131</v>
      </c>
      <c r="X257" s="1">
        <v>10081</v>
      </c>
      <c r="Y257" s="48">
        <v>10000</v>
      </c>
      <c r="Z257" s="48">
        <f t="shared" si="27"/>
        <v>100.81</v>
      </c>
      <c r="AB257" s="215">
        <v>45131</v>
      </c>
      <c r="AC257" s="1">
        <v>1110</v>
      </c>
      <c r="AD257" s="48">
        <v>10000</v>
      </c>
      <c r="AE257" s="48">
        <f t="shared" si="25"/>
        <v>11.1</v>
      </c>
      <c r="AG257" s="215">
        <v>45131</v>
      </c>
      <c r="AH257" s="1">
        <v>10687</v>
      </c>
      <c r="AI257" s="48">
        <v>10000</v>
      </c>
      <c r="AJ257" s="48">
        <f t="shared" si="26"/>
        <v>106.87</v>
      </c>
      <c r="AL257" s="140">
        <v>44995</v>
      </c>
      <c r="AM257" t="s">
        <v>148</v>
      </c>
      <c r="AN257">
        <v>35085</v>
      </c>
      <c r="AP257" s="140">
        <v>44995</v>
      </c>
      <c r="AQ257" t="s">
        <v>148</v>
      </c>
      <c r="AR257">
        <v>579817</v>
      </c>
    </row>
    <row r="258" spans="1:48" hidden="1" x14ac:dyDescent="0.25">
      <c r="A258" s="113">
        <v>45132</v>
      </c>
      <c r="B258" s="101">
        <v>13285790</v>
      </c>
      <c r="C258" s="101">
        <v>436361</v>
      </c>
      <c r="D258" s="101">
        <v>13722151</v>
      </c>
      <c r="E258" s="101">
        <v>96.82</v>
      </c>
      <c r="F258" s="211">
        <f t="shared" si="24"/>
        <v>13.722151</v>
      </c>
      <c r="H258" s="215">
        <v>45132</v>
      </c>
      <c r="I258" s="104">
        <v>5012841</v>
      </c>
      <c r="J258" s="104">
        <v>161</v>
      </c>
      <c r="K258" s="104">
        <v>5013002</v>
      </c>
      <c r="L258" s="104">
        <v>100</v>
      </c>
      <c r="M258" s="114">
        <f t="shared" si="23"/>
        <v>5.0130020000000002</v>
      </c>
      <c r="O258" s="215">
        <v>45132</v>
      </c>
      <c r="P258" s="104">
        <v>73239475</v>
      </c>
      <c r="Q258" s="104">
        <v>25955984</v>
      </c>
      <c r="R258" s="104">
        <v>99195459</v>
      </c>
      <c r="S258" s="104">
        <v>73.83</v>
      </c>
      <c r="T258" s="212">
        <f t="shared" si="28"/>
        <v>99.195459</v>
      </c>
      <c r="W258" s="215">
        <v>45132</v>
      </c>
      <c r="X258" s="1">
        <v>5475</v>
      </c>
      <c r="Y258" s="48">
        <v>10000</v>
      </c>
      <c r="Z258" s="48">
        <f t="shared" si="27"/>
        <v>54.75</v>
      </c>
      <c r="AB258" s="215">
        <v>45132</v>
      </c>
      <c r="AC258" s="1">
        <v>997</v>
      </c>
      <c r="AD258" s="48">
        <v>10000</v>
      </c>
      <c r="AE258" s="48">
        <f t="shared" si="25"/>
        <v>9.9700000000000006</v>
      </c>
      <c r="AG258" s="215">
        <v>45132</v>
      </c>
      <c r="AH258" s="1">
        <v>6101</v>
      </c>
      <c r="AI258" s="48">
        <v>10000</v>
      </c>
      <c r="AJ258" s="48">
        <f t="shared" si="26"/>
        <v>61.01</v>
      </c>
      <c r="AL258" s="140">
        <v>44996</v>
      </c>
      <c r="AM258" t="s">
        <v>146</v>
      </c>
      <c r="AN258">
        <v>265730</v>
      </c>
      <c r="AP258" s="140">
        <v>44996</v>
      </c>
      <c r="AQ258" s="70" t="s">
        <v>146</v>
      </c>
      <c r="AR258">
        <v>21504539</v>
      </c>
      <c r="AT258" s="140">
        <v>44997</v>
      </c>
      <c r="AU258" t="s">
        <v>155</v>
      </c>
      <c r="AV258">
        <v>120740</v>
      </c>
    </row>
    <row r="259" spans="1:48" hidden="1" x14ac:dyDescent="0.25">
      <c r="A259" s="113">
        <v>45133</v>
      </c>
      <c r="B259" s="101">
        <v>12394056</v>
      </c>
      <c r="C259" s="101">
        <v>404768</v>
      </c>
      <c r="D259" s="101">
        <v>12798824</v>
      </c>
      <c r="E259" s="101">
        <v>96.84</v>
      </c>
      <c r="F259" s="211">
        <f t="shared" si="24"/>
        <v>12.798824</v>
      </c>
      <c r="H259" s="215">
        <v>45133</v>
      </c>
      <c r="I259" s="104">
        <v>4989599</v>
      </c>
      <c r="J259" s="104">
        <v>141</v>
      </c>
      <c r="K259" s="104">
        <v>4989740</v>
      </c>
      <c r="L259" s="104">
        <v>100</v>
      </c>
      <c r="M259" s="114">
        <f t="shared" si="23"/>
        <v>4.9897400000000003</v>
      </c>
      <c r="O259" s="215">
        <v>45133</v>
      </c>
      <c r="P259" s="104">
        <v>62904921</v>
      </c>
      <c r="Q259" s="104">
        <v>18728791</v>
      </c>
      <c r="R259" s="104">
        <v>81633712</v>
      </c>
      <c r="S259" s="104">
        <v>77.06</v>
      </c>
      <c r="T259" s="212">
        <f t="shared" si="28"/>
        <v>81.633712000000003</v>
      </c>
      <c r="W259" s="215">
        <v>45133</v>
      </c>
      <c r="X259" s="104">
        <v>4182</v>
      </c>
      <c r="Y259" s="104">
        <v>10000</v>
      </c>
      <c r="Z259" s="48">
        <f t="shared" si="27"/>
        <v>41.82</v>
      </c>
      <c r="AB259" s="215">
        <v>45133</v>
      </c>
      <c r="AC259" s="104">
        <v>1273</v>
      </c>
      <c r="AD259" s="104">
        <v>10000</v>
      </c>
      <c r="AE259" s="104">
        <f t="shared" si="25"/>
        <v>12.73</v>
      </c>
      <c r="AG259" s="215">
        <v>45133</v>
      </c>
      <c r="AH259" s="1">
        <v>4987</v>
      </c>
      <c r="AI259" s="48">
        <v>10000</v>
      </c>
      <c r="AJ259" s="48">
        <f t="shared" si="26"/>
        <v>49.87</v>
      </c>
      <c r="AL259" s="140">
        <v>44996</v>
      </c>
      <c r="AM259" s="70" t="s">
        <v>180</v>
      </c>
      <c r="AN259">
        <v>52911</v>
      </c>
      <c r="AP259" s="140">
        <v>44996</v>
      </c>
      <c r="AQ259" t="s">
        <v>149</v>
      </c>
      <c r="AR259">
        <v>4466694</v>
      </c>
      <c r="AT259" s="140">
        <v>44997</v>
      </c>
      <c r="AU259" t="s">
        <v>147</v>
      </c>
      <c r="AV259">
        <v>119</v>
      </c>
    </row>
    <row r="260" spans="1:48" hidden="1" x14ac:dyDescent="0.25">
      <c r="A260" s="113">
        <v>45134</v>
      </c>
      <c r="B260" s="101">
        <v>12304450</v>
      </c>
      <c r="C260" s="101">
        <v>365344</v>
      </c>
      <c r="D260" s="101">
        <v>12669794</v>
      </c>
      <c r="E260" s="101">
        <v>97.12</v>
      </c>
      <c r="F260" s="211">
        <f t="shared" si="24"/>
        <v>12.669794</v>
      </c>
      <c r="H260" s="215">
        <v>45134</v>
      </c>
      <c r="I260" s="104">
        <v>3221132</v>
      </c>
      <c r="J260" s="104">
        <v>131</v>
      </c>
      <c r="K260" s="104">
        <v>3221263</v>
      </c>
      <c r="L260" s="104">
        <v>100</v>
      </c>
      <c r="M260" s="114">
        <f t="shared" si="23"/>
        <v>3.221263</v>
      </c>
      <c r="O260" s="215">
        <v>45134</v>
      </c>
      <c r="P260" s="104">
        <v>67314958</v>
      </c>
      <c r="Q260" s="104">
        <v>19869506</v>
      </c>
      <c r="R260" s="104">
        <v>87184464</v>
      </c>
      <c r="S260" s="104">
        <v>77.209999999999994</v>
      </c>
      <c r="T260" s="212">
        <f t="shared" si="28"/>
        <v>87.184464000000006</v>
      </c>
      <c r="W260" s="215">
        <v>45134</v>
      </c>
      <c r="X260" s="104">
        <v>10441</v>
      </c>
      <c r="Y260" s="104">
        <v>10000</v>
      </c>
      <c r="Z260" s="48">
        <f t="shared" si="27"/>
        <v>104.41</v>
      </c>
      <c r="AB260" s="215">
        <v>45134</v>
      </c>
      <c r="AC260" s="104">
        <v>983</v>
      </c>
      <c r="AD260" s="104">
        <v>10000</v>
      </c>
      <c r="AE260" s="104">
        <f t="shared" si="25"/>
        <v>9.83</v>
      </c>
      <c r="AG260" s="215">
        <v>45134</v>
      </c>
      <c r="AH260" s="1">
        <v>10916</v>
      </c>
      <c r="AI260" s="1">
        <v>10000</v>
      </c>
      <c r="AJ260" s="1">
        <f t="shared" si="26"/>
        <v>109.16</v>
      </c>
      <c r="AL260" s="140">
        <v>44996</v>
      </c>
      <c r="AM260" t="s">
        <v>172</v>
      </c>
      <c r="AN260">
        <v>26556</v>
      </c>
      <c r="AP260" s="140">
        <v>44996</v>
      </c>
      <c r="AQ260" t="s">
        <v>148</v>
      </c>
      <c r="AR260">
        <v>1605466</v>
      </c>
    </row>
    <row r="261" spans="1:48" hidden="1" x14ac:dyDescent="0.25">
      <c r="A261" s="113">
        <v>45135</v>
      </c>
      <c r="B261" s="101">
        <v>12070995</v>
      </c>
      <c r="C261" s="101">
        <v>375598</v>
      </c>
      <c r="D261" s="101">
        <v>12446593</v>
      </c>
      <c r="E261" s="101">
        <v>96.98</v>
      </c>
      <c r="F261" s="211">
        <f t="shared" si="24"/>
        <v>12.446593</v>
      </c>
      <c r="H261" s="215">
        <v>45135</v>
      </c>
      <c r="I261" s="104">
        <v>5610517</v>
      </c>
      <c r="J261" s="104">
        <v>135</v>
      </c>
      <c r="K261" s="104">
        <v>5610652</v>
      </c>
      <c r="L261" s="104">
        <v>100</v>
      </c>
      <c r="M261" s="114">
        <f t="shared" si="23"/>
        <v>5.610652</v>
      </c>
      <c r="O261" s="215">
        <v>45135</v>
      </c>
      <c r="P261" s="104">
        <v>68985147</v>
      </c>
      <c r="Q261" s="104">
        <v>23314578</v>
      </c>
      <c r="R261" s="104">
        <v>92299725</v>
      </c>
      <c r="S261" s="104">
        <v>74.739999999999995</v>
      </c>
      <c r="T261" s="212">
        <f t="shared" si="28"/>
        <v>92.299724999999995</v>
      </c>
      <c r="W261" s="215">
        <v>45135</v>
      </c>
      <c r="X261" s="104">
        <v>6064</v>
      </c>
      <c r="Y261" s="104">
        <v>10000</v>
      </c>
      <c r="Z261" s="48">
        <f t="shared" si="27"/>
        <v>60.64</v>
      </c>
      <c r="AB261" s="215">
        <v>45135</v>
      </c>
      <c r="AC261" s="104">
        <v>1022</v>
      </c>
      <c r="AD261" s="104">
        <v>10000</v>
      </c>
      <c r="AE261" s="104">
        <f t="shared" si="25"/>
        <v>10.220000000000001</v>
      </c>
      <c r="AG261" s="215">
        <v>45135</v>
      </c>
      <c r="AH261" s="1">
        <v>6667</v>
      </c>
      <c r="AI261" s="1">
        <v>10000</v>
      </c>
      <c r="AJ261" s="1">
        <f t="shared" si="26"/>
        <v>66.67</v>
      </c>
      <c r="AL261" s="140">
        <v>44996</v>
      </c>
      <c r="AM261" t="s">
        <v>148</v>
      </c>
      <c r="AN261">
        <v>26162</v>
      </c>
      <c r="AP261" s="140">
        <v>44996</v>
      </c>
      <c r="AQ261" t="s">
        <v>180</v>
      </c>
      <c r="AR261">
        <v>1338758</v>
      </c>
    </row>
    <row r="262" spans="1:48" hidden="1" x14ac:dyDescent="0.25">
      <c r="A262" s="113">
        <v>45136</v>
      </c>
      <c r="B262" s="101">
        <v>11872040</v>
      </c>
      <c r="C262" s="101">
        <v>367547</v>
      </c>
      <c r="D262" s="101">
        <v>12239587</v>
      </c>
      <c r="E262" s="101">
        <v>97</v>
      </c>
      <c r="F262" s="211">
        <f t="shared" si="24"/>
        <v>12.239587</v>
      </c>
      <c r="H262" s="215">
        <v>45136</v>
      </c>
      <c r="I262" s="104">
        <v>3440886</v>
      </c>
      <c r="J262" s="104">
        <v>168</v>
      </c>
      <c r="K262" s="104">
        <v>3441054</v>
      </c>
      <c r="L262" s="104">
        <v>100</v>
      </c>
      <c r="M262" s="114">
        <f t="shared" si="23"/>
        <v>3.4410539999999998</v>
      </c>
      <c r="O262" s="215">
        <v>45136</v>
      </c>
      <c r="P262" s="104">
        <v>73363078</v>
      </c>
      <c r="Q262" s="104">
        <v>31228582</v>
      </c>
      <c r="R262" s="104">
        <v>104591660</v>
      </c>
      <c r="S262" s="104">
        <v>70.14</v>
      </c>
      <c r="T262" s="212">
        <f t="shared" si="28"/>
        <v>104.59166</v>
      </c>
      <c r="W262" s="215">
        <v>45136</v>
      </c>
      <c r="X262" s="104">
        <v>7402</v>
      </c>
      <c r="Y262" s="104">
        <v>10000</v>
      </c>
      <c r="Z262" s="48">
        <f t="shared" si="27"/>
        <v>74.02</v>
      </c>
      <c r="AB262" s="215">
        <v>45136</v>
      </c>
      <c r="AC262" s="104">
        <v>974</v>
      </c>
      <c r="AD262" s="104">
        <v>10000</v>
      </c>
      <c r="AE262" s="104">
        <f t="shared" si="25"/>
        <v>9.74</v>
      </c>
      <c r="AG262" s="215">
        <v>45136</v>
      </c>
      <c r="AH262" s="1">
        <v>7920</v>
      </c>
      <c r="AI262" s="1">
        <v>10000</v>
      </c>
      <c r="AJ262" s="1">
        <f t="shared" si="26"/>
        <v>79.2</v>
      </c>
      <c r="AL262" s="140">
        <v>44996</v>
      </c>
      <c r="AM262" t="s">
        <v>149</v>
      </c>
      <c r="AN262">
        <v>23988</v>
      </c>
      <c r="AP262" s="140">
        <v>44996</v>
      </c>
      <c r="AQ262" t="s">
        <v>185</v>
      </c>
      <c r="AR262">
        <v>678560</v>
      </c>
    </row>
    <row r="263" spans="1:48" hidden="1" x14ac:dyDescent="0.25">
      <c r="A263" s="113">
        <v>45137</v>
      </c>
      <c r="B263" s="101">
        <v>11871018</v>
      </c>
      <c r="C263" s="101">
        <v>387724</v>
      </c>
      <c r="D263" s="101">
        <v>12258742</v>
      </c>
      <c r="E263" s="101">
        <v>96.84</v>
      </c>
      <c r="F263" s="211">
        <f t="shared" si="24"/>
        <v>12.258742</v>
      </c>
      <c r="H263" s="215">
        <v>45137</v>
      </c>
      <c r="I263" s="104">
        <v>3175823</v>
      </c>
      <c r="J263" s="104">
        <v>161</v>
      </c>
      <c r="K263" s="104">
        <v>3175984</v>
      </c>
      <c r="L263" s="104">
        <v>99.99</v>
      </c>
      <c r="M263" s="114">
        <f t="shared" ref="M263:M332" si="29">K263/1000000</f>
        <v>3.1759840000000001</v>
      </c>
      <c r="O263" s="215">
        <v>45137</v>
      </c>
      <c r="P263" s="104">
        <v>55642059</v>
      </c>
      <c r="Q263" s="104">
        <v>19506124</v>
      </c>
      <c r="R263" s="104">
        <v>75148183</v>
      </c>
      <c r="S263" s="104">
        <v>74.040000000000006</v>
      </c>
      <c r="T263" s="212">
        <f t="shared" si="28"/>
        <v>75.148183000000003</v>
      </c>
      <c r="W263" s="215">
        <v>45137</v>
      </c>
      <c r="X263" s="104">
        <v>5858</v>
      </c>
      <c r="Y263" s="104">
        <v>10000</v>
      </c>
      <c r="Z263" s="48">
        <f t="shared" si="27"/>
        <v>58.58</v>
      </c>
      <c r="AB263" s="215">
        <v>45137</v>
      </c>
      <c r="AC263" s="104">
        <v>934</v>
      </c>
      <c r="AD263" s="104">
        <v>10000</v>
      </c>
      <c r="AE263" s="104">
        <f t="shared" si="25"/>
        <v>9.34</v>
      </c>
      <c r="AG263" s="215">
        <v>45137</v>
      </c>
      <c r="AH263" s="1">
        <v>6350</v>
      </c>
      <c r="AI263" s="1">
        <v>10000</v>
      </c>
      <c r="AJ263" s="1">
        <f t="shared" si="26"/>
        <v>63.5</v>
      </c>
      <c r="AL263" s="140">
        <v>44997</v>
      </c>
      <c r="AM263" t="s">
        <v>146</v>
      </c>
      <c r="AN263">
        <v>256847</v>
      </c>
      <c r="AP263" s="140">
        <v>44997</v>
      </c>
      <c r="AQ263" t="s">
        <v>146</v>
      </c>
      <c r="AR263">
        <v>16477946</v>
      </c>
    </row>
    <row r="264" spans="1:48" hidden="1" x14ac:dyDescent="0.25">
      <c r="A264" s="113">
        <v>45138</v>
      </c>
      <c r="B264" s="101">
        <v>12359553</v>
      </c>
      <c r="C264" s="101">
        <v>332198</v>
      </c>
      <c r="D264" s="101">
        <v>12691751</v>
      </c>
      <c r="E264" s="101">
        <v>97.38</v>
      </c>
      <c r="F264" s="211">
        <f t="shared" si="24"/>
        <v>12.691751</v>
      </c>
      <c r="H264" s="215">
        <v>45138</v>
      </c>
      <c r="I264" s="104">
        <v>3458292</v>
      </c>
      <c r="J264" s="104">
        <v>138</v>
      </c>
      <c r="K264" s="104">
        <v>3458430</v>
      </c>
      <c r="L264" s="104">
        <v>100</v>
      </c>
      <c r="M264" s="114">
        <f t="shared" si="29"/>
        <v>3.4584299999999999</v>
      </c>
      <c r="O264" s="215">
        <v>45138</v>
      </c>
      <c r="P264" s="104">
        <v>79073882</v>
      </c>
      <c r="Q264" s="104">
        <v>31068774</v>
      </c>
      <c r="R264" s="104">
        <v>110142656</v>
      </c>
      <c r="S264" s="104">
        <v>71.790000000000006</v>
      </c>
      <c r="T264" s="212">
        <f t="shared" si="28"/>
        <v>110.142656</v>
      </c>
      <c r="W264" s="215">
        <v>45138</v>
      </c>
      <c r="X264" s="104">
        <v>8391</v>
      </c>
      <c r="Y264" s="104">
        <v>10000</v>
      </c>
      <c r="Z264" s="48">
        <f t="shared" si="27"/>
        <v>83.91</v>
      </c>
      <c r="AB264" s="215">
        <v>45138</v>
      </c>
      <c r="AC264" s="104">
        <v>939</v>
      </c>
      <c r="AD264" s="104">
        <v>10000</v>
      </c>
      <c r="AE264" s="104">
        <f t="shared" si="25"/>
        <v>9.39</v>
      </c>
      <c r="AG264" s="215">
        <v>45138</v>
      </c>
      <c r="AH264" s="1">
        <v>9211</v>
      </c>
      <c r="AI264" s="1">
        <v>10000</v>
      </c>
      <c r="AJ264" s="1">
        <f t="shared" si="26"/>
        <v>92.11</v>
      </c>
      <c r="AL264" s="140">
        <v>44997</v>
      </c>
      <c r="AM264" t="s">
        <v>180</v>
      </c>
      <c r="AN264">
        <v>57555</v>
      </c>
      <c r="AP264" s="140">
        <v>44997</v>
      </c>
      <c r="AQ264" t="s">
        <v>149</v>
      </c>
      <c r="AR264">
        <v>3057973</v>
      </c>
    </row>
    <row r="265" spans="1:48" hidden="1" x14ac:dyDescent="0.25">
      <c r="A265" s="113">
        <v>45139</v>
      </c>
      <c r="B265" s="101">
        <v>12118877</v>
      </c>
      <c r="C265" s="101">
        <v>463951</v>
      </c>
      <c r="D265" s="101">
        <v>12582828</v>
      </c>
      <c r="E265" s="101">
        <v>96.31</v>
      </c>
      <c r="F265" s="211">
        <f t="shared" ref="F265:F340" si="30">D265/1000000</f>
        <v>12.582827999999999</v>
      </c>
      <c r="H265" s="215">
        <v>45139</v>
      </c>
      <c r="I265" s="104">
        <v>3779632</v>
      </c>
      <c r="J265" s="104">
        <v>132</v>
      </c>
      <c r="K265" s="104">
        <v>3779764</v>
      </c>
      <c r="L265" s="104">
        <v>100</v>
      </c>
      <c r="M265" s="114">
        <f t="shared" si="29"/>
        <v>3.7797640000000001</v>
      </c>
      <c r="O265" s="215">
        <v>45139</v>
      </c>
      <c r="P265" s="104">
        <v>79517061</v>
      </c>
      <c r="Q265" s="104">
        <v>33011706</v>
      </c>
      <c r="R265" s="104">
        <v>112528767</v>
      </c>
      <c r="S265" s="104">
        <v>70.66</v>
      </c>
      <c r="T265" s="212">
        <f t="shared" si="28"/>
        <v>112.528767</v>
      </c>
      <c r="W265" s="215">
        <v>45139</v>
      </c>
      <c r="X265" s="104">
        <v>11000</v>
      </c>
      <c r="Y265" s="104">
        <v>10000</v>
      </c>
      <c r="Z265" s="48">
        <f t="shared" si="27"/>
        <v>110</v>
      </c>
      <c r="AB265" s="215">
        <v>45139</v>
      </c>
      <c r="AC265" s="104">
        <v>990</v>
      </c>
      <c r="AD265" s="104">
        <v>10000</v>
      </c>
      <c r="AE265" s="104">
        <f t="shared" si="25"/>
        <v>9.9</v>
      </c>
      <c r="AG265" s="215">
        <v>45139</v>
      </c>
      <c r="AH265" s="1">
        <v>11607</v>
      </c>
      <c r="AI265" s="1">
        <v>10000</v>
      </c>
      <c r="AJ265" s="1">
        <f t="shared" si="26"/>
        <v>116.07</v>
      </c>
      <c r="AL265" s="140">
        <v>44997</v>
      </c>
      <c r="AM265" t="s">
        <v>172</v>
      </c>
      <c r="AN265">
        <v>35104</v>
      </c>
      <c r="AP265" s="140">
        <v>44997</v>
      </c>
      <c r="AQ265" t="s">
        <v>180</v>
      </c>
      <c r="AR265">
        <v>1221208</v>
      </c>
    </row>
    <row r="266" spans="1:48" hidden="1" x14ac:dyDescent="0.25">
      <c r="A266" s="113">
        <v>45140</v>
      </c>
      <c r="B266" s="101">
        <v>11480540</v>
      </c>
      <c r="C266" s="101">
        <v>450269</v>
      </c>
      <c r="D266" s="101">
        <v>11930809</v>
      </c>
      <c r="E266" s="101">
        <v>96.23</v>
      </c>
      <c r="F266" s="211">
        <f t="shared" si="30"/>
        <v>11.930809</v>
      </c>
      <c r="H266" s="215">
        <v>45140</v>
      </c>
      <c r="I266" s="104">
        <v>4891958</v>
      </c>
      <c r="J266" s="104">
        <v>197</v>
      </c>
      <c r="K266" s="104">
        <v>4892155</v>
      </c>
      <c r="L266" s="104">
        <v>100</v>
      </c>
      <c r="M266" s="114">
        <f t="shared" si="29"/>
        <v>4.8921549999999998</v>
      </c>
      <c r="O266" s="215">
        <v>45140</v>
      </c>
      <c r="P266" s="104">
        <v>71218634</v>
      </c>
      <c r="Q266" s="104">
        <v>26406783</v>
      </c>
      <c r="R266" s="104">
        <v>97625417</v>
      </c>
      <c r="S266" s="104">
        <v>72.95</v>
      </c>
      <c r="T266" s="212">
        <f t="shared" si="28"/>
        <v>97.625416999999999</v>
      </c>
      <c r="W266" s="215">
        <v>45140</v>
      </c>
      <c r="X266" s="104">
        <v>7237</v>
      </c>
      <c r="Y266" s="104">
        <v>10000</v>
      </c>
      <c r="Z266" s="48">
        <f t="shared" si="27"/>
        <v>72.37</v>
      </c>
      <c r="AB266" s="215">
        <v>45140</v>
      </c>
      <c r="AC266" s="104">
        <v>1068</v>
      </c>
      <c r="AD266" s="104">
        <v>10000</v>
      </c>
      <c r="AE266" s="104">
        <f t="shared" si="25"/>
        <v>10.68</v>
      </c>
      <c r="AG266" s="215">
        <v>45140</v>
      </c>
      <c r="AH266" s="1">
        <v>7811</v>
      </c>
      <c r="AI266" s="1">
        <v>10000</v>
      </c>
      <c r="AJ266" s="1">
        <f t="shared" si="26"/>
        <v>78.11</v>
      </c>
      <c r="AL266" s="140">
        <v>44997</v>
      </c>
      <c r="AM266" t="s">
        <v>149</v>
      </c>
      <c r="AN266">
        <v>27337</v>
      </c>
      <c r="AP266" s="140">
        <v>44997</v>
      </c>
      <c r="AQ266" t="s">
        <v>185</v>
      </c>
      <c r="AR266">
        <v>485508</v>
      </c>
    </row>
    <row r="267" spans="1:48" hidden="1" x14ac:dyDescent="0.25">
      <c r="A267" s="113">
        <v>45141</v>
      </c>
      <c r="B267" s="101">
        <v>10506751</v>
      </c>
      <c r="C267" s="101">
        <v>1007401</v>
      </c>
      <c r="D267" s="101">
        <v>11514152</v>
      </c>
      <c r="E267" s="101">
        <v>91.25</v>
      </c>
      <c r="F267" s="211">
        <f t="shared" si="30"/>
        <v>11.514151999999999</v>
      </c>
      <c r="H267" s="215">
        <v>45141</v>
      </c>
      <c r="I267" s="104">
        <v>4803100</v>
      </c>
      <c r="J267" s="104">
        <v>219</v>
      </c>
      <c r="K267" s="104">
        <v>4803319</v>
      </c>
      <c r="L267" s="104">
        <v>100</v>
      </c>
      <c r="M267" s="114">
        <f t="shared" si="29"/>
        <v>4.8033190000000001</v>
      </c>
      <c r="O267" s="215">
        <v>45141</v>
      </c>
      <c r="P267" s="104">
        <v>85738577</v>
      </c>
      <c r="Q267" s="104">
        <v>39367893</v>
      </c>
      <c r="R267" s="104">
        <v>125106470</v>
      </c>
      <c r="S267" s="104">
        <v>68.53</v>
      </c>
      <c r="T267" s="212">
        <f t="shared" si="28"/>
        <v>125.10647</v>
      </c>
      <c r="W267" s="215">
        <v>45141</v>
      </c>
      <c r="X267" s="104">
        <v>11000</v>
      </c>
      <c r="Y267" s="104">
        <v>10000</v>
      </c>
      <c r="Z267" s="104">
        <f t="shared" si="27"/>
        <v>110</v>
      </c>
      <c r="AB267" s="215">
        <v>45141</v>
      </c>
      <c r="AC267" s="104">
        <v>1027</v>
      </c>
      <c r="AD267" s="104">
        <v>10000</v>
      </c>
      <c r="AE267" s="104">
        <f t="shared" ref="AE267:AE300" si="31">AC267/AD267%</f>
        <v>10.27</v>
      </c>
      <c r="AG267" s="215">
        <v>45141</v>
      </c>
      <c r="AH267" s="1">
        <v>11494</v>
      </c>
      <c r="AI267" s="1">
        <v>10000</v>
      </c>
      <c r="AJ267" s="1">
        <f t="shared" si="26"/>
        <v>114.94</v>
      </c>
      <c r="AL267" s="140">
        <v>44997</v>
      </c>
      <c r="AM267" t="s">
        <v>148</v>
      </c>
      <c r="AN267">
        <v>25369</v>
      </c>
      <c r="AP267" s="140">
        <v>44997</v>
      </c>
      <c r="AQ267" t="s">
        <v>148</v>
      </c>
      <c r="AR267">
        <v>235831</v>
      </c>
    </row>
    <row r="268" spans="1:48" hidden="1" x14ac:dyDescent="0.25">
      <c r="A268" s="113">
        <v>45142</v>
      </c>
      <c r="B268" s="101">
        <v>10594596</v>
      </c>
      <c r="C268" s="101">
        <v>844075</v>
      </c>
      <c r="D268" s="101">
        <v>11438671</v>
      </c>
      <c r="E268" s="101">
        <v>92.62</v>
      </c>
      <c r="F268" s="211">
        <f t="shared" si="30"/>
        <v>11.438670999999999</v>
      </c>
      <c r="H268" s="215">
        <v>45142</v>
      </c>
      <c r="I268" s="104">
        <v>4745331</v>
      </c>
      <c r="J268" s="104">
        <v>226</v>
      </c>
      <c r="K268" s="104">
        <v>4745557</v>
      </c>
      <c r="L268" s="104">
        <v>100</v>
      </c>
      <c r="M268" s="114">
        <f t="shared" si="29"/>
        <v>4.7455569999999998</v>
      </c>
      <c r="O268" s="215">
        <v>45142</v>
      </c>
      <c r="P268" s="104">
        <v>71171232</v>
      </c>
      <c r="Q268" s="104">
        <v>29999674</v>
      </c>
      <c r="R268" s="104">
        <v>101170906</v>
      </c>
      <c r="S268" s="104">
        <v>70.349999999999994</v>
      </c>
      <c r="T268" s="212">
        <f t="shared" si="28"/>
        <v>101.170906</v>
      </c>
      <c r="W268" s="215">
        <v>45142</v>
      </c>
      <c r="X268" s="104">
        <v>8856</v>
      </c>
      <c r="Y268" s="104">
        <v>10000</v>
      </c>
      <c r="Z268" s="104">
        <f t="shared" si="27"/>
        <v>88.56</v>
      </c>
      <c r="AB268" s="215">
        <v>45142</v>
      </c>
      <c r="AC268" s="104">
        <v>978</v>
      </c>
      <c r="AD268" s="104">
        <v>10000</v>
      </c>
      <c r="AE268" s="104">
        <f t="shared" si="31"/>
        <v>9.7799999999999994</v>
      </c>
      <c r="AG268" s="215">
        <v>45142</v>
      </c>
      <c r="AH268" s="1">
        <v>9484</v>
      </c>
      <c r="AI268" s="1">
        <v>10000</v>
      </c>
      <c r="AJ268" s="1">
        <f t="shared" si="26"/>
        <v>94.84</v>
      </c>
      <c r="AL268" s="140">
        <v>44998</v>
      </c>
      <c r="AM268" t="s">
        <v>146</v>
      </c>
      <c r="AN268">
        <v>216865</v>
      </c>
      <c r="AP268" s="140">
        <v>44998</v>
      </c>
      <c r="AQ268" t="s">
        <v>146</v>
      </c>
      <c r="AR268">
        <v>26534491</v>
      </c>
    </row>
    <row r="269" spans="1:48" hidden="1" x14ac:dyDescent="0.25">
      <c r="A269" s="113">
        <v>45143</v>
      </c>
      <c r="B269" s="101">
        <v>10848326</v>
      </c>
      <c r="C269" s="101">
        <v>392439</v>
      </c>
      <c r="D269" s="101">
        <v>11240765</v>
      </c>
      <c r="E269" s="101">
        <v>96.51</v>
      </c>
      <c r="F269" s="211">
        <f t="shared" si="30"/>
        <v>11.240765</v>
      </c>
      <c r="H269" s="215">
        <v>45143</v>
      </c>
      <c r="I269" s="104">
        <v>3770918</v>
      </c>
      <c r="J269" s="104">
        <v>266</v>
      </c>
      <c r="K269" s="104">
        <v>3771184</v>
      </c>
      <c r="L269" s="104">
        <v>99.99</v>
      </c>
      <c r="M269" s="114">
        <f t="shared" si="29"/>
        <v>3.7711839999999999</v>
      </c>
      <c r="O269" s="215">
        <v>45143</v>
      </c>
      <c r="P269" s="104">
        <v>69896798</v>
      </c>
      <c r="Q269" s="104">
        <v>32043075</v>
      </c>
      <c r="R269" s="104">
        <v>101939873</v>
      </c>
      <c r="S269" s="104">
        <v>68.569999999999993</v>
      </c>
      <c r="T269" s="212">
        <f t="shared" si="28"/>
        <v>101.93987300000001</v>
      </c>
      <c r="W269" s="215">
        <v>45143</v>
      </c>
      <c r="X269" s="104">
        <v>10543</v>
      </c>
      <c r="Y269" s="104">
        <v>10000</v>
      </c>
      <c r="Z269" s="104">
        <f t="shared" si="27"/>
        <v>105.43</v>
      </c>
      <c r="AB269" s="215">
        <v>45143</v>
      </c>
      <c r="AC269" s="104">
        <v>931</v>
      </c>
      <c r="AD269" s="104">
        <v>10000</v>
      </c>
      <c r="AE269" s="104">
        <f t="shared" si="31"/>
        <v>9.31</v>
      </c>
      <c r="AG269" s="215">
        <v>45143</v>
      </c>
      <c r="AH269" s="1">
        <v>11018</v>
      </c>
      <c r="AI269" s="1">
        <v>10000</v>
      </c>
      <c r="AJ269" s="1">
        <f t="shared" si="26"/>
        <v>110.18</v>
      </c>
      <c r="AL269" s="140">
        <v>44998</v>
      </c>
      <c r="AM269" t="s">
        <v>149</v>
      </c>
      <c r="AN269">
        <v>24118</v>
      </c>
      <c r="AP269" s="140">
        <v>44998</v>
      </c>
      <c r="AQ269" t="s">
        <v>149</v>
      </c>
      <c r="AR269">
        <v>5100713</v>
      </c>
      <c r="AT269" s="140">
        <v>44998</v>
      </c>
      <c r="AU269" t="s">
        <v>155</v>
      </c>
      <c r="AV269">
        <v>184621</v>
      </c>
    </row>
    <row r="270" spans="1:48" hidden="1" x14ac:dyDescent="0.25">
      <c r="A270" s="113">
        <v>45144</v>
      </c>
      <c r="B270" s="101">
        <v>10654513</v>
      </c>
      <c r="C270" s="101">
        <v>369949</v>
      </c>
      <c r="D270" s="101">
        <v>11024462</v>
      </c>
      <c r="E270" s="101">
        <v>96.64</v>
      </c>
      <c r="F270" s="211">
        <f t="shared" si="30"/>
        <v>11.024462</v>
      </c>
      <c r="H270" s="215">
        <v>45144</v>
      </c>
      <c r="I270" s="104">
        <v>2708111</v>
      </c>
      <c r="J270" s="104">
        <v>359</v>
      </c>
      <c r="K270" s="104">
        <v>2708470</v>
      </c>
      <c r="L270" s="104">
        <v>99.99</v>
      </c>
      <c r="M270" s="114">
        <f t="shared" si="29"/>
        <v>2.7084700000000002</v>
      </c>
      <c r="O270" s="215">
        <v>45144</v>
      </c>
      <c r="P270" s="104">
        <v>51866107</v>
      </c>
      <c r="Q270" s="104">
        <v>16814477</v>
      </c>
      <c r="R270" s="104">
        <v>68680584</v>
      </c>
      <c r="S270" s="104">
        <v>75.52</v>
      </c>
      <c r="T270" s="212">
        <f t="shared" si="28"/>
        <v>68.680583999999996</v>
      </c>
      <c r="W270" s="215">
        <v>45144</v>
      </c>
      <c r="X270" s="104">
        <v>5568</v>
      </c>
      <c r="Y270" s="104">
        <v>10000</v>
      </c>
      <c r="Z270" s="104">
        <f t="shared" si="27"/>
        <v>55.68</v>
      </c>
      <c r="AB270" s="215">
        <v>45144</v>
      </c>
      <c r="AC270" s="104">
        <v>899</v>
      </c>
      <c r="AD270" s="104">
        <v>10000</v>
      </c>
      <c r="AE270" s="104">
        <f t="shared" si="31"/>
        <v>8.99</v>
      </c>
      <c r="AG270" s="215">
        <v>45144</v>
      </c>
      <c r="AH270" s="1">
        <v>6051</v>
      </c>
      <c r="AI270" s="1">
        <v>10000</v>
      </c>
      <c r="AJ270" s="1">
        <f t="shared" si="26"/>
        <v>60.51</v>
      </c>
      <c r="AL270" s="140">
        <v>44998</v>
      </c>
      <c r="AM270" t="s">
        <v>180</v>
      </c>
      <c r="AN270">
        <v>19227</v>
      </c>
      <c r="AP270" s="140">
        <v>44998</v>
      </c>
      <c r="AQ270" t="s">
        <v>180</v>
      </c>
      <c r="AR270">
        <v>1414879</v>
      </c>
      <c r="AT270" s="140">
        <v>44998</v>
      </c>
      <c r="AU270" t="s">
        <v>147</v>
      </c>
      <c r="AV270">
        <v>144</v>
      </c>
    </row>
    <row r="271" spans="1:48" hidden="1" x14ac:dyDescent="0.25">
      <c r="A271" s="113">
        <v>45145</v>
      </c>
      <c r="B271" s="101">
        <v>11139565</v>
      </c>
      <c r="C271" s="101">
        <v>294819</v>
      </c>
      <c r="D271" s="101">
        <v>11434384</v>
      </c>
      <c r="E271" s="101">
        <v>97.42</v>
      </c>
      <c r="F271" s="211">
        <f t="shared" si="30"/>
        <v>11.434384</v>
      </c>
      <c r="H271" s="215">
        <v>45145</v>
      </c>
      <c r="I271" s="104">
        <v>2663865</v>
      </c>
      <c r="J271" s="104">
        <v>386</v>
      </c>
      <c r="K271" s="104">
        <v>2664251</v>
      </c>
      <c r="L271" s="104">
        <v>99.99</v>
      </c>
      <c r="M271" s="114">
        <f t="shared" si="29"/>
        <v>2.6642510000000001</v>
      </c>
      <c r="O271" s="215">
        <v>45145</v>
      </c>
      <c r="P271" s="104">
        <v>67836858</v>
      </c>
      <c r="Q271" s="104">
        <v>23001001</v>
      </c>
      <c r="R271" s="104">
        <v>90837859</v>
      </c>
      <c r="S271" s="104">
        <v>74.680000000000007</v>
      </c>
      <c r="T271" s="212">
        <f t="shared" si="28"/>
        <v>90.837858999999995</v>
      </c>
      <c r="W271" s="215">
        <v>45145</v>
      </c>
      <c r="X271" s="104">
        <v>7096</v>
      </c>
      <c r="Y271" s="104">
        <v>10000</v>
      </c>
      <c r="Z271" s="104">
        <f t="shared" si="27"/>
        <v>70.959999999999994</v>
      </c>
      <c r="AB271" s="215">
        <v>45145</v>
      </c>
      <c r="AC271" s="104">
        <v>960</v>
      </c>
      <c r="AD271" s="104">
        <v>10000</v>
      </c>
      <c r="AE271" s="104">
        <f t="shared" si="31"/>
        <v>9.6</v>
      </c>
      <c r="AG271" s="215">
        <v>45145</v>
      </c>
      <c r="AH271" s="1">
        <v>7613</v>
      </c>
      <c r="AI271" s="1">
        <v>10000</v>
      </c>
      <c r="AJ271" s="1">
        <f t="shared" si="26"/>
        <v>76.13</v>
      </c>
      <c r="AL271" s="140">
        <v>44998</v>
      </c>
      <c r="AM271" t="s">
        <v>148</v>
      </c>
      <c r="AN271">
        <v>18265</v>
      </c>
      <c r="AP271" s="140">
        <v>44998</v>
      </c>
      <c r="AQ271" t="s">
        <v>148</v>
      </c>
      <c r="AR271">
        <v>1197691</v>
      </c>
    </row>
    <row r="272" spans="1:48" hidden="1" x14ac:dyDescent="0.25">
      <c r="A272" s="113">
        <v>45146</v>
      </c>
      <c r="B272" s="101">
        <v>11272363</v>
      </c>
      <c r="C272" s="101">
        <v>360669</v>
      </c>
      <c r="D272" s="101">
        <v>11633032</v>
      </c>
      <c r="E272" s="101">
        <v>96.9</v>
      </c>
      <c r="F272" s="211">
        <f t="shared" si="30"/>
        <v>11.633032</v>
      </c>
      <c r="H272" s="215">
        <v>45146</v>
      </c>
      <c r="I272" s="104">
        <v>2624131</v>
      </c>
      <c r="J272" s="104">
        <v>403</v>
      </c>
      <c r="K272" s="104">
        <v>2624534</v>
      </c>
      <c r="L272" s="104">
        <v>99.98</v>
      </c>
      <c r="M272" s="114">
        <f t="shared" si="29"/>
        <v>2.6245340000000001</v>
      </c>
      <c r="O272" s="215">
        <v>45146</v>
      </c>
      <c r="P272" s="104">
        <v>68009755</v>
      </c>
      <c r="Q272" s="104">
        <v>21603271</v>
      </c>
      <c r="R272" s="104">
        <v>89613026</v>
      </c>
      <c r="S272" s="104">
        <v>75.89</v>
      </c>
      <c r="T272" s="212">
        <f t="shared" si="28"/>
        <v>89.613026000000005</v>
      </c>
      <c r="W272" s="215">
        <v>45146</v>
      </c>
      <c r="X272" s="1">
        <v>9584</v>
      </c>
      <c r="Y272" s="104">
        <v>10000</v>
      </c>
      <c r="Z272" s="104">
        <f t="shared" si="27"/>
        <v>95.84</v>
      </c>
      <c r="AB272" s="215">
        <v>45146</v>
      </c>
      <c r="AC272" s="1">
        <v>1070</v>
      </c>
      <c r="AD272" s="104">
        <v>10000</v>
      </c>
      <c r="AE272" s="104">
        <f t="shared" si="31"/>
        <v>10.7</v>
      </c>
      <c r="AG272" s="215">
        <v>45146</v>
      </c>
      <c r="AH272" s="1">
        <v>10258</v>
      </c>
      <c r="AI272" s="1">
        <v>10000</v>
      </c>
      <c r="AJ272" s="1">
        <f t="shared" si="26"/>
        <v>102.58</v>
      </c>
      <c r="AL272" s="140">
        <v>44998</v>
      </c>
      <c r="AM272" t="s">
        <v>172</v>
      </c>
      <c r="AN272">
        <v>12988</v>
      </c>
      <c r="AP272" s="140">
        <v>44998</v>
      </c>
      <c r="AQ272" t="s">
        <v>185</v>
      </c>
      <c r="AR272">
        <v>818320</v>
      </c>
    </row>
    <row r="273" spans="1:48" hidden="1" x14ac:dyDescent="0.25">
      <c r="A273" s="113">
        <v>45147</v>
      </c>
      <c r="B273" s="101">
        <v>10992144</v>
      </c>
      <c r="C273" s="101">
        <v>384338</v>
      </c>
      <c r="D273" s="101">
        <v>11376482</v>
      </c>
      <c r="E273" s="101">
        <v>96.62</v>
      </c>
      <c r="F273" s="211">
        <f t="shared" si="30"/>
        <v>11.376481999999999</v>
      </c>
      <c r="H273" s="215">
        <v>45147</v>
      </c>
      <c r="I273" s="104">
        <v>3177350</v>
      </c>
      <c r="J273" s="104">
        <v>810</v>
      </c>
      <c r="K273" s="104">
        <v>3178160</v>
      </c>
      <c r="L273" s="104">
        <v>99.97</v>
      </c>
      <c r="M273" s="114">
        <f t="shared" si="29"/>
        <v>3.1781600000000001</v>
      </c>
      <c r="O273" s="215">
        <v>45147</v>
      </c>
      <c r="P273" s="104">
        <v>62184832</v>
      </c>
      <c r="Q273" s="104">
        <v>21639874</v>
      </c>
      <c r="R273" s="104">
        <v>83824706</v>
      </c>
      <c r="S273" s="104">
        <v>74.180000000000007</v>
      </c>
      <c r="T273" s="212">
        <f t="shared" si="28"/>
        <v>83.824706000000006</v>
      </c>
      <c r="W273" s="215">
        <v>45147</v>
      </c>
      <c r="X273" s="1">
        <v>6611</v>
      </c>
      <c r="Y273" s="104">
        <v>10000</v>
      </c>
      <c r="Z273" s="104">
        <f t="shared" si="27"/>
        <v>66.11</v>
      </c>
      <c r="AB273" s="215">
        <v>45147</v>
      </c>
      <c r="AC273" s="1">
        <v>941</v>
      </c>
      <c r="AD273" s="104">
        <v>10000</v>
      </c>
      <c r="AE273" s="104">
        <f t="shared" si="31"/>
        <v>9.41</v>
      </c>
      <c r="AG273" s="215">
        <v>45147</v>
      </c>
      <c r="AH273" s="1">
        <v>7189</v>
      </c>
      <c r="AI273" s="1">
        <v>10000</v>
      </c>
      <c r="AJ273" s="1">
        <f t="shared" si="26"/>
        <v>71.89</v>
      </c>
      <c r="AL273" s="140">
        <v>44999</v>
      </c>
      <c r="AM273" t="s">
        <v>146</v>
      </c>
      <c r="AN273">
        <v>247824</v>
      </c>
      <c r="AP273" s="140">
        <v>44999</v>
      </c>
      <c r="AQ273" t="s">
        <v>146</v>
      </c>
      <c r="AR273">
        <v>23911039</v>
      </c>
    </row>
    <row r="274" spans="1:48" hidden="1" x14ac:dyDescent="0.25">
      <c r="A274" s="113">
        <v>45148</v>
      </c>
      <c r="B274" s="101">
        <v>11059410</v>
      </c>
      <c r="C274" s="101">
        <v>396679</v>
      </c>
      <c r="D274" s="101">
        <v>11456089</v>
      </c>
      <c r="E274" s="101">
        <v>96.54</v>
      </c>
      <c r="F274" s="211">
        <f t="shared" si="30"/>
        <v>11.456089</v>
      </c>
      <c r="H274" s="215">
        <v>45148</v>
      </c>
      <c r="I274" s="104">
        <v>3586619</v>
      </c>
      <c r="J274" s="104">
        <v>315</v>
      </c>
      <c r="K274" s="104">
        <v>3586934</v>
      </c>
      <c r="L274" s="104">
        <v>99.99</v>
      </c>
      <c r="M274" s="114">
        <f t="shared" si="29"/>
        <v>3.5869339999999998</v>
      </c>
      <c r="O274" s="215">
        <v>45148</v>
      </c>
      <c r="P274" s="104">
        <v>71511247</v>
      </c>
      <c r="Q274" s="104">
        <v>32462814</v>
      </c>
      <c r="R274" s="104">
        <v>103974061</v>
      </c>
      <c r="S274" s="104">
        <v>68.78</v>
      </c>
      <c r="T274" s="212">
        <f t="shared" si="28"/>
        <v>103.97406100000001</v>
      </c>
      <c r="W274" s="215">
        <v>45148</v>
      </c>
      <c r="X274" s="1">
        <v>11000</v>
      </c>
      <c r="Y274" s="104">
        <v>10000</v>
      </c>
      <c r="Z274" s="104">
        <f t="shared" si="27"/>
        <v>110</v>
      </c>
      <c r="AB274" s="215">
        <v>45148</v>
      </c>
      <c r="AC274" s="1">
        <v>1499</v>
      </c>
      <c r="AD274" s="104">
        <v>10000</v>
      </c>
      <c r="AE274" s="104">
        <f t="shared" si="31"/>
        <v>14.99</v>
      </c>
      <c r="AG274" s="215">
        <v>45148</v>
      </c>
      <c r="AH274" s="1">
        <v>11549</v>
      </c>
      <c r="AI274" s="1">
        <v>10000</v>
      </c>
      <c r="AJ274" s="1">
        <f t="shared" si="26"/>
        <v>115.49</v>
      </c>
      <c r="AL274" s="140">
        <v>44999</v>
      </c>
      <c r="AM274" t="s">
        <v>180</v>
      </c>
      <c r="AN274">
        <v>87746</v>
      </c>
      <c r="AP274" s="140">
        <v>44999</v>
      </c>
      <c r="AQ274" t="s">
        <v>149</v>
      </c>
      <c r="AR274">
        <v>4217229</v>
      </c>
      <c r="AT274" s="140">
        <v>44999</v>
      </c>
      <c r="AU274" t="s">
        <v>155</v>
      </c>
      <c r="AV274">
        <v>157277</v>
      </c>
    </row>
    <row r="275" spans="1:48" hidden="1" x14ac:dyDescent="0.25">
      <c r="A275" s="113">
        <v>45149</v>
      </c>
      <c r="B275" s="101">
        <v>10632090</v>
      </c>
      <c r="C275" s="101">
        <v>388020</v>
      </c>
      <c r="D275" s="101">
        <v>11020110</v>
      </c>
      <c r="E275" s="101">
        <v>96.48</v>
      </c>
      <c r="F275" s="211">
        <f t="shared" si="30"/>
        <v>11.020110000000001</v>
      </c>
      <c r="H275" s="215">
        <v>45149</v>
      </c>
      <c r="I275" s="104">
        <v>3684966</v>
      </c>
      <c r="J275" s="104">
        <v>282</v>
      </c>
      <c r="K275" s="104">
        <v>3685248</v>
      </c>
      <c r="L275" s="104">
        <v>99.99</v>
      </c>
      <c r="M275" s="114">
        <f t="shared" si="29"/>
        <v>3.6852480000000001</v>
      </c>
      <c r="O275" s="215">
        <v>45149</v>
      </c>
      <c r="P275" s="104">
        <v>65969868</v>
      </c>
      <c r="Q275" s="104">
        <v>27283100</v>
      </c>
      <c r="R275" s="104">
        <v>93252968</v>
      </c>
      <c r="S275" s="104">
        <v>70.739999999999995</v>
      </c>
      <c r="T275" s="212">
        <f t="shared" si="28"/>
        <v>93.252967999999996</v>
      </c>
      <c r="W275" s="215">
        <v>45149</v>
      </c>
      <c r="X275" s="1">
        <v>6959</v>
      </c>
      <c r="Y275" s="104">
        <v>10000</v>
      </c>
      <c r="Z275" s="104">
        <f t="shared" si="27"/>
        <v>69.59</v>
      </c>
      <c r="AB275" s="215">
        <v>45149</v>
      </c>
      <c r="AC275" s="1">
        <v>958</v>
      </c>
      <c r="AD275" s="104">
        <v>10000</v>
      </c>
      <c r="AE275" s="104">
        <f t="shared" si="31"/>
        <v>9.58</v>
      </c>
      <c r="AG275" s="215">
        <v>45149</v>
      </c>
      <c r="AH275" s="1">
        <v>7579</v>
      </c>
      <c r="AI275" s="1">
        <v>10000</v>
      </c>
      <c r="AJ275" s="1">
        <f t="shared" si="26"/>
        <v>75.790000000000006</v>
      </c>
      <c r="AL275" s="140">
        <v>44999</v>
      </c>
      <c r="AM275" t="s">
        <v>172</v>
      </c>
      <c r="AN275">
        <v>41669</v>
      </c>
      <c r="AP275" s="140">
        <v>44999</v>
      </c>
      <c r="AQ275" t="s">
        <v>180</v>
      </c>
      <c r="AR275">
        <v>1302095</v>
      </c>
      <c r="AT275" s="140">
        <v>44999</v>
      </c>
      <c r="AU275" t="s">
        <v>147</v>
      </c>
      <c r="AV275">
        <v>234</v>
      </c>
    </row>
    <row r="276" spans="1:48" hidden="1" x14ac:dyDescent="0.25">
      <c r="A276" s="113">
        <v>45150</v>
      </c>
      <c r="B276" s="101">
        <v>10347715</v>
      </c>
      <c r="C276" s="101">
        <v>364249</v>
      </c>
      <c r="D276" s="101">
        <v>10711964</v>
      </c>
      <c r="E276" s="101">
        <v>96.6</v>
      </c>
      <c r="F276" s="211">
        <f t="shared" si="30"/>
        <v>10.711964</v>
      </c>
      <c r="H276" s="215">
        <v>45150</v>
      </c>
      <c r="I276" s="104">
        <v>3742120</v>
      </c>
      <c r="J276" s="104">
        <v>238</v>
      </c>
      <c r="K276" s="104">
        <v>3742358</v>
      </c>
      <c r="L276" s="104">
        <v>99.99</v>
      </c>
      <c r="M276" s="114">
        <f t="shared" si="29"/>
        <v>3.7423579999999999</v>
      </c>
      <c r="O276" s="215">
        <v>45150</v>
      </c>
      <c r="P276" s="104">
        <v>73835943</v>
      </c>
      <c r="Q276" s="104">
        <v>35129094</v>
      </c>
      <c r="R276" s="104">
        <v>108965037</v>
      </c>
      <c r="S276" s="104">
        <v>67.760000000000005</v>
      </c>
      <c r="T276" s="212">
        <f t="shared" si="28"/>
        <v>108.965037</v>
      </c>
      <c r="W276" s="215">
        <v>45150</v>
      </c>
      <c r="X276" s="1">
        <v>9507</v>
      </c>
      <c r="Y276" s="104">
        <v>10000</v>
      </c>
      <c r="Z276" s="104">
        <f t="shared" si="27"/>
        <v>95.07</v>
      </c>
      <c r="AB276" s="215">
        <v>45150</v>
      </c>
      <c r="AC276" s="1">
        <v>1066</v>
      </c>
      <c r="AD276" s="104">
        <v>10000</v>
      </c>
      <c r="AE276" s="104">
        <f t="shared" si="31"/>
        <v>10.66</v>
      </c>
      <c r="AG276" s="215">
        <v>45150</v>
      </c>
      <c r="AH276" s="1">
        <v>8600</v>
      </c>
      <c r="AI276" s="1">
        <v>10000</v>
      </c>
      <c r="AJ276" s="1">
        <f t="shared" si="26"/>
        <v>86</v>
      </c>
      <c r="AL276" s="140">
        <v>44999</v>
      </c>
      <c r="AM276" t="s">
        <v>149</v>
      </c>
      <c r="AN276">
        <v>29627</v>
      </c>
      <c r="AP276" s="140">
        <v>44999</v>
      </c>
      <c r="AQ276" t="s">
        <v>148</v>
      </c>
      <c r="AR276">
        <v>938660</v>
      </c>
    </row>
    <row r="277" spans="1:48" hidden="1" x14ac:dyDescent="0.25">
      <c r="A277" s="113">
        <v>45151</v>
      </c>
      <c r="B277" s="101">
        <v>10541042</v>
      </c>
      <c r="C277" s="101">
        <v>374643</v>
      </c>
      <c r="D277" s="101">
        <v>10915685</v>
      </c>
      <c r="E277" s="101">
        <v>96.57</v>
      </c>
      <c r="F277" s="211">
        <f t="shared" si="30"/>
        <v>10.915685</v>
      </c>
      <c r="H277" s="215">
        <v>45151</v>
      </c>
      <c r="I277" s="104">
        <v>2620475</v>
      </c>
      <c r="J277" s="104">
        <v>258</v>
      </c>
      <c r="K277" s="104">
        <v>2620733</v>
      </c>
      <c r="L277" s="104">
        <v>99.99</v>
      </c>
      <c r="M277" s="114">
        <f t="shared" si="29"/>
        <v>2.620733</v>
      </c>
      <c r="O277" s="215">
        <v>45151</v>
      </c>
      <c r="P277" s="104">
        <v>53883750</v>
      </c>
      <c r="Q277" s="104">
        <v>23790613</v>
      </c>
      <c r="R277" s="104">
        <v>77674363</v>
      </c>
      <c r="S277" s="104">
        <v>69.37</v>
      </c>
      <c r="T277" s="212">
        <f t="shared" si="28"/>
        <v>77.674363</v>
      </c>
      <c r="W277" s="215">
        <v>45151</v>
      </c>
      <c r="X277" s="1">
        <v>5199</v>
      </c>
      <c r="Y277" s="104">
        <v>10000</v>
      </c>
      <c r="Z277" s="104">
        <f t="shared" si="27"/>
        <v>51.99</v>
      </c>
      <c r="AB277" s="215">
        <v>45151</v>
      </c>
      <c r="AC277" s="1">
        <v>859</v>
      </c>
      <c r="AD277" s="104">
        <v>10000</v>
      </c>
      <c r="AE277" s="104">
        <f t="shared" si="31"/>
        <v>8.59</v>
      </c>
      <c r="AG277" s="215">
        <v>45151</v>
      </c>
      <c r="AH277" s="1">
        <v>5717</v>
      </c>
      <c r="AI277" s="1">
        <v>10000</v>
      </c>
      <c r="AJ277" s="1">
        <f t="shared" si="26"/>
        <v>57.17</v>
      </c>
      <c r="AL277" s="140">
        <v>44999</v>
      </c>
      <c r="AM277" t="s">
        <v>148</v>
      </c>
      <c r="AN277">
        <v>17640</v>
      </c>
      <c r="AP277" s="140">
        <v>44999</v>
      </c>
      <c r="AQ277" t="s">
        <v>169</v>
      </c>
      <c r="AR277">
        <v>715763</v>
      </c>
    </row>
    <row r="278" spans="1:48" hidden="1" x14ac:dyDescent="0.25">
      <c r="A278" s="113">
        <v>45152</v>
      </c>
      <c r="B278" s="101">
        <v>11234260</v>
      </c>
      <c r="C278" s="101">
        <v>322774</v>
      </c>
      <c r="D278" s="101">
        <v>11557034</v>
      </c>
      <c r="E278" s="101">
        <v>97.21</v>
      </c>
      <c r="F278" s="211">
        <f t="shared" si="30"/>
        <v>11.557034</v>
      </c>
      <c r="H278" s="215">
        <v>45152</v>
      </c>
      <c r="I278" s="104">
        <v>3867559</v>
      </c>
      <c r="J278" s="104">
        <v>307</v>
      </c>
      <c r="K278" s="104">
        <v>3867866</v>
      </c>
      <c r="L278" s="104">
        <v>99.99</v>
      </c>
      <c r="M278" s="114">
        <f t="shared" si="29"/>
        <v>3.8678659999999998</v>
      </c>
      <c r="O278" s="215">
        <v>45152</v>
      </c>
      <c r="P278" s="104">
        <v>72163013</v>
      </c>
      <c r="Q278" s="104">
        <v>28135320</v>
      </c>
      <c r="R278" s="104">
        <v>100298333</v>
      </c>
      <c r="S278" s="104">
        <v>71.95</v>
      </c>
      <c r="T278" s="212">
        <f t="shared" si="28"/>
        <v>100.298333</v>
      </c>
      <c r="W278" s="215">
        <v>45152</v>
      </c>
      <c r="X278" s="1">
        <v>7868</v>
      </c>
      <c r="Y278" s="104">
        <v>10000</v>
      </c>
      <c r="Z278" s="104">
        <f t="shared" si="27"/>
        <v>78.680000000000007</v>
      </c>
      <c r="AB278" s="215">
        <v>45152</v>
      </c>
      <c r="AC278" s="1">
        <v>922</v>
      </c>
      <c r="AD278" s="104">
        <v>10000</v>
      </c>
      <c r="AE278" s="104">
        <f t="shared" si="31"/>
        <v>9.2200000000000006</v>
      </c>
      <c r="AG278" s="215">
        <v>45152</v>
      </c>
      <c r="AH278" s="1">
        <v>8424</v>
      </c>
      <c r="AI278" s="1">
        <v>10000</v>
      </c>
      <c r="AJ278" s="1">
        <f t="shared" si="26"/>
        <v>84.24</v>
      </c>
      <c r="AL278" s="140">
        <v>45000</v>
      </c>
      <c r="AM278" t="s">
        <v>146</v>
      </c>
      <c r="AN278">
        <v>244459</v>
      </c>
      <c r="AP278" s="140">
        <v>45000</v>
      </c>
      <c r="AQ278" t="s">
        <v>146</v>
      </c>
      <c r="AR278">
        <v>21806712</v>
      </c>
    </row>
    <row r="279" spans="1:48" hidden="1" x14ac:dyDescent="0.25">
      <c r="A279" s="113">
        <v>45153</v>
      </c>
      <c r="B279" s="101">
        <v>11066748</v>
      </c>
      <c r="C279" s="101">
        <v>377422</v>
      </c>
      <c r="D279" s="101">
        <v>11444170</v>
      </c>
      <c r="E279" s="101">
        <v>96.7</v>
      </c>
      <c r="F279" s="211">
        <f t="shared" si="30"/>
        <v>11.44417</v>
      </c>
      <c r="H279" s="215">
        <v>45153</v>
      </c>
      <c r="I279" s="104">
        <v>3552762</v>
      </c>
      <c r="J279" s="104">
        <v>707</v>
      </c>
      <c r="K279" s="104">
        <v>3553469</v>
      </c>
      <c r="L279" s="104">
        <v>99.98</v>
      </c>
      <c r="M279" s="114">
        <f t="shared" si="29"/>
        <v>3.5534690000000002</v>
      </c>
      <c r="O279" s="215">
        <v>45153</v>
      </c>
      <c r="P279" s="104">
        <v>71214950</v>
      </c>
      <c r="Q279" s="104">
        <v>27877100</v>
      </c>
      <c r="R279" s="104">
        <v>99092050</v>
      </c>
      <c r="S279" s="104">
        <v>71.87</v>
      </c>
      <c r="T279" s="212">
        <f t="shared" si="28"/>
        <v>99.09205</v>
      </c>
      <c r="W279" s="215">
        <v>45153</v>
      </c>
      <c r="X279" s="1">
        <v>6775</v>
      </c>
      <c r="Y279" s="104">
        <v>10000</v>
      </c>
      <c r="Z279" s="104">
        <f t="shared" si="27"/>
        <v>67.75</v>
      </c>
      <c r="AB279" s="215">
        <v>45153</v>
      </c>
      <c r="AC279" s="1">
        <v>930</v>
      </c>
      <c r="AD279" s="104">
        <v>10000</v>
      </c>
      <c r="AE279" s="104">
        <f t="shared" si="31"/>
        <v>9.3000000000000007</v>
      </c>
      <c r="AG279" s="215">
        <v>45153</v>
      </c>
      <c r="AH279" s="1">
        <v>7370</v>
      </c>
      <c r="AI279" s="1">
        <v>10000</v>
      </c>
      <c r="AJ279" s="1">
        <f t="shared" si="26"/>
        <v>73.7</v>
      </c>
      <c r="AL279" s="140">
        <v>45000</v>
      </c>
      <c r="AM279" t="s">
        <v>180</v>
      </c>
      <c r="AN279">
        <v>85154</v>
      </c>
      <c r="AP279" s="140">
        <v>45000</v>
      </c>
      <c r="AQ279" t="s">
        <v>149</v>
      </c>
      <c r="AR279">
        <v>4229194</v>
      </c>
      <c r="AT279" s="140">
        <v>45000</v>
      </c>
      <c r="AU279" t="s">
        <v>155</v>
      </c>
      <c r="AV279">
        <v>851</v>
      </c>
    </row>
    <row r="280" spans="1:48" hidden="1" x14ac:dyDescent="0.25">
      <c r="A280" s="113">
        <v>45154</v>
      </c>
      <c r="B280" s="101">
        <v>11063609</v>
      </c>
      <c r="C280" s="101">
        <v>388043</v>
      </c>
      <c r="D280" s="101">
        <v>11451652</v>
      </c>
      <c r="E280" s="101">
        <v>96.61</v>
      </c>
      <c r="F280" s="211">
        <f t="shared" si="30"/>
        <v>11.451651999999999</v>
      </c>
      <c r="H280" s="215">
        <v>45154</v>
      </c>
      <c r="I280" s="104">
        <v>3828673</v>
      </c>
      <c r="J280" s="104">
        <v>206</v>
      </c>
      <c r="K280" s="104">
        <v>3828879</v>
      </c>
      <c r="L280" s="104">
        <v>99.99</v>
      </c>
      <c r="M280" s="114">
        <f t="shared" si="29"/>
        <v>3.8288790000000001</v>
      </c>
      <c r="O280" s="215">
        <v>45154</v>
      </c>
      <c r="P280" s="104">
        <v>77394181</v>
      </c>
      <c r="Q280" s="104">
        <v>37730140</v>
      </c>
      <c r="R280" s="104">
        <v>115124321</v>
      </c>
      <c r="S280" s="104">
        <v>67.23</v>
      </c>
      <c r="T280" s="212">
        <f t="shared" si="28"/>
        <v>115.12432099999999</v>
      </c>
      <c r="W280" s="215">
        <v>45154</v>
      </c>
      <c r="X280" s="1">
        <v>10402</v>
      </c>
      <c r="Y280" s="104">
        <v>10000</v>
      </c>
      <c r="Z280" s="104">
        <f t="shared" si="27"/>
        <v>104.02</v>
      </c>
      <c r="AB280" s="215">
        <v>45154</v>
      </c>
      <c r="AC280" s="1">
        <v>941</v>
      </c>
      <c r="AD280" s="104">
        <v>10000</v>
      </c>
      <c r="AE280" s="104">
        <f t="shared" si="31"/>
        <v>9.41</v>
      </c>
      <c r="AG280" s="215">
        <v>45154</v>
      </c>
      <c r="AH280" s="1">
        <v>10956</v>
      </c>
      <c r="AI280" s="1">
        <v>10000</v>
      </c>
      <c r="AJ280" s="1">
        <f t="shared" si="26"/>
        <v>109.56</v>
      </c>
      <c r="AL280" s="140">
        <v>45000</v>
      </c>
      <c r="AM280" t="s">
        <v>172</v>
      </c>
      <c r="AN280">
        <v>50910</v>
      </c>
      <c r="AP280" s="140">
        <v>45000</v>
      </c>
      <c r="AQ280" t="s">
        <v>180</v>
      </c>
      <c r="AR280">
        <v>1351809</v>
      </c>
      <c r="AT280" s="140">
        <v>45000</v>
      </c>
      <c r="AU280" t="s">
        <v>147</v>
      </c>
      <c r="AV280">
        <v>164</v>
      </c>
    </row>
    <row r="281" spans="1:48" hidden="1" x14ac:dyDescent="0.25">
      <c r="A281" s="113">
        <v>45155</v>
      </c>
      <c r="B281" s="101">
        <v>11527360</v>
      </c>
      <c r="C281" s="101">
        <v>410669</v>
      </c>
      <c r="D281" s="101">
        <v>11938029</v>
      </c>
      <c r="E281" s="101">
        <v>96.56</v>
      </c>
      <c r="F281" s="211">
        <f t="shared" si="30"/>
        <v>11.938029</v>
      </c>
      <c r="H281" s="215">
        <v>45155</v>
      </c>
      <c r="I281" s="104">
        <v>3407050</v>
      </c>
      <c r="J281" s="104">
        <v>186</v>
      </c>
      <c r="K281" s="104">
        <v>3407236</v>
      </c>
      <c r="L281" s="104">
        <v>99.99</v>
      </c>
      <c r="M281" s="114">
        <f t="shared" si="29"/>
        <v>3.4072360000000002</v>
      </c>
      <c r="O281" s="215">
        <v>45155</v>
      </c>
      <c r="P281" s="104">
        <v>72397218</v>
      </c>
      <c r="Q281" s="104">
        <v>35055260</v>
      </c>
      <c r="R281" s="104">
        <v>107452478</v>
      </c>
      <c r="S281" s="104">
        <v>67.38</v>
      </c>
      <c r="T281" s="212">
        <f t="shared" si="28"/>
        <v>107.452478</v>
      </c>
      <c r="W281" s="215">
        <v>45155</v>
      </c>
      <c r="X281" s="1">
        <v>11000</v>
      </c>
      <c r="Y281" s="104">
        <v>10000</v>
      </c>
      <c r="Z281" s="104">
        <f t="shared" si="27"/>
        <v>110</v>
      </c>
      <c r="AB281" s="215">
        <v>45155</v>
      </c>
      <c r="AC281" s="1">
        <v>1000</v>
      </c>
      <c r="AD281" s="104">
        <v>10000</v>
      </c>
      <c r="AE281" s="104">
        <f t="shared" si="31"/>
        <v>10</v>
      </c>
      <c r="AG281" s="215">
        <v>45155</v>
      </c>
      <c r="AH281" s="1">
        <v>12000</v>
      </c>
      <c r="AI281" s="1">
        <v>10000</v>
      </c>
      <c r="AJ281" s="1">
        <f t="shared" si="26"/>
        <v>120</v>
      </c>
      <c r="AL281" s="140">
        <v>45000</v>
      </c>
      <c r="AM281" t="s">
        <v>149</v>
      </c>
      <c r="AN281">
        <v>29287</v>
      </c>
      <c r="AP281" s="140">
        <v>45000</v>
      </c>
      <c r="AQ281" t="s">
        <v>185</v>
      </c>
      <c r="AR281">
        <v>792600</v>
      </c>
    </row>
    <row r="282" spans="1:48" hidden="1" x14ac:dyDescent="0.25">
      <c r="A282" s="113">
        <v>45156</v>
      </c>
      <c r="B282" s="101">
        <v>11413962</v>
      </c>
      <c r="C282" s="101">
        <v>419034</v>
      </c>
      <c r="D282" s="101">
        <v>11832996</v>
      </c>
      <c r="E282" s="101">
        <v>96.46</v>
      </c>
      <c r="F282" s="211">
        <f t="shared" si="30"/>
        <v>11.832996</v>
      </c>
      <c r="H282" s="215">
        <v>45156</v>
      </c>
      <c r="I282" s="104">
        <v>4786774</v>
      </c>
      <c r="J282" s="104">
        <v>224</v>
      </c>
      <c r="K282" s="104">
        <v>4786998</v>
      </c>
      <c r="L282" s="104">
        <v>100</v>
      </c>
      <c r="M282" s="114">
        <f t="shared" si="29"/>
        <v>4.7869979999999996</v>
      </c>
      <c r="O282" s="215">
        <v>45156</v>
      </c>
      <c r="P282" s="104">
        <v>72080034</v>
      </c>
      <c r="Q282" s="104">
        <v>27244169</v>
      </c>
      <c r="R282" s="104">
        <v>99324203</v>
      </c>
      <c r="S282" s="104">
        <v>72.569999999999993</v>
      </c>
      <c r="T282" s="212">
        <f t="shared" si="28"/>
        <v>99.324202999999997</v>
      </c>
      <c r="W282" s="215">
        <v>45156</v>
      </c>
      <c r="X282" s="1">
        <v>7914</v>
      </c>
      <c r="Y282" s="104">
        <v>10000</v>
      </c>
      <c r="Z282" s="104">
        <f t="shared" si="27"/>
        <v>79.14</v>
      </c>
      <c r="AB282" s="215">
        <v>45156</v>
      </c>
      <c r="AC282" s="1">
        <v>1130</v>
      </c>
      <c r="AD282" s="104">
        <v>10000</v>
      </c>
      <c r="AE282" s="104">
        <f t="shared" si="31"/>
        <v>11.3</v>
      </c>
      <c r="AG282" s="215">
        <v>45156</v>
      </c>
      <c r="AH282" s="1">
        <v>8763</v>
      </c>
      <c r="AI282" s="1">
        <v>10000</v>
      </c>
      <c r="AJ282" s="1">
        <f t="shared" si="26"/>
        <v>87.63</v>
      </c>
      <c r="AL282" s="140">
        <v>45000</v>
      </c>
      <c r="AM282" t="s">
        <v>148</v>
      </c>
      <c r="AN282">
        <v>17789</v>
      </c>
      <c r="AP282" s="140">
        <v>45000</v>
      </c>
      <c r="AQ282" t="s">
        <v>148</v>
      </c>
      <c r="AR282">
        <v>708524</v>
      </c>
    </row>
    <row r="283" spans="1:48" hidden="1" x14ac:dyDescent="0.25">
      <c r="A283" s="113">
        <v>45157</v>
      </c>
      <c r="B283" s="101">
        <v>11030155</v>
      </c>
      <c r="C283" s="101">
        <v>419263</v>
      </c>
      <c r="D283" s="101">
        <v>11449418</v>
      </c>
      <c r="E283" s="101">
        <v>96.34</v>
      </c>
      <c r="F283" s="211">
        <f t="shared" si="30"/>
        <v>11.449418</v>
      </c>
      <c r="H283" s="215">
        <v>45157</v>
      </c>
      <c r="I283" s="104">
        <v>4902422</v>
      </c>
      <c r="J283" s="104">
        <v>169</v>
      </c>
      <c r="K283" s="104">
        <v>4902591</v>
      </c>
      <c r="L283" s="104">
        <v>100</v>
      </c>
      <c r="M283" s="114">
        <f t="shared" si="29"/>
        <v>4.9025910000000001</v>
      </c>
      <c r="O283" s="215">
        <v>45157</v>
      </c>
      <c r="P283" s="104">
        <v>80031209</v>
      </c>
      <c r="Q283" s="104">
        <v>36836228</v>
      </c>
      <c r="R283" s="104">
        <v>116867437</v>
      </c>
      <c r="S283" s="104">
        <v>68.48</v>
      </c>
      <c r="T283" s="212">
        <f t="shared" si="28"/>
        <v>116.867437</v>
      </c>
      <c r="W283" s="215">
        <v>45157</v>
      </c>
      <c r="X283" s="1">
        <v>9270</v>
      </c>
      <c r="Y283" s="104">
        <v>10000</v>
      </c>
      <c r="Z283" s="104">
        <f t="shared" si="27"/>
        <v>92.7</v>
      </c>
      <c r="AB283" s="215">
        <v>45157</v>
      </c>
      <c r="AC283" s="1">
        <v>950</v>
      </c>
      <c r="AD283" s="104">
        <v>10000</v>
      </c>
      <c r="AE283" s="104">
        <f t="shared" si="31"/>
        <v>9.5</v>
      </c>
      <c r="AG283" s="215">
        <v>45157</v>
      </c>
      <c r="AH283" s="1">
        <v>10054</v>
      </c>
      <c r="AI283" s="1">
        <v>10000</v>
      </c>
      <c r="AJ283" s="1">
        <f t="shared" si="26"/>
        <v>100.54</v>
      </c>
      <c r="AL283" s="140">
        <v>45001</v>
      </c>
      <c r="AM283" t="s">
        <v>146</v>
      </c>
      <c r="AN283">
        <v>218659</v>
      </c>
      <c r="AP283" s="140">
        <v>45001</v>
      </c>
      <c r="AQ283" t="s">
        <v>146</v>
      </c>
      <c r="AR283">
        <v>22545745</v>
      </c>
    </row>
    <row r="284" spans="1:48" hidden="1" x14ac:dyDescent="0.25">
      <c r="A284" s="113">
        <v>45158</v>
      </c>
      <c r="B284" s="101">
        <v>10942642</v>
      </c>
      <c r="C284" s="101">
        <v>378689</v>
      </c>
      <c r="D284" s="101">
        <v>11321331</v>
      </c>
      <c r="E284" s="101">
        <v>96.66</v>
      </c>
      <c r="F284" s="211">
        <f t="shared" si="30"/>
        <v>11.321331000000001</v>
      </c>
      <c r="H284" s="215">
        <v>45158</v>
      </c>
      <c r="I284" s="104">
        <v>1995429</v>
      </c>
      <c r="J284" s="104">
        <v>162</v>
      </c>
      <c r="K284" s="104">
        <v>1995591</v>
      </c>
      <c r="L284" s="104">
        <v>99.99</v>
      </c>
      <c r="M284" s="114">
        <f t="shared" si="29"/>
        <v>1.9955909999999999</v>
      </c>
      <c r="O284" s="215">
        <v>45158</v>
      </c>
      <c r="P284" s="104">
        <v>63616771</v>
      </c>
      <c r="Q284" s="104">
        <v>29330122</v>
      </c>
      <c r="R284" s="104">
        <v>92946893</v>
      </c>
      <c r="S284" s="104">
        <v>68.44</v>
      </c>
      <c r="T284" s="212">
        <f t="shared" si="28"/>
        <v>92.946893000000003</v>
      </c>
      <c r="W284" s="215">
        <v>45158</v>
      </c>
      <c r="X284" s="1">
        <v>5643</v>
      </c>
      <c r="Y284" s="104">
        <v>10000</v>
      </c>
      <c r="Z284" s="104">
        <f t="shared" si="27"/>
        <v>56.43</v>
      </c>
      <c r="AB284" s="215">
        <v>45158</v>
      </c>
      <c r="AC284" s="1">
        <v>895</v>
      </c>
      <c r="AD284" s="104">
        <v>10000</v>
      </c>
      <c r="AE284" s="104">
        <f t="shared" si="31"/>
        <v>8.9499999999999993</v>
      </c>
      <c r="AG284" s="215">
        <v>45158</v>
      </c>
      <c r="AH284" s="1">
        <v>6135</v>
      </c>
      <c r="AI284" s="1">
        <v>10000</v>
      </c>
      <c r="AJ284" s="1">
        <f t="shared" ref="AJ284:AJ347" si="32">AH284/AI284%</f>
        <v>61.35</v>
      </c>
      <c r="AL284" s="140">
        <v>45001</v>
      </c>
      <c r="AM284" t="s">
        <v>180</v>
      </c>
      <c r="AN284">
        <v>69517</v>
      </c>
      <c r="AP284" s="140">
        <v>45001</v>
      </c>
      <c r="AQ284" t="s">
        <v>149</v>
      </c>
      <c r="AR284">
        <v>4409009</v>
      </c>
      <c r="AU284" t="s">
        <v>147</v>
      </c>
      <c r="AV284">
        <v>1070</v>
      </c>
    </row>
    <row r="285" spans="1:48" hidden="1" x14ac:dyDescent="0.25">
      <c r="A285" s="113">
        <v>45159</v>
      </c>
      <c r="B285" s="101">
        <v>11554490</v>
      </c>
      <c r="C285" s="101">
        <v>331758</v>
      </c>
      <c r="D285" s="101">
        <v>11886248</v>
      </c>
      <c r="E285" s="101">
        <v>97.21</v>
      </c>
      <c r="F285" s="211">
        <f t="shared" si="30"/>
        <v>11.886248</v>
      </c>
      <c r="H285" s="215">
        <v>45159</v>
      </c>
      <c r="I285" s="104">
        <v>4785220</v>
      </c>
      <c r="J285" s="104">
        <v>279</v>
      </c>
      <c r="K285" s="104">
        <v>4785499</v>
      </c>
      <c r="L285" s="104">
        <v>99.99</v>
      </c>
      <c r="M285" s="114">
        <f t="shared" si="29"/>
        <v>4.7854989999999997</v>
      </c>
      <c r="O285" s="215">
        <v>45159</v>
      </c>
      <c r="P285" s="104">
        <v>73838706</v>
      </c>
      <c r="Q285" s="104">
        <v>30192196</v>
      </c>
      <c r="R285" s="104">
        <v>104030902</v>
      </c>
      <c r="S285" s="104">
        <v>70.98</v>
      </c>
      <c r="T285" s="212">
        <f t="shared" si="28"/>
        <v>104.030902</v>
      </c>
      <c r="W285" s="215">
        <v>45159</v>
      </c>
      <c r="X285" s="1">
        <v>7385</v>
      </c>
      <c r="Y285" s="104">
        <v>10000</v>
      </c>
      <c r="Z285" s="104">
        <f t="shared" si="27"/>
        <v>73.849999999999994</v>
      </c>
      <c r="AB285" s="215">
        <v>45159</v>
      </c>
      <c r="AC285" s="1">
        <v>982</v>
      </c>
      <c r="AD285" s="104">
        <v>10000</v>
      </c>
      <c r="AE285" s="104">
        <f t="shared" si="31"/>
        <v>9.82</v>
      </c>
      <c r="AG285" s="215">
        <v>45159</v>
      </c>
      <c r="AH285" s="1">
        <v>8057</v>
      </c>
      <c r="AI285" s="1">
        <v>10000</v>
      </c>
      <c r="AJ285" s="1">
        <f t="shared" si="32"/>
        <v>80.569999999999993</v>
      </c>
      <c r="AL285" s="140">
        <v>45001</v>
      </c>
      <c r="AM285" t="s">
        <v>172</v>
      </c>
      <c r="AN285">
        <v>43182</v>
      </c>
      <c r="AP285" s="140">
        <v>45001</v>
      </c>
      <c r="AQ285" t="s">
        <v>180</v>
      </c>
      <c r="AR285">
        <v>1382620</v>
      </c>
      <c r="AU285" t="s">
        <v>155</v>
      </c>
      <c r="AV285">
        <v>35</v>
      </c>
    </row>
    <row r="286" spans="1:48" hidden="1" x14ac:dyDescent="0.25">
      <c r="A286" s="113">
        <v>45160</v>
      </c>
      <c r="B286" s="101">
        <v>11431485</v>
      </c>
      <c r="C286" s="101">
        <v>433646</v>
      </c>
      <c r="D286" s="101">
        <v>11865131</v>
      </c>
      <c r="E286" s="101">
        <v>96.35</v>
      </c>
      <c r="F286" s="211">
        <f t="shared" si="30"/>
        <v>11.865131</v>
      </c>
      <c r="H286" s="215">
        <v>45160</v>
      </c>
      <c r="I286" s="104">
        <v>4854435</v>
      </c>
      <c r="J286" s="104">
        <v>280</v>
      </c>
      <c r="K286" s="104">
        <v>4854715</v>
      </c>
      <c r="L286" s="104">
        <v>99.99</v>
      </c>
      <c r="M286" s="114">
        <f t="shared" si="29"/>
        <v>4.8547149999999997</v>
      </c>
      <c r="O286" s="215">
        <v>45160</v>
      </c>
      <c r="P286" s="104">
        <v>72216518</v>
      </c>
      <c r="Q286" s="104">
        <v>28636833</v>
      </c>
      <c r="R286" s="104">
        <v>100853351</v>
      </c>
      <c r="S286" s="104">
        <v>71.61</v>
      </c>
      <c r="T286" s="212">
        <f t="shared" si="28"/>
        <v>100.853351</v>
      </c>
      <c r="W286" s="215">
        <v>45160</v>
      </c>
      <c r="X286" s="1">
        <v>11000</v>
      </c>
      <c r="Y286" s="104">
        <v>10000</v>
      </c>
      <c r="Z286" s="104">
        <f t="shared" si="27"/>
        <v>110</v>
      </c>
      <c r="AB286" s="215">
        <v>45160</v>
      </c>
      <c r="AC286" s="1">
        <v>1074</v>
      </c>
      <c r="AD286" s="104">
        <v>10000</v>
      </c>
      <c r="AE286" s="104">
        <f t="shared" si="31"/>
        <v>10.74</v>
      </c>
      <c r="AG286" s="215">
        <v>45160</v>
      </c>
      <c r="AH286" s="1">
        <v>11530</v>
      </c>
      <c r="AI286" s="1">
        <v>10000</v>
      </c>
      <c r="AJ286" s="1">
        <f t="shared" si="32"/>
        <v>115.3</v>
      </c>
      <c r="AL286" s="140">
        <v>45001</v>
      </c>
      <c r="AM286" t="s">
        <v>148</v>
      </c>
      <c r="AN286">
        <v>36517</v>
      </c>
      <c r="AP286" s="140">
        <v>45001</v>
      </c>
      <c r="AQ286" t="s">
        <v>148</v>
      </c>
      <c r="AR286">
        <v>878596</v>
      </c>
    </row>
    <row r="287" spans="1:48" hidden="1" x14ac:dyDescent="0.25">
      <c r="A287" s="113">
        <v>45161</v>
      </c>
      <c r="B287" s="101">
        <v>11000492</v>
      </c>
      <c r="C287" s="101">
        <v>447098</v>
      </c>
      <c r="D287" s="101">
        <v>11447590</v>
      </c>
      <c r="E287" s="101">
        <v>96.09</v>
      </c>
      <c r="F287" s="211">
        <f t="shared" si="30"/>
        <v>11.44759</v>
      </c>
      <c r="H287" s="215">
        <v>45161</v>
      </c>
      <c r="I287" s="104">
        <v>4805698</v>
      </c>
      <c r="J287" s="104">
        <v>234</v>
      </c>
      <c r="K287" s="104">
        <v>4805932</v>
      </c>
      <c r="L287" s="104">
        <v>100</v>
      </c>
      <c r="M287" s="114">
        <f t="shared" si="29"/>
        <v>4.8059320000000003</v>
      </c>
      <c r="O287" s="215">
        <v>45161</v>
      </c>
      <c r="P287" s="104">
        <v>67282997</v>
      </c>
      <c r="Q287" s="104">
        <v>32598231</v>
      </c>
      <c r="R287" s="104">
        <v>99881228</v>
      </c>
      <c r="S287" s="104">
        <v>67.36</v>
      </c>
      <c r="T287" s="212">
        <f t="shared" si="28"/>
        <v>99.881227999999993</v>
      </c>
      <c r="W287" s="215">
        <v>45161</v>
      </c>
      <c r="X287" s="1">
        <v>6902</v>
      </c>
      <c r="Y287" s="104">
        <v>10000</v>
      </c>
      <c r="Z287" s="104">
        <f t="shared" si="27"/>
        <v>69.02</v>
      </c>
      <c r="AB287" s="215">
        <v>45161</v>
      </c>
      <c r="AC287" s="1">
        <v>946</v>
      </c>
      <c r="AD287" s="104">
        <v>10000</v>
      </c>
      <c r="AE287" s="104">
        <f t="shared" si="31"/>
        <v>9.4600000000000009</v>
      </c>
      <c r="AG287" s="215">
        <v>45161</v>
      </c>
      <c r="AH287" s="1">
        <v>7537</v>
      </c>
      <c r="AI287" s="1">
        <v>10000</v>
      </c>
      <c r="AJ287" s="1">
        <f t="shared" si="32"/>
        <v>75.37</v>
      </c>
      <c r="AL287" s="140">
        <v>45001</v>
      </c>
      <c r="AM287" t="s">
        <v>149</v>
      </c>
      <c r="AN287">
        <v>23850</v>
      </c>
      <c r="AP287" s="140">
        <v>45001</v>
      </c>
      <c r="AQ287" t="s">
        <v>185</v>
      </c>
      <c r="AR287">
        <v>773414</v>
      </c>
    </row>
    <row r="288" spans="1:48" hidden="1" x14ac:dyDescent="0.25">
      <c r="A288" s="113">
        <v>45162</v>
      </c>
      <c r="B288" s="101">
        <v>11059769</v>
      </c>
      <c r="C288" s="101">
        <v>421914</v>
      </c>
      <c r="D288" s="101">
        <v>11481683</v>
      </c>
      <c r="E288" s="101">
        <v>96.33</v>
      </c>
      <c r="F288" s="211">
        <f t="shared" si="30"/>
        <v>11.481683</v>
      </c>
      <c r="H288" s="215">
        <v>45162</v>
      </c>
      <c r="I288" s="104">
        <v>3928625</v>
      </c>
      <c r="J288" s="104">
        <v>10723</v>
      </c>
      <c r="K288" s="104">
        <v>3939348</v>
      </c>
      <c r="L288" s="104">
        <v>99.73</v>
      </c>
      <c r="M288" s="114">
        <f t="shared" si="29"/>
        <v>3.9393479999999998</v>
      </c>
      <c r="O288" s="215">
        <v>45162</v>
      </c>
      <c r="P288" s="104">
        <v>64021876</v>
      </c>
      <c r="Q288" s="104">
        <v>28546211</v>
      </c>
      <c r="R288" s="104">
        <v>92568087</v>
      </c>
      <c r="S288" s="104">
        <v>69.16</v>
      </c>
      <c r="T288" s="212">
        <f t="shared" si="28"/>
        <v>92.568087000000006</v>
      </c>
      <c r="W288" s="215">
        <v>45162</v>
      </c>
      <c r="X288" s="1">
        <v>6342</v>
      </c>
      <c r="Y288" s="104">
        <v>10000</v>
      </c>
      <c r="Z288" s="104">
        <f t="shared" si="27"/>
        <v>63.42</v>
      </c>
      <c r="AB288" s="215">
        <v>45162</v>
      </c>
      <c r="AC288" s="1">
        <v>965</v>
      </c>
      <c r="AD288" s="104">
        <v>10000</v>
      </c>
      <c r="AE288" s="104">
        <f t="shared" si="31"/>
        <v>9.65</v>
      </c>
      <c r="AG288" s="215">
        <v>45162</v>
      </c>
      <c r="AH288" s="1">
        <v>6910</v>
      </c>
      <c r="AI288" s="1">
        <v>10000</v>
      </c>
      <c r="AJ288" s="1">
        <f t="shared" si="32"/>
        <v>69.099999999999994</v>
      </c>
      <c r="AL288" s="140">
        <v>45002</v>
      </c>
      <c r="AM288" t="s">
        <v>146</v>
      </c>
      <c r="AN288">
        <v>312353</v>
      </c>
      <c r="AP288" s="140">
        <v>45002</v>
      </c>
      <c r="AQ288" t="s">
        <v>146</v>
      </c>
      <c r="AR288">
        <v>22644389</v>
      </c>
    </row>
    <row r="289" spans="1:48" hidden="1" x14ac:dyDescent="0.25">
      <c r="A289" s="113">
        <v>45163</v>
      </c>
      <c r="B289" s="101">
        <v>10701429</v>
      </c>
      <c r="C289" s="101">
        <v>410892</v>
      </c>
      <c r="D289" s="101">
        <v>11112321</v>
      </c>
      <c r="E289" s="101">
        <v>96.3</v>
      </c>
      <c r="F289" s="211">
        <f t="shared" si="30"/>
        <v>11.112321</v>
      </c>
      <c r="H289" s="215">
        <v>45163</v>
      </c>
      <c r="I289" s="104">
        <v>4480408</v>
      </c>
      <c r="J289" s="104">
        <v>10511</v>
      </c>
      <c r="K289" s="104">
        <v>4490919</v>
      </c>
      <c r="L289" s="104">
        <v>99.77</v>
      </c>
      <c r="M289" s="114">
        <f t="shared" si="29"/>
        <v>4.4909189999999999</v>
      </c>
      <c r="O289" s="215">
        <v>45163</v>
      </c>
      <c r="P289" s="104">
        <v>76689676</v>
      </c>
      <c r="Q289" s="104">
        <v>35844942</v>
      </c>
      <c r="R289" s="104">
        <v>112534618</v>
      </c>
      <c r="S289" s="104">
        <v>68.150000000000006</v>
      </c>
      <c r="T289" s="212">
        <f t="shared" si="28"/>
        <v>112.53461799999999</v>
      </c>
      <c r="W289" s="215">
        <v>45163</v>
      </c>
      <c r="X289" s="1">
        <v>10156</v>
      </c>
      <c r="Y289" s="104">
        <v>10000</v>
      </c>
      <c r="Z289" s="104">
        <f t="shared" si="27"/>
        <v>101.56</v>
      </c>
      <c r="AB289" s="215">
        <v>45163</v>
      </c>
      <c r="AC289" s="1">
        <v>973</v>
      </c>
      <c r="AD289" s="104">
        <v>10000</v>
      </c>
      <c r="AE289" s="104">
        <f t="shared" si="31"/>
        <v>9.73</v>
      </c>
      <c r="AG289" s="215">
        <v>45163</v>
      </c>
      <c r="AH289" s="1">
        <v>10732</v>
      </c>
      <c r="AI289" s="1">
        <v>10000</v>
      </c>
      <c r="AJ289" s="1">
        <f t="shared" si="32"/>
        <v>107.32</v>
      </c>
      <c r="AL289" s="140">
        <v>45002</v>
      </c>
      <c r="AM289" t="s">
        <v>180</v>
      </c>
      <c r="AN289">
        <v>98100</v>
      </c>
      <c r="AP289" s="140">
        <v>45002</v>
      </c>
      <c r="AQ289" t="s">
        <v>149</v>
      </c>
      <c r="AR289">
        <v>4960137</v>
      </c>
      <c r="AT289" s="140">
        <v>45002</v>
      </c>
      <c r="AU289" t="s">
        <v>147</v>
      </c>
      <c r="AV289">
        <v>118</v>
      </c>
    </row>
    <row r="290" spans="1:48" hidden="1" x14ac:dyDescent="0.25">
      <c r="A290" s="113">
        <v>45164</v>
      </c>
      <c r="B290" s="101">
        <v>10567241</v>
      </c>
      <c r="C290" s="101">
        <v>402237</v>
      </c>
      <c r="D290" s="101">
        <v>10969478</v>
      </c>
      <c r="E290" s="101">
        <v>96.33</v>
      </c>
      <c r="F290" s="211">
        <f t="shared" si="30"/>
        <v>10.969478000000001</v>
      </c>
      <c r="H290" s="215">
        <v>45164</v>
      </c>
      <c r="I290" s="104">
        <v>5770679</v>
      </c>
      <c r="J290" s="104">
        <v>583</v>
      </c>
      <c r="K290" s="104">
        <v>5771262</v>
      </c>
      <c r="L290" s="104">
        <v>99.99</v>
      </c>
      <c r="M290" s="114">
        <f t="shared" si="29"/>
        <v>5.7712620000000001</v>
      </c>
      <c r="O290" s="215">
        <v>45164</v>
      </c>
      <c r="P290" s="104">
        <v>71291212</v>
      </c>
      <c r="Q290" s="104">
        <v>30411129</v>
      </c>
      <c r="R290" s="104">
        <v>101702341</v>
      </c>
      <c r="S290" s="104">
        <v>70.099999999999994</v>
      </c>
      <c r="T290" s="212">
        <f t="shared" si="28"/>
        <v>101.702341</v>
      </c>
      <c r="W290" s="215">
        <v>45164</v>
      </c>
      <c r="X290" s="1">
        <v>7345</v>
      </c>
      <c r="Y290" s="104">
        <v>10000</v>
      </c>
      <c r="Z290" s="104">
        <f t="shared" si="27"/>
        <v>73.45</v>
      </c>
      <c r="AB290" s="215">
        <v>45164</v>
      </c>
      <c r="AC290" s="1">
        <v>945</v>
      </c>
      <c r="AD290" s="104">
        <v>10000</v>
      </c>
      <c r="AE290" s="104">
        <f t="shared" si="31"/>
        <v>9.4499999999999993</v>
      </c>
      <c r="AG290" s="215">
        <v>45164</v>
      </c>
      <c r="AH290" s="1">
        <v>7920</v>
      </c>
      <c r="AI290" s="1">
        <v>10000</v>
      </c>
      <c r="AJ290" s="1">
        <f t="shared" si="32"/>
        <v>79.2</v>
      </c>
      <c r="AL290" s="140">
        <v>45002</v>
      </c>
      <c r="AM290" t="s">
        <v>172</v>
      </c>
      <c r="AN290">
        <v>45828</v>
      </c>
      <c r="AP290" s="140">
        <v>45002</v>
      </c>
      <c r="AQ290" t="s">
        <v>180</v>
      </c>
      <c r="AR290">
        <v>1670435</v>
      </c>
      <c r="AT290" s="140">
        <v>45002</v>
      </c>
      <c r="AU290" t="s">
        <v>155</v>
      </c>
      <c r="AV290">
        <v>55</v>
      </c>
    </row>
    <row r="291" spans="1:48" hidden="1" x14ac:dyDescent="0.25">
      <c r="A291" s="113">
        <v>45165</v>
      </c>
      <c r="B291" s="101">
        <v>10342588</v>
      </c>
      <c r="C291" s="101">
        <v>391764</v>
      </c>
      <c r="D291" s="101">
        <v>10734352</v>
      </c>
      <c r="E291" s="101">
        <v>96.35</v>
      </c>
      <c r="F291" s="211">
        <f t="shared" si="30"/>
        <v>10.734351999999999</v>
      </c>
      <c r="H291" s="215">
        <v>45165</v>
      </c>
      <c r="I291" s="104">
        <v>2290349</v>
      </c>
      <c r="J291" s="104">
        <v>195</v>
      </c>
      <c r="K291" s="104">
        <v>2290544</v>
      </c>
      <c r="L291" s="104">
        <v>99.99</v>
      </c>
      <c r="M291" s="114">
        <f t="shared" si="29"/>
        <v>2.2905440000000001</v>
      </c>
      <c r="O291" s="215">
        <v>45165</v>
      </c>
      <c r="P291" s="104">
        <v>52947087</v>
      </c>
      <c r="Q291" s="104">
        <v>22456882</v>
      </c>
      <c r="R291" s="104">
        <v>75403969</v>
      </c>
      <c r="S291" s="104">
        <v>70.22</v>
      </c>
      <c r="T291" s="212">
        <f t="shared" si="28"/>
        <v>75.403969000000004</v>
      </c>
      <c r="W291" s="215">
        <v>45165</v>
      </c>
      <c r="X291" s="1">
        <v>8914</v>
      </c>
      <c r="Y291" s="104">
        <v>10000</v>
      </c>
      <c r="Z291" s="104">
        <f t="shared" ref="Z291:Z299" si="33">X291/Y291%</f>
        <v>89.14</v>
      </c>
      <c r="AB291" s="215">
        <v>45165</v>
      </c>
      <c r="AC291" s="1">
        <v>926</v>
      </c>
      <c r="AD291" s="104">
        <v>10000</v>
      </c>
      <c r="AE291" s="104">
        <f t="shared" si="31"/>
        <v>9.26</v>
      </c>
      <c r="AG291" s="215">
        <v>45165</v>
      </c>
      <c r="AH291" s="1">
        <v>9394</v>
      </c>
      <c r="AI291" s="1">
        <v>10000</v>
      </c>
      <c r="AJ291" s="1">
        <f t="shared" si="32"/>
        <v>93.94</v>
      </c>
      <c r="AL291" s="140">
        <v>45002</v>
      </c>
      <c r="AM291" t="s">
        <v>148</v>
      </c>
      <c r="AN291">
        <v>32110</v>
      </c>
      <c r="AP291" s="140">
        <v>45002</v>
      </c>
      <c r="AQ291" t="s">
        <v>185</v>
      </c>
      <c r="AR291">
        <v>932372</v>
      </c>
    </row>
    <row r="292" spans="1:48" hidden="1" x14ac:dyDescent="0.25">
      <c r="A292" s="113">
        <v>45166</v>
      </c>
      <c r="B292" s="101">
        <v>11059401</v>
      </c>
      <c r="C292" s="101">
        <v>318376</v>
      </c>
      <c r="D292" s="101">
        <v>11377777</v>
      </c>
      <c r="E292" s="101">
        <v>97.2</v>
      </c>
      <c r="F292" s="211">
        <f t="shared" si="30"/>
        <v>11.377777</v>
      </c>
      <c r="H292" s="215">
        <v>45166</v>
      </c>
      <c r="I292" s="104">
        <v>6518020</v>
      </c>
      <c r="J292" s="104">
        <v>912</v>
      </c>
      <c r="K292" s="104">
        <v>6518932</v>
      </c>
      <c r="L292" s="104">
        <v>99.99</v>
      </c>
      <c r="M292" s="114">
        <f t="shared" si="29"/>
        <v>6.5189320000000004</v>
      </c>
      <c r="O292" s="215">
        <v>45166</v>
      </c>
      <c r="P292" s="104">
        <v>69548587</v>
      </c>
      <c r="Q292" s="104">
        <v>21841555</v>
      </c>
      <c r="R292" s="104">
        <v>91390142</v>
      </c>
      <c r="S292" s="104">
        <v>76.099999999999994</v>
      </c>
      <c r="T292" s="212">
        <f t="shared" si="28"/>
        <v>91.390141999999997</v>
      </c>
      <c r="W292" s="215">
        <v>45166</v>
      </c>
      <c r="X292" s="1">
        <v>6144</v>
      </c>
      <c r="Y292" s="104">
        <v>10000</v>
      </c>
      <c r="Z292" s="104">
        <f t="shared" si="33"/>
        <v>61.44</v>
      </c>
      <c r="AB292" s="215">
        <v>45166</v>
      </c>
      <c r="AC292" s="1">
        <v>969</v>
      </c>
      <c r="AD292" s="104">
        <v>10000</v>
      </c>
      <c r="AE292" s="104">
        <f t="shared" si="31"/>
        <v>9.69</v>
      </c>
      <c r="AG292" s="215">
        <v>45166</v>
      </c>
      <c r="AH292" s="1">
        <v>10732</v>
      </c>
      <c r="AI292" s="1">
        <v>10000</v>
      </c>
      <c r="AJ292" s="1">
        <f t="shared" si="32"/>
        <v>107.32</v>
      </c>
      <c r="AL292" s="140">
        <v>45002</v>
      </c>
      <c r="AM292" t="s">
        <v>149</v>
      </c>
      <c r="AN292">
        <v>29013</v>
      </c>
      <c r="AP292" s="140">
        <v>45002</v>
      </c>
      <c r="AQ292" t="s">
        <v>148</v>
      </c>
      <c r="AR292">
        <v>806936</v>
      </c>
      <c r="AT292" s="140">
        <v>45003</v>
      </c>
      <c r="AU292" t="s">
        <v>147</v>
      </c>
      <c r="AV292">
        <v>477</v>
      </c>
    </row>
    <row r="293" spans="1:48" hidden="1" x14ac:dyDescent="0.25">
      <c r="A293" s="113">
        <v>45167</v>
      </c>
      <c r="B293" s="101">
        <v>10915597</v>
      </c>
      <c r="C293" s="101">
        <v>405634</v>
      </c>
      <c r="D293" s="101">
        <v>11321231</v>
      </c>
      <c r="E293" s="101">
        <v>96.42</v>
      </c>
      <c r="F293" s="211">
        <f t="shared" si="30"/>
        <v>11.321230999999999</v>
      </c>
      <c r="H293" s="215">
        <v>45167</v>
      </c>
      <c r="I293" s="104">
        <v>3856464</v>
      </c>
      <c r="J293" s="104">
        <v>398</v>
      </c>
      <c r="K293" s="104">
        <v>3856862</v>
      </c>
      <c r="L293" s="104">
        <v>99.99</v>
      </c>
      <c r="M293" s="114">
        <f t="shared" si="29"/>
        <v>3.856862</v>
      </c>
      <c r="O293" s="215">
        <v>45167</v>
      </c>
      <c r="P293" s="104">
        <v>65421683</v>
      </c>
      <c r="Q293" s="104">
        <v>23871816</v>
      </c>
      <c r="R293" s="104">
        <v>89293499</v>
      </c>
      <c r="S293" s="104">
        <v>73.27</v>
      </c>
      <c r="T293" s="212">
        <f t="shared" si="28"/>
        <v>89.293498999999997</v>
      </c>
      <c r="W293" s="215">
        <v>45167</v>
      </c>
      <c r="X293" s="1">
        <v>11000</v>
      </c>
      <c r="Y293" s="104">
        <v>10000</v>
      </c>
      <c r="Z293" s="104">
        <f t="shared" si="33"/>
        <v>110</v>
      </c>
      <c r="AB293" s="215">
        <v>45167</v>
      </c>
      <c r="AC293" s="1">
        <v>1026</v>
      </c>
      <c r="AD293" s="104">
        <v>10000</v>
      </c>
      <c r="AE293" s="104">
        <f t="shared" si="31"/>
        <v>10.26</v>
      </c>
      <c r="AG293" s="215">
        <v>45167</v>
      </c>
      <c r="AH293" s="1">
        <v>11601</v>
      </c>
      <c r="AI293" s="1">
        <v>10000</v>
      </c>
      <c r="AJ293" s="1">
        <f t="shared" si="32"/>
        <v>116.01</v>
      </c>
      <c r="AL293" s="140">
        <v>45003</v>
      </c>
      <c r="AM293" t="s">
        <v>146</v>
      </c>
      <c r="AN293">
        <v>281748</v>
      </c>
      <c r="AP293" s="140">
        <v>45003</v>
      </c>
      <c r="AQ293" t="s">
        <v>146</v>
      </c>
      <c r="AR293">
        <v>21236480</v>
      </c>
      <c r="AT293" s="140">
        <v>45003</v>
      </c>
      <c r="AU293" t="s">
        <v>155</v>
      </c>
      <c r="AV293">
        <v>43</v>
      </c>
    </row>
    <row r="294" spans="1:48" hidden="1" x14ac:dyDescent="0.25">
      <c r="A294" s="113">
        <v>45168</v>
      </c>
      <c r="B294" s="101">
        <v>10538492</v>
      </c>
      <c r="C294" s="101">
        <v>406033</v>
      </c>
      <c r="D294" s="101">
        <v>10944525</v>
      </c>
      <c r="E294" s="101">
        <v>96.29</v>
      </c>
      <c r="F294" s="211">
        <f t="shared" si="30"/>
        <v>10.944525000000001</v>
      </c>
      <c r="H294" s="215">
        <v>45168</v>
      </c>
      <c r="I294" s="104">
        <v>2210036</v>
      </c>
      <c r="J294" s="104">
        <v>4938</v>
      </c>
      <c r="K294" s="104">
        <v>2214974</v>
      </c>
      <c r="L294" s="104">
        <v>99.78</v>
      </c>
      <c r="M294" s="114">
        <f t="shared" si="29"/>
        <v>2.2149740000000002</v>
      </c>
      <c r="O294" s="215">
        <v>45168</v>
      </c>
      <c r="P294" s="104">
        <v>63256674</v>
      </c>
      <c r="Q294" s="104">
        <v>31249193</v>
      </c>
      <c r="R294" s="104">
        <v>94505867</v>
      </c>
      <c r="S294" s="104">
        <v>66.930000000000007</v>
      </c>
      <c r="T294" s="212">
        <f t="shared" si="28"/>
        <v>94.505866999999995</v>
      </c>
      <c r="W294" s="215">
        <v>45168</v>
      </c>
      <c r="X294" s="1">
        <v>5900</v>
      </c>
      <c r="Y294" s="104">
        <v>10000</v>
      </c>
      <c r="Z294" s="104">
        <f t="shared" si="33"/>
        <v>59</v>
      </c>
      <c r="AB294" s="215">
        <v>45168</v>
      </c>
      <c r="AC294" s="1">
        <v>957</v>
      </c>
      <c r="AD294" s="104">
        <v>10000</v>
      </c>
      <c r="AE294" s="104">
        <f t="shared" si="31"/>
        <v>9.57</v>
      </c>
      <c r="AG294" s="215">
        <v>45168</v>
      </c>
      <c r="AH294" s="1">
        <v>6431</v>
      </c>
      <c r="AI294" s="1">
        <v>10000</v>
      </c>
      <c r="AJ294" s="1">
        <f t="shared" si="32"/>
        <v>64.31</v>
      </c>
      <c r="AL294" s="140">
        <v>45003</v>
      </c>
      <c r="AM294" t="s">
        <v>180</v>
      </c>
      <c r="AN294">
        <v>80877</v>
      </c>
      <c r="AP294" s="140">
        <v>45003</v>
      </c>
      <c r="AQ294" t="s">
        <v>149</v>
      </c>
      <c r="AR294">
        <v>5264851</v>
      </c>
    </row>
    <row r="295" spans="1:48" hidden="1" x14ac:dyDescent="0.25">
      <c r="A295" s="113">
        <v>45169</v>
      </c>
      <c r="B295" s="101">
        <v>10671666</v>
      </c>
      <c r="C295" s="101">
        <v>432278</v>
      </c>
      <c r="D295" s="101">
        <v>11103944</v>
      </c>
      <c r="E295" s="101">
        <v>96.11</v>
      </c>
      <c r="F295" s="211">
        <f t="shared" si="30"/>
        <v>11.103944</v>
      </c>
      <c r="H295" s="215">
        <v>45169</v>
      </c>
      <c r="I295" s="104">
        <v>2004880</v>
      </c>
      <c r="J295" s="104">
        <v>47252</v>
      </c>
      <c r="K295" s="104">
        <v>2052132</v>
      </c>
      <c r="L295" s="104">
        <v>97.7</v>
      </c>
      <c r="M295" s="114">
        <f t="shared" si="29"/>
        <v>2.0521319999999998</v>
      </c>
      <c r="O295" s="215">
        <v>45169</v>
      </c>
      <c r="P295" s="104">
        <v>59523354</v>
      </c>
      <c r="Q295" s="104">
        <v>24800031</v>
      </c>
      <c r="R295" s="104">
        <v>84323385</v>
      </c>
      <c r="S295" s="104">
        <v>70.59</v>
      </c>
      <c r="T295" s="212">
        <f t="shared" si="28"/>
        <v>84.323385000000002</v>
      </c>
      <c r="W295" s="215">
        <v>45169</v>
      </c>
      <c r="X295" s="1">
        <v>6149</v>
      </c>
      <c r="Y295" s="104">
        <v>10000</v>
      </c>
      <c r="Z295" s="104">
        <f t="shared" si="33"/>
        <v>61.49</v>
      </c>
      <c r="AB295" s="215">
        <v>45169</v>
      </c>
      <c r="AC295" s="1">
        <v>983</v>
      </c>
      <c r="AD295" s="104">
        <v>10000</v>
      </c>
      <c r="AE295" s="104">
        <f t="shared" si="31"/>
        <v>9.83</v>
      </c>
      <c r="AG295" s="215">
        <v>45169</v>
      </c>
      <c r="AH295" s="1">
        <v>6690</v>
      </c>
      <c r="AI295" s="1">
        <v>10000</v>
      </c>
      <c r="AJ295" s="1">
        <f t="shared" si="32"/>
        <v>66.900000000000006</v>
      </c>
      <c r="AL295" s="140">
        <v>45003</v>
      </c>
      <c r="AM295" t="s">
        <v>172</v>
      </c>
      <c r="AN295">
        <v>44624</v>
      </c>
      <c r="AP295" s="140">
        <v>45003</v>
      </c>
      <c r="AQ295" t="s">
        <v>180</v>
      </c>
      <c r="AR295">
        <v>1401594</v>
      </c>
    </row>
    <row r="296" spans="1:48" hidden="1" x14ac:dyDescent="0.25">
      <c r="A296" s="113">
        <v>45170</v>
      </c>
      <c r="B296" s="101">
        <v>10827673</v>
      </c>
      <c r="C296" s="101">
        <v>432980</v>
      </c>
      <c r="D296" s="101">
        <v>11260653</v>
      </c>
      <c r="E296" s="101">
        <v>96.15</v>
      </c>
      <c r="F296" s="211">
        <f t="shared" si="30"/>
        <v>11.260653</v>
      </c>
      <c r="H296" s="215">
        <v>45170</v>
      </c>
      <c r="I296" s="104">
        <v>2273826</v>
      </c>
      <c r="J296" s="104">
        <v>47103</v>
      </c>
      <c r="K296" s="104">
        <v>2320929</v>
      </c>
      <c r="L296" s="104">
        <v>97.97</v>
      </c>
      <c r="M296" s="114">
        <f t="shared" si="29"/>
        <v>2.320929</v>
      </c>
      <c r="O296" s="215">
        <v>45170</v>
      </c>
      <c r="P296" s="104">
        <v>56117340</v>
      </c>
      <c r="Q296" s="104">
        <v>20798785</v>
      </c>
      <c r="R296" s="104">
        <v>76916125</v>
      </c>
      <c r="S296" s="104">
        <v>72.959999999999994</v>
      </c>
      <c r="T296" s="212">
        <f t="shared" si="28"/>
        <v>76.916124999999994</v>
      </c>
      <c r="W296" s="215">
        <v>45170</v>
      </c>
      <c r="X296" s="1">
        <v>4223</v>
      </c>
      <c r="Y296" s="104">
        <v>10000</v>
      </c>
      <c r="Z296" s="104">
        <f t="shared" si="33"/>
        <v>42.23</v>
      </c>
      <c r="AB296" s="215">
        <v>45170</v>
      </c>
      <c r="AC296" s="1">
        <v>1049</v>
      </c>
      <c r="AD296" s="104">
        <v>10000</v>
      </c>
      <c r="AE296" s="104">
        <f t="shared" si="31"/>
        <v>10.49</v>
      </c>
      <c r="AG296" s="215">
        <v>45170</v>
      </c>
      <c r="AH296" s="1">
        <v>4925</v>
      </c>
      <c r="AI296" s="1">
        <v>10000</v>
      </c>
      <c r="AJ296" s="1">
        <f t="shared" si="32"/>
        <v>49.25</v>
      </c>
      <c r="AL296" s="140">
        <v>45003</v>
      </c>
      <c r="AM296" t="s">
        <v>149</v>
      </c>
      <c r="AN296">
        <v>28588</v>
      </c>
      <c r="AP296" s="140">
        <v>45003</v>
      </c>
      <c r="AQ296" t="s">
        <v>148</v>
      </c>
      <c r="AR296">
        <v>1235313</v>
      </c>
      <c r="AT296" s="140">
        <v>45004</v>
      </c>
      <c r="AU296" t="s">
        <v>147</v>
      </c>
      <c r="AV296">
        <v>357</v>
      </c>
    </row>
    <row r="297" spans="1:48" hidden="1" x14ac:dyDescent="0.25">
      <c r="A297" s="113">
        <v>45171</v>
      </c>
      <c r="B297" s="101">
        <v>10535314</v>
      </c>
      <c r="C297" s="101">
        <v>418017</v>
      </c>
      <c r="D297" s="101">
        <v>10953331</v>
      </c>
      <c r="E297" s="101">
        <v>96.18</v>
      </c>
      <c r="F297" s="211">
        <f t="shared" si="30"/>
        <v>10.953331</v>
      </c>
      <c r="H297" s="215">
        <v>45171</v>
      </c>
      <c r="I297" s="104">
        <v>2475604</v>
      </c>
      <c r="J297" s="104">
        <v>366</v>
      </c>
      <c r="K297" s="104">
        <v>2475970</v>
      </c>
      <c r="L297" s="104">
        <v>99.99</v>
      </c>
      <c r="M297" s="114">
        <f t="shared" si="29"/>
        <v>2.4759699999999998</v>
      </c>
      <c r="O297" s="215">
        <v>45171</v>
      </c>
      <c r="P297" s="104">
        <v>58733612</v>
      </c>
      <c r="Q297" s="104">
        <v>24783003</v>
      </c>
      <c r="R297" s="104">
        <v>83516615</v>
      </c>
      <c r="S297" s="104">
        <v>70.33</v>
      </c>
      <c r="T297" s="212">
        <f t="shared" si="28"/>
        <v>83.516615000000002</v>
      </c>
      <c r="W297" s="215">
        <v>45171</v>
      </c>
      <c r="X297" s="1">
        <v>5620</v>
      </c>
      <c r="Y297" s="104">
        <v>10000</v>
      </c>
      <c r="Z297" s="104">
        <f t="shared" si="33"/>
        <v>56.2</v>
      </c>
      <c r="AB297" s="215">
        <v>45171</v>
      </c>
      <c r="AC297" s="1">
        <v>1005</v>
      </c>
      <c r="AD297" s="104">
        <v>10000</v>
      </c>
      <c r="AE297" s="104">
        <f t="shared" si="31"/>
        <v>10.050000000000001</v>
      </c>
      <c r="AG297" s="215">
        <v>45171</v>
      </c>
      <c r="AH297" s="1">
        <v>6134</v>
      </c>
      <c r="AI297" s="1">
        <v>10000</v>
      </c>
      <c r="AJ297" s="1">
        <f t="shared" si="32"/>
        <v>61.34</v>
      </c>
      <c r="AL297" s="140">
        <v>45003</v>
      </c>
      <c r="AM297" t="s">
        <v>148</v>
      </c>
      <c r="AN297">
        <v>18209</v>
      </c>
      <c r="AP297" s="140">
        <v>45003</v>
      </c>
      <c r="AQ297" t="s">
        <v>185</v>
      </c>
      <c r="AR297">
        <v>772711</v>
      </c>
      <c r="AT297" s="140">
        <v>45004</v>
      </c>
      <c r="AU297" t="s">
        <v>155</v>
      </c>
      <c r="AV297">
        <v>37</v>
      </c>
    </row>
    <row r="298" spans="1:48" hidden="1" x14ac:dyDescent="0.25">
      <c r="A298" s="113">
        <v>45172</v>
      </c>
      <c r="B298" s="101">
        <v>10480448</v>
      </c>
      <c r="C298" s="101">
        <v>367063</v>
      </c>
      <c r="D298" s="101">
        <v>10847511</v>
      </c>
      <c r="E298" s="101">
        <v>96.62</v>
      </c>
      <c r="F298" s="211">
        <f t="shared" si="30"/>
        <v>10.847511000000001</v>
      </c>
      <c r="H298" s="215">
        <v>45172</v>
      </c>
      <c r="I298" s="104">
        <v>1897307</v>
      </c>
      <c r="J298" s="104">
        <v>132</v>
      </c>
      <c r="K298" s="104">
        <v>1897439</v>
      </c>
      <c r="L298" s="104">
        <v>99.99</v>
      </c>
      <c r="M298" s="114">
        <f t="shared" si="29"/>
        <v>1.8974390000000001</v>
      </c>
      <c r="O298" s="215">
        <v>45172</v>
      </c>
      <c r="P298" s="104">
        <v>46596106</v>
      </c>
      <c r="Q298" s="104">
        <v>15899062</v>
      </c>
      <c r="R298" s="104">
        <v>62495168</v>
      </c>
      <c r="S298" s="104">
        <v>74.56</v>
      </c>
      <c r="T298" s="212">
        <f t="shared" si="28"/>
        <v>62.495168</v>
      </c>
      <c r="W298" s="215">
        <v>45172</v>
      </c>
      <c r="X298" s="1">
        <v>2741</v>
      </c>
      <c r="Y298" s="104">
        <v>10000</v>
      </c>
      <c r="Z298" s="104">
        <f t="shared" si="33"/>
        <v>27.41</v>
      </c>
      <c r="AB298" s="215">
        <v>45172</v>
      </c>
      <c r="AC298" s="1">
        <v>865</v>
      </c>
      <c r="AD298" s="104">
        <v>10000</v>
      </c>
      <c r="AE298" s="104">
        <f t="shared" si="31"/>
        <v>8.65</v>
      </c>
      <c r="AG298" s="215">
        <v>45172</v>
      </c>
      <c r="AH298" s="1">
        <v>3516</v>
      </c>
      <c r="AI298" s="1">
        <v>10000</v>
      </c>
      <c r="AJ298" s="1">
        <f t="shared" si="32"/>
        <v>35.159999999999997</v>
      </c>
      <c r="AL298" s="140">
        <v>45004</v>
      </c>
      <c r="AM298" t="s">
        <v>146</v>
      </c>
      <c r="AN298">
        <v>204954</v>
      </c>
      <c r="AP298" s="140">
        <v>45004</v>
      </c>
      <c r="AQ298" t="s">
        <v>146</v>
      </c>
      <c r="AR298">
        <v>17677393</v>
      </c>
    </row>
    <row r="299" spans="1:48" hidden="1" x14ac:dyDescent="0.25">
      <c r="A299" s="113">
        <v>45173</v>
      </c>
      <c r="B299" s="101">
        <v>10862049</v>
      </c>
      <c r="C299" s="101">
        <v>306054</v>
      </c>
      <c r="D299" s="101">
        <v>11168103</v>
      </c>
      <c r="E299" s="101">
        <v>97.26</v>
      </c>
      <c r="F299" s="211">
        <f t="shared" si="30"/>
        <v>11.168103</v>
      </c>
      <c r="H299" s="215">
        <v>45173</v>
      </c>
      <c r="I299" s="104">
        <v>2641608</v>
      </c>
      <c r="J299" s="104">
        <v>435</v>
      </c>
      <c r="K299" s="104">
        <v>2642043</v>
      </c>
      <c r="L299" s="104">
        <v>99.98</v>
      </c>
      <c r="M299" s="114">
        <f t="shared" si="29"/>
        <v>2.6420430000000001</v>
      </c>
      <c r="O299" s="215">
        <v>45173</v>
      </c>
      <c r="P299" s="104">
        <v>59598879</v>
      </c>
      <c r="Q299" s="104">
        <v>22526601</v>
      </c>
      <c r="R299" s="104">
        <v>82125480</v>
      </c>
      <c r="S299" s="104">
        <v>72.569999999999993</v>
      </c>
      <c r="T299" s="212">
        <f t="shared" si="28"/>
        <v>82.125479999999996</v>
      </c>
      <c r="W299" s="215">
        <v>45173</v>
      </c>
      <c r="X299" s="1">
        <v>8548</v>
      </c>
      <c r="Y299" s="104">
        <v>10000</v>
      </c>
      <c r="Z299" s="104">
        <f t="shared" si="33"/>
        <v>85.48</v>
      </c>
      <c r="AB299" s="215">
        <v>45173</v>
      </c>
      <c r="AC299" s="1">
        <v>1131</v>
      </c>
      <c r="AD299" s="104">
        <v>10000</v>
      </c>
      <c r="AE299" s="104">
        <f t="shared" si="31"/>
        <v>11.31</v>
      </c>
      <c r="AG299" s="215">
        <v>45173</v>
      </c>
      <c r="AH299" s="1">
        <v>9244</v>
      </c>
      <c r="AI299" s="1">
        <v>10000</v>
      </c>
      <c r="AJ299" s="1">
        <f t="shared" si="32"/>
        <v>92.44</v>
      </c>
      <c r="AL299" s="140">
        <v>45004</v>
      </c>
      <c r="AM299" t="s">
        <v>180</v>
      </c>
      <c r="AN299">
        <v>62116</v>
      </c>
      <c r="AP299" s="140">
        <v>45004</v>
      </c>
      <c r="AQ299" t="s">
        <v>149</v>
      </c>
      <c r="AR299">
        <v>3241516</v>
      </c>
    </row>
    <row r="300" spans="1:48" hidden="1" x14ac:dyDescent="0.25">
      <c r="A300" s="113">
        <v>45174</v>
      </c>
      <c r="B300" s="101">
        <v>10820636</v>
      </c>
      <c r="C300" s="101">
        <v>475152</v>
      </c>
      <c r="D300" s="101">
        <v>11295788</v>
      </c>
      <c r="E300" s="101">
        <v>95.79</v>
      </c>
      <c r="F300" s="211">
        <f t="shared" si="30"/>
        <v>11.295788</v>
      </c>
      <c r="H300" s="215">
        <f>A300</f>
        <v>45174</v>
      </c>
      <c r="I300" s="104">
        <v>4376729</v>
      </c>
      <c r="J300" s="104">
        <v>175</v>
      </c>
      <c r="K300" s="104">
        <v>4376904</v>
      </c>
      <c r="L300" s="104">
        <v>100</v>
      </c>
      <c r="M300" s="114">
        <f t="shared" si="29"/>
        <v>4.3769039999999997</v>
      </c>
      <c r="O300" s="215">
        <v>45174</v>
      </c>
      <c r="P300" s="104">
        <v>65158605</v>
      </c>
      <c r="Q300" s="104">
        <v>24831215</v>
      </c>
      <c r="R300" s="104">
        <v>89989820</v>
      </c>
      <c r="S300" s="104">
        <v>72.41</v>
      </c>
      <c r="T300" s="212">
        <f t="shared" si="28"/>
        <v>89.989819999999995</v>
      </c>
      <c r="W300" s="215">
        <v>45174</v>
      </c>
      <c r="X300" s="1">
        <v>5776</v>
      </c>
      <c r="Y300" s="104">
        <v>10000</v>
      </c>
      <c r="Z300" s="104">
        <f>X300/Y301%</f>
        <v>57.76</v>
      </c>
      <c r="AB300" s="215">
        <v>45174</v>
      </c>
      <c r="AC300" s="1">
        <v>1047</v>
      </c>
      <c r="AD300" s="104">
        <v>10000</v>
      </c>
      <c r="AE300" s="104">
        <f t="shared" si="31"/>
        <v>10.47</v>
      </c>
      <c r="AG300" s="215">
        <v>45174</v>
      </c>
      <c r="AH300" s="1">
        <v>6542</v>
      </c>
      <c r="AI300" s="1">
        <v>10000</v>
      </c>
      <c r="AJ300" s="1">
        <f t="shared" si="32"/>
        <v>65.42</v>
      </c>
      <c r="AL300" s="140">
        <v>45004</v>
      </c>
      <c r="AM300" t="s">
        <v>172</v>
      </c>
      <c r="AN300">
        <v>30370</v>
      </c>
      <c r="AP300" s="140">
        <v>45004</v>
      </c>
      <c r="AQ300" t="s">
        <v>180</v>
      </c>
      <c r="AR300">
        <v>1283555</v>
      </c>
    </row>
    <row r="301" spans="1:48" hidden="1" x14ac:dyDescent="0.25">
      <c r="A301" s="113">
        <v>45175</v>
      </c>
      <c r="B301" s="101">
        <v>10759579</v>
      </c>
      <c r="C301" s="101">
        <v>491820</v>
      </c>
      <c r="D301" s="101">
        <v>11251399</v>
      </c>
      <c r="E301" s="101">
        <v>95.63</v>
      </c>
      <c r="F301" s="211">
        <f t="shared" si="30"/>
        <v>11.251398999999999</v>
      </c>
      <c r="H301" s="215">
        <f>A301</f>
        <v>45175</v>
      </c>
      <c r="I301" s="104">
        <v>4864387</v>
      </c>
      <c r="J301" s="104">
        <v>176</v>
      </c>
      <c r="K301" s="104">
        <v>4864563</v>
      </c>
      <c r="L301" s="104">
        <v>100</v>
      </c>
      <c r="M301" s="114">
        <f t="shared" si="29"/>
        <v>4.8645630000000004</v>
      </c>
      <c r="O301" s="215">
        <v>45175</v>
      </c>
      <c r="P301" s="104">
        <v>64765772</v>
      </c>
      <c r="Q301" s="104">
        <v>29147954</v>
      </c>
      <c r="R301" s="104">
        <v>93913726</v>
      </c>
      <c r="S301" s="104">
        <v>68.959999999999994</v>
      </c>
      <c r="T301" s="212">
        <f t="shared" si="28"/>
        <v>93.913725999999997</v>
      </c>
      <c r="W301" s="215">
        <v>45175</v>
      </c>
      <c r="X301" s="1">
        <v>10190</v>
      </c>
      <c r="Y301" s="104">
        <v>10000</v>
      </c>
      <c r="Z301" s="104">
        <f>X301/Y301%</f>
        <v>101.9</v>
      </c>
      <c r="AB301" s="215">
        <v>45175</v>
      </c>
      <c r="AC301" s="1">
        <v>1055</v>
      </c>
      <c r="AD301" s="104">
        <v>10000</v>
      </c>
      <c r="AE301" s="104">
        <f>AC301/AD301%</f>
        <v>10.55</v>
      </c>
      <c r="AG301" s="215">
        <v>45175</v>
      </c>
      <c r="AH301" s="1">
        <v>10811</v>
      </c>
      <c r="AI301" s="1">
        <v>10000</v>
      </c>
      <c r="AJ301" s="1">
        <f t="shared" si="32"/>
        <v>108.11</v>
      </c>
      <c r="AL301" s="140">
        <v>45004</v>
      </c>
      <c r="AM301" t="s">
        <v>148</v>
      </c>
      <c r="AN301">
        <v>24737</v>
      </c>
      <c r="AP301" s="140">
        <v>45004</v>
      </c>
      <c r="AQ301" t="s">
        <v>185</v>
      </c>
      <c r="AR301">
        <v>559899</v>
      </c>
    </row>
    <row r="302" spans="1:48" hidden="1" x14ac:dyDescent="0.25">
      <c r="A302" s="113">
        <v>45176</v>
      </c>
      <c r="B302" s="101">
        <v>10803611</v>
      </c>
      <c r="C302" s="101">
        <v>491698</v>
      </c>
      <c r="D302" s="101">
        <v>11295309</v>
      </c>
      <c r="E302" s="101">
        <v>95.65</v>
      </c>
      <c r="F302" s="211">
        <f t="shared" si="30"/>
        <v>11.295309</v>
      </c>
      <c r="H302" s="215">
        <f>A302</f>
        <v>45176</v>
      </c>
      <c r="I302" s="104">
        <v>4265559</v>
      </c>
      <c r="J302" s="104">
        <v>801</v>
      </c>
      <c r="K302" s="104">
        <v>4266360</v>
      </c>
      <c r="L302" s="104">
        <v>99.98</v>
      </c>
      <c r="M302" s="114">
        <f t="shared" si="29"/>
        <v>4.2663599999999997</v>
      </c>
      <c r="O302" s="215">
        <v>45176</v>
      </c>
      <c r="P302" s="104">
        <v>60902436</v>
      </c>
      <c r="Q302" s="104">
        <v>21998014</v>
      </c>
      <c r="R302" s="104">
        <v>82900450</v>
      </c>
      <c r="S302" s="104">
        <v>73.459999999999994</v>
      </c>
      <c r="T302" s="212">
        <f t="shared" si="28"/>
        <v>82.900450000000006</v>
      </c>
      <c r="W302" s="215">
        <v>45176</v>
      </c>
      <c r="X302" s="1">
        <v>4814</v>
      </c>
      <c r="Y302" s="104">
        <v>12000</v>
      </c>
      <c r="Z302" s="104">
        <f>X302/Y302%</f>
        <v>40.116666666666667</v>
      </c>
      <c r="AB302" s="215">
        <v>45176</v>
      </c>
      <c r="AC302" s="1">
        <v>1017</v>
      </c>
      <c r="AD302" s="104">
        <v>12000</v>
      </c>
      <c r="AE302" s="104">
        <f>AC302/AD302%</f>
        <v>8.4749999999999996</v>
      </c>
      <c r="AG302" s="215">
        <v>45176</v>
      </c>
      <c r="AH302" s="1">
        <v>5434</v>
      </c>
      <c r="AI302" s="1">
        <v>12000</v>
      </c>
      <c r="AJ302" s="1">
        <f t="shared" si="32"/>
        <v>45.283333333333331</v>
      </c>
      <c r="AL302" s="140">
        <v>45139</v>
      </c>
      <c r="AM302" t="s">
        <v>189</v>
      </c>
      <c r="AN302">
        <v>304879</v>
      </c>
      <c r="AP302" s="140">
        <v>45139</v>
      </c>
      <c r="AQ302" t="s">
        <v>189</v>
      </c>
      <c r="AR302">
        <v>24215148</v>
      </c>
      <c r="AT302" s="140">
        <v>45139</v>
      </c>
      <c r="AU302" t="s">
        <v>190</v>
      </c>
      <c r="AV302">
        <v>93</v>
      </c>
    </row>
    <row r="303" spans="1:48" hidden="1" x14ac:dyDescent="0.25">
      <c r="A303" s="113">
        <v>45177</v>
      </c>
      <c r="B303" s="101">
        <v>10752049</v>
      </c>
      <c r="C303" s="101">
        <v>432875</v>
      </c>
      <c r="D303" s="101">
        <v>11184924</v>
      </c>
      <c r="E303" s="101">
        <v>96.12</v>
      </c>
      <c r="F303" s="211">
        <f t="shared" si="30"/>
        <v>11.184924000000001</v>
      </c>
      <c r="H303" s="215">
        <f t="shared" ref="H303:H304" si="34">A303</f>
        <v>45177</v>
      </c>
      <c r="I303" s="104">
        <v>2305322</v>
      </c>
      <c r="J303" s="104">
        <v>138</v>
      </c>
      <c r="K303" s="104">
        <v>2305460</v>
      </c>
      <c r="L303" s="104">
        <v>99.99</v>
      </c>
      <c r="M303" s="114">
        <f t="shared" si="29"/>
        <v>2.3054600000000001</v>
      </c>
      <c r="O303" s="215">
        <v>45177</v>
      </c>
      <c r="P303" s="104">
        <v>59438047</v>
      </c>
      <c r="Q303" s="104">
        <v>21599498</v>
      </c>
      <c r="R303" s="104">
        <v>81037545</v>
      </c>
      <c r="S303" s="104">
        <v>73.34</v>
      </c>
      <c r="T303" s="212">
        <f t="shared" si="28"/>
        <v>81.037544999999994</v>
      </c>
      <c r="W303" s="215">
        <v>45177</v>
      </c>
      <c r="X303" s="1">
        <v>6502</v>
      </c>
      <c r="Y303" s="104">
        <v>12000</v>
      </c>
      <c r="Z303" s="104">
        <f t="shared" ref="Z303:Z348" si="35">X303/Y303%</f>
        <v>54.18333333333333</v>
      </c>
      <c r="AB303" s="215">
        <v>45177</v>
      </c>
      <c r="AC303" s="1">
        <v>989</v>
      </c>
      <c r="AD303" s="104">
        <v>12000</v>
      </c>
      <c r="AE303" s="104">
        <f t="shared" ref="AE303:AE363" si="36">AC303/AD303%</f>
        <v>8.2416666666666671</v>
      </c>
      <c r="AG303" s="215">
        <v>45177</v>
      </c>
      <c r="AH303" s="1">
        <v>7155</v>
      </c>
      <c r="AI303" s="1">
        <v>12000</v>
      </c>
      <c r="AJ303" s="1">
        <f t="shared" si="32"/>
        <v>59.625</v>
      </c>
      <c r="AL303" s="140">
        <v>45139</v>
      </c>
      <c r="AM303" t="s">
        <v>191</v>
      </c>
      <c r="AN303">
        <v>38653</v>
      </c>
      <c r="AP303" s="140">
        <v>45139</v>
      </c>
      <c r="AQ303" t="s">
        <v>192</v>
      </c>
      <c r="AR303">
        <v>4306375</v>
      </c>
      <c r="AT303" s="140">
        <v>45139</v>
      </c>
      <c r="AU303" t="s">
        <v>193</v>
      </c>
      <c r="AV303">
        <v>39</v>
      </c>
    </row>
    <row r="304" spans="1:48" hidden="1" x14ac:dyDescent="0.25">
      <c r="A304" s="113">
        <v>45178</v>
      </c>
      <c r="B304" s="101">
        <v>10648487</v>
      </c>
      <c r="C304" s="101">
        <v>405750</v>
      </c>
      <c r="D304" s="101">
        <v>11054237</v>
      </c>
      <c r="E304" s="101">
        <v>96.32</v>
      </c>
      <c r="F304" s="211">
        <f t="shared" si="30"/>
        <v>11.054237000000001</v>
      </c>
      <c r="H304" s="215">
        <f t="shared" si="34"/>
        <v>45178</v>
      </c>
      <c r="I304" s="104">
        <v>2257682</v>
      </c>
      <c r="J304" s="104">
        <v>121</v>
      </c>
      <c r="K304" s="104">
        <v>2257803</v>
      </c>
      <c r="L304" s="104">
        <v>99.99</v>
      </c>
      <c r="M304" s="114">
        <f t="shared" si="29"/>
        <v>2.257803</v>
      </c>
      <c r="O304" s="215">
        <v>45178</v>
      </c>
      <c r="P304" s="104">
        <v>52341103</v>
      </c>
      <c r="Q304" s="104">
        <v>18678471</v>
      </c>
      <c r="R304" s="104">
        <v>71019574</v>
      </c>
      <c r="S304" s="104">
        <v>73.69</v>
      </c>
      <c r="T304" s="212">
        <f t="shared" ref="T304:T367" si="37">R304/1000000</f>
        <v>71.019574000000006</v>
      </c>
      <c r="W304" s="215">
        <v>45178</v>
      </c>
      <c r="X304" s="1">
        <v>6348</v>
      </c>
      <c r="Y304" s="104">
        <v>12000</v>
      </c>
      <c r="Z304" s="104">
        <f t="shared" si="35"/>
        <v>52.9</v>
      </c>
      <c r="AB304" s="215">
        <v>45178</v>
      </c>
      <c r="AC304" s="1">
        <v>990</v>
      </c>
      <c r="AD304" s="104">
        <v>12000</v>
      </c>
      <c r="AE304" s="104">
        <f t="shared" si="36"/>
        <v>8.25</v>
      </c>
      <c r="AG304" s="215">
        <v>45178</v>
      </c>
      <c r="AH304" s="1">
        <v>7030</v>
      </c>
      <c r="AI304" s="1">
        <v>12000</v>
      </c>
      <c r="AJ304" s="1">
        <f t="shared" si="32"/>
        <v>58.583333333333336</v>
      </c>
      <c r="AL304" s="140">
        <v>45139</v>
      </c>
      <c r="AM304" t="s">
        <v>194</v>
      </c>
      <c r="AN304">
        <v>37942</v>
      </c>
      <c r="AP304" s="140">
        <v>45139</v>
      </c>
      <c r="AQ304" t="s">
        <v>194</v>
      </c>
      <c r="AR304">
        <v>1743294</v>
      </c>
      <c r="AT304" s="140">
        <v>45139</v>
      </c>
    </row>
    <row r="305" spans="1:48" hidden="1" x14ac:dyDescent="0.25">
      <c r="A305" s="113">
        <v>45179</v>
      </c>
      <c r="B305" s="101">
        <v>10834384</v>
      </c>
      <c r="C305" s="101">
        <v>348851</v>
      </c>
      <c r="D305" s="101">
        <v>11183235</v>
      </c>
      <c r="E305" s="101">
        <v>96.88</v>
      </c>
      <c r="F305" s="211">
        <f t="shared" si="30"/>
        <v>11.183235</v>
      </c>
      <c r="H305" s="215">
        <v>45179</v>
      </c>
      <c r="I305" s="104">
        <v>1884074</v>
      </c>
      <c r="J305" s="104">
        <v>100</v>
      </c>
      <c r="K305" s="104">
        <v>1884174</v>
      </c>
      <c r="L305" s="104">
        <v>99.99</v>
      </c>
      <c r="M305" s="114">
        <f t="shared" si="29"/>
        <v>1.884174</v>
      </c>
      <c r="O305" s="215">
        <v>45179</v>
      </c>
      <c r="P305" s="104">
        <v>43568505</v>
      </c>
      <c r="Q305" s="104">
        <v>9288850</v>
      </c>
      <c r="R305" s="104">
        <v>52857355</v>
      </c>
      <c r="S305" s="104">
        <v>82.43</v>
      </c>
      <c r="T305" s="212">
        <f t="shared" si="37"/>
        <v>52.857354999999998</v>
      </c>
      <c r="W305" s="215">
        <v>45179</v>
      </c>
      <c r="X305" s="1">
        <v>2709</v>
      </c>
      <c r="Y305" s="104">
        <v>12000</v>
      </c>
      <c r="Z305" s="104">
        <f t="shared" si="35"/>
        <v>22.574999999999999</v>
      </c>
      <c r="AB305" s="215">
        <v>45179</v>
      </c>
      <c r="AC305" s="1">
        <v>936</v>
      </c>
      <c r="AD305" s="104">
        <v>12000</v>
      </c>
      <c r="AE305" s="104">
        <f t="shared" si="36"/>
        <v>7.8</v>
      </c>
      <c r="AG305" s="215">
        <v>45179</v>
      </c>
      <c r="AH305" s="1">
        <v>3491</v>
      </c>
      <c r="AI305" s="1">
        <v>12000</v>
      </c>
      <c r="AJ305" s="1">
        <f t="shared" si="32"/>
        <v>29.091666666666665</v>
      </c>
      <c r="AL305" s="140">
        <v>45139</v>
      </c>
      <c r="AM305" t="s">
        <v>192</v>
      </c>
      <c r="AN305">
        <v>29168</v>
      </c>
      <c r="AP305" s="140">
        <v>45139</v>
      </c>
      <c r="AQ305" t="s">
        <v>191</v>
      </c>
      <c r="AR305">
        <v>1312064</v>
      </c>
      <c r="AT305" s="140">
        <v>45139</v>
      </c>
    </row>
    <row r="306" spans="1:48" hidden="1" x14ac:dyDescent="0.25">
      <c r="A306" s="113">
        <v>45180</v>
      </c>
      <c r="B306" s="101">
        <v>11553595</v>
      </c>
      <c r="C306" s="101">
        <v>296093</v>
      </c>
      <c r="D306" s="101">
        <v>11849688</v>
      </c>
      <c r="E306" s="101">
        <v>97.5</v>
      </c>
      <c r="F306" s="211">
        <f t="shared" si="30"/>
        <v>11.849688</v>
      </c>
      <c r="H306" s="215">
        <v>45180</v>
      </c>
      <c r="I306" s="104">
        <v>4015169</v>
      </c>
      <c r="J306" s="104">
        <v>375</v>
      </c>
      <c r="K306" s="104">
        <v>4015544</v>
      </c>
      <c r="L306" s="104">
        <v>99.99</v>
      </c>
      <c r="M306" s="114">
        <f t="shared" si="29"/>
        <v>4.0155440000000002</v>
      </c>
      <c r="O306" s="215">
        <v>45180</v>
      </c>
      <c r="P306" s="104">
        <v>60616514</v>
      </c>
      <c r="Q306" s="104">
        <v>20205421</v>
      </c>
      <c r="R306" s="104">
        <v>80821935</v>
      </c>
      <c r="S306" s="104">
        <v>75</v>
      </c>
      <c r="T306" s="212">
        <f t="shared" si="37"/>
        <v>80.821934999999996</v>
      </c>
      <c r="W306" s="215">
        <v>45180</v>
      </c>
      <c r="X306" s="1">
        <v>8824</v>
      </c>
      <c r="Y306" s="104">
        <v>12000</v>
      </c>
      <c r="Z306" s="104">
        <f t="shared" si="35"/>
        <v>73.533333333333331</v>
      </c>
      <c r="AB306" s="215">
        <v>45180</v>
      </c>
      <c r="AC306" s="1">
        <v>1045</v>
      </c>
      <c r="AD306" s="104">
        <v>12000</v>
      </c>
      <c r="AE306" s="104">
        <f t="shared" si="36"/>
        <v>8.7083333333333339</v>
      </c>
      <c r="AG306" s="215">
        <v>45180</v>
      </c>
      <c r="AH306" s="1">
        <v>9467</v>
      </c>
      <c r="AI306" s="1">
        <v>12000</v>
      </c>
      <c r="AJ306" s="1">
        <f t="shared" si="32"/>
        <v>78.891666666666666</v>
      </c>
      <c r="AL306" s="140">
        <v>45139</v>
      </c>
      <c r="AM306" t="s">
        <v>195</v>
      </c>
      <c r="AN306">
        <v>16283</v>
      </c>
      <c r="AP306" s="140">
        <v>45139</v>
      </c>
      <c r="AQ306" t="s">
        <v>169</v>
      </c>
      <c r="AR306">
        <v>763104</v>
      </c>
      <c r="AT306" s="140">
        <v>45139</v>
      </c>
    </row>
    <row r="307" spans="1:48" hidden="1" x14ac:dyDescent="0.25">
      <c r="A307" s="113">
        <v>45181</v>
      </c>
      <c r="B307" s="101">
        <v>11216774</v>
      </c>
      <c r="C307" s="101">
        <v>430717</v>
      </c>
      <c r="D307" s="101">
        <v>11647491</v>
      </c>
      <c r="E307" s="101">
        <v>96.3</v>
      </c>
      <c r="F307" s="211">
        <f t="shared" si="30"/>
        <v>11.647491</v>
      </c>
      <c r="H307" s="215">
        <v>45181</v>
      </c>
      <c r="I307" s="104">
        <v>4470032</v>
      </c>
      <c r="J307" s="104">
        <v>234</v>
      </c>
      <c r="K307" s="104">
        <v>4470266</v>
      </c>
      <c r="L307" s="104">
        <v>99.99</v>
      </c>
      <c r="M307" s="114">
        <f t="shared" si="29"/>
        <v>4.4702659999999996</v>
      </c>
      <c r="O307" s="215">
        <v>45181</v>
      </c>
      <c r="P307" s="104">
        <v>58974385</v>
      </c>
      <c r="Q307" s="104">
        <v>23839986</v>
      </c>
      <c r="R307" s="104">
        <v>82814371</v>
      </c>
      <c r="S307" s="104">
        <v>71.209999999999994</v>
      </c>
      <c r="T307" s="212">
        <f t="shared" si="37"/>
        <v>82.814370999999994</v>
      </c>
      <c r="W307" s="215">
        <v>45181</v>
      </c>
      <c r="X307" s="1">
        <v>8538</v>
      </c>
      <c r="Y307" s="104">
        <v>12000</v>
      </c>
      <c r="Z307" s="104">
        <f t="shared" si="35"/>
        <v>71.150000000000006</v>
      </c>
      <c r="AB307" s="215">
        <v>45181</v>
      </c>
      <c r="AC307" s="1">
        <v>973</v>
      </c>
      <c r="AD307" s="104">
        <v>12000</v>
      </c>
      <c r="AE307" s="104">
        <f t="shared" si="36"/>
        <v>8.1083333333333325</v>
      </c>
      <c r="AG307" s="215">
        <v>45181</v>
      </c>
      <c r="AH307" s="1">
        <v>9266</v>
      </c>
      <c r="AI307" s="1">
        <v>12000</v>
      </c>
      <c r="AJ307" s="1">
        <f t="shared" si="32"/>
        <v>77.216666666666669</v>
      </c>
      <c r="AL307" s="140">
        <v>45140</v>
      </c>
      <c r="AM307" t="s">
        <v>189</v>
      </c>
      <c r="AN307">
        <v>298428</v>
      </c>
      <c r="AP307" s="140">
        <v>45140</v>
      </c>
      <c r="AQ307" t="s">
        <v>189</v>
      </c>
      <c r="AR307">
        <v>19394187</v>
      </c>
      <c r="AT307" s="140">
        <v>45140</v>
      </c>
      <c r="AU307" t="s">
        <v>193</v>
      </c>
      <c r="AV307">
        <v>106</v>
      </c>
    </row>
    <row r="308" spans="1:48" hidden="1" x14ac:dyDescent="0.25">
      <c r="A308" s="113">
        <v>45182</v>
      </c>
      <c r="B308" s="101">
        <v>11029387</v>
      </c>
      <c r="C308" s="101">
        <v>401679</v>
      </c>
      <c r="D308" s="101">
        <v>11431066</v>
      </c>
      <c r="E308" s="101">
        <v>96.49</v>
      </c>
      <c r="F308" s="211">
        <f t="shared" si="30"/>
        <v>11.431066</v>
      </c>
      <c r="H308" s="215">
        <v>45182</v>
      </c>
      <c r="I308" s="104">
        <v>4396498</v>
      </c>
      <c r="J308" s="104">
        <v>157</v>
      </c>
      <c r="K308" s="104">
        <v>4396655</v>
      </c>
      <c r="L308" s="104">
        <v>100</v>
      </c>
      <c r="M308" s="114">
        <f t="shared" si="29"/>
        <v>4.396655</v>
      </c>
      <c r="O308" s="215">
        <v>45182</v>
      </c>
      <c r="P308" s="104">
        <v>55215608</v>
      </c>
      <c r="Q308" s="104">
        <v>20255349</v>
      </c>
      <c r="R308" s="104">
        <v>75470957</v>
      </c>
      <c r="S308" s="104">
        <v>73.16</v>
      </c>
      <c r="T308" s="212">
        <f t="shared" si="37"/>
        <v>75.470956999999999</v>
      </c>
      <c r="W308" s="215">
        <v>45182</v>
      </c>
      <c r="X308" s="1">
        <v>7038</v>
      </c>
      <c r="Y308" s="104">
        <v>12000</v>
      </c>
      <c r="Z308" s="104">
        <f t="shared" si="35"/>
        <v>58.65</v>
      </c>
      <c r="AB308" s="215">
        <v>45182</v>
      </c>
      <c r="AC308" s="1">
        <v>941</v>
      </c>
      <c r="AD308" s="104">
        <v>12000</v>
      </c>
      <c r="AE308" s="104">
        <f t="shared" si="36"/>
        <v>7.8416666666666668</v>
      </c>
      <c r="AG308" s="215">
        <v>45182</v>
      </c>
      <c r="AH308" s="1">
        <v>7647</v>
      </c>
      <c r="AI308" s="1">
        <v>12000</v>
      </c>
      <c r="AJ308" s="1">
        <f t="shared" si="32"/>
        <v>63.725000000000001</v>
      </c>
      <c r="AL308" s="140">
        <v>45140</v>
      </c>
      <c r="AM308" t="s">
        <v>191</v>
      </c>
      <c r="AN308">
        <v>36516</v>
      </c>
      <c r="AP308" s="140">
        <v>45140</v>
      </c>
      <c r="AQ308" t="s">
        <v>192</v>
      </c>
      <c r="AR308">
        <v>3427313</v>
      </c>
      <c r="AT308" s="140">
        <v>45140</v>
      </c>
      <c r="AU308" t="s">
        <v>190</v>
      </c>
      <c r="AV308">
        <v>91</v>
      </c>
    </row>
    <row r="309" spans="1:48" hidden="1" x14ac:dyDescent="0.25">
      <c r="A309" s="113">
        <v>45183</v>
      </c>
      <c r="B309" s="101">
        <v>11233393</v>
      </c>
      <c r="C309" s="101">
        <v>379781</v>
      </c>
      <c r="D309" s="101">
        <v>11613174</v>
      </c>
      <c r="E309" s="101">
        <v>96.73</v>
      </c>
      <c r="F309" s="211">
        <f t="shared" si="30"/>
        <v>11.613174000000001</v>
      </c>
      <c r="H309" s="215">
        <v>45183</v>
      </c>
      <c r="I309" s="104">
        <v>4123525</v>
      </c>
      <c r="J309" s="104">
        <v>143</v>
      </c>
      <c r="K309" s="104">
        <v>4123668</v>
      </c>
      <c r="L309" s="104">
        <v>100</v>
      </c>
      <c r="M309" s="114">
        <f t="shared" si="29"/>
        <v>4.1236680000000003</v>
      </c>
      <c r="O309" s="215">
        <v>45183</v>
      </c>
      <c r="P309" s="104">
        <v>61028369</v>
      </c>
      <c r="Q309" s="104">
        <v>22665788</v>
      </c>
      <c r="R309" s="104">
        <v>83694157</v>
      </c>
      <c r="S309" s="104">
        <v>72.92</v>
      </c>
      <c r="T309" s="212">
        <f t="shared" si="37"/>
        <v>83.694157000000004</v>
      </c>
      <c r="W309" s="215">
        <v>45183</v>
      </c>
      <c r="X309" s="1">
        <v>9008</v>
      </c>
      <c r="Y309" s="104">
        <v>12000</v>
      </c>
      <c r="Z309" s="104">
        <f t="shared" si="35"/>
        <v>75.066666666666663</v>
      </c>
      <c r="AB309" s="215">
        <v>45183</v>
      </c>
      <c r="AC309" s="1">
        <v>1477</v>
      </c>
      <c r="AD309" s="104">
        <v>12000</v>
      </c>
      <c r="AE309" s="104">
        <f t="shared" si="36"/>
        <v>12.308333333333334</v>
      </c>
      <c r="AG309" s="215">
        <v>45183</v>
      </c>
      <c r="AH309" s="1">
        <v>9534</v>
      </c>
      <c r="AI309" s="1">
        <v>12000</v>
      </c>
      <c r="AJ309" s="1">
        <f t="shared" si="32"/>
        <v>79.45</v>
      </c>
      <c r="AL309" s="140">
        <v>45140</v>
      </c>
      <c r="AM309" t="s">
        <v>194</v>
      </c>
      <c r="AN309">
        <v>33119</v>
      </c>
      <c r="AP309" s="140">
        <v>45140</v>
      </c>
      <c r="AQ309" t="s">
        <v>194</v>
      </c>
      <c r="AR309">
        <v>1436732</v>
      </c>
      <c r="AT309" s="140">
        <v>45140</v>
      </c>
    </row>
    <row r="310" spans="1:48" hidden="1" x14ac:dyDescent="0.25">
      <c r="A310" s="113">
        <v>45184</v>
      </c>
      <c r="B310" s="101">
        <v>11265422</v>
      </c>
      <c r="C310" s="101">
        <v>409451</v>
      </c>
      <c r="D310" s="101">
        <v>11674873</v>
      </c>
      <c r="E310" s="101">
        <v>96.49</v>
      </c>
      <c r="F310" s="211">
        <f t="shared" si="30"/>
        <v>11.674873</v>
      </c>
      <c r="H310" s="215">
        <v>45184</v>
      </c>
      <c r="I310" s="104">
        <v>4472707</v>
      </c>
      <c r="J310" s="104">
        <v>55972</v>
      </c>
      <c r="K310" s="104">
        <v>4528679</v>
      </c>
      <c r="L310" s="104">
        <v>98.76</v>
      </c>
      <c r="M310" s="114">
        <f t="shared" si="29"/>
        <v>4.5286790000000003</v>
      </c>
      <c r="O310" s="215">
        <v>45184</v>
      </c>
      <c r="P310" s="104">
        <v>57574484</v>
      </c>
      <c r="Q310" s="104">
        <v>17913649</v>
      </c>
      <c r="R310" s="104">
        <v>75488133</v>
      </c>
      <c r="S310" s="104">
        <v>76.27</v>
      </c>
      <c r="T310" s="212">
        <f t="shared" si="37"/>
        <v>75.488133000000005</v>
      </c>
      <c r="W310" s="215">
        <v>45184</v>
      </c>
      <c r="X310" s="1">
        <v>6252</v>
      </c>
      <c r="Y310" s="104">
        <v>12000</v>
      </c>
      <c r="Z310" s="104">
        <f t="shared" si="35"/>
        <v>52.1</v>
      </c>
      <c r="AB310" s="215">
        <v>45184</v>
      </c>
      <c r="AC310" s="1">
        <v>975</v>
      </c>
      <c r="AD310" s="104">
        <v>12000</v>
      </c>
      <c r="AE310" s="104">
        <f t="shared" si="36"/>
        <v>8.125</v>
      </c>
      <c r="AG310" s="215">
        <v>45184</v>
      </c>
      <c r="AH310" s="1">
        <v>6892</v>
      </c>
      <c r="AI310" s="1">
        <v>12000</v>
      </c>
      <c r="AJ310" s="1">
        <f t="shared" si="32"/>
        <v>57.43333333333333</v>
      </c>
      <c r="AL310" s="140">
        <v>45140</v>
      </c>
      <c r="AM310" t="s">
        <v>192</v>
      </c>
      <c r="AN310">
        <v>30989</v>
      </c>
      <c r="AP310" s="140">
        <v>45140</v>
      </c>
      <c r="AQ310" t="s">
        <v>191</v>
      </c>
      <c r="AR310">
        <v>1095019</v>
      </c>
      <c r="AT310" s="140">
        <v>45140</v>
      </c>
    </row>
    <row r="311" spans="1:48" hidden="1" x14ac:dyDescent="0.25">
      <c r="A311" s="113">
        <v>45185</v>
      </c>
      <c r="B311" s="101">
        <v>11212795</v>
      </c>
      <c r="C311" s="101">
        <v>400277</v>
      </c>
      <c r="D311" s="101">
        <v>11613072</v>
      </c>
      <c r="E311" s="101">
        <v>96.55</v>
      </c>
      <c r="F311" s="211">
        <f t="shared" si="30"/>
        <v>11.613072000000001</v>
      </c>
      <c r="H311" s="215">
        <v>45185</v>
      </c>
      <c r="I311" s="104">
        <v>4337199</v>
      </c>
      <c r="J311" s="104">
        <v>2300</v>
      </c>
      <c r="K311" s="104">
        <v>4339499</v>
      </c>
      <c r="L311" s="104">
        <v>99.95</v>
      </c>
      <c r="M311" s="114">
        <f t="shared" si="29"/>
        <v>4.339499</v>
      </c>
      <c r="O311" s="215">
        <v>45185</v>
      </c>
      <c r="P311" s="104">
        <v>57528802</v>
      </c>
      <c r="Q311" s="104">
        <v>16275915</v>
      </c>
      <c r="R311" s="104">
        <v>73804717</v>
      </c>
      <c r="S311" s="104">
        <v>77.95</v>
      </c>
      <c r="T311" s="212">
        <f t="shared" si="37"/>
        <v>73.804716999999997</v>
      </c>
      <c r="W311" s="215">
        <v>45185</v>
      </c>
      <c r="X311" s="1">
        <v>8077</v>
      </c>
      <c r="Y311" s="104">
        <v>12000</v>
      </c>
      <c r="Z311" s="104">
        <f t="shared" si="35"/>
        <v>67.308333333333337</v>
      </c>
      <c r="AB311" s="215">
        <v>45185</v>
      </c>
      <c r="AC311" s="1">
        <v>980</v>
      </c>
      <c r="AD311" s="104">
        <v>12000</v>
      </c>
      <c r="AE311" s="104">
        <f t="shared" si="36"/>
        <v>8.1666666666666661</v>
      </c>
      <c r="AG311" s="215">
        <v>45185</v>
      </c>
      <c r="AH311" s="1">
        <v>8579</v>
      </c>
      <c r="AI311" s="1">
        <v>12000</v>
      </c>
      <c r="AJ311" s="1">
        <f t="shared" si="32"/>
        <v>71.49166666666666</v>
      </c>
      <c r="AL311" s="140">
        <v>45140</v>
      </c>
      <c r="AM311" t="s">
        <v>195</v>
      </c>
      <c r="AN311">
        <v>14175</v>
      </c>
      <c r="AP311" s="140">
        <v>45140</v>
      </c>
      <c r="AQ311" t="s">
        <v>169</v>
      </c>
      <c r="AR311">
        <v>538443</v>
      </c>
      <c r="AT311" s="140">
        <v>45140</v>
      </c>
    </row>
    <row r="312" spans="1:48" hidden="1" x14ac:dyDescent="0.25">
      <c r="A312" s="113">
        <v>45186</v>
      </c>
      <c r="B312" s="101">
        <v>10935202</v>
      </c>
      <c r="C312" s="101">
        <v>360743</v>
      </c>
      <c r="D312" s="101">
        <v>11295945</v>
      </c>
      <c r="E312" s="101">
        <v>96.81</v>
      </c>
      <c r="F312" s="211">
        <f t="shared" si="30"/>
        <v>11.295945</v>
      </c>
      <c r="H312" s="215">
        <v>45186</v>
      </c>
      <c r="I312" s="104">
        <v>4135688</v>
      </c>
      <c r="J312" s="104">
        <v>83</v>
      </c>
      <c r="K312" s="104">
        <v>4135771</v>
      </c>
      <c r="L312" s="104">
        <v>100</v>
      </c>
      <c r="M312" s="114">
        <f t="shared" si="29"/>
        <v>4.1357710000000001</v>
      </c>
      <c r="O312" s="215">
        <v>45186</v>
      </c>
      <c r="P312" s="104">
        <v>49327524</v>
      </c>
      <c r="Q312" s="104">
        <v>9402896</v>
      </c>
      <c r="R312" s="104">
        <v>58730420</v>
      </c>
      <c r="S312" s="104">
        <v>83.99</v>
      </c>
      <c r="T312" s="212">
        <f t="shared" si="37"/>
        <v>58.730420000000002</v>
      </c>
      <c r="W312" s="215">
        <v>45186</v>
      </c>
      <c r="X312" s="1">
        <v>7099</v>
      </c>
      <c r="Y312" s="104">
        <v>12000</v>
      </c>
      <c r="Z312" s="104">
        <f t="shared" si="35"/>
        <v>59.158333333333331</v>
      </c>
      <c r="AB312" s="215">
        <v>45186</v>
      </c>
      <c r="AC312" s="1">
        <v>950</v>
      </c>
      <c r="AD312" s="104">
        <v>12000</v>
      </c>
      <c r="AE312" s="104">
        <f t="shared" si="36"/>
        <v>7.916666666666667</v>
      </c>
      <c r="AG312" s="215">
        <v>45186</v>
      </c>
      <c r="AH312" s="1">
        <v>7672</v>
      </c>
      <c r="AI312" s="1">
        <v>12000</v>
      </c>
      <c r="AJ312" s="1">
        <f t="shared" si="32"/>
        <v>63.93333333333333</v>
      </c>
      <c r="AL312" s="140">
        <v>45141</v>
      </c>
      <c r="AM312" t="s">
        <v>196</v>
      </c>
      <c r="AN312">
        <v>581951</v>
      </c>
      <c r="AP312" s="140">
        <v>45141</v>
      </c>
      <c r="AQ312" t="s">
        <v>189</v>
      </c>
      <c r="AR312">
        <v>29773058</v>
      </c>
      <c r="AT312" s="140">
        <v>45141</v>
      </c>
      <c r="AU312" t="s">
        <v>193</v>
      </c>
      <c r="AV312">
        <v>143</v>
      </c>
    </row>
    <row r="313" spans="1:48" hidden="1" x14ac:dyDescent="0.25">
      <c r="A313" s="113">
        <v>45187</v>
      </c>
      <c r="B313" s="101">
        <v>11501402</v>
      </c>
      <c r="C313" s="101">
        <v>299774</v>
      </c>
      <c r="D313" s="101">
        <v>11801176</v>
      </c>
      <c r="E313" s="101">
        <v>97.46</v>
      </c>
      <c r="F313" s="211">
        <f t="shared" si="30"/>
        <v>11.801176</v>
      </c>
      <c r="H313" s="215">
        <v>45187</v>
      </c>
      <c r="I313" s="104">
        <v>5057201</v>
      </c>
      <c r="J313" s="104">
        <v>510</v>
      </c>
      <c r="K313" s="104">
        <v>5057711</v>
      </c>
      <c r="L313" s="104">
        <v>99.99</v>
      </c>
      <c r="M313" s="114">
        <f t="shared" si="29"/>
        <v>5.0577110000000003</v>
      </c>
      <c r="O313" s="215">
        <v>45187</v>
      </c>
      <c r="P313" s="104">
        <v>70148214</v>
      </c>
      <c r="Q313" s="104">
        <v>20913645</v>
      </c>
      <c r="R313" s="104">
        <v>91061859</v>
      </c>
      <c r="S313" s="104">
        <v>77.03</v>
      </c>
      <c r="T313" s="212">
        <f t="shared" si="37"/>
        <v>91.061858999999998</v>
      </c>
      <c r="W313" s="215">
        <v>45187</v>
      </c>
      <c r="X313" s="1">
        <v>6079</v>
      </c>
      <c r="Y313" s="104">
        <v>12000</v>
      </c>
      <c r="Z313" s="104">
        <f t="shared" si="35"/>
        <v>50.658333333333331</v>
      </c>
      <c r="AB313" s="215">
        <v>45187</v>
      </c>
      <c r="AC313" s="1">
        <v>1027</v>
      </c>
      <c r="AD313" s="104">
        <v>12000</v>
      </c>
      <c r="AE313" s="104">
        <f t="shared" si="36"/>
        <v>8.5583333333333336</v>
      </c>
      <c r="AG313" s="215">
        <v>45187</v>
      </c>
      <c r="AH313" s="1">
        <v>6820</v>
      </c>
      <c r="AI313" s="1">
        <v>12000</v>
      </c>
      <c r="AJ313" s="1">
        <f t="shared" si="32"/>
        <v>56.833333333333336</v>
      </c>
      <c r="AL313" s="140">
        <v>45141</v>
      </c>
      <c r="AM313" t="s">
        <v>189</v>
      </c>
      <c r="AN313">
        <v>271531</v>
      </c>
      <c r="AP313" s="140">
        <v>45141</v>
      </c>
      <c r="AQ313" t="s">
        <v>192</v>
      </c>
      <c r="AR313">
        <v>5305224</v>
      </c>
      <c r="AT313" s="140">
        <v>45141</v>
      </c>
      <c r="AU313" t="s">
        <v>190</v>
      </c>
      <c r="AV313">
        <v>76</v>
      </c>
    </row>
    <row r="314" spans="1:48" hidden="1" x14ac:dyDescent="0.25">
      <c r="A314" s="113">
        <v>45188</v>
      </c>
      <c r="B314" s="101">
        <v>11192376</v>
      </c>
      <c r="C314" s="101">
        <v>420180</v>
      </c>
      <c r="D314" s="101">
        <v>11612556</v>
      </c>
      <c r="E314" s="101">
        <v>96.38</v>
      </c>
      <c r="F314" s="211">
        <f t="shared" si="30"/>
        <v>11.612556</v>
      </c>
      <c r="H314" s="215">
        <v>45188</v>
      </c>
      <c r="I314" s="104">
        <v>3337234</v>
      </c>
      <c r="J314" s="104">
        <v>17467</v>
      </c>
      <c r="K314" s="104">
        <v>3354701</v>
      </c>
      <c r="L314" s="104">
        <v>99.48</v>
      </c>
      <c r="M314" s="114">
        <f t="shared" si="29"/>
        <v>3.3547009999999999</v>
      </c>
      <c r="O314" s="215">
        <v>45188</v>
      </c>
      <c r="P314" s="104">
        <v>69116408</v>
      </c>
      <c r="Q314" s="104">
        <v>22504340</v>
      </c>
      <c r="R314" s="104">
        <v>91620748</v>
      </c>
      <c r="S314" s="104">
        <v>75.44</v>
      </c>
      <c r="T314" s="212">
        <f t="shared" si="37"/>
        <v>91.620748000000006</v>
      </c>
      <c r="W314" s="215">
        <v>45188</v>
      </c>
      <c r="X314" s="1">
        <v>9927</v>
      </c>
      <c r="Y314" s="104">
        <v>12000</v>
      </c>
      <c r="Z314" s="104">
        <f t="shared" si="35"/>
        <v>82.724999999999994</v>
      </c>
      <c r="AB314" s="215">
        <v>45188</v>
      </c>
      <c r="AC314" s="1">
        <v>1123</v>
      </c>
      <c r="AD314" s="104">
        <v>12000</v>
      </c>
      <c r="AE314" s="104">
        <f t="shared" si="36"/>
        <v>9.3583333333333325</v>
      </c>
      <c r="AG314" s="215">
        <v>45188</v>
      </c>
      <c r="AH314" s="1">
        <v>10553</v>
      </c>
      <c r="AI314" s="1">
        <v>12000</v>
      </c>
      <c r="AJ314" s="1">
        <f t="shared" si="32"/>
        <v>87.941666666666663</v>
      </c>
      <c r="AL314" s="140">
        <v>45141</v>
      </c>
      <c r="AM314" t="s">
        <v>191</v>
      </c>
      <c r="AN314">
        <v>39627</v>
      </c>
      <c r="AP314" s="140">
        <v>45141</v>
      </c>
      <c r="AQ314" t="s">
        <v>194</v>
      </c>
      <c r="AR314">
        <v>1795346</v>
      </c>
      <c r="AT314" s="140">
        <v>45141</v>
      </c>
    </row>
    <row r="315" spans="1:48" hidden="1" x14ac:dyDescent="0.25">
      <c r="A315" s="113">
        <v>45189</v>
      </c>
      <c r="B315" s="101">
        <v>11156565</v>
      </c>
      <c r="C315" s="101">
        <v>421228</v>
      </c>
      <c r="D315" s="101">
        <v>11577793</v>
      </c>
      <c r="E315" s="101">
        <v>96.36</v>
      </c>
      <c r="F315" s="211">
        <f t="shared" si="30"/>
        <v>11.577793</v>
      </c>
      <c r="H315" s="215">
        <v>45189</v>
      </c>
      <c r="I315" s="104">
        <v>2790701</v>
      </c>
      <c r="J315" s="104">
        <v>2517</v>
      </c>
      <c r="K315" s="104">
        <v>2793218</v>
      </c>
      <c r="L315" s="104">
        <v>99.91</v>
      </c>
      <c r="M315" s="114">
        <f t="shared" si="29"/>
        <v>2.793218</v>
      </c>
      <c r="O315" s="215">
        <v>45189</v>
      </c>
      <c r="P315" s="104">
        <v>63700782</v>
      </c>
      <c r="Q315" s="104">
        <v>23969001</v>
      </c>
      <c r="R315" s="104">
        <v>87669783</v>
      </c>
      <c r="S315" s="104">
        <v>72.66</v>
      </c>
      <c r="T315" s="212">
        <f t="shared" si="37"/>
        <v>87.669782999999995</v>
      </c>
      <c r="W315" s="215">
        <v>45189</v>
      </c>
      <c r="X315" s="1">
        <v>8476</v>
      </c>
      <c r="Y315" s="104">
        <v>12000</v>
      </c>
      <c r="Z315" s="104">
        <f t="shared" si="35"/>
        <v>70.63333333333334</v>
      </c>
      <c r="AB315" s="215">
        <v>45189</v>
      </c>
      <c r="AC315" s="1">
        <v>1031</v>
      </c>
      <c r="AD315" s="104">
        <v>12000</v>
      </c>
      <c r="AE315" s="104">
        <f t="shared" si="36"/>
        <v>8.5916666666666668</v>
      </c>
      <c r="AG315" s="215">
        <v>45189</v>
      </c>
      <c r="AH315" s="1">
        <v>9060</v>
      </c>
      <c r="AI315" s="1">
        <v>12000</v>
      </c>
      <c r="AJ315" s="1">
        <f t="shared" si="32"/>
        <v>75.5</v>
      </c>
      <c r="AL315" s="140">
        <v>45141</v>
      </c>
      <c r="AM315" t="s">
        <v>194</v>
      </c>
      <c r="AN315">
        <v>35486</v>
      </c>
      <c r="AP315" s="140">
        <v>45141</v>
      </c>
      <c r="AQ315" t="s">
        <v>169</v>
      </c>
      <c r="AR315">
        <v>924345</v>
      </c>
      <c r="AT315" s="140">
        <v>45141</v>
      </c>
    </row>
    <row r="316" spans="1:48" hidden="1" x14ac:dyDescent="0.25">
      <c r="A316" s="113">
        <v>45190</v>
      </c>
      <c r="B316" s="101">
        <v>11235057</v>
      </c>
      <c r="C316" s="101">
        <v>408560</v>
      </c>
      <c r="D316" s="101">
        <v>11643617</v>
      </c>
      <c r="E316" s="101">
        <v>96.49</v>
      </c>
      <c r="F316" s="211">
        <f t="shared" si="30"/>
        <v>11.643617000000001</v>
      </c>
      <c r="H316" s="215">
        <v>45190</v>
      </c>
      <c r="I316" s="104">
        <v>1679934</v>
      </c>
      <c r="J316" s="104">
        <v>1050</v>
      </c>
      <c r="K316" s="104">
        <v>1680984</v>
      </c>
      <c r="L316" s="104">
        <v>99.94</v>
      </c>
      <c r="M316" s="114">
        <f t="shared" si="29"/>
        <v>1.680984</v>
      </c>
      <c r="O316" s="215">
        <v>45190</v>
      </c>
      <c r="P316" s="104">
        <v>62300465</v>
      </c>
      <c r="Q316" s="104">
        <v>19587285</v>
      </c>
      <c r="R316" s="104">
        <v>81887750</v>
      </c>
      <c r="S316" s="104">
        <v>76.08</v>
      </c>
      <c r="T316" s="212">
        <f t="shared" si="37"/>
        <v>81.887749999999997</v>
      </c>
      <c r="W316" s="215">
        <v>45190</v>
      </c>
      <c r="X316" s="1">
        <v>8062</v>
      </c>
      <c r="Y316" s="104">
        <v>12000</v>
      </c>
      <c r="Z316" s="104">
        <f t="shared" si="35"/>
        <v>67.183333333333337</v>
      </c>
      <c r="AB316" s="215">
        <v>45190</v>
      </c>
      <c r="AC316" s="1">
        <v>1010</v>
      </c>
      <c r="AD316" s="104">
        <v>12000</v>
      </c>
      <c r="AE316" s="104">
        <f t="shared" si="36"/>
        <v>8.4166666666666661</v>
      </c>
      <c r="AG316" s="215">
        <v>45190</v>
      </c>
      <c r="AH316" s="1">
        <v>8687</v>
      </c>
      <c r="AI316" s="1">
        <v>12000</v>
      </c>
      <c r="AJ316" s="1">
        <f t="shared" si="32"/>
        <v>72.391666666666666</v>
      </c>
      <c r="AL316" s="140">
        <v>45141</v>
      </c>
      <c r="AM316" t="s">
        <v>192</v>
      </c>
      <c r="AN316">
        <v>24842</v>
      </c>
      <c r="AP316" s="140">
        <v>45141</v>
      </c>
      <c r="AQ316" t="s">
        <v>191</v>
      </c>
      <c r="AR316">
        <v>716281</v>
      </c>
      <c r="AT316" s="140">
        <v>45141</v>
      </c>
    </row>
    <row r="317" spans="1:48" hidden="1" x14ac:dyDescent="0.25">
      <c r="A317" s="113">
        <v>45191</v>
      </c>
      <c r="B317" s="101">
        <v>11352652</v>
      </c>
      <c r="C317" s="101">
        <v>416771</v>
      </c>
      <c r="D317" s="101">
        <v>11769423</v>
      </c>
      <c r="E317" s="101">
        <v>96.46</v>
      </c>
      <c r="F317" s="211">
        <f t="shared" si="30"/>
        <v>11.769423</v>
      </c>
      <c r="H317" s="215">
        <v>45191</v>
      </c>
      <c r="I317" s="104">
        <v>2019555</v>
      </c>
      <c r="J317" s="104">
        <v>1795</v>
      </c>
      <c r="K317" s="104">
        <v>2021350</v>
      </c>
      <c r="L317" s="104">
        <v>99.91</v>
      </c>
      <c r="M317" s="114">
        <f t="shared" si="29"/>
        <v>2.02135</v>
      </c>
      <c r="O317" s="215">
        <v>45191</v>
      </c>
      <c r="P317" s="104">
        <v>62425843</v>
      </c>
      <c r="Q317" s="104">
        <v>21077816</v>
      </c>
      <c r="R317" s="104">
        <v>83503659</v>
      </c>
      <c r="S317" s="104">
        <v>74.760000000000005</v>
      </c>
      <c r="T317" s="212">
        <f t="shared" si="37"/>
        <v>83.503658999999999</v>
      </c>
      <c r="W317" s="215">
        <v>45191</v>
      </c>
      <c r="X317" s="1">
        <v>7678</v>
      </c>
      <c r="Y317" s="104">
        <v>12000</v>
      </c>
      <c r="Z317" s="104">
        <f t="shared" si="35"/>
        <v>63.983333333333334</v>
      </c>
      <c r="AB317" s="215">
        <v>45191</v>
      </c>
      <c r="AC317" s="1">
        <v>1164</v>
      </c>
      <c r="AD317" s="104">
        <v>12000</v>
      </c>
      <c r="AE317" s="104">
        <f t="shared" si="36"/>
        <v>9.6999999999999993</v>
      </c>
      <c r="AG317" s="215">
        <v>45191</v>
      </c>
      <c r="AH317" s="1">
        <v>8576</v>
      </c>
      <c r="AI317" s="1">
        <v>12000</v>
      </c>
      <c r="AJ317" s="1">
        <f t="shared" si="32"/>
        <v>71.466666666666669</v>
      </c>
      <c r="AL317" s="140">
        <v>45142</v>
      </c>
      <c r="AM317" t="s">
        <v>196</v>
      </c>
      <c r="AN317">
        <v>385049</v>
      </c>
      <c r="AP317" s="140">
        <v>45142</v>
      </c>
      <c r="AQ317" t="s">
        <v>189</v>
      </c>
      <c r="AR317">
        <v>21919069</v>
      </c>
      <c r="AT317" s="140">
        <v>45142</v>
      </c>
      <c r="AU317" t="s">
        <v>193</v>
      </c>
      <c r="AV317">
        <v>165</v>
      </c>
    </row>
    <row r="318" spans="1:48" hidden="1" x14ac:dyDescent="0.25">
      <c r="A318" s="113">
        <v>45192</v>
      </c>
      <c r="B318" s="101">
        <v>10976496</v>
      </c>
      <c r="C318" s="101">
        <v>411503</v>
      </c>
      <c r="D318" s="101">
        <v>11387999</v>
      </c>
      <c r="E318" s="101">
        <v>96.39</v>
      </c>
      <c r="F318" s="211">
        <f t="shared" si="30"/>
        <v>11.387999000000001</v>
      </c>
      <c r="H318" s="215">
        <v>45192</v>
      </c>
      <c r="I318" s="104">
        <v>2023173</v>
      </c>
      <c r="J318" s="104">
        <v>470</v>
      </c>
      <c r="K318" s="104">
        <v>2023643</v>
      </c>
      <c r="L318" s="104">
        <v>99.98</v>
      </c>
      <c r="M318" s="114">
        <f t="shared" si="29"/>
        <v>2.0236429999999999</v>
      </c>
      <c r="O318" s="215">
        <v>45192</v>
      </c>
      <c r="P318" s="104">
        <v>56490369</v>
      </c>
      <c r="Q318" s="104">
        <v>17594243</v>
      </c>
      <c r="R318" s="104">
        <v>74084612</v>
      </c>
      <c r="S318" s="104">
        <v>76.25</v>
      </c>
      <c r="T318" s="212">
        <f t="shared" si="37"/>
        <v>74.084612000000007</v>
      </c>
      <c r="W318" s="215">
        <v>45192</v>
      </c>
      <c r="X318" s="1">
        <v>6561</v>
      </c>
      <c r="Y318" s="104">
        <v>12000</v>
      </c>
      <c r="Z318" s="104">
        <f t="shared" si="35"/>
        <v>54.674999999999997</v>
      </c>
      <c r="AB318" s="215">
        <v>45192</v>
      </c>
      <c r="AC318" s="1">
        <v>1068</v>
      </c>
      <c r="AD318" s="104">
        <v>12000</v>
      </c>
      <c r="AE318" s="104">
        <f t="shared" si="36"/>
        <v>8.9</v>
      </c>
      <c r="AG318" s="215">
        <v>45192</v>
      </c>
      <c r="AH318" s="1">
        <v>7056</v>
      </c>
      <c r="AI318" s="1">
        <v>12000</v>
      </c>
      <c r="AJ318" s="1">
        <f t="shared" si="32"/>
        <v>58.8</v>
      </c>
      <c r="AL318" s="140">
        <v>45142</v>
      </c>
      <c r="AM318" t="s">
        <v>189</v>
      </c>
      <c r="AN318">
        <v>301714</v>
      </c>
      <c r="AP318" s="140">
        <v>45142</v>
      </c>
      <c r="AQ318" t="s">
        <v>192</v>
      </c>
      <c r="AR318">
        <v>3980366</v>
      </c>
      <c r="AT318" s="140">
        <v>45142</v>
      </c>
      <c r="AU318" t="s">
        <v>190</v>
      </c>
      <c r="AV318">
        <v>58</v>
      </c>
    </row>
    <row r="319" spans="1:48" hidden="1" x14ac:dyDescent="0.25">
      <c r="A319" s="113">
        <v>45193</v>
      </c>
      <c r="B319" s="101">
        <v>10742006</v>
      </c>
      <c r="C319" s="101">
        <v>363240</v>
      </c>
      <c r="D319" s="101">
        <v>11105246</v>
      </c>
      <c r="E319" s="101">
        <v>96.73</v>
      </c>
      <c r="F319" s="211">
        <f t="shared" si="30"/>
        <v>11.105245999999999</v>
      </c>
      <c r="H319" s="215">
        <v>45193</v>
      </c>
      <c r="I319" s="104">
        <v>1702746</v>
      </c>
      <c r="J319" s="104">
        <v>127</v>
      </c>
      <c r="K319" s="104">
        <v>1702873</v>
      </c>
      <c r="L319" s="104">
        <v>99.99</v>
      </c>
      <c r="M319" s="114">
        <f t="shared" si="29"/>
        <v>1.7028730000000001</v>
      </c>
      <c r="O319" s="215">
        <v>45193</v>
      </c>
      <c r="P319" s="104">
        <v>47452417</v>
      </c>
      <c r="Q319" s="104">
        <v>7945948</v>
      </c>
      <c r="R319" s="104">
        <v>55398365</v>
      </c>
      <c r="S319" s="104">
        <v>85.66</v>
      </c>
      <c r="T319" s="212">
        <f t="shared" si="37"/>
        <v>55.398364999999998</v>
      </c>
      <c r="W319" s="215">
        <v>45193</v>
      </c>
      <c r="X319" s="1">
        <v>2702</v>
      </c>
      <c r="Y319" s="104">
        <v>12000</v>
      </c>
      <c r="Z319" s="104">
        <f t="shared" si="35"/>
        <v>22.516666666666666</v>
      </c>
      <c r="AB319" s="215">
        <v>45193</v>
      </c>
      <c r="AC319" s="1">
        <v>969</v>
      </c>
      <c r="AD319" s="104">
        <v>12000</v>
      </c>
      <c r="AE319" s="104">
        <f t="shared" si="36"/>
        <v>8.0749999999999993</v>
      </c>
      <c r="AG319" s="215">
        <v>45193</v>
      </c>
      <c r="AH319" s="1">
        <v>3463</v>
      </c>
      <c r="AI319" s="1">
        <v>12000</v>
      </c>
      <c r="AJ319" s="1">
        <f t="shared" si="32"/>
        <v>28.858333333333334</v>
      </c>
      <c r="AL319" s="140">
        <v>45142</v>
      </c>
      <c r="AM319" t="s">
        <v>194</v>
      </c>
      <c r="AN319">
        <v>36466</v>
      </c>
      <c r="AP319" s="140">
        <v>45142</v>
      </c>
      <c r="AQ319" t="s">
        <v>194</v>
      </c>
      <c r="AR319">
        <v>1604783</v>
      </c>
      <c r="AT319" s="140">
        <v>45142</v>
      </c>
    </row>
    <row r="320" spans="1:48" hidden="1" x14ac:dyDescent="0.25">
      <c r="A320" s="113">
        <v>45194</v>
      </c>
      <c r="B320" s="101">
        <v>10893935</v>
      </c>
      <c r="C320" s="101">
        <v>354605</v>
      </c>
      <c r="D320" s="101">
        <v>11248540</v>
      </c>
      <c r="E320" s="101">
        <v>96.85</v>
      </c>
      <c r="F320" s="211">
        <f t="shared" si="30"/>
        <v>11.24854</v>
      </c>
      <c r="H320" s="215">
        <v>45194</v>
      </c>
      <c r="I320" s="104">
        <v>2802607</v>
      </c>
      <c r="J320" s="104">
        <v>4332</v>
      </c>
      <c r="K320" s="104">
        <v>2806939</v>
      </c>
      <c r="L320" s="104">
        <v>99.85</v>
      </c>
      <c r="M320" s="114">
        <f t="shared" si="29"/>
        <v>2.8069389999999999</v>
      </c>
      <c r="O320" s="215">
        <v>45194</v>
      </c>
      <c r="P320" s="104">
        <v>60582281</v>
      </c>
      <c r="Q320" s="104">
        <v>17087599</v>
      </c>
      <c r="R320" s="104">
        <v>77669880</v>
      </c>
      <c r="S320" s="104">
        <v>78</v>
      </c>
      <c r="T320" s="212">
        <f t="shared" si="37"/>
        <v>77.669880000000006</v>
      </c>
      <c r="W320" s="215">
        <v>45194</v>
      </c>
      <c r="X320" s="1">
        <v>7358</v>
      </c>
      <c r="Y320" s="104">
        <v>12000</v>
      </c>
      <c r="Z320" s="104">
        <f t="shared" si="35"/>
        <v>61.31666666666667</v>
      </c>
      <c r="AB320" s="215">
        <v>45194</v>
      </c>
      <c r="AC320" s="1">
        <v>1010</v>
      </c>
      <c r="AD320" s="104">
        <v>12000</v>
      </c>
      <c r="AE320" s="104">
        <f t="shared" si="36"/>
        <v>8.4166666666666661</v>
      </c>
      <c r="AG320" s="215">
        <v>45194</v>
      </c>
      <c r="AH320" s="1">
        <v>7951</v>
      </c>
      <c r="AI320" s="1">
        <v>12000</v>
      </c>
      <c r="AJ320" s="1">
        <f t="shared" si="32"/>
        <v>66.25833333333334</v>
      </c>
      <c r="AL320" s="140">
        <v>45171</v>
      </c>
      <c r="AM320" t="s">
        <v>189</v>
      </c>
      <c r="AN320">
        <v>287845</v>
      </c>
      <c r="AP320" s="140">
        <v>45171</v>
      </c>
      <c r="AQ320" t="s">
        <v>189</v>
      </c>
      <c r="AR320">
        <v>18671914</v>
      </c>
      <c r="AT320" s="140">
        <v>45171</v>
      </c>
      <c r="AU320" t="s">
        <v>190</v>
      </c>
      <c r="AV320">
        <v>771</v>
      </c>
    </row>
    <row r="321" spans="1:48" hidden="1" x14ac:dyDescent="0.25">
      <c r="A321" s="113">
        <v>45195</v>
      </c>
      <c r="B321" s="101">
        <v>10921095</v>
      </c>
      <c r="C321" s="101">
        <v>436048</v>
      </c>
      <c r="D321" s="101">
        <v>11357143</v>
      </c>
      <c r="E321" s="101">
        <v>96.16</v>
      </c>
      <c r="F321" s="211">
        <f t="shared" si="30"/>
        <v>11.357143000000001</v>
      </c>
      <c r="H321" s="215">
        <v>45195</v>
      </c>
      <c r="I321" s="104">
        <v>3032485</v>
      </c>
      <c r="J321" s="104">
        <v>2196</v>
      </c>
      <c r="K321" s="104">
        <v>3034681</v>
      </c>
      <c r="L321" s="104">
        <v>99.93</v>
      </c>
      <c r="M321" s="114">
        <f t="shared" si="29"/>
        <v>3.034681</v>
      </c>
      <c r="O321" s="215">
        <v>45195</v>
      </c>
      <c r="P321" s="104">
        <v>65499212</v>
      </c>
      <c r="Q321" s="104">
        <v>18573087</v>
      </c>
      <c r="R321" s="104">
        <v>84072299</v>
      </c>
      <c r="S321" s="104">
        <v>77.91</v>
      </c>
      <c r="T321" s="212">
        <f t="shared" si="37"/>
        <v>84.072299000000001</v>
      </c>
      <c r="W321" s="215">
        <v>45195</v>
      </c>
      <c r="X321" s="1">
        <v>4107</v>
      </c>
      <c r="Y321" s="104">
        <v>12000</v>
      </c>
      <c r="Z321" s="104">
        <f t="shared" si="35"/>
        <v>34.225000000000001</v>
      </c>
      <c r="AB321" s="215">
        <v>45195</v>
      </c>
      <c r="AC321" s="1">
        <v>1055</v>
      </c>
      <c r="AD321" s="104">
        <v>12000</v>
      </c>
      <c r="AE321" s="104">
        <f t="shared" si="36"/>
        <v>8.7916666666666661</v>
      </c>
      <c r="AG321" s="215">
        <v>45195</v>
      </c>
      <c r="AH321" s="1">
        <v>4716</v>
      </c>
      <c r="AI321" s="1">
        <v>12000</v>
      </c>
      <c r="AJ321" s="1">
        <f t="shared" si="32"/>
        <v>39.299999999999997</v>
      </c>
      <c r="AL321" s="140">
        <v>45171</v>
      </c>
      <c r="AM321" t="s">
        <v>191</v>
      </c>
      <c r="AN321">
        <v>32822</v>
      </c>
      <c r="AP321" s="140">
        <v>45171</v>
      </c>
      <c r="AQ321" t="s">
        <v>192</v>
      </c>
      <c r="AR321">
        <v>2695247</v>
      </c>
      <c r="AT321" s="140">
        <v>45171</v>
      </c>
      <c r="AU321" t="s">
        <v>193</v>
      </c>
      <c r="AV321">
        <v>136</v>
      </c>
    </row>
    <row r="322" spans="1:48" hidden="1" x14ac:dyDescent="0.25">
      <c r="A322" s="113">
        <v>45196</v>
      </c>
      <c r="B322" s="101">
        <v>11107141</v>
      </c>
      <c r="C322" s="101">
        <v>408497</v>
      </c>
      <c r="D322" s="101">
        <v>11515638</v>
      </c>
      <c r="E322" s="101">
        <v>96.45</v>
      </c>
      <c r="F322" s="211">
        <f t="shared" si="30"/>
        <v>11.515637999999999</v>
      </c>
      <c r="H322" s="215">
        <v>45196</v>
      </c>
      <c r="I322" s="104">
        <v>2615839</v>
      </c>
      <c r="J322" s="104">
        <v>1324</v>
      </c>
      <c r="K322" s="104">
        <v>2617163</v>
      </c>
      <c r="L322" s="104">
        <v>99.95</v>
      </c>
      <c r="M322" s="114">
        <f t="shared" si="29"/>
        <v>2.6171630000000001</v>
      </c>
      <c r="O322" s="215">
        <v>45196</v>
      </c>
      <c r="P322" s="104">
        <v>60049202</v>
      </c>
      <c r="Q322" s="104">
        <v>22742638</v>
      </c>
      <c r="R322" s="104">
        <v>82791840</v>
      </c>
      <c r="S322" s="104">
        <v>72.53</v>
      </c>
      <c r="T322" s="212">
        <f t="shared" si="37"/>
        <v>82.791839999999993</v>
      </c>
      <c r="W322" s="215">
        <v>45196</v>
      </c>
      <c r="X322" s="1">
        <v>4234</v>
      </c>
      <c r="Y322" s="104">
        <v>12000</v>
      </c>
      <c r="Z322" s="104">
        <f t="shared" si="35"/>
        <v>35.283333333333331</v>
      </c>
      <c r="AB322" s="215">
        <v>45196</v>
      </c>
      <c r="AC322" s="1">
        <v>970</v>
      </c>
      <c r="AD322" s="104">
        <v>12000</v>
      </c>
      <c r="AE322" s="104">
        <f t="shared" si="36"/>
        <v>8.0833333333333339</v>
      </c>
      <c r="AG322" s="215">
        <v>45196</v>
      </c>
      <c r="AH322" s="1">
        <v>4873</v>
      </c>
      <c r="AI322" s="1">
        <v>12000</v>
      </c>
      <c r="AJ322" s="46">
        <f t="shared" si="32"/>
        <v>40.608333333333334</v>
      </c>
      <c r="AL322" s="140">
        <v>45171</v>
      </c>
      <c r="AM322" t="s">
        <v>194</v>
      </c>
      <c r="AN322">
        <v>28648</v>
      </c>
      <c r="AP322" s="140">
        <v>45171</v>
      </c>
      <c r="AQ322" t="s">
        <v>194</v>
      </c>
      <c r="AR322">
        <v>1373957</v>
      </c>
      <c r="AT322" s="140"/>
    </row>
    <row r="323" spans="1:48" hidden="1" x14ac:dyDescent="0.25">
      <c r="A323" s="113">
        <v>45197</v>
      </c>
      <c r="B323" s="101">
        <v>10600092</v>
      </c>
      <c r="C323" s="101">
        <v>395886</v>
      </c>
      <c r="D323" s="101">
        <v>10995978</v>
      </c>
      <c r="E323" s="101">
        <v>96.4</v>
      </c>
      <c r="F323" s="211">
        <f t="shared" si="30"/>
        <v>10.995977999999999</v>
      </c>
      <c r="H323" s="215">
        <v>45197</v>
      </c>
      <c r="I323" s="104">
        <v>2074796</v>
      </c>
      <c r="J323" s="104">
        <v>979</v>
      </c>
      <c r="K323" s="104">
        <v>2075775</v>
      </c>
      <c r="L323" s="104">
        <v>99.95</v>
      </c>
      <c r="M323" s="114">
        <f t="shared" si="29"/>
        <v>2.0757750000000001</v>
      </c>
      <c r="O323" s="215">
        <v>45197</v>
      </c>
      <c r="P323" s="104">
        <v>56468540</v>
      </c>
      <c r="Q323" s="104">
        <v>18055985</v>
      </c>
      <c r="R323" s="104">
        <v>74524525</v>
      </c>
      <c r="S323" s="104">
        <v>75.77</v>
      </c>
      <c r="T323" s="212">
        <f t="shared" si="37"/>
        <v>74.524524999999997</v>
      </c>
      <c r="W323" s="215">
        <v>45197</v>
      </c>
      <c r="X323" s="1">
        <v>8217</v>
      </c>
      <c r="Y323" s="104">
        <v>12000</v>
      </c>
      <c r="Z323" s="104">
        <f t="shared" si="35"/>
        <v>68.474999999999994</v>
      </c>
      <c r="AB323" s="215">
        <v>45197</v>
      </c>
      <c r="AC323" s="1">
        <v>996</v>
      </c>
      <c r="AD323" s="104">
        <v>12000</v>
      </c>
      <c r="AE323" s="104">
        <f t="shared" si="36"/>
        <v>8.3000000000000007</v>
      </c>
      <c r="AG323" s="215">
        <v>45197</v>
      </c>
      <c r="AH323" s="1">
        <v>8795</v>
      </c>
      <c r="AI323" s="1">
        <v>12000</v>
      </c>
      <c r="AJ323" s="1">
        <f t="shared" si="32"/>
        <v>73.291666666666671</v>
      </c>
      <c r="AL323" s="140">
        <v>45171</v>
      </c>
      <c r="AM323" t="s">
        <v>192</v>
      </c>
      <c r="AN323">
        <v>23738</v>
      </c>
      <c r="AP323" s="140">
        <v>45171</v>
      </c>
      <c r="AQ323" t="s">
        <v>191</v>
      </c>
      <c r="AR323">
        <v>1178275</v>
      </c>
      <c r="AT323" s="140"/>
    </row>
    <row r="324" spans="1:48" hidden="1" x14ac:dyDescent="0.25">
      <c r="A324" s="113">
        <v>45198</v>
      </c>
      <c r="B324" s="101">
        <v>10674557</v>
      </c>
      <c r="C324" s="101">
        <v>448728</v>
      </c>
      <c r="D324" s="101">
        <v>11123285</v>
      </c>
      <c r="E324" s="101">
        <v>95.97</v>
      </c>
      <c r="F324" s="211">
        <f t="shared" si="30"/>
        <v>11.123284999999999</v>
      </c>
      <c r="H324" s="215">
        <v>45198</v>
      </c>
      <c r="I324" s="104">
        <v>4423126</v>
      </c>
      <c r="J324" s="104">
        <v>153</v>
      </c>
      <c r="K324" s="104">
        <v>4423279</v>
      </c>
      <c r="L324" s="104">
        <v>100</v>
      </c>
      <c r="M324" s="114">
        <f t="shared" si="29"/>
        <v>4.423279</v>
      </c>
      <c r="O324" s="215">
        <v>45198</v>
      </c>
      <c r="P324" s="104">
        <v>63946745</v>
      </c>
      <c r="Q324" s="104">
        <v>19780560</v>
      </c>
      <c r="R324" s="104">
        <v>83727305</v>
      </c>
      <c r="S324" s="104">
        <v>76.38</v>
      </c>
      <c r="T324" s="212">
        <f t="shared" si="37"/>
        <v>83.727305000000001</v>
      </c>
      <c r="W324" s="215">
        <v>45198</v>
      </c>
      <c r="X324" s="1">
        <v>8644</v>
      </c>
      <c r="Y324" s="104">
        <v>12000</v>
      </c>
      <c r="Z324" s="104">
        <f t="shared" si="35"/>
        <v>72.033333333333331</v>
      </c>
      <c r="AB324" s="215">
        <v>45198</v>
      </c>
      <c r="AC324" s="1">
        <v>1060</v>
      </c>
      <c r="AD324" s="104">
        <v>12000</v>
      </c>
      <c r="AE324" s="104">
        <f t="shared" si="36"/>
        <v>8.8333333333333339</v>
      </c>
      <c r="AG324" s="215">
        <v>45198</v>
      </c>
      <c r="AH324" s="1">
        <v>9292</v>
      </c>
      <c r="AI324" s="1">
        <v>12000</v>
      </c>
      <c r="AJ324" s="1">
        <f t="shared" si="32"/>
        <v>77.433333333333337</v>
      </c>
      <c r="AL324" s="140">
        <v>45171</v>
      </c>
      <c r="AM324" t="s">
        <v>197</v>
      </c>
      <c r="AN324">
        <v>13744</v>
      </c>
      <c r="AP324" s="140">
        <v>45171</v>
      </c>
      <c r="AQ324" t="s">
        <v>169</v>
      </c>
      <c r="AR324">
        <v>323760</v>
      </c>
      <c r="AT324" s="140"/>
    </row>
    <row r="325" spans="1:48" hidden="1" x14ac:dyDescent="0.25">
      <c r="A325" s="113">
        <v>45199</v>
      </c>
      <c r="B325" s="101">
        <v>10981321</v>
      </c>
      <c r="C325" s="101">
        <v>438904</v>
      </c>
      <c r="D325" s="101">
        <v>11420225</v>
      </c>
      <c r="E325" s="101">
        <v>96.16</v>
      </c>
      <c r="F325" s="211">
        <f t="shared" si="30"/>
        <v>11.420225</v>
      </c>
      <c r="H325" s="215">
        <v>45199</v>
      </c>
      <c r="I325" s="104">
        <v>4208827</v>
      </c>
      <c r="J325" s="104">
        <v>171</v>
      </c>
      <c r="K325" s="104">
        <v>4208998</v>
      </c>
      <c r="L325" s="104">
        <v>100</v>
      </c>
      <c r="M325" s="114">
        <f t="shared" si="29"/>
        <v>4.2089980000000002</v>
      </c>
      <c r="O325" s="215">
        <v>45199</v>
      </c>
      <c r="P325" s="104">
        <v>61401312</v>
      </c>
      <c r="Q325" s="104">
        <v>17180500</v>
      </c>
      <c r="R325" s="104">
        <v>78581812</v>
      </c>
      <c r="S325" s="104">
        <v>78.14</v>
      </c>
      <c r="T325" s="212">
        <f t="shared" si="37"/>
        <v>78.581811999999999</v>
      </c>
      <c r="W325" s="215">
        <v>45199</v>
      </c>
      <c r="X325" s="1">
        <v>11000</v>
      </c>
      <c r="Y325" s="104">
        <v>12000</v>
      </c>
      <c r="Z325" s="104">
        <f t="shared" si="35"/>
        <v>91.666666666666671</v>
      </c>
      <c r="AB325" s="215">
        <v>45199</v>
      </c>
      <c r="AC325" s="1">
        <v>998</v>
      </c>
      <c r="AD325" s="104">
        <v>12000</v>
      </c>
      <c r="AE325" s="104">
        <f t="shared" si="36"/>
        <v>8.3166666666666664</v>
      </c>
      <c r="AG325" s="215">
        <v>45199</v>
      </c>
      <c r="AH325" s="1">
        <v>11391</v>
      </c>
      <c r="AI325" s="1">
        <v>12000</v>
      </c>
      <c r="AJ325" s="1">
        <f t="shared" si="32"/>
        <v>94.924999999999997</v>
      </c>
      <c r="AL325" s="140">
        <v>45172</v>
      </c>
      <c r="AM325" t="s">
        <v>146</v>
      </c>
      <c r="AN325">
        <v>256652</v>
      </c>
      <c r="AP325" s="140">
        <v>45172</v>
      </c>
      <c r="AQ325" t="s">
        <v>146</v>
      </c>
      <c r="AR325">
        <v>11581827</v>
      </c>
      <c r="AU325" t="s">
        <v>147</v>
      </c>
      <c r="AV325">
        <v>86</v>
      </c>
    </row>
    <row r="326" spans="1:48" hidden="1" x14ac:dyDescent="0.25">
      <c r="A326" s="113">
        <v>45200</v>
      </c>
      <c r="B326" s="101">
        <v>10562753</v>
      </c>
      <c r="C326" s="101">
        <v>362339</v>
      </c>
      <c r="D326" s="101">
        <v>10925092</v>
      </c>
      <c r="E326" s="101">
        <v>96.68</v>
      </c>
      <c r="F326" s="211">
        <f t="shared" si="30"/>
        <v>10.925091999999999</v>
      </c>
      <c r="H326" s="215">
        <v>45200</v>
      </c>
      <c r="I326" s="104">
        <v>904321</v>
      </c>
      <c r="J326" s="104">
        <v>2161</v>
      </c>
      <c r="K326" s="104">
        <v>906482</v>
      </c>
      <c r="L326" s="104">
        <v>99.76</v>
      </c>
      <c r="M326" s="114">
        <f t="shared" si="29"/>
        <v>0.90648200000000001</v>
      </c>
      <c r="O326" s="215">
        <v>45200</v>
      </c>
      <c r="P326" s="104">
        <v>44783652</v>
      </c>
      <c r="Q326" s="104">
        <v>7696925</v>
      </c>
      <c r="R326" s="104">
        <v>52480577</v>
      </c>
      <c r="S326" s="104">
        <v>85.33</v>
      </c>
      <c r="T326" s="212">
        <f t="shared" si="37"/>
        <v>52.480576999999997</v>
      </c>
      <c r="W326" s="215">
        <v>45200</v>
      </c>
      <c r="X326" s="1">
        <v>2644</v>
      </c>
      <c r="Y326" s="104">
        <v>12000</v>
      </c>
      <c r="Z326" s="104">
        <f t="shared" si="35"/>
        <v>22.033333333333335</v>
      </c>
      <c r="AB326" s="215">
        <v>45200</v>
      </c>
      <c r="AC326" s="1">
        <v>1246</v>
      </c>
      <c r="AD326" s="104">
        <v>12000</v>
      </c>
      <c r="AE326" s="104">
        <f t="shared" si="36"/>
        <v>10.383333333333333</v>
      </c>
      <c r="AG326" s="215">
        <v>45200</v>
      </c>
      <c r="AH326" s="1">
        <v>3204</v>
      </c>
      <c r="AI326" s="1">
        <v>12000</v>
      </c>
      <c r="AJ326" s="1">
        <f t="shared" si="32"/>
        <v>26.7</v>
      </c>
      <c r="AL326" s="140">
        <v>45172</v>
      </c>
      <c r="AM326" t="s">
        <v>180</v>
      </c>
      <c r="AN326">
        <v>26898</v>
      </c>
      <c r="AP326" s="140">
        <v>45172</v>
      </c>
      <c r="AQ326" t="s">
        <v>149</v>
      </c>
      <c r="AR326">
        <v>1853235</v>
      </c>
      <c r="AU326" t="s">
        <v>198</v>
      </c>
      <c r="AV326">
        <v>46</v>
      </c>
    </row>
    <row r="327" spans="1:48" hidden="1" x14ac:dyDescent="0.25">
      <c r="A327" s="113">
        <v>45201</v>
      </c>
      <c r="B327" s="101">
        <v>10385794</v>
      </c>
      <c r="C327" s="101">
        <v>309890</v>
      </c>
      <c r="D327" s="101">
        <v>10695684</v>
      </c>
      <c r="E327" s="101">
        <v>97.1</v>
      </c>
      <c r="F327" s="211">
        <f t="shared" si="30"/>
        <v>10.695684</v>
      </c>
      <c r="H327" s="215">
        <v>45201</v>
      </c>
      <c r="I327" s="104">
        <v>3604155</v>
      </c>
      <c r="J327" s="104">
        <v>2263</v>
      </c>
      <c r="K327" s="104">
        <v>3606418</v>
      </c>
      <c r="L327" s="104">
        <v>99.94</v>
      </c>
      <c r="M327" s="114">
        <f t="shared" si="29"/>
        <v>3.6064180000000001</v>
      </c>
      <c r="O327" s="215">
        <v>45201</v>
      </c>
      <c r="P327" s="104">
        <v>63958751</v>
      </c>
      <c r="Q327" s="104">
        <v>19539379</v>
      </c>
      <c r="R327" s="104">
        <v>83498130</v>
      </c>
      <c r="S327" s="104">
        <v>76.599999999999994</v>
      </c>
      <c r="T327" s="212">
        <f t="shared" si="37"/>
        <v>83.498130000000003</v>
      </c>
      <c r="W327" s="215">
        <v>45201</v>
      </c>
      <c r="X327" s="1">
        <v>7434</v>
      </c>
      <c r="Y327" s="104">
        <v>12000</v>
      </c>
      <c r="Z327" s="104">
        <f t="shared" si="35"/>
        <v>61.95</v>
      </c>
      <c r="AB327" s="215">
        <v>45201</v>
      </c>
      <c r="AC327" s="1">
        <v>1097</v>
      </c>
      <c r="AD327" s="104">
        <v>12000</v>
      </c>
      <c r="AE327" s="104">
        <f t="shared" si="36"/>
        <v>9.1416666666666675</v>
      </c>
      <c r="AG327" s="215">
        <v>45201</v>
      </c>
      <c r="AH327" s="1">
        <v>7982</v>
      </c>
      <c r="AI327" s="1">
        <v>12000</v>
      </c>
      <c r="AJ327" s="1">
        <f t="shared" si="32"/>
        <v>66.516666666666666</v>
      </c>
      <c r="AL327" s="140">
        <v>45172</v>
      </c>
      <c r="AM327" t="s">
        <v>148</v>
      </c>
      <c r="AN327">
        <v>25613</v>
      </c>
      <c r="AP327" s="140">
        <v>45172</v>
      </c>
      <c r="AQ327" t="s">
        <v>180</v>
      </c>
      <c r="AR327">
        <v>1254847</v>
      </c>
    </row>
    <row r="328" spans="1:48" hidden="1" x14ac:dyDescent="0.25">
      <c r="A328" s="113">
        <v>45202</v>
      </c>
      <c r="B328" s="101">
        <v>10360337</v>
      </c>
      <c r="C328" s="101">
        <v>488460</v>
      </c>
      <c r="D328" s="101">
        <v>10848797</v>
      </c>
      <c r="E328" s="101">
        <v>95.5</v>
      </c>
      <c r="F328" s="211">
        <f t="shared" si="30"/>
        <v>10.848796999999999</v>
      </c>
      <c r="H328" s="215">
        <v>45202</v>
      </c>
      <c r="I328" s="104">
        <v>4013566</v>
      </c>
      <c r="J328" s="104">
        <v>144</v>
      </c>
      <c r="K328" s="104">
        <v>4013710</v>
      </c>
      <c r="L328" s="104">
        <v>100</v>
      </c>
      <c r="M328" s="114">
        <f t="shared" si="29"/>
        <v>4.0137099999999997</v>
      </c>
      <c r="O328" s="215">
        <v>45202</v>
      </c>
      <c r="P328" s="104">
        <v>67349046</v>
      </c>
      <c r="Q328" s="104">
        <v>23751413</v>
      </c>
      <c r="R328" s="104">
        <v>91100459</v>
      </c>
      <c r="S328" s="104">
        <v>73.930000000000007</v>
      </c>
      <c r="T328" s="212">
        <f t="shared" si="37"/>
        <v>91.100459000000001</v>
      </c>
      <c r="W328" s="215">
        <v>45202</v>
      </c>
      <c r="X328" s="1">
        <v>6739</v>
      </c>
      <c r="Y328" s="104">
        <v>12000</v>
      </c>
      <c r="Z328" s="104">
        <f t="shared" si="35"/>
        <v>56.158333333333331</v>
      </c>
      <c r="AB328" s="215">
        <v>45202</v>
      </c>
      <c r="AC328" s="1">
        <v>1115</v>
      </c>
      <c r="AD328" s="104">
        <v>12000</v>
      </c>
      <c r="AE328" s="104">
        <f t="shared" si="36"/>
        <v>9.2916666666666661</v>
      </c>
      <c r="AG328" s="215">
        <v>45202</v>
      </c>
      <c r="AH328" s="1">
        <v>7356</v>
      </c>
      <c r="AI328" s="104">
        <v>12000</v>
      </c>
      <c r="AJ328" s="1">
        <f t="shared" si="32"/>
        <v>61.3</v>
      </c>
      <c r="AL328" s="140">
        <v>45172</v>
      </c>
      <c r="AM328" t="s">
        <v>149</v>
      </c>
      <c r="AN328">
        <v>20213</v>
      </c>
      <c r="AP328" s="140">
        <v>45172</v>
      </c>
      <c r="AQ328" t="s">
        <v>148</v>
      </c>
      <c r="AR328">
        <v>730676</v>
      </c>
    </row>
    <row r="329" spans="1:48" hidden="1" x14ac:dyDescent="0.25">
      <c r="A329" s="113">
        <v>45203</v>
      </c>
      <c r="B329" s="101">
        <v>10424249</v>
      </c>
      <c r="C329" s="101">
        <v>417228</v>
      </c>
      <c r="D329" s="101">
        <v>10841477</v>
      </c>
      <c r="E329" s="101">
        <v>96.15</v>
      </c>
      <c r="F329" s="211">
        <f t="shared" si="30"/>
        <v>10.841476999999999</v>
      </c>
      <c r="H329" s="215">
        <v>45203</v>
      </c>
      <c r="I329" s="104">
        <v>4951469</v>
      </c>
      <c r="J329" s="104">
        <v>204</v>
      </c>
      <c r="K329" s="104">
        <v>4951673</v>
      </c>
      <c r="L329" s="104">
        <v>100</v>
      </c>
      <c r="M329" s="114">
        <f t="shared" si="29"/>
        <v>4.9516730000000004</v>
      </c>
      <c r="O329" s="215">
        <v>45203</v>
      </c>
      <c r="P329" s="104">
        <v>71408735</v>
      </c>
      <c r="Q329" s="104">
        <v>22365264</v>
      </c>
      <c r="R329" s="104">
        <v>93773999</v>
      </c>
      <c r="S329" s="104">
        <v>76.150000000000006</v>
      </c>
      <c r="T329" s="212">
        <f t="shared" si="37"/>
        <v>93.773999000000003</v>
      </c>
      <c r="W329" s="215">
        <v>45203</v>
      </c>
      <c r="X329" s="1">
        <v>4926</v>
      </c>
      <c r="Y329" s="104">
        <v>12000</v>
      </c>
      <c r="Z329" s="104">
        <f t="shared" si="35"/>
        <v>41.05</v>
      </c>
      <c r="AB329" s="215">
        <v>45203</v>
      </c>
      <c r="AC329" s="1">
        <v>985</v>
      </c>
      <c r="AD329" s="104">
        <v>12000</v>
      </c>
      <c r="AE329" s="104">
        <f t="shared" si="36"/>
        <v>8.2083333333333339</v>
      </c>
      <c r="AG329" s="215">
        <v>45203</v>
      </c>
      <c r="AH329" s="1">
        <v>5463</v>
      </c>
      <c r="AI329" s="104">
        <v>12000</v>
      </c>
      <c r="AJ329" s="1">
        <f t="shared" si="32"/>
        <v>45.524999999999999</v>
      </c>
      <c r="AL329" s="140">
        <v>45172</v>
      </c>
      <c r="AM329" t="s">
        <v>172</v>
      </c>
      <c r="AN329">
        <v>12063</v>
      </c>
      <c r="AP329" s="140">
        <v>45172</v>
      </c>
      <c r="AQ329" t="s">
        <v>153</v>
      </c>
      <c r="AR329">
        <v>124227</v>
      </c>
    </row>
    <row r="330" spans="1:48" hidden="1" x14ac:dyDescent="0.25">
      <c r="A330" s="113">
        <v>45204</v>
      </c>
      <c r="B330" s="101">
        <v>10454359</v>
      </c>
      <c r="C330" s="101">
        <v>404279</v>
      </c>
      <c r="D330" s="101">
        <v>10858638</v>
      </c>
      <c r="E330" s="101">
        <v>96.28</v>
      </c>
      <c r="F330" s="211">
        <f t="shared" si="30"/>
        <v>10.858637999999999</v>
      </c>
      <c r="H330" s="215">
        <v>45204</v>
      </c>
      <c r="I330" s="104">
        <v>4410330</v>
      </c>
      <c r="J330" s="104">
        <v>2170</v>
      </c>
      <c r="K330" s="104">
        <v>4412500</v>
      </c>
      <c r="L330" s="104">
        <v>99.95</v>
      </c>
      <c r="M330" s="114">
        <f t="shared" si="29"/>
        <v>4.4124999999999996</v>
      </c>
      <c r="O330" s="215">
        <v>45204</v>
      </c>
      <c r="P330" s="104">
        <v>75591895</v>
      </c>
      <c r="Q330" s="104">
        <v>24724444</v>
      </c>
      <c r="R330" s="104">
        <v>100316339</v>
      </c>
      <c r="S330" s="104">
        <v>75.349999999999994</v>
      </c>
      <c r="T330" s="212">
        <f t="shared" si="37"/>
        <v>100.316339</v>
      </c>
      <c r="W330" s="215">
        <v>45204</v>
      </c>
      <c r="X330" s="1">
        <v>7978</v>
      </c>
      <c r="Y330" s="104">
        <v>12000</v>
      </c>
      <c r="Z330" s="104">
        <f t="shared" si="35"/>
        <v>66.483333333333334</v>
      </c>
      <c r="AB330" s="215">
        <v>45204</v>
      </c>
      <c r="AC330" s="1">
        <v>1128</v>
      </c>
      <c r="AD330" s="104">
        <v>12000</v>
      </c>
      <c r="AE330" s="104">
        <f t="shared" si="36"/>
        <v>9.4</v>
      </c>
      <c r="AG330" s="215">
        <v>45204</v>
      </c>
      <c r="AH330" s="1">
        <v>8562</v>
      </c>
      <c r="AI330" s="104">
        <v>12000</v>
      </c>
      <c r="AJ330" s="1">
        <f t="shared" si="32"/>
        <v>71.349999999999994</v>
      </c>
      <c r="AL330" s="140">
        <v>45173</v>
      </c>
      <c r="AM330" t="s">
        <v>146</v>
      </c>
      <c r="AN330">
        <v>203058</v>
      </c>
      <c r="AP330" s="140">
        <v>45173</v>
      </c>
      <c r="AQ330" t="s">
        <v>146</v>
      </c>
      <c r="AR330">
        <v>17089304</v>
      </c>
    </row>
    <row r="331" spans="1:48" hidden="1" x14ac:dyDescent="0.25">
      <c r="A331" s="113">
        <v>45205</v>
      </c>
      <c r="B331" s="101">
        <v>10309781</v>
      </c>
      <c r="C331" s="101">
        <v>37146</v>
      </c>
      <c r="D331" s="101">
        <v>10346927</v>
      </c>
      <c r="E331" s="101">
        <v>99.64</v>
      </c>
      <c r="F331" s="211">
        <f t="shared" si="30"/>
        <v>10.346927000000001</v>
      </c>
      <c r="H331" s="215">
        <v>45205</v>
      </c>
      <c r="I331" s="104">
        <v>599403</v>
      </c>
      <c r="J331" s="104">
        <v>117296</v>
      </c>
      <c r="K331" s="104">
        <v>716699</v>
      </c>
      <c r="L331" s="48">
        <v>83.63</v>
      </c>
      <c r="M331" s="114">
        <f t="shared" si="29"/>
        <v>0.71669899999999997</v>
      </c>
      <c r="O331" s="215">
        <v>45205</v>
      </c>
      <c r="P331" s="104">
        <v>71683720</v>
      </c>
      <c r="Q331" s="104">
        <v>26271570</v>
      </c>
      <c r="R331" s="104">
        <v>97955290</v>
      </c>
      <c r="S331" s="104">
        <v>73.180000000000007</v>
      </c>
      <c r="T331" s="212">
        <f t="shared" si="37"/>
        <v>97.955290000000005</v>
      </c>
      <c r="W331" s="215">
        <v>45205</v>
      </c>
      <c r="X331" s="1">
        <v>11000</v>
      </c>
      <c r="Y331" s="104">
        <v>12000</v>
      </c>
      <c r="Z331" s="104">
        <f t="shared" si="35"/>
        <v>91.666666666666671</v>
      </c>
      <c r="AB331" s="215">
        <v>45205</v>
      </c>
      <c r="AC331" s="1">
        <v>9000</v>
      </c>
      <c r="AD331" s="104">
        <v>12000</v>
      </c>
      <c r="AE331" s="104">
        <f t="shared" si="36"/>
        <v>75</v>
      </c>
      <c r="AG331" s="215">
        <v>45205</v>
      </c>
      <c r="AH331" s="1">
        <v>11657</v>
      </c>
      <c r="AI331" s="104">
        <v>12000</v>
      </c>
      <c r="AJ331" s="1">
        <f t="shared" si="32"/>
        <v>97.141666666666666</v>
      </c>
      <c r="AL331" s="140">
        <v>45173</v>
      </c>
      <c r="AM331" t="s">
        <v>148</v>
      </c>
      <c r="AN331">
        <v>35232</v>
      </c>
      <c r="AP331" s="140">
        <v>45173</v>
      </c>
      <c r="AQ331" t="s">
        <v>149</v>
      </c>
      <c r="AR331">
        <v>2369953</v>
      </c>
    </row>
    <row r="332" spans="1:48" hidden="1" x14ac:dyDescent="0.25">
      <c r="A332" s="113">
        <v>45206</v>
      </c>
      <c r="B332">
        <v>11062636</v>
      </c>
      <c r="C332">
        <v>352368</v>
      </c>
      <c r="D332">
        <v>11415004</v>
      </c>
      <c r="E332">
        <v>96.91</v>
      </c>
      <c r="F332" s="211">
        <f t="shared" si="30"/>
        <v>11.415004</v>
      </c>
      <c r="H332" s="215">
        <v>45206</v>
      </c>
      <c r="I332" s="48">
        <v>621716</v>
      </c>
      <c r="J332" s="48">
        <v>506154</v>
      </c>
      <c r="K332" s="48">
        <v>1127870</v>
      </c>
      <c r="L332" s="48">
        <v>55.12</v>
      </c>
      <c r="M332" s="114">
        <f t="shared" si="29"/>
        <v>1.1278699999999999</v>
      </c>
      <c r="O332" s="215">
        <v>45206</v>
      </c>
      <c r="P332" s="48">
        <v>74292357</v>
      </c>
      <c r="Q332" s="48">
        <v>30069225</v>
      </c>
      <c r="R332" s="48">
        <v>104361582</v>
      </c>
      <c r="S332" s="48">
        <v>71.180000000000007</v>
      </c>
      <c r="T332" s="212">
        <f t="shared" si="37"/>
        <v>104.361582</v>
      </c>
      <c r="W332" s="215">
        <v>45206</v>
      </c>
      <c r="X332" s="1">
        <v>11000</v>
      </c>
      <c r="Y332" s="104">
        <v>12000</v>
      </c>
      <c r="Z332" s="104">
        <f t="shared" si="35"/>
        <v>91.666666666666671</v>
      </c>
      <c r="AB332" s="215">
        <v>45206</v>
      </c>
      <c r="AC332" s="1">
        <v>1243</v>
      </c>
      <c r="AD332" s="104">
        <v>12000</v>
      </c>
      <c r="AE332" s="104">
        <f t="shared" si="36"/>
        <v>10.358333333333333</v>
      </c>
      <c r="AG332" s="215">
        <v>45206</v>
      </c>
      <c r="AH332" s="1">
        <v>11658</v>
      </c>
      <c r="AI332" s="104">
        <v>12000</v>
      </c>
      <c r="AJ332" s="1">
        <f t="shared" si="32"/>
        <v>97.15</v>
      </c>
      <c r="AL332" s="140">
        <v>45173</v>
      </c>
      <c r="AM332" t="s">
        <v>180</v>
      </c>
      <c r="AN332">
        <v>14289</v>
      </c>
      <c r="AP332" s="140">
        <v>45173</v>
      </c>
      <c r="AQ332" t="s">
        <v>180</v>
      </c>
      <c r="AR332">
        <v>1445498</v>
      </c>
      <c r="AU332" t="s">
        <v>198</v>
      </c>
      <c r="AV332">
        <v>339</v>
      </c>
    </row>
    <row r="333" spans="1:48" hidden="1" x14ac:dyDescent="0.25">
      <c r="A333" s="113">
        <v>45207</v>
      </c>
      <c r="B333">
        <v>11266101</v>
      </c>
      <c r="C333">
        <v>383236</v>
      </c>
      <c r="D333">
        <v>11649337</v>
      </c>
      <c r="E333">
        <v>96.71</v>
      </c>
      <c r="F333" s="211">
        <f t="shared" si="30"/>
        <v>11.649336999999999</v>
      </c>
      <c r="H333" s="215">
        <v>45207</v>
      </c>
      <c r="I333" s="48">
        <v>1717028</v>
      </c>
      <c r="J333" s="48">
        <v>371257</v>
      </c>
      <c r="K333" s="48">
        <v>2088285</v>
      </c>
      <c r="L333" s="48">
        <v>82.22</v>
      </c>
      <c r="M333" s="114">
        <f t="shared" ref="M333:M400" si="38">K333/1000000</f>
        <v>2.0882849999999999</v>
      </c>
      <c r="O333" s="215">
        <v>45207</v>
      </c>
      <c r="P333" s="48">
        <v>59769015</v>
      </c>
      <c r="Q333" s="48">
        <v>21534112</v>
      </c>
      <c r="R333" s="48">
        <v>81303127</v>
      </c>
      <c r="S333" s="48">
        <v>73.510000000000005</v>
      </c>
      <c r="T333" s="212">
        <f t="shared" si="37"/>
        <v>81.303127000000003</v>
      </c>
      <c r="W333" s="215">
        <v>45207</v>
      </c>
      <c r="X333" s="1">
        <v>5736</v>
      </c>
      <c r="Y333" s="104">
        <v>12000</v>
      </c>
      <c r="Z333" s="104">
        <f t="shared" si="35"/>
        <v>47.8</v>
      </c>
      <c r="AB333" s="215">
        <v>45207</v>
      </c>
      <c r="AC333" s="1">
        <v>1468</v>
      </c>
      <c r="AD333" s="104">
        <v>12000</v>
      </c>
      <c r="AE333" s="104">
        <f t="shared" si="36"/>
        <v>12.233333333333333</v>
      </c>
      <c r="AG333" s="215">
        <v>45207</v>
      </c>
      <c r="AH333" s="1">
        <v>6322</v>
      </c>
      <c r="AI333" s="104">
        <v>12000</v>
      </c>
      <c r="AJ333" s="1">
        <f t="shared" si="32"/>
        <v>52.68333333333333</v>
      </c>
      <c r="AL333" s="140">
        <v>45173</v>
      </c>
      <c r="AM333" t="s">
        <v>149</v>
      </c>
      <c r="AN333">
        <v>13846</v>
      </c>
      <c r="AP333" s="140">
        <v>45173</v>
      </c>
      <c r="AQ333" t="s">
        <v>148</v>
      </c>
      <c r="AR333">
        <v>972412</v>
      </c>
      <c r="AU333" t="s">
        <v>147</v>
      </c>
      <c r="AV333">
        <v>96</v>
      </c>
    </row>
    <row r="334" spans="1:48" hidden="1" x14ac:dyDescent="0.25">
      <c r="A334" s="113">
        <v>45208</v>
      </c>
      <c r="B334">
        <v>10536850</v>
      </c>
      <c r="C334" s="220">
        <v>325468</v>
      </c>
      <c r="D334">
        <v>10862318</v>
      </c>
      <c r="E334">
        <v>97</v>
      </c>
      <c r="F334" s="211">
        <f t="shared" si="30"/>
        <v>10.862318</v>
      </c>
      <c r="H334" s="215">
        <v>45208</v>
      </c>
      <c r="I334" s="48">
        <v>1967705</v>
      </c>
      <c r="J334" s="48">
        <v>12679</v>
      </c>
      <c r="K334" s="48">
        <v>1980384</v>
      </c>
      <c r="L334" s="48">
        <v>99.36</v>
      </c>
      <c r="M334" s="114">
        <f t="shared" si="38"/>
        <v>1.9803839999999999</v>
      </c>
      <c r="O334" s="215">
        <v>45208</v>
      </c>
      <c r="P334" s="48">
        <v>76140997</v>
      </c>
      <c r="Q334" s="48">
        <v>31390328</v>
      </c>
      <c r="R334" s="48">
        <v>107531325</v>
      </c>
      <c r="S334" s="48">
        <v>70.8</v>
      </c>
      <c r="T334" s="212">
        <f t="shared" si="37"/>
        <v>107.531325</v>
      </c>
      <c r="W334" s="215">
        <v>45208</v>
      </c>
      <c r="X334" s="1">
        <v>11000</v>
      </c>
      <c r="Y334" s="104">
        <v>12000</v>
      </c>
      <c r="Z334" s="104">
        <f t="shared" si="35"/>
        <v>91.666666666666671</v>
      </c>
      <c r="AB334" s="215">
        <v>45208</v>
      </c>
      <c r="AC334" s="1">
        <v>1147</v>
      </c>
      <c r="AD334" s="104">
        <v>12000</v>
      </c>
      <c r="AE334" s="104">
        <f t="shared" si="36"/>
        <v>9.5583333333333336</v>
      </c>
      <c r="AG334" s="215">
        <v>45208</v>
      </c>
      <c r="AH334" s="1">
        <v>11596</v>
      </c>
      <c r="AI334" s="104">
        <v>12000</v>
      </c>
      <c r="AJ334" s="1">
        <f t="shared" si="32"/>
        <v>96.63333333333334</v>
      </c>
      <c r="AL334" s="140">
        <v>45173</v>
      </c>
      <c r="AM334" t="s">
        <v>172</v>
      </c>
      <c r="AN334">
        <v>8660</v>
      </c>
      <c r="AP334" s="140">
        <v>45173</v>
      </c>
      <c r="AQ334" t="s">
        <v>152</v>
      </c>
      <c r="AR334">
        <v>167248</v>
      </c>
    </row>
    <row r="335" spans="1:48" hidden="1" x14ac:dyDescent="0.25">
      <c r="A335" s="113">
        <v>45209</v>
      </c>
      <c r="B335">
        <v>10630852</v>
      </c>
      <c r="C335">
        <v>416035</v>
      </c>
      <c r="D335">
        <v>11046887</v>
      </c>
      <c r="E335">
        <v>96.23</v>
      </c>
      <c r="F335" s="211">
        <f t="shared" si="30"/>
        <v>11.046887</v>
      </c>
      <c r="H335" s="215">
        <v>45209</v>
      </c>
      <c r="I335" s="48">
        <v>1560689</v>
      </c>
      <c r="J335" s="48">
        <v>977</v>
      </c>
      <c r="K335" s="48">
        <v>1561666</v>
      </c>
      <c r="L335" s="48">
        <v>99.94</v>
      </c>
      <c r="M335" s="114">
        <f t="shared" si="38"/>
        <v>1.561666</v>
      </c>
      <c r="O335" s="215">
        <v>45209</v>
      </c>
      <c r="P335" s="48">
        <v>76431302</v>
      </c>
      <c r="Q335" s="48">
        <v>34671245</v>
      </c>
      <c r="R335" s="48">
        <v>111102547</v>
      </c>
      <c r="S335" s="48">
        <v>68.790000000000006</v>
      </c>
      <c r="T335" s="212">
        <f t="shared" si="37"/>
        <v>111.102547</v>
      </c>
      <c r="W335" s="215">
        <v>45209</v>
      </c>
      <c r="X335" s="1">
        <v>11000</v>
      </c>
      <c r="Y335" s="104">
        <v>12000</v>
      </c>
      <c r="Z335" s="104">
        <f t="shared" si="35"/>
        <v>91.666666666666671</v>
      </c>
      <c r="AB335" s="215">
        <v>45209</v>
      </c>
      <c r="AC335" s="1">
        <v>1266</v>
      </c>
      <c r="AD335" s="104">
        <v>12000</v>
      </c>
      <c r="AE335" s="104">
        <f t="shared" si="36"/>
        <v>10.55</v>
      </c>
      <c r="AG335" s="215">
        <v>45209</v>
      </c>
      <c r="AH335" s="1">
        <v>11574</v>
      </c>
      <c r="AI335" s="104">
        <v>12000</v>
      </c>
      <c r="AJ335" s="1">
        <f t="shared" si="32"/>
        <v>96.45</v>
      </c>
      <c r="AL335" s="140">
        <v>45174</v>
      </c>
      <c r="AM335" t="s">
        <v>146</v>
      </c>
      <c r="AN335">
        <v>297219</v>
      </c>
      <c r="AP335" s="140">
        <v>45174</v>
      </c>
      <c r="AQ335" t="s">
        <v>146</v>
      </c>
      <c r="AR335">
        <v>18930593</v>
      </c>
    </row>
    <row r="336" spans="1:48" hidden="1" x14ac:dyDescent="0.25">
      <c r="A336" s="113">
        <v>45210</v>
      </c>
      <c r="B336">
        <v>10945037</v>
      </c>
      <c r="C336">
        <v>395234</v>
      </c>
      <c r="D336">
        <v>11340271</v>
      </c>
      <c r="E336">
        <v>96.51</v>
      </c>
      <c r="F336" s="211">
        <f t="shared" si="30"/>
        <v>11.340271</v>
      </c>
      <c r="H336" s="215">
        <v>45210</v>
      </c>
      <c r="I336" s="48">
        <v>2112091</v>
      </c>
      <c r="J336" s="48">
        <v>2653</v>
      </c>
      <c r="K336" s="48">
        <v>2114744</v>
      </c>
      <c r="L336" s="48">
        <v>99.87</v>
      </c>
      <c r="M336" s="114">
        <f t="shared" si="38"/>
        <v>2.114744</v>
      </c>
      <c r="O336" s="215">
        <v>45210</v>
      </c>
      <c r="P336" s="48">
        <v>73013351</v>
      </c>
      <c r="Q336" s="48">
        <v>31828891</v>
      </c>
      <c r="R336" s="48">
        <v>104842242</v>
      </c>
      <c r="S336" s="48">
        <v>69.64</v>
      </c>
      <c r="T336" s="212">
        <f t="shared" si="37"/>
        <v>104.842242</v>
      </c>
      <c r="W336" s="215">
        <v>45210</v>
      </c>
      <c r="X336" s="1">
        <v>11000</v>
      </c>
      <c r="Y336" s="104">
        <v>12000</v>
      </c>
      <c r="Z336" s="104">
        <f t="shared" si="35"/>
        <v>91.666666666666671</v>
      </c>
      <c r="AB336" s="215">
        <v>45210</v>
      </c>
      <c r="AC336" s="1">
        <v>1331</v>
      </c>
      <c r="AD336" s="104">
        <v>12000</v>
      </c>
      <c r="AE336" s="104">
        <f t="shared" si="36"/>
        <v>11.091666666666667</v>
      </c>
      <c r="AG336" s="215">
        <v>45210</v>
      </c>
      <c r="AH336" s="1">
        <v>11724</v>
      </c>
      <c r="AI336" s="104">
        <v>12000</v>
      </c>
      <c r="AJ336" s="1">
        <f t="shared" si="32"/>
        <v>97.7</v>
      </c>
      <c r="AL336" s="140">
        <v>45174</v>
      </c>
      <c r="AM336" t="s">
        <v>172</v>
      </c>
      <c r="AN336">
        <v>51452</v>
      </c>
      <c r="AP336" s="140">
        <v>45174</v>
      </c>
      <c r="AQ336" t="s">
        <v>149</v>
      </c>
      <c r="AR336">
        <v>2835671</v>
      </c>
    </row>
    <row r="337" spans="1:48" hidden="1" x14ac:dyDescent="0.25">
      <c r="A337" s="113">
        <v>45211</v>
      </c>
      <c r="B337">
        <v>10324815</v>
      </c>
      <c r="C337">
        <v>444915</v>
      </c>
      <c r="D337">
        <v>10769730</v>
      </c>
      <c r="E337">
        <v>95.87</v>
      </c>
      <c r="F337" s="211">
        <f t="shared" si="30"/>
        <v>10.769729999999999</v>
      </c>
      <c r="H337" s="215">
        <v>45211</v>
      </c>
      <c r="I337" s="48">
        <v>3423149</v>
      </c>
      <c r="J337" s="48">
        <v>1299</v>
      </c>
      <c r="K337" s="48">
        <v>3424448</v>
      </c>
      <c r="L337" s="48">
        <v>99.96</v>
      </c>
      <c r="M337" s="114">
        <f t="shared" si="38"/>
        <v>3.4244479999999999</v>
      </c>
      <c r="O337" s="215">
        <v>45211</v>
      </c>
      <c r="P337" s="48">
        <v>78752608</v>
      </c>
      <c r="Q337" s="48">
        <v>40877199</v>
      </c>
      <c r="R337" s="48">
        <v>119629807</v>
      </c>
      <c r="S337" s="48">
        <v>65.83</v>
      </c>
      <c r="T337" s="212">
        <f t="shared" si="37"/>
        <v>119.629807</v>
      </c>
      <c r="W337" s="215">
        <v>45211</v>
      </c>
      <c r="X337" s="1">
        <v>11000</v>
      </c>
      <c r="Y337" s="104">
        <v>12000</v>
      </c>
      <c r="Z337" s="104">
        <f t="shared" si="35"/>
        <v>91.666666666666671</v>
      </c>
      <c r="AB337" s="215">
        <v>45211</v>
      </c>
      <c r="AC337" s="1">
        <v>1314</v>
      </c>
      <c r="AD337" s="104">
        <v>12000</v>
      </c>
      <c r="AE337" s="104">
        <f t="shared" si="36"/>
        <v>10.95</v>
      </c>
      <c r="AG337" s="215">
        <v>45211</v>
      </c>
      <c r="AH337" s="1">
        <v>12000</v>
      </c>
      <c r="AI337" s="104">
        <v>12000</v>
      </c>
      <c r="AJ337" s="1">
        <f t="shared" si="32"/>
        <v>100</v>
      </c>
      <c r="AL337" s="140">
        <v>45174</v>
      </c>
      <c r="AM337" t="s">
        <v>180</v>
      </c>
      <c r="AN337">
        <v>42208</v>
      </c>
      <c r="AP337" s="140">
        <v>45174</v>
      </c>
      <c r="AQ337" t="s">
        <v>180</v>
      </c>
      <c r="AR337">
        <v>1461686</v>
      </c>
      <c r="AT337" s="140">
        <v>45174</v>
      </c>
      <c r="AU337" t="s">
        <v>198</v>
      </c>
      <c r="AV337">
        <v>157</v>
      </c>
    </row>
    <row r="338" spans="1:48" hidden="1" x14ac:dyDescent="0.25">
      <c r="A338" s="113">
        <v>45212</v>
      </c>
      <c r="B338">
        <v>11097863</v>
      </c>
      <c r="C338">
        <v>446837</v>
      </c>
      <c r="D338">
        <v>11544700</v>
      </c>
      <c r="E338">
        <v>96.12</v>
      </c>
      <c r="F338" s="211">
        <f t="shared" si="30"/>
        <v>11.544700000000001</v>
      </c>
      <c r="H338" s="215">
        <v>45212</v>
      </c>
      <c r="I338" s="48">
        <v>3075158</v>
      </c>
      <c r="J338" s="48">
        <v>51</v>
      </c>
      <c r="K338" s="48">
        <v>3075209</v>
      </c>
      <c r="L338" s="48">
        <v>99.99</v>
      </c>
      <c r="M338" s="114">
        <f t="shared" si="38"/>
        <v>3.0752090000000001</v>
      </c>
      <c r="O338" s="215">
        <v>45212</v>
      </c>
      <c r="P338" s="48">
        <v>78617099</v>
      </c>
      <c r="Q338" s="48">
        <v>40747265</v>
      </c>
      <c r="R338" s="48">
        <v>119364364</v>
      </c>
      <c r="S338" s="48">
        <v>65.86</v>
      </c>
      <c r="T338" s="212">
        <f t="shared" si="37"/>
        <v>119.36436399999999</v>
      </c>
      <c r="W338" s="215">
        <v>45212</v>
      </c>
      <c r="X338" s="1">
        <v>11000</v>
      </c>
      <c r="Y338" s="104">
        <v>12000</v>
      </c>
      <c r="Z338" s="104">
        <f t="shared" si="35"/>
        <v>91.666666666666671</v>
      </c>
      <c r="AB338" s="215">
        <v>45212</v>
      </c>
      <c r="AC338" s="1">
        <v>1276</v>
      </c>
      <c r="AD338" s="104">
        <v>12000</v>
      </c>
      <c r="AE338" s="104">
        <f t="shared" si="36"/>
        <v>10.633333333333333</v>
      </c>
      <c r="AG338" s="215">
        <v>45212</v>
      </c>
      <c r="AH338" s="1">
        <v>11795</v>
      </c>
      <c r="AI338" s="104">
        <v>12000</v>
      </c>
      <c r="AJ338" s="1">
        <f t="shared" si="32"/>
        <v>98.291666666666671</v>
      </c>
      <c r="AL338" s="140">
        <v>45174</v>
      </c>
      <c r="AM338" t="s">
        <v>148</v>
      </c>
      <c r="AN338">
        <v>30321</v>
      </c>
      <c r="AP338" s="140">
        <v>45174</v>
      </c>
      <c r="AQ338" t="s">
        <v>148</v>
      </c>
      <c r="AR338">
        <v>799068</v>
      </c>
      <c r="AT338" s="140">
        <v>45174</v>
      </c>
      <c r="AU338" t="s">
        <v>147</v>
      </c>
      <c r="AV338">
        <v>18</v>
      </c>
    </row>
    <row r="339" spans="1:48" hidden="1" x14ac:dyDescent="0.25">
      <c r="A339" s="113">
        <v>45213</v>
      </c>
      <c r="B339">
        <v>11279157</v>
      </c>
      <c r="C339">
        <v>423667</v>
      </c>
      <c r="D339">
        <v>11702824</v>
      </c>
      <c r="E339">
        <v>96.37</v>
      </c>
      <c r="F339" s="211">
        <f t="shared" si="30"/>
        <v>11.702824</v>
      </c>
      <c r="H339" s="215">
        <v>45213</v>
      </c>
      <c r="I339" s="48">
        <v>2704215</v>
      </c>
      <c r="J339" s="48">
        <v>54</v>
      </c>
      <c r="K339" s="48">
        <v>2704269</v>
      </c>
      <c r="L339" s="48">
        <v>99.99</v>
      </c>
      <c r="M339" s="114">
        <f t="shared" si="38"/>
        <v>2.704269</v>
      </c>
      <c r="O339" s="215">
        <v>45213</v>
      </c>
      <c r="P339" s="48">
        <v>76190642</v>
      </c>
      <c r="Q339" s="48">
        <v>36590490</v>
      </c>
      <c r="R339" s="48">
        <v>112781132</v>
      </c>
      <c r="S339" s="48">
        <v>67.55</v>
      </c>
      <c r="T339" s="212">
        <f t="shared" si="37"/>
        <v>112.781132</v>
      </c>
      <c r="W339" s="215">
        <v>45213</v>
      </c>
      <c r="X339" s="1">
        <v>11000</v>
      </c>
      <c r="Y339" s="104">
        <v>12000</v>
      </c>
      <c r="Z339" s="104">
        <f t="shared" si="35"/>
        <v>91.666666666666671</v>
      </c>
      <c r="AB339" s="215">
        <v>45213</v>
      </c>
      <c r="AC339" s="1">
        <v>1006</v>
      </c>
      <c r="AD339" s="104">
        <v>12000</v>
      </c>
      <c r="AE339" s="104">
        <f t="shared" si="36"/>
        <v>8.3833333333333329</v>
      </c>
      <c r="AG339" s="215">
        <v>45213</v>
      </c>
      <c r="AH339" s="1">
        <v>11642</v>
      </c>
      <c r="AI339" s="104">
        <v>12000</v>
      </c>
      <c r="AJ339" s="1">
        <f t="shared" si="32"/>
        <v>97.016666666666666</v>
      </c>
      <c r="AL339" s="140">
        <v>45174</v>
      </c>
      <c r="AM339" t="s">
        <v>149</v>
      </c>
      <c r="AN339">
        <v>21108</v>
      </c>
      <c r="AP339" s="140">
        <v>45174</v>
      </c>
      <c r="AQ339" t="s">
        <v>169</v>
      </c>
      <c r="AR339">
        <v>273842</v>
      </c>
    </row>
    <row r="340" spans="1:48" hidden="1" x14ac:dyDescent="0.25">
      <c r="A340" s="113">
        <v>45214</v>
      </c>
      <c r="B340">
        <v>10946278</v>
      </c>
      <c r="C340">
        <v>385099</v>
      </c>
      <c r="D340">
        <v>11331377</v>
      </c>
      <c r="E340">
        <v>96.6</v>
      </c>
      <c r="F340" s="211">
        <f t="shared" si="30"/>
        <v>11.331377</v>
      </c>
      <c r="H340" s="215">
        <v>45214</v>
      </c>
      <c r="I340" s="48">
        <v>2181901</v>
      </c>
      <c r="J340" s="48">
        <v>83</v>
      </c>
      <c r="K340" s="48">
        <v>2181984</v>
      </c>
      <c r="L340" s="48">
        <v>99.99</v>
      </c>
      <c r="M340" s="114">
        <f t="shared" si="38"/>
        <v>2.1819839999999999</v>
      </c>
      <c r="O340" s="215">
        <v>45214</v>
      </c>
      <c r="P340" s="48">
        <v>58750542</v>
      </c>
      <c r="Q340" s="48">
        <v>26919011</v>
      </c>
      <c r="R340" s="48">
        <v>85669553</v>
      </c>
      <c r="S340" s="48">
        <v>68.569999999999993</v>
      </c>
      <c r="T340" s="212">
        <f t="shared" si="37"/>
        <v>85.669552999999993</v>
      </c>
      <c r="W340" s="215">
        <v>45214</v>
      </c>
      <c r="X340" s="1">
        <v>5710</v>
      </c>
      <c r="Y340" s="104">
        <v>12000</v>
      </c>
      <c r="Z340" s="104">
        <f t="shared" si="35"/>
        <v>47.583333333333336</v>
      </c>
      <c r="AB340" s="215">
        <v>45214</v>
      </c>
      <c r="AC340" s="1">
        <v>1080</v>
      </c>
      <c r="AD340" s="104">
        <v>12000</v>
      </c>
      <c r="AE340" s="104">
        <f t="shared" si="36"/>
        <v>9</v>
      </c>
      <c r="AG340" s="215">
        <v>45214</v>
      </c>
      <c r="AH340" s="1">
        <v>6422</v>
      </c>
      <c r="AI340" s="104">
        <v>12000</v>
      </c>
      <c r="AJ340" s="1">
        <f t="shared" si="32"/>
        <v>53.516666666666666</v>
      </c>
      <c r="AL340" s="140">
        <v>45175</v>
      </c>
      <c r="AM340" t="s">
        <v>146</v>
      </c>
      <c r="AN340">
        <v>305796</v>
      </c>
      <c r="AP340" s="140">
        <v>45175</v>
      </c>
      <c r="AQ340" t="s">
        <v>146</v>
      </c>
      <c r="AR340">
        <v>22562843</v>
      </c>
    </row>
    <row r="341" spans="1:48" hidden="1" x14ac:dyDescent="0.25">
      <c r="A341" s="113">
        <v>45215</v>
      </c>
      <c r="B341">
        <v>10611402</v>
      </c>
      <c r="C341">
        <v>275831</v>
      </c>
      <c r="D341">
        <v>10887233</v>
      </c>
      <c r="E341">
        <v>97.46</v>
      </c>
      <c r="F341" s="211">
        <f t="shared" ref="F341:F411" si="39">D341/1000000</f>
        <v>10.887233</v>
      </c>
      <c r="H341" s="215">
        <v>45215</v>
      </c>
      <c r="I341" s="48">
        <v>3865393</v>
      </c>
      <c r="J341" s="48">
        <v>2507</v>
      </c>
      <c r="K341" s="48">
        <v>3867900</v>
      </c>
      <c r="L341" s="48">
        <v>99.93</v>
      </c>
      <c r="M341" s="114">
        <f t="shared" si="38"/>
        <v>3.8679000000000001</v>
      </c>
      <c r="O341" s="215">
        <v>45215</v>
      </c>
      <c r="P341" s="48">
        <v>78269124</v>
      </c>
      <c r="Q341" s="48">
        <v>39112354</v>
      </c>
      <c r="R341" s="48">
        <v>117381478</v>
      </c>
      <c r="S341" s="48">
        <v>66.67</v>
      </c>
      <c r="T341" s="212">
        <f t="shared" si="37"/>
        <v>117.381478</v>
      </c>
      <c r="W341" s="215">
        <v>45215</v>
      </c>
      <c r="X341" s="1">
        <v>11000</v>
      </c>
      <c r="Y341" s="104">
        <v>12000</v>
      </c>
      <c r="Z341" s="104">
        <f t="shared" si="35"/>
        <v>91.666666666666671</v>
      </c>
      <c r="AB341" s="215">
        <v>45215</v>
      </c>
      <c r="AC341" s="1">
        <v>1124</v>
      </c>
      <c r="AD341" s="104">
        <v>12000</v>
      </c>
      <c r="AE341" s="104">
        <f t="shared" si="36"/>
        <v>9.3666666666666671</v>
      </c>
      <c r="AG341" s="215">
        <v>45215</v>
      </c>
      <c r="AH341" s="1">
        <v>11718</v>
      </c>
      <c r="AI341" s="104">
        <v>12000</v>
      </c>
      <c r="AJ341" s="1">
        <f t="shared" si="32"/>
        <v>97.65</v>
      </c>
      <c r="AL341" s="140">
        <v>45175</v>
      </c>
      <c r="AM341" t="s">
        <v>172</v>
      </c>
      <c r="AN341">
        <v>46026</v>
      </c>
      <c r="AP341" s="140">
        <v>45175</v>
      </c>
      <c r="AQ341" t="s">
        <v>149</v>
      </c>
      <c r="AR341">
        <v>3558159</v>
      </c>
    </row>
    <row r="342" spans="1:48" hidden="1" x14ac:dyDescent="0.25">
      <c r="A342" s="113">
        <v>45216</v>
      </c>
      <c r="B342">
        <v>10353367</v>
      </c>
      <c r="C342">
        <v>406013</v>
      </c>
      <c r="D342">
        <v>10759380</v>
      </c>
      <c r="E342">
        <v>96.22</v>
      </c>
      <c r="F342" s="211">
        <f t="shared" si="39"/>
        <v>10.75938</v>
      </c>
      <c r="H342" s="215">
        <v>45216</v>
      </c>
      <c r="I342" s="48">
        <v>6028458</v>
      </c>
      <c r="J342" s="48">
        <v>800</v>
      </c>
      <c r="K342" s="48">
        <v>6029258</v>
      </c>
      <c r="L342" s="48">
        <v>99.98</v>
      </c>
      <c r="M342" s="114">
        <f t="shared" si="38"/>
        <v>6.0292579999999996</v>
      </c>
      <c r="O342" s="215">
        <v>45216</v>
      </c>
      <c r="P342" s="48">
        <v>85090961</v>
      </c>
      <c r="Q342" s="48">
        <v>42913479</v>
      </c>
      <c r="R342" s="48">
        <v>128004440</v>
      </c>
      <c r="S342" s="48">
        <v>66.47</v>
      </c>
      <c r="T342" s="212">
        <f t="shared" si="37"/>
        <v>128.00443999999999</v>
      </c>
      <c r="W342" s="215">
        <v>45216</v>
      </c>
      <c r="X342" s="1">
        <v>11000</v>
      </c>
      <c r="Y342" s="104">
        <v>12000</v>
      </c>
      <c r="Z342" s="104">
        <f t="shared" si="35"/>
        <v>91.666666666666671</v>
      </c>
      <c r="AB342" s="215">
        <v>45216</v>
      </c>
      <c r="AC342" s="1">
        <v>1189</v>
      </c>
      <c r="AD342" s="104">
        <v>12000</v>
      </c>
      <c r="AE342" s="104">
        <f t="shared" si="36"/>
        <v>9.9083333333333332</v>
      </c>
      <c r="AG342" s="215">
        <v>45216</v>
      </c>
      <c r="AH342" s="1">
        <v>11876</v>
      </c>
      <c r="AI342" s="104">
        <v>12000</v>
      </c>
      <c r="AJ342" s="1">
        <f t="shared" si="32"/>
        <v>98.966666666666669</v>
      </c>
      <c r="AL342" s="140">
        <v>45175</v>
      </c>
      <c r="AM342" t="s">
        <v>180</v>
      </c>
      <c r="AN342">
        <v>42033</v>
      </c>
      <c r="AP342" s="140">
        <v>45175</v>
      </c>
      <c r="AQ342" t="s">
        <v>180</v>
      </c>
      <c r="AR342">
        <v>1436154</v>
      </c>
    </row>
    <row r="343" spans="1:48" hidden="1" x14ac:dyDescent="0.25">
      <c r="A343" s="113">
        <v>45217</v>
      </c>
      <c r="B343">
        <v>10810471</v>
      </c>
      <c r="C343">
        <v>401633</v>
      </c>
      <c r="D343">
        <v>11212104</v>
      </c>
      <c r="E343">
        <v>96.41</v>
      </c>
      <c r="F343" s="211">
        <f t="shared" si="39"/>
        <v>11.212104</v>
      </c>
      <c r="H343" s="215">
        <v>45217</v>
      </c>
      <c r="I343" s="48">
        <v>4081194</v>
      </c>
      <c r="J343" s="48">
        <v>794</v>
      </c>
      <c r="K343" s="48">
        <v>4081988</v>
      </c>
      <c r="L343" s="48">
        <v>99.98</v>
      </c>
      <c r="M343" s="114">
        <f t="shared" si="38"/>
        <v>4.0819879999999999</v>
      </c>
      <c r="O343" s="215">
        <v>45217</v>
      </c>
      <c r="P343" s="48">
        <v>76529910</v>
      </c>
      <c r="Q343" s="48">
        <v>35077032</v>
      </c>
      <c r="R343" s="48">
        <v>111606942</v>
      </c>
      <c r="S343" s="48">
        <v>68.569999999999993</v>
      </c>
      <c r="T343" s="212">
        <f t="shared" si="37"/>
        <v>111.606942</v>
      </c>
      <c r="W343" s="215">
        <v>45217</v>
      </c>
      <c r="X343" s="1">
        <v>11000</v>
      </c>
      <c r="Y343" s="104">
        <v>12000</v>
      </c>
      <c r="Z343" s="104">
        <f t="shared" si="35"/>
        <v>91.666666666666671</v>
      </c>
      <c r="AB343" s="215">
        <v>45217</v>
      </c>
      <c r="AC343" s="1">
        <v>1363</v>
      </c>
      <c r="AD343" s="104">
        <v>12000</v>
      </c>
      <c r="AE343" s="104">
        <f t="shared" si="36"/>
        <v>11.358333333333333</v>
      </c>
      <c r="AG343" s="215">
        <v>45217</v>
      </c>
      <c r="AH343" s="1">
        <v>11549</v>
      </c>
      <c r="AI343" s="104">
        <v>12000</v>
      </c>
      <c r="AJ343" s="1">
        <f t="shared" si="32"/>
        <v>96.24166666666666</v>
      </c>
      <c r="AL343" s="140">
        <v>45175</v>
      </c>
      <c r="AM343" t="s">
        <v>148</v>
      </c>
      <c r="AN343">
        <v>37489</v>
      </c>
      <c r="AP343" s="140">
        <v>45175</v>
      </c>
      <c r="AQ343" t="s">
        <v>148</v>
      </c>
      <c r="AR343">
        <v>868408</v>
      </c>
      <c r="AU343" t="s">
        <v>147</v>
      </c>
      <c r="AV343">
        <v>165</v>
      </c>
    </row>
    <row r="344" spans="1:48" hidden="1" x14ac:dyDescent="0.25">
      <c r="A344" s="113">
        <v>45218</v>
      </c>
      <c r="B344">
        <v>10481320</v>
      </c>
      <c r="C344">
        <v>374608</v>
      </c>
      <c r="D344">
        <v>10855928</v>
      </c>
      <c r="E344">
        <v>96.54</v>
      </c>
      <c r="F344" s="211">
        <f t="shared" si="39"/>
        <v>10.855928</v>
      </c>
      <c r="H344" s="215">
        <v>45218</v>
      </c>
      <c r="I344" s="48">
        <v>2331899</v>
      </c>
      <c r="J344" s="48">
        <v>1942</v>
      </c>
      <c r="K344" s="48">
        <v>2333841</v>
      </c>
      <c r="L344" s="48">
        <v>99.91</v>
      </c>
      <c r="M344" s="114">
        <f t="shared" si="38"/>
        <v>2.3338410000000001</v>
      </c>
      <c r="O344" s="215">
        <v>45218</v>
      </c>
      <c r="P344" s="48">
        <v>73749269</v>
      </c>
      <c r="Q344" s="48">
        <v>39704643</v>
      </c>
      <c r="R344" s="48">
        <v>113453912</v>
      </c>
      <c r="S344" s="48">
        <v>65</v>
      </c>
      <c r="T344" s="212">
        <f t="shared" si="37"/>
        <v>113.453912</v>
      </c>
      <c r="W344" s="215">
        <v>45218</v>
      </c>
      <c r="X344" s="1">
        <v>11000</v>
      </c>
      <c r="Y344" s="104">
        <v>12000</v>
      </c>
      <c r="Z344" s="104">
        <f t="shared" si="35"/>
        <v>91.666666666666671</v>
      </c>
      <c r="AB344" s="215">
        <v>45218</v>
      </c>
      <c r="AC344" s="1">
        <v>1593</v>
      </c>
      <c r="AD344" s="104">
        <v>12000</v>
      </c>
      <c r="AE344" s="104">
        <f t="shared" si="36"/>
        <v>13.275</v>
      </c>
      <c r="AG344" s="215">
        <v>45218</v>
      </c>
      <c r="AH344" s="1">
        <v>11545</v>
      </c>
      <c r="AI344" s="104">
        <v>12000</v>
      </c>
      <c r="AJ344" s="1">
        <f t="shared" si="32"/>
        <v>96.208333333333329</v>
      </c>
      <c r="AL344" s="140">
        <v>45175</v>
      </c>
      <c r="AM344" t="s">
        <v>149</v>
      </c>
      <c r="AN344">
        <v>24391</v>
      </c>
      <c r="AP344" s="140">
        <v>45175</v>
      </c>
      <c r="AQ344" t="s">
        <v>152</v>
      </c>
      <c r="AR344">
        <v>171576</v>
      </c>
      <c r="AU344" t="s">
        <v>155</v>
      </c>
      <c r="AV344">
        <v>11</v>
      </c>
    </row>
    <row r="345" spans="1:48" hidden="1" x14ac:dyDescent="0.25">
      <c r="A345" s="113">
        <v>45219</v>
      </c>
      <c r="B345">
        <v>10920406</v>
      </c>
      <c r="C345">
        <v>357735</v>
      </c>
      <c r="D345">
        <v>11278141</v>
      </c>
      <c r="E345">
        <v>96.82</v>
      </c>
      <c r="F345" s="211">
        <f t="shared" si="39"/>
        <v>11.278141</v>
      </c>
      <c r="H345" s="215">
        <v>45219</v>
      </c>
      <c r="I345" s="48">
        <v>2551375</v>
      </c>
      <c r="J345" s="48">
        <v>13404</v>
      </c>
      <c r="K345" s="48">
        <v>2564779</v>
      </c>
      <c r="L345" s="48">
        <v>99.47</v>
      </c>
      <c r="M345" s="114">
        <f t="shared" si="38"/>
        <v>2.5647790000000001</v>
      </c>
      <c r="O345" s="215">
        <v>45219</v>
      </c>
      <c r="P345" s="48">
        <v>73893013</v>
      </c>
      <c r="Q345" s="48">
        <v>37126093</v>
      </c>
      <c r="R345" s="48">
        <v>111019106</v>
      </c>
      <c r="S345" s="48">
        <v>66.55</v>
      </c>
      <c r="T345" s="212">
        <f t="shared" si="37"/>
        <v>111.01910599999999</v>
      </c>
      <c r="W345" s="215">
        <v>45219</v>
      </c>
      <c r="X345" s="1">
        <v>9925</v>
      </c>
      <c r="Y345" s="104">
        <v>12000</v>
      </c>
      <c r="Z345" s="104">
        <f t="shared" si="35"/>
        <v>82.708333333333329</v>
      </c>
      <c r="AB345" s="215">
        <v>45219</v>
      </c>
      <c r="AC345" s="1">
        <v>2075</v>
      </c>
      <c r="AD345" s="104">
        <v>12000</v>
      </c>
      <c r="AE345" s="104">
        <f t="shared" si="36"/>
        <v>17.291666666666668</v>
      </c>
      <c r="AG345" s="215">
        <v>45219</v>
      </c>
      <c r="AH345" s="1">
        <v>12000</v>
      </c>
      <c r="AI345" s="104">
        <v>12000</v>
      </c>
      <c r="AJ345" s="1">
        <f t="shared" si="32"/>
        <v>100</v>
      </c>
      <c r="AL345" s="140">
        <v>45176</v>
      </c>
      <c r="AM345" t="s">
        <v>146</v>
      </c>
      <c r="AN345">
        <v>309103</v>
      </c>
      <c r="AP345" s="140">
        <v>45176</v>
      </c>
      <c r="AQ345" t="s">
        <v>146</v>
      </c>
      <c r="AR345">
        <v>16576752</v>
      </c>
    </row>
    <row r="346" spans="1:48" hidden="1" x14ac:dyDescent="0.25">
      <c r="A346" s="113">
        <v>45220</v>
      </c>
      <c r="B346">
        <v>11496940</v>
      </c>
      <c r="C346">
        <v>363693</v>
      </c>
      <c r="D346">
        <v>11860633</v>
      </c>
      <c r="E346">
        <v>96.93</v>
      </c>
      <c r="F346" s="211">
        <f t="shared" si="39"/>
        <v>11.860633</v>
      </c>
      <c r="H346" s="215">
        <v>45220</v>
      </c>
      <c r="I346" s="48">
        <v>2578944</v>
      </c>
      <c r="J346" s="48">
        <v>234</v>
      </c>
      <c r="K346" s="48">
        <v>2579178</v>
      </c>
      <c r="L346" s="48">
        <v>99.99</v>
      </c>
      <c r="M346" s="114">
        <f t="shared" si="38"/>
        <v>2.5791780000000002</v>
      </c>
      <c r="O346" s="215">
        <v>45220</v>
      </c>
      <c r="P346" s="48">
        <v>77101511</v>
      </c>
      <c r="Q346" s="48">
        <v>33120315</v>
      </c>
      <c r="R346" s="48">
        <v>110221826</v>
      </c>
      <c r="S346" s="48">
        <v>69.95</v>
      </c>
      <c r="T346" s="212">
        <f t="shared" si="37"/>
        <v>110.22182599999999</v>
      </c>
      <c r="W346" s="215">
        <v>45220</v>
      </c>
      <c r="X346" s="1">
        <v>11000</v>
      </c>
      <c r="Y346" s="104">
        <v>12000</v>
      </c>
      <c r="Z346" s="104">
        <f t="shared" si="35"/>
        <v>91.666666666666671</v>
      </c>
      <c r="AB346" s="215">
        <v>45220</v>
      </c>
      <c r="AC346" s="1">
        <v>1062</v>
      </c>
      <c r="AD346" s="104">
        <v>12000</v>
      </c>
      <c r="AE346" s="104">
        <f t="shared" si="36"/>
        <v>8.85</v>
      </c>
      <c r="AG346" s="215">
        <v>45220</v>
      </c>
      <c r="AH346" s="1">
        <v>11649</v>
      </c>
      <c r="AI346" s="104">
        <v>12000</v>
      </c>
      <c r="AJ346" s="1">
        <f t="shared" si="32"/>
        <v>97.075000000000003</v>
      </c>
      <c r="AL346" s="140">
        <v>45176</v>
      </c>
      <c r="AM346" t="s">
        <v>172</v>
      </c>
      <c r="AN346">
        <v>47131</v>
      </c>
      <c r="AP346" s="140">
        <v>45176</v>
      </c>
      <c r="AQ346" t="s">
        <v>149</v>
      </c>
      <c r="AR346">
        <v>2593969</v>
      </c>
    </row>
    <row r="347" spans="1:48" hidden="1" x14ac:dyDescent="0.25">
      <c r="A347" s="113">
        <v>45221</v>
      </c>
      <c r="B347">
        <v>11251555</v>
      </c>
      <c r="C347">
        <v>354791</v>
      </c>
      <c r="D347">
        <v>11606346</v>
      </c>
      <c r="E347">
        <v>96.94</v>
      </c>
      <c r="F347" s="211">
        <f t="shared" si="39"/>
        <v>11.606346</v>
      </c>
      <c r="H347" s="215">
        <v>45221</v>
      </c>
      <c r="I347" s="48">
        <v>1883409</v>
      </c>
      <c r="J347" s="48">
        <v>190</v>
      </c>
      <c r="K347" s="48">
        <v>1883599</v>
      </c>
      <c r="L347" s="48">
        <v>99.98</v>
      </c>
      <c r="M347" s="114">
        <f t="shared" si="38"/>
        <v>1.883599</v>
      </c>
      <c r="O347" s="215">
        <v>45221</v>
      </c>
      <c r="P347" s="48">
        <v>52069310</v>
      </c>
      <c r="Q347" s="48">
        <v>18838985</v>
      </c>
      <c r="R347" s="48">
        <v>70908295</v>
      </c>
      <c r="S347" s="48">
        <v>73.430000000000007</v>
      </c>
      <c r="T347" s="212">
        <f t="shared" si="37"/>
        <v>70.908294999999995</v>
      </c>
      <c r="W347" s="215">
        <v>45221</v>
      </c>
      <c r="X347" s="1">
        <v>5450</v>
      </c>
      <c r="Y347" s="104">
        <v>12000</v>
      </c>
      <c r="Z347" s="114">
        <f t="shared" si="35"/>
        <v>45.416666666666664</v>
      </c>
      <c r="AB347" s="215">
        <v>45221</v>
      </c>
      <c r="AC347" s="1">
        <v>977</v>
      </c>
      <c r="AD347" s="104">
        <v>12000</v>
      </c>
      <c r="AE347" s="114">
        <f t="shared" si="36"/>
        <v>8.1416666666666675</v>
      </c>
      <c r="AG347" s="215">
        <v>45221</v>
      </c>
      <c r="AH347" s="1">
        <v>5982</v>
      </c>
      <c r="AI347" s="104">
        <v>12000</v>
      </c>
      <c r="AJ347" s="46">
        <f t="shared" si="32"/>
        <v>49.85</v>
      </c>
      <c r="AL347" s="140">
        <v>45176</v>
      </c>
      <c r="AM347" t="s">
        <v>180</v>
      </c>
      <c r="AN347">
        <v>40455</v>
      </c>
      <c r="AP347" s="140">
        <v>45176</v>
      </c>
      <c r="AQ347" t="s">
        <v>180</v>
      </c>
      <c r="AR347">
        <v>1397383</v>
      </c>
      <c r="AU347" t="s">
        <v>198</v>
      </c>
      <c r="AV347">
        <v>679</v>
      </c>
    </row>
    <row r="348" spans="1:48" hidden="1" x14ac:dyDescent="0.25">
      <c r="A348" s="113">
        <v>45222</v>
      </c>
      <c r="B348">
        <v>10761024</v>
      </c>
      <c r="C348">
        <v>249009</v>
      </c>
      <c r="D348">
        <v>11010033</v>
      </c>
      <c r="E348">
        <v>97.73</v>
      </c>
      <c r="F348" s="211">
        <f t="shared" si="39"/>
        <v>11.010033</v>
      </c>
      <c r="H348" s="215">
        <v>45222</v>
      </c>
      <c r="I348" s="48">
        <v>2792222</v>
      </c>
      <c r="J348" s="48">
        <v>154</v>
      </c>
      <c r="K348" s="48">
        <v>2792376</v>
      </c>
      <c r="L348" s="48">
        <v>99.99</v>
      </c>
      <c r="M348" s="114">
        <f t="shared" si="38"/>
        <v>2.792376</v>
      </c>
      <c r="O348" s="215">
        <v>45222</v>
      </c>
      <c r="P348" s="48">
        <v>73716030</v>
      </c>
      <c r="Q348" s="48">
        <v>30830546</v>
      </c>
      <c r="R348" s="48">
        <v>104546576</v>
      </c>
      <c r="S348" s="48">
        <v>70.510000000000005</v>
      </c>
      <c r="T348" s="212">
        <f t="shared" si="37"/>
        <v>104.546576</v>
      </c>
      <c r="W348" s="215">
        <v>45222</v>
      </c>
      <c r="X348" s="1">
        <v>8848</v>
      </c>
      <c r="Y348" s="104">
        <v>12000</v>
      </c>
      <c r="Z348" s="114">
        <f t="shared" si="35"/>
        <v>73.733333333333334</v>
      </c>
      <c r="AB348" s="215">
        <v>45222</v>
      </c>
      <c r="AC348" s="1">
        <v>1190</v>
      </c>
      <c r="AD348" s="104">
        <v>12000</v>
      </c>
      <c r="AE348" s="114">
        <f t="shared" si="36"/>
        <v>9.9166666666666661</v>
      </c>
      <c r="AG348" s="215">
        <v>45222</v>
      </c>
      <c r="AH348" s="1">
        <v>9423</v>
      </c>
      <c r="AI348" s="104">
        <v>12000</v>
      </c>
      <c r="AJ348" s="46">
        <f t="shared" ref="AJ348:AJ415" si="40">AH348/AI348%</f>
        <v>78.525000000000006</v>
      </c>
      <c r="AL348" s="140">
        <v>45176</v>
      </c>
      <c r="AM348" t="s">
        <v>148</v>
      </c>
      <c r="AN348">
        <v>40256</v>
      </c>
      <c r="AP348" s="140">
        <v>45176</v>
      </c>
      <c r="AQ348" t="s">
        <v>148</v>
      </c>
      <c r="AR348">
        <v>626344</v>
      </c>
      <c r="AU348" t="s">
        <v>147</v>
      </c>
      <c r="AV348">
        <v>122</v>
      </c>
    </row>
    <row r="349" spans="1:48" hidden="1" x14ac:dyDescent="0.25">
      <c r="A349" s="113">
        <v>45223</v>
      </c>
      <c r="B349">
        <v>10556663</v>
      </c>
      <c r="C349">
        <v>349218</v>
      </c>
      <c r="D349">
        <v>10905881</v>
      </c>
      <c r="E349">
        <v>96.8</v>
      </c>
      <c r="F349" s="211">
        <f t="shared" si="39"/>
        <v>10.905881000000001</v>
      </c>
      <c r="H349" s="215">
        <v>45223</v>
      </c>
      <c r="I349" s="48">
        <v>2846542</v>
      </c>
      <c r="J349" s="48">
        <v>379</v>
      </c>
      <c r="K349" s="48">
        <v>2846921</v>
      </c>
      <c r="L349" s="48">
        <v>99.99</v>
      </c>
      <c r="M349" s="114">
        <f t="shared" si="38"/>
        <v>2.846921</v>
      </c>
      <c r="O349" s="215">
        <v>45223</v>
      </c>
      <c r="P349" s="48">
        <v>78047491</v>
      </c>
      <c r="Q349" s="48">
        <v>34175869</v>
      </c>
      <c r="R349" s="48">
        <v>112223360</v>
      </c>
      <c r="S349" s="48">
        <v>69.55</v>
      </c>
      <c r="T349" s="212">
        <f t="shared" si="37"/>
        <v>112.22336</v>
      </c>
      <c r="W349" s="215">
        <v>45223</v>
      </c>
      <c r="X349" s="1">
        <v>11000</v>
      </c>
      <c r="Y349" s="104">
        <v>12000</v>
      </c>
      <c r="Z349" s="114">
        <f>X349/Y349%</f>
        <v>91.666666666666671</v>
      </c>
      <c r="AB349" s="215">
        <v>45223</v>
      </c>
      <c r="AC349" s="1">
        <v>1250</v>
      </c>
      <c r="AD349" s="104">
        <v>12000</v>
      </c>
      <c r="AE349" s="114">
        <f t="shared" si="36"/>
        <v>10.416666666666666</v>
      </c>
      <c r="AG349" s="215">
        <v>45223</v>
      </c>
      <c r="AH349" s="1">
        <v>11596</v>
      </c>
      <c r="AI349" s="104">
        <v>12000</v>
      </c>
      <c r="AJ349" s="46">
        <f t="shared" si="40"/>
        <v>96.63333333333334</v>
      </c>
      <c r="AL349" s="140">
        <v>45176</v>
      </c>
      <c r="AM349" t="s">
        <v>149</v>
      </c>
      <c r="AN349">
        <v>21947</v>
      </c>
      <c r="AP349" s="140">
        <v>45176</v>
      </c>
      <c r="AQ349" t="s">
        <v>169</v>
      </c>
      <c r="AR349">
        <v>297379</v>
      </c>
    </row>
    <row r="350" spans="1:48" hidden="1" x14ac:dyDescent="0.25">
      <c r="A350" s="113">
        <v>45224</v>
      </c>
      <c r="B350">
        <v>10224077</v>
      </c>
      <c r="C350">
        <v>365634</v>
      </c>
      <c r="D350">
        <v>10589711</v>
      </c>
      <c r="E350">
        <v>96.55</v>
      </c>
      <c r="F350" s="211">
        <f t="shared" si="39"/>
        <v>10.589710999999999</v>
      </c>
      <c r="H350" s="215">
        <v>45224</v>
      </c>
      <c r="I350" s="48">
        <v>3052740</v>
      </c>
      <c r="J350" s="48">
        <v>266</v>
      </c>
      <c r="K350" s="48">
        <v>3053006</v>
      </c>
      <c r="L350" s="48">
        <v>99.99</v>
      </c>
      <c r="M350" s="114">
        <f t="shared" si="38"/>
        <v>3.0530059999999999</v>
      </c>
      <c r="O350" s="215">
        <v>45224</v>
      </c>
      <c r="P350" s="48">
        <v>72711431</v>
      </c>
      <c r="Q350" s="48">
        <v>34405761</v>
      </c>
      <c r="R350" s="48">
        <v>107117192</v>
      </c>
      <c r="S350" s="48">
        <v>67.88</v>
      </c>
      <c r="T350" s="212">
        <f t="shared" si="37"/>
        <v>107.117192</v>
      </c>
      <c r="W350" s="215">
        <v>45224</v>
      </c>
      <c r="X350" s="1">
        <v>8299</v>
      </c>
      <c r="Y350" s="104">
        <v>12000</v>
      </c>
      <c r="Z350" s="114">
        <f>X350/Y350%</f>
        <v>69.158333333333331</v>
      </c>
      <c r="AB350" s="215">
        <v>45224</v>
      </c>
      <c r="AC350" s="1">
        <v>1042</v>
      </c>
      <c r="AD350" s="104">
        <v>12000</v>
      </c>
      <c r="AE350" s="114">
        <f t="shared" si="36"/>
        <v>8.6833333333333336</v>
      </c>
      <c r="AG350" s="215">
        <v>45224</v>
      </c>
      <c r="AH350" s="1">
        <v>8896</v>
      </c>
      <c r="AI350" s="104">
        <v>12000</v>
      </c>
      <c r="AJ350" s="46">
        <f t="shared" si="40"/>
        <v>74.13333333333334</v>
      </c>
      <c r="AL350" s="140">
        <v>45178</v>
      </c>
      <c r="AM350" t="s">
        <v>189</v>
      </c>
      <c r="AN350">
        <v>269642</v>
      </c>
      <c r="AP350" s="140">
        <v>45178</v>
      </c>
      <c r="AQ350" t="s">
        <v>189</v>
      </c>
      <c r="AR350">
        <v>14330410</v>
      </c>
      <c r="AT350" s="140">
        <v>45178</v>
      </c>
      <c r="AU350" t="s">
        <v>193</v>
      </c>
      <c r="AV350">
        <v>89</v>
      </c>
    </row>
    <row r="351" spans="1:48" hidden="1" x14ac:dyDescent="0.25">
      <c r="A351" s="113">
        <v>45225</v>
      </c>
      <c r="B351">
        <v>10090441</v>
      </c>
      <c r="C351">
        <v>373861</v>
      </c>
      <c r="D351">
        <v>10464302</v>
      </c>
      <c r="E351">
        <v>96.43</v>
      </c>
      <c r="F351" s="211">
        <f t="shared" si="39"/>
        <v>10.464302</v>
      </c>
      <c r="H351" s="215">
        <v>45225</v>
      </c>
      <c r="I351" s="48">
        <v>1745349</v>
      </c>
      <c r="J351" s="48">
        <v>10832</v>
      </c>
      <c r="K351" s="48">
        <v>1756181</v>
      </c>
      <c r="L351" s="48">
        <v>99.38</v>
      </c>
      <c r="M351" s="114">
        <f t="shared" si="38"/>
        <v>1.756181</v>
      </c>
      <c r="O351" s="215">
        <v>45225</v>
      </c>
      <c r="P351" s="48">
        <v>73745480</v>
      </c>
      <c r="Q351" s="48">
        <v>26615802</v>
      </c>
      <c r="R351" s="48">
        <v>100361282</v>
      </c>
      <c r="S351" s="48">
        <v>73.48</v>
      </c>
      <c r="T351" s="212">
        <f t="shared" si="37"/>
        <v>100.361282</v>
      </c>
      <c r="W351" s="215">
        <v>45225</v>
      </c>
      <c r="X351" s="1">
        <v>11000</v>
      </c>
      <c r="Y351" s="104">
        <v>12000</v>
      </c>
      <c r="Z351" s="114">
        <f>X351/Y351%</f>
        <v>91.666666666666671</v>
      </c>
      <c r="AB351" s="215">
        <v>45225</v>
      </c>
      <c r="AC351" s="1">
        <v>1088</v>
      </c>
      <c r="AD351" s="104">
        <v>12000</v>
      </c>
      <c r="AE351" s="114">
        <f t="shared" si="36"/>
        <v>9.0666666666666664</v>
      </c>
      <c r="AG351" s="215">
        <v>45225</v>
      </c>
      <c r="AH351" s="1">
        <v>11568</v>
      </c>
      <c r="AI351" s="104">
        <v>12000</v>
      </c>
      <c r="AJ351" s="46">
        <f t="shared" si="40"/>
        <v>96.4</v>
      </c>
      <c r="AL351" s="140">
        <v>45178</v>
      </c>
      <c r="AM351" t="s">
        <v>194</v>
      </c>
      <c r="AN351">
        <v>36098</v>
      </c>
      <c r="AP351" s="140">
        <v>45178</v>
      </c>
      <c r="AQ351" t="s">
        <v>192</v>
      </c>
      <c r="AR351">
        <v>1889726</v>
      </c>
      <c r="AT351" s="140">
        <v>45178</v>
      </c>
      <c r="AU351" t="s">
        <v>190</v>
      </c>
      <c r="AV351">
        <v>32</v>
      </c>
    </row>
    <row r="352" spans="1:48" hidden="1" x14ac:dyDescent="0.25">
      <c r="A352" s="113">
        <v>45226</v>
      </c>
      <c r="B352">
        <v>10454218</v>
      </c>
      <c r="C352">
        <v>339324</v>
      </c>
      <c r="D352">
        <v>10793542</v>
      </c>
      <c r="E352">
        <v>96.86</v>
      </c>
      <c r="F352" s="211">
        <f t="shared" si="39"/>
        <v>10.793542</v>
      </c>
      <c r="H352" s="215">
        <v>45226</v>
      </c>
      <c r="I352" s="48">
        <v>1828453</v>
      </c>
      <c r="J352" s="48">
        <v>6194</v>
      </c>
      <c r="K352" s="48">
        <v>1834647</v>
      </c>
      <c r="L352" s="48">
        <v>99.66</v>
      </c>
      <c r="M352" s="114">
        <f t="shared" si="38"/>
        <v>1.8346469999999999</v>
      </c>
      <c r="O352" s="215">
        <v>45226</v>
      </c>
      <c r="P352" s="48">
        <v>76474247</v>
      </c>
      <c r="Q352" s="48">
        <v>39258822</v>
      </c>
      <c r="R352" s="48">
        <v>115733069</v>
      </c>
      <c r="S352" s="48">
        <v>66.08</v>
      </c>
      <c r="T352" s="212">
        <f t="shared" si="37"/>
        <v>115.733069</v>
      </c>
      <c r="W352" s="215">
        <v>45226</v>
      </c>
      <c r="X352" s="1">
        <v>7599</v>
      </c>
      <c r="Y352" s="104">
        <v>12000</v>
      </c>
      <c r="Z352" s="114">
        <f t="shared" ref="Z352:Z385" si="41">X352/Y352%</f>
        <v>63.325000000000003</v>
      </c>
      <c r="AB352" s="215">
        <v>45226</v>
      </c>
      <c r="AC352" s="1">
        <v>1104</v>
      </c>
      <c r="AD352" s="104">
        <v>12000</v>
      </c>
      <c r="AE352" s="114">
        <f t="shared" si="36"/>
        <v>9.1999999999999993</v>
      </c>
      <c r="AG352" s="215">
        <v>45226</v>
      </c>
      <c r="AH352" s="1">
        <v>8278</v>
      </c>
      <c r="AI352" s="104">
        <v>12000</v>
      </c>
      <c r="AJ352" s="46">
        <f t="shared" si="40"/>
        <v>68.983333333333334</v>
      </c>
      <c r="AL352" s="140">
        <v>45178</v>
      </c>
      <c r="AM352" t="s">
        <v>197</v>
      </c>
      <c r="AN352">
        <v>28817</v>
      </c>
      <c r="AP352" s="140">
        <v>45178</v>
      </c>
      <c r="AQ352" t="s">
        <v>194</v>
      </c>
      <c r="AR352">
        <v>1317580</v>
      </c>
      <c r="AT352" s="140"/>
    </row>
    <row r="353" spans="1:48" hidden="1" x14ac:dyDescent="0.25">
      <c r="A353" s="113">
        <v>45227</v>
      </c>
      <c r="B353">
        <v>11150614</v>
      </c>
      <c r="C353">
        <v>355774</v>
      </c>
      <c r="D353">
        <v>11506388</v>
      </c>
      <c r="E353">
        <v>96.91</v>
      </c>
      <c r="F353" s="211">
        <f t="shared" si="39"/>
        <v>11.506387999999999</v>
      </c>
      <c r="H353" s="215">
        <v>45227</v>
      </c>
      <c r="I353" s="48">
        <v>4721582</v>
      </c>
      <c r="J353" s="48">
        <v>423</v>
      </c>
      <c r="K353" s="48">
        <v>4722005</v>
      </c>
      <c r="L353" s="48">
        <v>99.99</v>
      </c>
      <c r="M353" s="114">
        <f t="shared" si="38"/>
        <v>4.7220050000000002</v>
      </c>
      <c r="O353" s="215">
        <v>45227</v>
      </c>
      <c r="P353" s="48">
        <v>88032803</v>
      </c>
      <c r="Q353" s="48">
        <v>41055651</v>
      </c>
      <c r="R353" s="48">
        <v>129088454</v>
      </c>
      <c r="S353" s="48">
        <v>68.2</v>
      </c>
      <c r="T353" s="212">
        <f t="shared" si="37"/>
        <v>129.08845400000001</v>
      </c>
      <c r="W353" s="215">
        <v>45227</v>
      </c>
      <c r="X353" s="1">
        <v>11000</v>
      </c>
      <c r="Y353" s="104">
        <v>12000</v>
      </c>
      <c r="Z353" s="114">
        <f t="shared" si="41"/>
        <v>91.666666666666671</v>
      </c>
      <c r="AB353" s="215">
        <v>45227</v>
      </c>
      <c r="AC353" s="1">
        <v>1299</v>
      </c>
      <c r="AD353" s="104">
        <v>12000</v>
      </c>
      <c r="AE353" s="114">
        <f t="shared" si="36"/>
        <v>10.824999999999999</v>
      </c>
      <c r="AG353" s="215">
        <v>45227</v>
      </c>
      <c r="AH353" s="1">
        <v>12000</v>
      </c>
      <c r="AI353" s="104">
        <v>12000</v>
      </c>
      <c r="AJ353" s="46">
        <f t="shared" si="40"/>
        <v>100</v>
      </c>
      <c r="AL353" s="140">
        <v>45178</v>
      </c>
      <c r="AM353" t="s">
        <v>191</v>
      </c>
      <c r="AN353">
        <v>23394</v>
      </c>
      <c r="AP353" s="140">
        <v>45178</v>
      </c>
      <c r="AQ353" t="s">
        <v>191</v>
      </c>
      <c r="AR353">
        <v>506643</v>
      </c>
      <c r="AT353" s="140"/>
    </row>
    <row r="354" spans="1:48" hidden="1" x14ac:dyDescent="0.25">
      <c r="A354" s="113">
        <v>45228</v>
      </c>
      <c r="B354">
        <v>11001618</v>
      </c>
      <c r="C354">
        <v>350108</v>
      </c>
      <c r="D354">
        <v>11351726</v>
      </c>
      <c r="E354">
        <v>96.92</v>
      </c>
      <c r="F354" s="211">
        <f t="shared" si="39"/>
        <v>11.351725999999999</v>
      </c>
      <c r="H354" s="215">
        <v>45228</v>
      </c>
      <c r="I354" s="48">
        <v>1808655</v>
      </c>
      <c r="J354" s="48">
        <v>213</v>
      </c>
      <c r="K354" s="48">
        <v>1808868</v>
      </c>
      <c r="L354" s="48">
        <v>99.99</v>
      </c>
      <c r="M354" s="114">
        <f t="shared" si="38"/>
        <v>1.8088679999999999</v>
      </c>
      <c r="O354" s="215">
        <v>45228</v>
      </c>
      <c r="P354" s="48">
        <v>61479715</v>
      </c>
      <c r="Q354" s="48">
        <v>24988237</v>
      </c>
      <c r="R354" s="48">
        <v>86467952</v>
      </c>
      <c r="S354" s="48">
        <v>71.099999999999994</v>
      </c>
      <c r="T354" s="212">
        <f t="shared" si="37"/>
        <v>86.467951999999997</v>
      </c>
      <c r="W354" s="215">
        <v>45228</v>
      </c>
      <c r="X354" s="1">
        <v>5747</v>
      </c>
      <c r="Y354" s="104">
        <v>12000</v>
      </c>
      <c r="Z354" s="114">
        <f t="shared" si="41"/>
        <v>47.891666666666666</v>
      </c>
      <c r="AB354" s="215">
        <v>45228</v>
      </c>
      <c r="AC354" s="1">
        <v>1005</v>
      </c>
      <c r="AD354" s="104">
        <v>12000</v>
      </c>
      <c r="AE354" s="114">
        <f t="shared" si="36"/>
        <v>8.375</v>
      </c>
      <c r="AG354" s="215">
        <v>45228</v>
      </c>
      <c r="AH354" s="1">
        <v>6582</v>
      </c>
      <c r="AI354" s="104">
        <v>12000</v>
      </c>
      <c r="AJ354" s="46">
        <f t="shared" si="40"/>
        <v>54.85</v>
      </c>
      <c r="AL354" s="140">
        <v>45178</v>
      </c>
      <c r="AM354" t="s">
        <v>192</v>
      </c>
      <c r="AN354">
        <v>18525</v>
      </c>
      <c r="AP354" s="140">
        <v>45178</v>
      </c>
      <c r="AQ354" t="s">
        <v>169</v>
      </c>
      <c r="AR354">
        <v>236146</v>
      </c>
      <c r="AT354" s="140"/>
    </row>
    <row r="355" spans="1:48" hidden="1" x14ac:dyDescent="0.25">
      <c r="A355" s="113">
        <v>45229</v>
      </c>
      <c r="B355" s="101">
        <v>10311720</v>
      </c>
      <c r="C355" s="101">
        <v>246275</v>
      </c>
      <c r="D355" s="101">
        <v>10557995</v>
      </c>
      <c r="E355" s="101">
        <v>97.67</v>
      </c>
      <c r="F355" s="211">
        <f t="shared" si="39"/>
        <v>10.557995</v>
      </c>
      <c r="H355" s="215">
        <v>45229</v>
      </c>
      <c r="I355" s="104">
        <v>4894751</v>
      </c>
      <c r="J355" s="104">
        <v>2934</v>
      </c>
      <c r="K355" s="104">
        <v>4897685</v>
      </c>
      <c r="L355" s="104">
        <v>99.94</v>
      </c>
      <c r="M355" s="114">
        <f t="shared" si="38"/>
        <v>4.8976850000000001</v>
      </c>
      <c r="O355" s="215">
        <v>45229</v>
      </c>
      <c r="P355" s="104">
        <v>78931899</v>
      </c>
      <c r="Q355" s="104">
        <v>30286991</v>
      </c>
      <c r="R355" s="104">
        <v>109218890</v>
      </c>
      <c r="S355" s="104">
        <v>72.27</v>
      </c>
      <c r="T355" s="212">
        <f t="shared" si="37"/>
        <v>109.21889</v>
      </c>
      <c r="W355" s="215">
        <v>45229</v>
      </c>
      <c r="X355" s="1">
        <v>11000</v>
      </c>
      <c r="Y355" s="104">
        <v>12000</v>
      </c>
      <c r="Z355" s="114">
        <f t="shared" si="41"/>
        <v>91.666666666666671</v>
      </c>
      <c r="AB355" s="215">
        <v>45229</v>
      </c>
      <c r="AC355" s="1">
        <v>1170</v>
      </c>
      <c r="AD355" s="104">
        <v>12000</v>
      </c>
      <c r="AE355" s="114">
        <f t="shared" si="36"/>
        <v>9.75</v>
      </c>
      <c r="AG355" s="215">
        <v>45229</v>
      </c>
      <c r="AH355" s="1">
        <v>11553</v>
      </c>
      <c r="AI355" s="104">
        <v>12000</v>
      </c>
      <c r="AJ355" s="46">
        <f t="shared" si="40"/>
        <v>96.275000000000006</v>
      </c>
      <c r="AL355" s="140">
        <v>45179</v>
      </c>
      <c r="AM355" t="s">
        <v>146</v>
      </c>
      <c r="AN355">
        <v>236174</v>
      </c>
      <c r="AP355" s="140">
        <v>45179</v>
      </c>
      <c r="AQ355" t="s">
        <v>146</v>
      </c>
      <c r="AR355">
        <v>6474305</v>
      </c>
      <c r="AU355" t="s">
        <v>198</v>
      </c>
      <c r="AV355">
        <v>84</v>
      </c>
    </row>
    <row r="356" spans="1:48" hidden="1" x14ac:dyDescent="0.25">
      <c r="A356" s="113">
        <v>45230</v>
      </c>
      <c r="B356" s="101">
        <v>10692324</v>
      </c>
      <c r="C356" s="101">
        <v>341939</v>
      </c>
      <c r="D356" s="101">
        <v>11034263</v>
      </c>
      <c r="E356" s="101">
        <v>96.9</v>
      </c>
      <c r="F356" s="211">
        <f t="shared" si="39"/>
        <v>11.034262999999999</v>
      </c>
      <c r="H356" s="215">
        <v>45230</v>
      </c>
      <c r="I356" s="104">
        <v>4699449</v>
      </c>
      <c r="J356" s="104">
        <v>1174</v>
      </c>
      <c r="K356" s="104">
        <v>4700623</v>
      </c>
      <c r="L356" s="104">
        <v>99.98</v>
      </c>
      <c r="M356" s="114">
        <f t="shared" si="38"/>
        <v>4.7006230000000002</v>
      </c>
      <c r="O356" s="215">
        <v>45230</v>
      </c>
      <c r="P356" s="104">
        <v>88789434</v>
      </c>
      <c r="Q356" s="104">
        <v>37540845</v>
      </c>
      <c r="R356" s="104">
        <v>126330279</v>
      </c>
      <c r="S356" s="104">
        <v>70.28</v>
      </c>
      <c r="T356" s="212">
        <f t="shared" si="37"/>
        <v>126.330279</v>
      </c>
      <c r="W356" s="215">
        <v>45230</v>
      </c>
      <c r="X356" s="1">
        <v>11000</v>
      </c>
      <c r="Y356" s="104">
        <v>12000</v>
      </c>
      <c r="Z356" s="114">
        <f t="shared" si="41"/>
        <v>91.666666666666671</v>
      </c>
      <c r="AB356" s="215">
        <v>45230</v>
      </c>
      <c r="AC356" s="1">
        <v>2183</v>
      </c>
      <c r="AD356" s="104">
        <v>12000</v>
      </c>
      <c r="AE356" s="114">
        <f t="shared" si="36"/>
        <v>18.191666666666666</v>
      </c>
      <c r="AG356" s="215">
        <v>45230</v>
      </c>
      <c r="AH356" s="1">
        <v>12000</v>
      </c>
      <c r="AI356" s="104">
        <v>12000</v>
      </c>
      <c r="AJ356" s="46">
        <f t="shared" si="40"/>
        <v>100</v>
      </c>
      <c r="AL356" s="140">
        <v>45179</v>
      </c>
      <c r="AM356" t="s">
        <v>180</v>
      </c>
      <c r="AN356">
        <v>29489</v>
      </c>
      <c r="AP356" s="140">
        <v>45179</v>
      </c>
      <c r="AQ356" t="s">
        <v>180</v>
      </c>
      <c r="AR356">
        <v>1261117</v>
      </c>
      <c r="AU356" t="s">
        <v>147</v>
      </c>
      <c r="AV356">
        <v>16</v>
      </c>
    </row>
    <row r="357" spans="1:48" hidden="1" x14ac:dyDescent="0.25">
      <c r="A357" s="113">
        <v>45231</v>
      </c>
      <c r="B357" s="101">
        <v>11115427</v>
      </c>
      <c r="C357" s="101">
        <v>352770</v>
      </c>
      <c r="D357" s="101">
        <v>11468197</v>
      </c>
      <c r="E357" s="101">
        <v>96.92</v>
      </c>
      <c r="F357" s="211">
        <f t="shared" si="39"/>
        <v>11.468197</v>
      </c>
      <c r="H357" s="215">
        <v>45231</v>
      </c>
      <c r="I357" s="104">
        <v>2022312</v>
      </c>
      <c r="J357" s="104">
        <v>286</v>
      </c>
      <c r="K357" s="104">
        <v>2022598</v>
      </c>
      <c r="L357" s="104">
        <v>99.99</v>
      </c>
      <c r="M357" s="114">
        <f t="shared" si="38"/>
        <v>2.0225979999999999</v>
      </c>
      <c r="O357" s="215">
        <v>45231</v>
      </c>
      <c r="P357" s="104">
        <v>72175548</v>
      </c>
      <c r="Q357" s="104">
        <v>32149131</v>
      </c>
      <c r="R357" s="104">
        <v>104324679</v>
      </c>
      <c r="S357" s="104">
        <v>69.180000000000007</v>
      </c>
      <c r="T357" s="212">
        <f t="shared" si="37"/>
        <v>104.324679</v>
      </c>
      <c r="W357" s="215">
        <v>45231</v>
      </c>
      <c r="X357" s="1">
        <v>6828</v>
      </c>
      <c r="Y357" s="104">
        <v>12000</v>
      </c>
      <c r="Z357" s="114">
        <f t="shared" si="41"/>
        <v>56.9</v>
      </c>
      <c r="AB357" s="215">
        <v>45231</v>
      </c>
      <c r="AC357" s="1">
        <v>1055</v>
      </c>
      <c r="AD357" s="104">
        <v>12000</v>
      </c>
      <c r="AE357" s="114">
        <f t="shared" si="36"/>
        <v>8.7916666666666661</v>
      </c>
      <c r="AG357" s="215">
        <v>45231</v>
      </c>
      <c r="AH357" s="1">
        <v>7536</v>
      </c>
      <c r="AI357" s="104">
        <v>12000</v>
      </c>
      <c r="AJ357" s="46">
        <f t="shared" si="40"/>
        <v>62.8</v>
      </c>
      <c r="AL357" s="140">
        <v>45179</v>
      </c>
      <c r="AM357" t="s">
        <v>172</v>
      </c>
      <c r="AN357">
        <v>23356</v>
      </c>
      <c r="AP357" s="140">
        <v>45179</v>
      </c>
      <c r="AQ357" t="s">
        <v>149</v>
      </c>
      <c r="AR357">
        <v>1122052</v>
      </c>
    </row>
    <row r="358" spans="1:48" hidden="1" x14ac:dyDescent="0.25">
      <c r="A358" s="113">
        <v>45232</v>
      </c>
      <c r="B358" s="101">
        <v>11289604</v>
      </c>
      <c r="C358" s="101">
        <v>298964</v>
      </c>
      <c r="D358" s="101">
        <v>11588568</v>
      </c>
      <c r="E358" s="101">
        <v>97.42</v>
      </c>
      <c r="F358" s="211">
        <f t="shared" si="39"/>
        <v>11.588568</v>
      </c>
      <c r="H358" s="215">
        <v>45232</v>
      </c>
      <c r="I358" s="104">
        <v>2891641</v>
      </c>
      <c r="J358" s="104">
        <v>295</v>
      </c>
      <c r="K358" s="104">
        <v>2891936</v>
      </c>
      <c r="L358" s="104">
        <v>99.99</v>
      </c>
      <c r="M358" s="114">
        <f t="shared" si="38"/>
        <v>2.8919359999999998</v>
      </c>
      <c r="O358" s="215">
        <v>45232</v>
      </c>
      <c r="P358" s="104">
        <v>83299113</v>
      </c>
      <c r="Q358" s="104">
        <v>36518140</v>
      </c>
      <c r="R358" s="104">
        <v>119817253</v>
      </c>
      <c r="S358" s="104">
        <v>69.52</v>
      </c>
      <c r="T358" s="212">
        <f t="shared" si="37"/>
        <v>119.81725299999999</v>
      </c>
      <c r="W358" s="215">
        <v>45232</v>
      </c>
      <c r="X358" s="1">
        <v>11000</v>
      </c>
      <c r="Y358" s="104">
        <v>12000</v>
      </c>
      <c r="Z358" s="114">
        <f t="shared" si="41"/>
        <v>91.666666666666671</v>
      </c>
      <c r="AB358" s="215">
        <v>45232</v>
      </c>
      <c r="AC358" s="1">
        <v>1138</v>
      </c>
      <c r="AD358" s="104">
        <v>12000</v>
      </c>
      <c r="AE358" s="114">
        <f t="shared" si="36"/>
        <v>9.4833333333333325</v>
      </c>
      <c r="AG358" s="215">
        <v>45232</v>
      </c>
      <c r="AH358" s="1">
        <v>11544</v>
      </c>
      <c r="AI358" s="104">
        <v>12000</v>
      </c>
      <c r="AJ358" s="46">
        <f t="shared" si="40"/>
        <v>96.2</v>
      </c>
      <c r="AL358" s="140">
        <v>45179</v>
      </c>
      <c r="AM358" t="s">
        <v>148</v>
      </c>
      <c r="AN358">
        <v>22529</v>
      </c>
      <c r="AP358" s="140">
        <v>45179</v>
      </c>
      <c r="AQ358" t="s">
        <v>148</v>
      </c>
      <c r="AR358">
        <v>162552</v>
      </c>
    </row>
    <row r="359" spans="1:48" hidden="1" x14ac:dyDescent="0.25">
      <c r="A359" s="113">
        <v>45233</v>
      </c>
      <c r="B359" s="101">
        <v>11442599</v>
      </c>
      <c r="C359" s="101">
        <v>368496</v>
      </c>
      <c r="D359" s="101">
        <v>11811095</v>
      </c>
      <c r="E359" s="101">
        <v>96.88</v>
      </c>
      <c r="F359" s="211">
        <f t="shared" si="39"/>
        <v>11.811095</v>
      </c>
      <c r="H359" s="215">
        <v>45233</v>
      </c>
      <c r="I359" s="104">
        <v>2065540</v>
      </c>
      <c r="J359" s="104">
        <v>274</v>
      </c>
      <c r="K359" s="104">
        <v>2065814</v>
      </c>
      <c r="L359" s="104">
        <v>99.99</v>
      </c>
      <c r="M359" s="114">
        <f t="shared" si="38"/>
        <v>2.065814</v>
      </c>
      <c r="O359" s="215">
        <v>45233</v>
      </c>
      <c r="P359" s="104">
        <v>80499820</v>
      </c>
      <c r="Q359" s="104">
        <v>38517042</v>
      </c>
      <c r="R359" s="104">
        <v>119016862</v>
      </c>
      <c r="S359" s="104">
        <v>67.64</v>
      </c>
      <c r="T359" s="212">
        <f t="shared" si="37"/>
        <v>119.016862</v>
      </c>
      <c r="W359" s="215">
        <v>45233</v>
      </c>
      <c r="X359" s="1">
        <v>11000</v>
      </c>
      <c r="Y359" s="104">
        <v>12000</v>
      </c>
      <c r="Z359" s="114">
        <f t="shared" si="41"/>
        <v>91.666666666666671</v>
      </c>
      <c r="AB359" s="215">
        <v>45233</v>
      </c>
      <c r="AC359" s="1">
        <v>2708</v>
      </c>
      <c r="AD359" s="104">
        <v>12000</v>
      </c>
      <c r="AE359" s="114">
        <f t="shared" si="36"/>
        <v>22.566666666666666</v>
      </c>
      <c r="AG359" s="215">
        <v>45233</v>
      </c>
      <c r="AH359" s="1">
        <v>11911</v>
      </c>
      <c r="AI359" s="104">
        <v>12000</v>
      </c>
      <c r="AJ359" s="46">
        <f t="shared" si="40"/>
        <v>99.25833333333334</v>
      </c>
      <c r="AL359" s="140">
        <v>45179</v>
      </c>
      <c r="AM359" t="s">
        <v>149</v>
      </c>
      <c r="AN359">
        <v>14842</v>
      </c>
      <c r="AP359" s="140">
        <v>45179</v>
      </c>
      <c r="AQ359" t="s">
        <v>152</v>
      </c>
      <c r="AR359">
        <v>110390</v>
      </c>
    </row>
    <row r="360" spans="1:48" hidden="1" x14ac:dyDescent="0.25">
      <c r="A360" s="113">
        <v>45234</v>
      </c>
      <c r="B360" s="101">
        <v>10793245</v>
      </c>
      <c r="C360" s="101">
        <v>392160</v>
      </c>
      <c r="D360" s="101">
        <v>11185405</v>
      </c>
      <c r="E360" s="101">
        <v>96.49</v>
      </c>
      <c r="F360" s="211">
        <f t="shared" si="39"/>
        <v>11.185404999999999</v>
      </c>
      <c r="H360" s="215">
        <v>45234</v>
      </c>
      <c r="I360" s="104">
        <v>1938779</v>
      </c>
      <c r="J360" s="104">
        <v>230</v>
      </c>
      <c r="K360" s="104">
        <v>1939009</v>
      </c>
      <c r="L360" s="104">
        <v>99.99</v>
      </c>
      <c r="M360" s="114">
        <f t="shared" si="38"/>
        <v>1.939009</v>
      </c>
      <c r="O360" s="215">
        <v>45234</v>
      </c>
      <c r="P360" s="104">
        <v>80919963</v>
      </c>
      <c r="Q360" s="104">
        <v>36499479</v>
      </c>
      <c r="R360" s="104">
        <v>117419442</v>
      </c>
      <c r="S360" s="104">
        <v>68.92</v>
      </c>
      <c r="T360" s="212">
        <f t="shared" si="37"/>
        <v>117.419442</v>
      </c>
      <c r="W360" s="215">
        <v>45234</v>
      </c>
      <c r="X360" s="1">
        <v>11000</v>
      </c>
      <c r="Y360" s="104">
        <v>12000</v>
      </c>
      <c r="Z360" s="114">
        <f t="shared" si="41"/>
        <v>91.666666666666671</v>
      </c>
      <c r="AB360" s="215">
        <v>45234</v>
      </c>
      <c r="AC360" s="1">
        <v>2037</v>
      </c>
      <c r="AD360" s="104">
        <v>12000</v>
      </c>
      <c r="AE360" s="114">
        <f t="shared" si="36"/>
        <v>16.975000000000001</v>
      </c>
      <c r="AG360" s="215">
        <v>45234</v>
      </c>
      <c r="AH360" s="1">
        <v>11603</v>
      </c>
      <c r="AI360" s="104">
        <v>12000</v>
      </c>
      <c r="AJ360" s="46">
        <f t="shared" si="40"/>
        <v>96.691666666666663</v>
      </c>
      <c r="AL360" s="140">
        <v>45180</v>
      </c>
      <c r="AM360" t="s">
        <v>146</v>
      </c>
      <c r="AN360">
        <v>205722</v>
      </c>
      <c r="AP360" s="140">
        <v>45180</v>
      </c>
      <c r="AQ360" t="s">
        <v>146</v>
      </c>
      <c r="AR360">
        <v>15555863</v>
      </c>
      <c r="AT360" s="140">
        <v>45180</v>
      </c>
    </row>
    <row r="361" spans="1:48" hidden="1" x14ac:dyDescent="0.25">
      <c r="A361" s="113">
        <v>45235</v>
      </c>
      <c r="B361" s="101">
        <v>10687761</v>
      </c>
      <c r="C361" s="101">
        <v>383029</v>
      </c>
      <c r="D361" s="101">
        <v>11070790</v>
      </c>
      <c r="E361" s="101">
        <v>96.54</v>
      </c>
      <c r="F361" s="211">
        <f t="shared" si="39"/>
        <v>11.070790000000001</v>
      </c>
      <c r="H361" s="215">
        <v>45235</v>
      </c>
      <c r="I361" s="104">
        <v>1730050</v>
      </c>
      <c r="J361" s="104">
        <v>316</v>
      </c>
      <c r="K361" s="104">
        <v>1730366</v>
      </c>
      <c r="L361" s="104">
        <v>99.98</v>
      </c>
      <c r="M361" s="114">
        <f t="shared" si="38"/>
        <v>1.7303660000000001</v>
      </c>
      <c r="O361" s="215">
        <v>45235</v>
      </c>
      <c r="P361" s="104">
        <v>64632057</v>
      </c>
      <c r="Q361" s="104">
        <v>23174556</v>
      </c>
      <c r="R361" s="104">
        <v>87806613</v>
      </c>
      <c r="S361" s="104">
        <v>73.61</v>
      </c>
      <c r="T361" s="212">
        <f t="shared" si="37"/>
        <v>87.806612999999999</v>
      </c>
      <c r="W361" s="215">
        <v>45235</v>
      </c>
      <c r="X361" s="1">
        <v>7324</v>
      </c>
      <c r="Y361" s="104">
        <v>12000</v>
      </c>
      <c r="Z361" s="114">
        <f t="shared" si="41"/>
        <v>61.033333333333331</v>
      </c>
      <c r="AB361" s="215">
        <v>45235</v>
      </c>
      <c r="AC361" s="1">
        <v>1012</v>
      </c>
      <c r="AD361" s="104">
        <v>12000</v>
      </c>
      <c r="AE361" s="114">
        <f t="shared" si="36"/>
        <v>8.4333333333333336</v>
      </c>
      <c r="AG361" s="215">
        <v>45235</v>
      </c>
      <c r="AH361" s="1">
        <v>7821</v>
      </c>
      <c r="AI361" s="104">
        <v>12000</v>
      </c>
      <c r="AJ361" s="46">
        <f t="shared" si="40"/>
        <v>65.174999999999997</v>
      </c>
      <c r="AL361" s="140">
        <v>45180</v>
      </c>
      <c r="AM361" t="s">
        <v>148</v>
      </c>
      <c r="AN361">
        <v>31616</v>
      </c>
      <c r="AP361" s="140">
        <v>45180</v>
      </c>
      <c r="AQ361" t="s">
        <v>149</v>
      </c>
      <c r="AR361">
        <v>2002379</v>
      </c>
      <c r="AT361" s="140">
        <v>45180</v>
      </c>
      <c r="AU361" t="s">
        <v>198</v>
      </c>
      <c r="AV361">
        <v>221</v>
      </c>
    </row>
    <row r="362" spans="1:48" hidden="1" x14ac:dyDescent="0.25">
      <c r="A362" s="113">
        <v>45236</v>
      </c>
      <c r="B362" s="101">
        <v>8644193</v>
      </c>
      <c r="C362" s="101">
        <v>275989</v>
      </c>
      <c r="D362" s="101">
        <v>8920182</v>
      </c>
      <c r="E362" s="101">
        <v>96.91</v>
      </c>
      <c r="F362" s="211">
        <f t="shared" si="39"/>
        <v>8.9201820000000005</v>
      </c>
      <c r="H362" s="215">
        <v>45236</v>
      </c>
      <c r="I362" s="104">
        <v>3251347</v>
      </c>
      <c r="J362" s="104">
        <v>12132</v>
      </c>
      <c r="K362" s="104">
        <v>3263479</v>
      </c>
      <c r="L362" s="104">
        <v>99.63</v>
      </c>
      <c r="M362" s="114">
        <f t="shared" si="38"/>
        <v>3.2634789999999998</v>
      </c>
      <c r="O362" s="215">
        <v>45236</v>
      </c>
      <c r="P362" s="104">
        <v>71510623</v>
      </c>
      <c r="Q362" s="104">
        <v>27032568</v>
      </c>
      <c r="R362" s="104">
        <v>98543191</v>
      </c>
      <c r="S362" s="104">
        <v>72.569999999999993</v>
      </c>
      <c r="T362" s="212">
        <f t="shared" si="37"/>
        <v>98.543190999999993</v>
      </c>
      <c r="W362" s="215">
        <v>45236</v>
      </c>
      <c r="X362" s="1">
        <v>11000</v>
      </c>
      <c r="Y362" s="104">
        <v>12000</v>
      </c>
      <c r="Z362" s="114">
        <f t="shared" si="41"/>
        <v>91.666666666666671</v>
      </c>
      <c r="AB362" s="215">
        <v>45236</v>
      </c>
      <c r="AC362" s="1">
        <v>9000</v>
      </c>
      <c r="AD362" s="104">
        <v>12000</v>
      </c>
      <c r="AE362" s="114">
        <f t="shared" si="36"/>
        <v>75</v>
      </c>
      <c r="AG362" s="215">
        <v>45236</v>
      </c>
      <c r="AH362" s="1">
        <v>11362</v>
      </c>
      <c r="AI362" s="104">
        <v>12000</v>
      </c>
      <c r="AJ362" s="46">
        <f t="shared" si="40"/>
        <v>94.683333333333337</v>
      </c>
      <c r="AL362" s="140">
        <v>45180</v>
      </c>
      <c r="AM362" t="s">
        <v>180</v>
      </c>
      <c r="AN362">
        <v>12726</v>
      </c>
      <c r="AP362" s="140">
        <v>45180</v>
      </c>
      <c r="AQ362" t="s">
        <v>180</v>
      </c>
      <c r="AR362">
        <v>1475417</v>
      </c>
      <c r="AT362" s="140">
        <v>45180</v>
      </c>
      <c r="AU362" t="s">
        <v>147</v>
      </c>
      <c r="AV362">
        <v>154</v>
      </c>
    </row>
    <row r="363" spans="1:48" hidden="1" x14ac:dyDescent="0.25">
      <c r="A363" s="113">
        <v>45237</v>
      </c>
      <c r="B363" s="101">
        <v>10308962</v>
      </c>
      <c r="C363" s="101">
        <v>307287</v>
      </c>
      <c r="D363" s="101">
        <v>10616249</v>
      </c>
      <c r="E363" s="101">
        <v>97.11</v>
      </c>
      <c r="F363" s="211">
        <f t="shared" si="39"/>
        <v>10.616249</v>
      </c>
      <c r="H363" s="215">
        <v>45237</v>
      </c>
      <c r="I363" s="104">
        <v>2845235</v>
      </c>
      <c r="J363" s="104">
        <v>1364</v>
      </c>
      <c r="K363" s="104">
        <v>2846599</v>
      </c>
      <c r="L363" s="104">
        <v>99.95</v>
      </c>
      <c r="M363" s="114">
        <f t="shared" si="38"/>
        <v>2.8465989999999999</v>
      </c>
      <c r="O363" s="215">
        <v>45237</v>
      </c>
      <c r="P363" s="104">
        <v>79390928</v>
      </c>
      <c r="Q363" s="104">
        <v>35377933</v>
      </c>
      <c r="R363" s="104">
        <v>114768861</v>
      </c>
      <c r="S363" s="104">
        <v>69.17</v>
      </c>
      <c r="T363" s="212">
        <f t="shared" si="37"/>
        <v>114.768861</v>
      </c>
      <c r="W363" s="215">
        <v>45237</v>
      </c>
      <c r="X363" s="1">
        <v>11000</v>
      </c>
      <c r="Y363" s="104">
        <v>12000</v>
      </c>
      <c r="Z363" s="114">
        <f t="shared" si="41"/>
        <v>91.666666666666671</v>
      </c>
      <c r="AB363" s="215">
        <v>45237</v>
      </c>
      <c r="AC363" s="1">
        <v>2315</v>
      </c>
      <c r="AD363" s="104">
        <v>12000</v>
      </c>
      <c r="AE363" s="114">
        <f t="shared" si="36"/>
        <v>19.291666666666668</v>
      </c>
      <c r="AG363" s="215">
        <v>45237</v>
      </c>
      <c r="AH363" s="1">
        <v>12000</v>
      </c>
      <c r="AI363" s="104">
        <v>12000</v>
      </c>
      <c r="AJ363" s="46">
        <f t="shared" si="40"/>
        <v>100</v>
      </c>
      <c r="AL363" s="140">
        <v>45180</v>
      </c>
      <c r="AM363" t="s">
        <v>149</v>
      </c>
      <c r="AN363">
        <v>12379</v>
      </c>
      <c r="AP363" s="140">
        <v>45180</v>
      </c>
      <c r="AQ363" t="s">
        <v>148</v>
      </c>
      <c r="AR363">
        <v>591701</v>
      </c>
      <c r="AT363" s="140">
        <v>45180</v>
      </c>
    </row>
    <row r="364" spans="1:48" hidden="1" x14ac:dyDescent="0.25">
      <c r="A364" s="113">
        <v>45238</v>
      </c>
      <c r="B364" s="101">
        <v>10637811</v>
      </c>
      <c r="C364" s="101">
        <v>321267</v>
      </c>
      <c r="D364" s="101">
        <v>10959078</v>
      </c>
      <c r="E364" s="101">
        <v>97.07</v>
      </c>
      <c r="F364" s="211">
        <f t="shared" si="39"/>
        <v>10.959078</v>
      </c>
      <c r="H364" s="215">
        <v>45238</v>
      </c>
      <c r="I364" s="104">
        <v>5579898</v>
      </c>
      <c r="J364" s="104">
        <v>1065</v>
      </c>
      <c r="K364" s="104">
        <v>5580963</v>
      </c>
      <c r="L364" s="104">
        <v>99.98</v>
      </c>
      <c r="M364" s="114">
        <f t="shared" si="38"/>
        <v>5.5809629999999997</v>
      </c>
      <c r="O364" s="215">
        <v>45238</v>
      </c>
      <c r="P364" s="104">
        <v>84845187</v>
      </c>
      <c r="Q364" s="104">
        <v>31534916</v>
      </c>
      <c r="R364" s="104">
        <v>116380103</v>
      </c>
      <c r="S364" s="104">
        <v>72.900000000000006</v>
      </c>
      <c r="T364" s="212">
        <f t="shared" si="37"/>
        <v>116.38010300000001</v>
      </c>
      <c r="W364" s="215">
        <v>45238</v>
      </c>
      <c r="X364" s="1">
        <v>11000</v>
      </c>
      <c r="Y364" s="104">
        <v>12000</v>
      </c>
      <c r="Z364" s="114">
        <f t="shared" si="41"/>
        <v>91.666666666666671</v>
      </c>
      <c r="AB364" s="215">
        <v>45238</v>
      </c>
      <c r="AC364" s="1">
        <v>1405</v>
      </c>
      <c r="AD364" s="104">
        <v>12000</v>
      </c>
      <c r="AE364" s="114">
        <f>AC364/AD364%</f>
        <v>11.708333333333334</v>
      </c>
      <c r="AG364" s="215">
        <v>45238</v>
      </c>
      <c r="AH364" s="1">
        <v>11550</v>
      </c>
      <c r="AI364" s="104">
        <v>12000</v>
      </c>
      <c r="AJ364" s="46">
        <f t="shared" si="40"/>
        <v>96.25</v>
      </c>
      <c r="AL364" s="140">
        <v>45180</v>
      </c>
      <c r="AM364" t="s">
        <v>186</v>
      </c>
      <c r="AN364">
        <v>8197</v>
      </c>
      <c r="AP364" s="140">
        <v>45180</v>
      </c>
      <c r="AQ364" t="s">
        <v>152</v>
      </c>
      <c r="AR364">
        <v>155844</v>
      </c>
      <c r="AT364" s="140">
        <v>45180</v>
      </c>
    </row>
    <row r="365" spans="1:48" hidden="1" x14ac:dyDescent="0.25">
      <c r="A365" s="113">
        <v>45239</v>
      </c>
      <c r="B365" s="101">
        <v>10778712</v>
      </c>
      <c r="C365" s="101">
        <v>317089</v>
      </c>
      <c r="D365" s="101">
        <v>11095801</v>
      </c>
      <c r="E365" s="101">
        <v>97.14</v>
      </c>
      <c r="F365" s="211">
        <f t="shared" si="39"/>
        <v>11.095801</v>
      </c>
      <c r="H365" s="215">
        <v>45239</v>
      </c>
      <c r="I365" s="104">
        <v>3430983</v>
      </c>
      <c r="J365" s="104">
        <v>320</v>
      </c>
      <c r="K365" s="104">
        <v>3431303</v>
      </c>
      <c r="L365" s="104">
        <v>99.99</v>
      </c>
      <c r="M365" s="114">
        <f t="shared" si="38"/>
        <v>3.4313030000000002</v>
      </c>
      <c r="O365" s="215">
        <v>45239</v>
      </c>
      <c r="P365" s="104">
        <v>75438827</v>
      </c>
      <c r="Q365" s="104">
        <v>27993803</v>
      </c>
      <c r="R365" s="104">
        <v>103432630</v>
      </c>
      <c r="S365" s="104">
        <v>72.94</v>
      </c>
      <c r="T365" s="212">
        <f t="shared" si="37"/>
        <v>103.43263</v>
      </c>
      <c r="W365" s="215">
        <v>45239</v>
      </c>
      <c r="X365" s="1">
        <v>11000</v>
      </c>
      <c r="Y365" s="104">
        <v>12000</v>
      </c>
      <c r="Z365" s="114">
        <f t="shared" si="41"/>
        <v>91.666666666666671</v>
      </c>
      <c r="AB365" s="215">
        <v>45239</v>
      </c>
      <c r="AC365" s="1">
        <v>1405</v>
      </c>
      <c r="AD365" s="104">
        <v>12000</v>
      </c>
      <c r="AE365" s="114">
        <f>AC365/AD365%</f>
        <v>11.708333333333334</v>
      </c>
      <c r="AG365" s="215">
        <v>45239</v>
      </c>
      <c r="AH365" s="1">
        <v>12000</v>
      </c>
      <c r="AI365" s="104">
        <v>12000</v>
      </c>
      <c r="AJ365" s="46">
        <f t="shared" si="40"/>
        <v>100</v>
      </c>
      <c r="AL365" s="140">
        <v>45181</v>
      </c>
      <c r="AM365" t="s">
        <v>146</v>
      </c>
      <c r="AN365">
        <v>295114</v>
      </c>
      <c r="AP365" s="140">
        <v>45181</v>
      </c>
      <c r="AQ365" t="s">
        <v>146</v>
      </c>
      <c r="AR365">
        <v>17653931</v>
      </c>
    </row>
    <row r="366" spans="1:48" hidden="1" x14ac:dyDescent="0.25">
      <c r="A366" s="113">
        <v>45240</v>
      </c>
      <c r="B366" s="101">
        <v>10992620</v>
      </c>
      <c r="C366" s="101">
        <v>320176</v>
      </c>
      <c r="D366" s="101">
        <v>11312796</v>
      </c>
      <c r="E366" s="101">
        <v>97.17</v>
      </c>
      <c r="F366" s="211">
        <f t="shared" si="39"/>
        <v>11.312796000000001</v>
      </c>
      <c r="H366" s="215">
        <v>45240</v>
      </c>
      <c r="I366" s="104">
        <v>2144540</v>
      </c>
      <c r="J366" s="104">
        <v>271</v>
      </c>
      <c r="K366" s="104">
        <v>2144811</v>
      </c>
      <c r="L366" s="104">
        <v>99.99</v>
      </c>
      <c r="M366" s="114">
        <f t="shared" si="38"/>
        <v>2.1448109999999998</v>
      </c>
      <c r="O366" s="215">
        <v>45240</v>
      </c>
      <c r="P366" s="104">
        <v>80194093</v>
      </c>
      <c r="Q366" s="104">
        <v>37393982</v>
      </c>
      <c r="R366" s="104">
        <v>117588075</v>
      </c>
      <c r="S366" s="104">
        <v>68.2</v>
      </c>
      <c r="T366" s="212">
        <f t="shared" si="37"/>
        <v>117.588075</v>
      </c>
      <c r="W366" s="215">
        <v>45240</v>
      </c>
      <c r="X366" s="1">
        <v>11000</v>
      </c>
      <c r="Y366" s="104">
        <v>12000</v>
      </c>
      <c r="Z366" s="114">
        <f t="shared" si="41"/>
        <v>91.666666666666671</v>
      </c>
      <c r="AB366" s="215">
        <v>45240</v>
      </c>
      <c r="AC366" s="1">
        <v>1212</v>
      </c>
      <c r="AD366" s="104">
        <v>12000</v>
      </c>
      <c r="AE366" s="114">
        <f t="shared" ref="AE366:AE429" si="42">AC366/AD366%</f>
        <v>10.1</v>
      </c>
      <c r="AG366" s="215">
        <v>45240</v>
      </c>
      <c r="AH366" s="1">
        <v>11634</v>
      </c>
      <c r="AI366" s="104">
        <v>12000</v>
      </c>
      <c r="AJ366" s="46">
        <f t="shared" si="40"/>
        <v>96.95</v>
      </c>
      <c r="AL366" s="140">
        <v>45181</v>
      </c>
      <c r="AM366" t="s">
        <v>148</v>
      </c>
      <c r="AN366">
        <v>38721</v>
      </c>
      <c r="AP366" s="140">
        <v>45181</v>
      </c>
      <c r="AQ366" t="s">
        <v>149</v>
      </c>
      <c r="AR366">
        <v>2887091</v>
      </c>
      <c r="AT366" s="140">
        <v>45181</v>
      </c>
      <c r="AU366" t="s">
        <v>147</v>
      </c>
      <c r="AV366">
        <v>138</v>
      </c>
    </row>
    <row r="367" spans="1:48" hidden="1" x14ac:dyDescent="0.25">
      <c r="A367" s="113">
        <v>45241</v>
      </c>
      <c r="B367" s="101">
        <v>12235077</v>
      </c>
      <c r="C367" s="101">
        <v>338125</v>
      </c>
      <c r="D367" s="101">
        <v>12573202</v>
      </c>
      <c r="E367" s="101">
        <v>97.31</v>
      </c>
      <c r="F367" s="211">
        <f t="shared" si="39"/>
        <v>12.573202</v>
      </c>
      <c r="H367" s="215">
        <v>45241</v>
      </c>
      <c r="I367" s="104">
        <v>3109991</v>
      </c>
      <c r="J367" s="104">
        <v>286</v>
      </c>
      <c r="K367" s="104">
        <v>3110277</v>
      </c>
      <c r="L367" s="104">
        <v>99.99</v>
      </c>
      <c r="M367" s="114">
        <f t="shared" si="38"/>
        <v>3.110277</v>
      </c>
      <c r="O367" s="215">
        <v>45241</v>
      </c>
      <c r="P367" s="104">
        <v>76584689</v>
      </c>
      <c r="Q367" s="104">
        <v>35922509</v>
      </c>
      <c r="R367" s="104">
        <v>112507198</v>
      </c>
      <c r="S367" s="104">
        <v>68.069999999999993</v>
      </c>
      <c r="T367" s="212">
        <f t="shared" si="37"/>
        <v>112.507198</v>
      </c>
      <c r="W367" s="215">
        <v>45241</v>
      </c>
      <c r="X367" s="1">
        <v>11000</v>
      </c>
      <c r="Y367" s="104">
        <v>12000</v>
      </c>
      <c r="Z367" s="114">
        <f t="shared" si="41"/>
        <v>91.666666666666671</v>
      </c>
      <c r="AB367" s="215">
        <v>45241</v>
      </c>
      <c r="AC367" s="1">
        <v>1092</v>
      </c>
      <c r="AD367" s="104">
        <v>12000</v>
      </c>
      <c r="AE367" s="114">
        <f t="shared" si="42"/>
        <v>9.1</v>
      </c>
      <c r="AG367" s="215">
        <v>45241</v>
      </c>
      <c r="AH367" s="1">
        <v>11713</v>
      </c>
      <c r="AI367" s="104">
        <v>12000</v>
      </c>
      <c r="AJ367" s="46">
        <f t="shared" si="40"/>
        <v>97.608333333333334</v>
      </c>
      <c r="AL367" s="140">
        <v>45181</v>
      </c>
      <c r="AM367" t="s">
        <v>180</v>
      </c>
      <c r="AN367">
        <v>30724</v>
      </c>
      <c r="AP367" s="140">
        <v>45181</v>
      </c>
      <c r="AQ367" t="s">
        <v>180</v>
      </c>
      <c r="AR367">
        <v>1369924</v>
      </c>
      <c r="AT367" s="140">
        <v>45181</v>
      </c>
      <c r="AU367" t="s">
        <v>155</v>
      </c>
      <c r="AV367">
        <v>96</v>
      </c>
    </row>
    <row r="368" spans="1:48" hidden="1" x14ac:dyDescent="0.25">
      <c r="A368" s="113">
        <v>45242</v>
      </c>
      <c r="B368" s="101">
        <v>12216019</v>
      </c>
      <c r="C368" s="101">
        <v>339635</v>
      </c>
      <c r="D368" s="101">
        <v>12555654</v>
      </c>
      <c r="E368" s="101">
        <v>97.29</v>
      </c>
      <c r="F368" s="211">
        <f t="shared" si="39"/>
        <v>12.555654000000001</v>
      </c>
      <c r="H368" s="215">
        <v>45242</v>
      </c>
      <c r="I368" s="104">
        <v>1800564</v>
      </c>
      <c r="J368" s="104">
        <v>423</v>
      </c>
      <c r="K368" s="104">
        <v>1800987</v>
      </c>
      <c r="L368" s="104">
        <v>99.98</v>
      </c>
      <c r="M368" s="114">
        <f t="shared" si="38"/>
        <v>1.8009869999999999</v>
      </c>
      <c r="O368" s="215">
        <v>45242</v>
      </c>
      <c r="P368" s="104">
        <v>59030484</v>
      </c>
      <c r="Q368" s="104">
        <v>22824946</v>
      </c>
      <c r="R368" s="104">
        <v>81855430</v>
      </c>
      <c r="S368" s="104">
        <v>72.12</v>
      </c>
      <c r="T368" s="212">
        <f t="shared" ref="T368:T436" si="43">R368/1000000</f>
        <v>81.855429999999998</v>
      </c>
      <c r="W368" s="215">
        <v>45242</v>
      </c>
      <c r="X368" s="1">
        <v>5885</v>
      </c>
      <c r="Y368" s="104">
        <v>12000</v>
      </c>
      <c r="Z368" s="114">
        <f t="shared" si="41"/>
        <v>49.041666666666664</v>
      </c>
      <c r="AB368" s="215">
        <v>45242</v>
      </c>
      <c r="AC368" s="1">
        <v>1052</v>
      </c>
      <c r="AD368" s="104">
        <v>12000</v>
      </c>
      <c r="AE368" s="114">
        <f t="shared" si="42"/>
        <v>8.7666666666666675</v>
      </c>
      <c r="AG368" s="215">
        <v>45242</v>
      </c>
      <c r="AH368" s="1">
        <v>6479</v>
      </c>
      <c r="AI368" s="104">
        <v>12000</v>
      </c>
      <c r="AJ368" s="46">
        <f t="shared" si="40"/>
        <v>53.991666666666667</v>
      </c>
      <c r="AL368" s="140">
        <v>45181</v>
      </c>
      <c r="AM368" t="s">
        <v>149</v>
      </c>
      <c r="AN368">
        <v>19217</v>
      </c>
      <c r="AP368" s="140">
        <v>45181</v>
      </c>
      <c r="AQ368" t="s">
        <v>148</v>
      </c>
      <c r="AR368">
        <v>1263679</v>
      </c>
    </row>
    <row r="369" spans="1:48" hidden="1" x14ac:dyDescent="0.25">
      <c r="A369" s="113">
        <v>45243</v>
      </c>
      <c r="B369" s="101">
        <v>11453886</v>
      </c>
      <c r="C369" s="101">
        <v>252658</v>
      </c>
      <c r="D369" s="101">
        <v>11706544</v>
      </c>
      <c r="E369" s="101">
        <v>97.84</v>
      </c>
      <c r="F369" s="211">
        <f t="shared" si="39"/>
        <v>11.706543999999999</v>
      </c>
      <c r="H369" s="215">
        <v>45243</v>
      </c>
      <c r="I369" s="104">
        <v>3570371</v>
      </c>
      <c r="J369" s="104">
        <v>2215</v>
      </c>
      <c r="K369" s="104">
        <v>3572586</v>
      </c>
      <c r="L369" s="104">
        <v>99.94</v>
      </c>
      <c r="M369" s="114">
        <f t="shared" si="38"/>
        <v>3.5725859999999998</v>
      </c>
      <c r="O369" s="215">
        <v>45243</v>
      </c>
      <c r="P369" s="104">
        <v>76004546</v>
      </c>
      <c r="Q369" s="104">
        <v>34559462</v>
      </c>
      <c r="R369" s="104">
        <v>110564008</v>
      </c>
      <c r="S369" s="104">
        <v>68.739999999999995</v>
      </c>
      <c r="T369" s="212">
        <f t="shared" si="43"/>
        <v>110.564008</v>
      </c>
      <c r="W369" s="215">
        <v>45243</v>
      </c>
      <c r="X369" s="1">
        <v>11000</v>
      </c>
      <c r="Y369" s="104">
        <v>12000</v>
      </c>
      <c r="Z369" s="114">
        <f t="shared" si="41"/>
        <v>91.666666666666671</v>
      </c>
      <c r="AB369" s="215">
        <v>45243</v>
      </c>
      <c r="AC369" s="1">
        <v>2094</v>
      </c>
      <c r="AD369" s="104">
        <v>12000</v>
      </c>
      <c r="AE369" s="114">
        <f t="shared" si="42"/>
        <v>17.45</v>
      </c>
      <c r="AG369" s="215">
        <v>45243</v>
      </c>
      <c r="AH369" s="1">
        <v>12000</v>
      </c>
      <c r="AI369" s="104">
        <v>12000</v>
      </c>
      <c r="AJ369" s="46">
        <f t="shared" si="40"/>
        <v>100</v>
      </c>
      <c r="AL369" s="140">
        <v>45181</v>
      </c>
      <c r="AM369" t="s">
        <v>172</v>
      </c>
      <c r="AN369">
        <v>15738</v>
      </c>
      <c r="AP369" s="140">
        <v>45181</v>
      </c>
      <c r="AQ369" t="s">
        <v>169</v>
      </c>
      <c r="AR369">
        <v>229453</v>
      </c>
    </row>
    <row r="370" spans="1:48" hidden="1" x14ac:dyDescent="0.25">
      <c r="A370" s="113">
        <v>45244</v>
      </c>
      <c r="B370" s="101">
        <v>11790250</v>
      </c>
      <c r="C370" s="101">
        <v>304123</v>
      </c>
      <c r="D370" s="101">
        <v>12094373</v>
      </c>
      <c r="E370" s="101">
        <v>97.49</v>
      </c>
      <c r="F370" s="211">
        <f t="shared" si="39"/>
        <v>12.094372999999999</v>
      </c>
      <c r="H370" s="215">
        <v>45244</v>
      </c>
      <c r="I370" s="104">
        <v>2488192</v>
      </c>
      <c r="J370" s="104">
        <v>1238</v>
      </c>
      <c r="K370" s="104">
        <v>2489430</v>
      </c>
      <c r="L370" s="104">
        <v>99.95</v>
      </c>
      <c r="M370" s="114">
        <f t="shared" si="38"/>
        <v>2.48943</v>
      </c>
      <c r="O370" s="215">
        <v>45244</v>
      </c>
      <c r="P370" s="104" t="e">
        <f>73955088+#REF!</f>
        <v>#REF!</v>
      </c>
      <c r="Q370" s="104" t="e">
        <f>35844055+#REF!</f>
        <v>#REF!</v>
      </c>
      <c r="R370" s="104" t="e">
        <f>109799143+#REF!</f>
        <v>#REF!</v>
      </c>
      <c r="S370" s="114" t="e">
        <f>P370/R370%</f>
        <v>#REF!</v>
      </c>
      <c r="T370" s="212" t="e">
        <f t="shared" si="43"/>
        <v>#REF!</v>
      </c>
      <c r="W370" s="215">
        <v>45244</v>
      </c>
      <c r="X370" s="1">
        <v>8886</v>
      </c>
      <c r="Y370" s="104">
        <v>12000</v>
      </c>
      <c r="Z370" s="114">
        <f t="shared" si="41"/>
        <v>74.05</v>
      </c>
      <c r="AB370" s="215">
        <v>45244</v>
      </c>
      <c r="AC370" s="1">
        <v>1171</v>
      </c>
      <c r="AD370" s="104">
        <v>12000</v>
      </c>
      <c r="AE370" s="114">
        <f t="shared" si="42"/>
        <v>9.7583333333333329</v>
      </c>
      <c r="AG370" s="215">
        <v>45244</v>
      </c>
      <c r="AH370" s="1">
        <v>9402</v>
      </c>
      <c r="AI370" s="104">
        <v>12000</v>
      </c>
      <c r="AJ370" s="46">
        <f t="shared" si="40"/>
        <v>78.349999999999994</v>
      </c>
      <c r="AL370" s="140">
        <v>45182</v>
      </c>
      <c r="AM370" t="s">
        <v>146</v>
      </c>
      <c r="AN370">
        <v>280311</v>
      </c>
      <c r="AP370" s="140">
        <v>45182</v>
      </c>
      <c r="AQ370" t="s">
        <v>146</v>
      </c>
      <c r="AR370">
        <v>15140022</v>
      </c>
    </row>
    <row r="371" spans="1:48" hidden="1" x14ac:dyDescent="0.25">
      <c r="A371" s="113">
        <v>45245</v>
      </c>
      <c r="B371" s="101">
        <v>12551219</v>
      </c>
      <c r="C371" s="101">
        <v>351980</v>
      </c>
      <c r="D371" s="101">
        <v>12903199</v>
      </c>
      <c r="E371" s="101">
        <v>97.27</v>
      </c>
      <c r="F371" s="211">
        <f t="shared" si="39"/>
        <v>12.903199000000001</v>
      </c>
      <c r="H371" s="215">
        <v>45245</v>
      </c>
      <c r="I371" s="104">
        <v>4860660</v>
      </c>
      <c r="J371" s="104">
        <v>10021</v>
      </c>
      <c r="K371" s="104">
        <v>4870681</v>
      </c>
      <c r="L371" s="104">
        <v>99.79</v>
      </c>
      <c r="M371" s="114">
        <f t="shared" si="38"/>
        <v>4.8706810000000003</v>
      </c>
      <c r="O371" s="215">
        <v>45245</v>
      </c>
      <c r="P371" s="104" t="e">
        <f>74200135+#REF!</f>
        <v>#REF!</v>
      </c>
      <c r="Q371" s="104" t="e">
        <f>28296059+#REF!</f>
        <v>#REF!</v>
      </c>
      <c r="R371" s="104" t="e">
        <f>102496194+#REF!</f>
        <v>#REF!</v>
      </c>
      <c r="S371" s="114" t="e">
        <f t="shared" ref="S371:S393" si="44">P371/R371%</f>
        <v>#REF!</v>
      </c>
      <c r="T371" s="212" t="e">
        <f t="shared" si="43"/>
        <v>#REF!</v>
      </c>
      <c r="W371" s="215">
        <v>45245</v>
      </c>
      <c r="X371" s="1">
        <v>6122</v>
      </c>
      <c r="Y371" s="104">
        <v>12000</v>
      </c>
      <c r="Z371" s="114">
        <f t="shared" si="41"/>
        <v>51.016666666666666</v>
      </c>
      <c r="AB371" s="215">
        <v>45245</v>
      </c>
      <c r="AC371" s="1">
        <v>1040</v>
      </c>
      <c r="AD371" s="104">
        <v>12000</v>
      </c>
      <c r="AE371" s="114">
        <f t="shared" si="42"/>
        <v>8.6666666666666661</v>
      </c>
      <c r="AG371" s="215">
        <v>45245</v>
      </c>
      <c r="AH371" s="1">
        <v>6774</v>
      </c>
      <c r="AI371" s="104">
        <v>12000</v>
      </c>
      <c r="AJ371" s="46">
        <f t="shared" si="40"/>
        <v>56.45</v>
      </c>
      <c r="AL371" s="140">
        <v>45182</v>
      </c>
      <c r="AM371" t="s">
        <v>180</v>
      </c>
      <c r="AN371">
        <v>30919</v>
      </c>
      <c r="AP371" s="140">
        <v>45182</v>
      </c>
      <c r="AQ371" t="s">
        <v>149</v>
      </c>
      <c r="AR371">
        <v>2768817</v>
      </c>
      <c r="AT371" s="140">
        <v>45182</v>
      </c>
      <c r="AU371" t="s">
        <v>155</v>
      </c>
      <c r="AV371">
        <v>95</v>
      </c>
    </row>
    <row r="372" spans="1:48" hidden="1" x14ac:dyDescent="0.25">
      <c r="A372" s="113">
        <v>45246</v>
      </c>
      <c r="B372" s="101">
        <v>11435606</v>
      </c>
      <c r="C372" s="101">
        <v>306202</v>
      </c>
      <c r="D372" s="101">
        <v>11741808</v>
      </c>
      <c r="E372" s="101">
        <v>97.39</v>
      </c>
      <c r="F372" s="211">
        <f t="shared" si="39"/>
        <v>11.741808000000001</v>
      </c>
      <c r="H372" s="215">
        <v>45246</v>
      </c>
      <c r="I372" s="104">
        <v>4607988</v>
      </c>
      <c r="J372" s="104">
        <v>371</v>
      </c>
      <c r="K372" s="104">
        <v>4608359</v>
      </c>
      <c r="L372" s="104">
        <v>99.99</v>
      </c>
      <c r="M372" s="114">
        <f t="shared" si="38"/>
        <v>4.6083590000000001</v>
      </c>
      <c r="O372" s="215">
        <v>45246</v>
      </c>
      <c r="P372" s="104" t="e">
        <f>81407467+#REF!</f>
        <v>#REF!</v>
      </c>
      <c r="Q372" s="104" t="e">
        <f>36369302+#REF!</f>
        <v>#REF!</v>
      </c>
      <c r="R372" s="104" t="e">
        <f>117776769+#REF!</f>
        <v>#REF!</v>
      </c>
      <c r="S372" s="114" t="e">
        <f t="shared" si="44"/>
        <v>#REF!</v>
      </c>
      <c r="T372" s="212" t="e">
        <f t="shared" si="43"/>
        <v>#REF!</v>
      </c>
      <c r="W372" s="215">
        <v>45246</v>
      </c>
      <c r="X372" s="1">
        <v>11000</v>
      </c>
      <c r="Y372" s="104">
        <v>12000</v>
      </c>
      <c r="Z372" s="114">
        <f t="shared" si="41"/>
        <v>91.666666666666671</v>
      </c>
      <c r="AB372" s="215">
        <v>45246</v>
      </c>
      <c r="AC372" s="1">
        <v>1253</v>
      </c>
      <c r="AD372" s="104">
        <v>12000</v>
      </c>
      <c r="AE372" s="114">
        <f t="shared" si="42"/>
        <v>10.441666666666666</v>
      </c>
      <c r="AG372" s="215">
        <v>45246</v>
      </c>
      <c r="AH372" s="1">
        <v>11569</v>
      </c>
      <c r="AI372" s="104">
        <v>12000</v>
      </c>
      <c r="AJ372" s="46">
        <f t="shared" si="40"/>
        <v>96.408333333333331</v>
      </c>
      <c r="AL372" s="140">
        <v>45182</v>
      </c>
      <c r="AM372" t="s">
        <v>148</v>
      </c>
      <c r="AN372">
        <v>28580</v>
      </c>
      <c r="AP372" s="140">
        <v>45182</v>
      </c>
      <c r="AQ372" t="s">
        <v>180</v>
      </c>
      <c r="AR372">
        <v>1274857</v>
      </c>
      <c r="AT372" s="140">
        <v>45182</v>
      </c>
      <c r="AU372" t="s">
        <v>147</v>
      </c>
      <c r="AV372">
        <v>62</v>
      </c>
    </row>
    <row r="373" spans="1:48" hidden="1" x14ac:dyDescent="0.25">
      <c r="A373" s="113">
        <v>45247</v>
      </c>
      <c r="B373" s="101">
        <v>11335398</v>
      </c>
      <c r="C373" s="101">
        <v>353314</v>
      </c>
      <c r="D373" s="101">
        <v>11688712</v>
      </c>
      <c r="E373" s="101">
        <v>96.98</v>
      </c>
      <c r="F373" s="211">
        <f t="shared" si="39"/>
        <v>11.688712000000001</v>
      </c>
      <c r="H373" s="215">
        <v>45247</v>
      </c>
      <c r="I373" s="104">
        <v>4776046</v>
      </c>
      <c r="J373" s="104">
        <v>477</v>
      </c>
      <c r="K373" s="104">
        <v>4776523</v>
      </c>
      <c r="L373" s="104">
        <v>99.99</v>
      </c>
      <c r="M373" s="114">
        <f t="shared" si="38"/>
        <v>4.7765230000000001</v>
      </c>
      <c r="O373" s="215">
        <v>45247</v>
      </c>
      <c r="P373" s="104" t="e">
        <f>77703650+#REF!</f>
        <v>#REF!</v>
      </c>
      <c r="Q373" s="104" t="e">
        <f>32912550+#REF!</f>
        <v>#REF!</v>
      </c>
      <c r="R373" s="104" t="e">
        <f>110616200+#REF!</f>
        <v>#REF!</v>
      </c>
      <c r="S373" s="114" t="e">
        <f t="shared" si="44"/>
        <v>#REF!</v>
      </c>
      <c r="T373" s="212" t="e">
        <f t="shared" si="43"/>
        <v>#REF!</v>
      </c>
      <c r="W373" s="215">
        <v>45247</v>
      </c>
      <c r="X373" s="1">
        <v>8074</v>
      </c>
      <c r="Y373" s="104">
        <v>12000</v>
      </c>
      <c r="Z373" s="114">
        <f t="shared" si="41"/>
        <v>67.283333333333331</v>
      </c>
      <c r="AB373" s="215">
        <v>45247</v>
      </c>
      <c r="AC373" s="1">
        <v>1353</v>
      </c>
      <c r="AD373" s="104">
        <v>12000</v>
      </c>
      <c r="AE373" s="114">
        <f t="shared" si="42"/>
        <v>11.275</v>
      </c>
      <c r="AG373" s="215">
        <v>45247</v>
      </c>
      <c r="AH373" s="1">
        <v>8727</v>
      </c>
      <c r="AI373" s="104">
        <v>12000</v>
      </c>
      <c r="AJ373" s="46">
        <f t="shared" si="40"/>
        <v>72.724999999999994</v>
      </c>
      <c r="AL373" s="140">
        <v>45182</v>
      </c>
      <c r="AM373" t="s">
        <v>149</v>
      </c>
      <c r="AN373">
        <v>22404</v>
      </c>
      <c r="AP373" s="140">
        <v>45182</v>
      </c>
      <c r="AQ373" t="s">
        <v>148</v>
      </c>
      <c r="AR373">
        <v>500753</v>
      </c>
    </row>
    <row r="374" spans="1:48" hidden="1" x14ac:dyDescent="0.25">
      <c r="A374" s="113">
        <v>45248</v>
      </c>
      <c r="B374" s="101">
        <v>12482468</v>
      </c>
      <c r="C374" s="101">
        <v>336938</v>
      </c>
      <c r="D374" s="101">
        <v>12819406</v>
      </c>
      <c r="E374" s="101">
        <v>97.37</v>
      </c>
      <c r="F374" s="211">
        <f t="shared" si="39"/>
        <v>12.819406000000001</v>
      </c>
      <c r="H374" s="215">
        <v>45248</v>
      </c>
      <c r="I374" s="104">
        <v>4524672</v>
      </c>
      <c r="J374" s="104">
        <v>375</v>
      </c>
      <c r="K374" s="104">
        <v>4525047</v>
      </c>
      <c r="L374" s="104">
        <v>99.99</v>
      </c>
      <c r="M374" s="114">
        <f t="shared" si="38"/>
        <v>4.5250469999999998</v>
      </c>
      <c r="O374" s="215">
        <v>45248</v>
      </c>
      <c r="P374" s="104" t="e">
        <f>68680420+#REF!</f>
        <v>#REF!</v>
      </c>
      <c r="Q374" s="104" t="e">
        <f>25111322+#REF!</f>
        <v>#REF!</v>
      </c>
      <c r="R374" s="104" t="e">
        <f>93791742+#REF!</f>
        <v>#REF!</v>
      </c>
      <c r="S374" s="114" t="e">
        <f t="shared" si="44"/>
        <v>#REF!</v>
      </c>
      <c r="T374" s="212" t="e">
        <f t="shared" si="43"/>
        <v>#REF!</v>
      </c>
      <c r="W374" s="215">
        <v>45248</v>
      </c>
      <c r="X374" s="1">
        <v>5711</v>
      </c>
      <c r="Y374" s="104">
        <v>12000</v>
      </c>
      <c r="Z374" s="114">
        <f t="shared" si="41"/>
        <v>47.591666666666669</v>
      </c>
      <c r="AB374" s="215">
        <v>45248</v>
      </c>
      <c r="AC374" s="1">
        <v>1158</v>
      </c>
      <c r="AD374" s="104">
        <v>12000</v>
      </c>
      <c r="AE374" s="114">
        <f t="shared" si="42"/>
        <v>9.65</v>
      </c>
      <c r="AG374" s="215">
        <v>45248</v>
      </c>
      <c r="AH374" s="1">
        <v>6362</v>
      </c>
      <c r="AI374" s="104">
        <v>12000</v>
      </c>
      <c r="AJ374" s="46">
        <f t="shared" si="40"/>
        <v>53.016666666666666</v>
      </c>
      <c r="AL374" s="140">
        <v>45182</v>
      </c>
      <c r="AM374" t="s">
        <v>172</v>
      </c>
      <c r="AN374">
        <v>10810</v>
      </c>
      <c r="AP374" s="140">
        <v>45182</v>
      </c>
      <c r="AQ374" t="s">
        <v>152</v>
      </c>
      <c r="AR374">
        <v>159236</v>
      </c>
    </row>
    <row r="375" spans="1:48" hidden="1" x14ac:dyDescent="0.25">
      <c r="A375" s="113">
        <v>45249</v>
      </c>
      <c r="B375" s="101">
        <v>12285112</v>
      </c>
      <c r="C375" s="101">
        <v>311668</v>
      </c>
      <c r="D375" s="101">
        <v>12596780</v>
      </c>
      <c r="E375" s="101">
        <v>97.53</v>
      </c>
      <c r="F375" s="211">
        <f t="shared" si="39"/>
        <v>12.596780000000001</v>
      </c>
      <c r="H375" s="215">
        <v>45249</v>
      </c>
      <c r="I375" s="104">
        <v>1592656</v>
      </c>
      <c r="J375" s="104">
        <v>302</v>
      </c>
      <c r="K375" s="104">
        <v>1592958</v>
      </c>
      <c r="L375" s="104">
        <v>99.98</v>
      </c>
      <c r="M375" s="114">
        <f t="shared" si="38"/>
        <v>1.5929580000000001</v>
      </c>
      <c r="O375" s="215">
        <v>45249</v>
      </c>
      <c r="P375" s="104" t="e">
        <f>47011751+#REF!</f>
        <v>#REF!</v>
      </c>
      <c r="Q375" s="104" t="e">
        <f>10514861+#REF!</f>
        <v>#REF!</v>
      </c>
      <c r="R375" s="104" t="e">
        <f>57526612+#REF!</f>
        <v>#REF!</v>
      </c>
      <c r="S375" s="114" t="e">
        <f t="shared" si="44"/>
        <v>#REF!</v>
      </c>
      <c r="T375" s="212" t="e">
        <f t="shared" si="43"/>
        <v>#REF!</v>
      </c>
      <c r="W375" s="215">
        <v>45249</v>
      </c>
      <c r="X375" s="1">
        <v>3017</v>
      </c>
      <c r="Y375" s="104">
        <v>12000</v>
      </c>
      <c r="Z375" s="114">
        <f t="shared" si="41"/>
        <v>25.141666666666666</v>
      </c>
      <c r="AB375" s="215">
        <v>45249</v>
      </c>
      <c r="AC375" s="1">
        <v>1102</v>
      </c>
      <c r="AD375" s="104">
        <v>12000</v>
      </c>
      <c r="AE375" s="114">
        <f t="shared" si="42"/>
        <v>9.1833333333333336</v>
      </c>
      <c r="AG375" s="215">
        <v>45249</v>
      </c>
      <c r="AH375" s="1">
        <v>3894</v>
      </c>
      <c r="AI375" s="104">
        <v>12000</v>
      </c>
      <c r="AJ375" s="46">
        <f t="shared" si="40"/>
        <v>32.450000000000003</v>
      </c>
      <c r="AL375" s="140">
        <v>45183</v>
      </c>
      <c r="AM375" t="s">
        <v>146</v>
      </c>
      <c r="AN375">
        <v>259093</v>
      </c>
      <c r="AP375" s="140">
        <v>45183</v>
      </c>
      <c r="AQ375" t="s">
        <v>146</v>
      </c>
      <c r="AR375">
        <v>15861114</v>
      </c>
    </row>
    <row r="376" spans="1:48" hidden="1" x14ac:dyDescent="0.25">
      <c r="A376" s="113">
        <v>45250</v>
      </c>
      <c r="B376" s="101">
        <v>11274199</v>
      </c>
      <c r="C376" s="101">
        <v>253455</v>
      </c>
      <c r="D376" s="101">
        <v>11527654</v>
      </c>
      <c r="E376" s="101">
        <v>97.8</v>
      </c>
      <c r="F376" s="211">
        <f t="shared" si="39"/>
        <v>11.527654</v>
      </c>
      <c r="H376" s="215">
        <v>45250</v>
      </c>
      <c r="I376" s="104">
        <v>1649667</v>
      </c>
      <c r="J376" s="104">
        <v>4649</v>
      </c>
      <c r="K376" s="104">
        <v>1654316</v>
      </c>
      <c r="L376" s="104">
        <v>99.72</v>
      </c>
      <c r="M376" s="114">
        <f t="shared" si="38"/>
        <v>1.6543159999999999</v>
      </c>
      <c r="O376" s="215">
        <v>45250</v>
      </c>
      <c r="P376" s="104" t="e">
        <f>58108708+#REF!</f>
        <v>#REF!</v>
      </c>
      <c r="Q376" s="104" t="e">
        <f>19321591+#REF!</f>
        <v>#REF!</v>
      </c>
      <c r="R376" s="104" t="e">
        <f>77430299+#REF!</f>
        <v>#REF!</v>
      </c>
      <c r="S376" s="114" t="e">
        <f t="shared" si="44"/>
        <v>#REF!</v>
      </c>
      <c r="T376" s="212" t="e">
        <f t="shared" si="43"/>
        <v>#REF!</v>
      </c>
      <c r="W376" s="215">
        <v>45250</v>
      </c>
      <c r="X376" s="1">
        <v>4892</v>
      </c>
      <c r="Y376" s="104">
        <v>12000</v>
      </c>
      <c r="Z376" s="114">
        <f t="shared" si="41"/>
        <v>40.766666666666666</v>
      </c>
      <c r="AB376" s="215">
        <v>45250</v>
      </c>
      <c r="AC376" s="1">
        <v>1266</v>
      </c>
      <c r="AD376" s="104">
        <v>12000</v>
      </c>
      <c r="AE376" s="114">
        <f t="shared" si="42"/>
        <v>10.55</v>
      </c>
      <c r="AG376" s="215">
        <v>45250</v>
      </c>
      <c r="AH376" s="1">
        <v>5740</v>
      </c>
      <c r="AI376" s="104">
        <v>12000</v>
      </c>
      <c r="AJ376" s="46">
        <f t="shared" si="40"/>
        <v>47.833333333333336</v>
      </c>
      <c r="AL376" s="140">
        <v>45183</v>
      </c>
      <c r="AM376" t="s">
        <v>148</v>
      </c>
      <c r="AN376">
        <v>32400</v>
      </c>
      <c r="AP376" s="140">
        <v>45183</v>
      </c>
      <c r="AQ376" t="s">
        <v>149</v>
      </c>
      <c r="AR376">
        <v>2801724</v>
      </c>
      <c r="AT376" s="140">
        <v>45183</v>
      </c>
      <c r="AU376" t="s">
        <v>198</v>
      </c>
      <c r="AV376">
        <v>77</v>
      </c>
    </row>
    <row r="377" spans="1:48" hidden="1" x14ac:dyDescent="0.25">
      <c r="A377" s="113">
        <v>45251</v>
      </c>
      <c r="B377" s="101">
        <v>11348396</v>
      </c>
      <c r="C377" s="101">
        <v>323610</v>
      </c>
      <c r="D377" s="101">
        <v>11672006</v>
      </c>
      <c r="E377" s="101">
        <v>97.23</v>
      </c>
      <c r="F377" s="211">
        <f t="shared" si="39"/>
        <v>11.672006</v>
      </c>
      <c r="H377" s="215">
        <v>45251</v>
      </c>
      <c r="I377" s="104">
        <v>4463005</v>
      </c>
      <c r="J377" s="104">
        <v>403</v>
      </c>
      <c r="K377" s="104">
        <v>4463408</v>
      </c>
      <c r="L377" s="104">
        <v>99.99</v>
      </c>
      <c r="M377" s="114">
        <f t="shared" si="38"/>
        <v>4.4634080000000003</v>
      </c>
      <c r="O377" s="215">
        <v>45251</v>
      </c>
      <c r="P377" s="104" t="e">
        <f>65038183+#REF!</f>
        <v>#REF!</v>
      </c>
      <c r="Q377" s="104" t="e">
        <f>20637310+#REF!</f>
        <v>#REF!</v>
      </c>
      <c r="R377" s="104" t="e">
        <f>85675493+#REF!</f>
        <v>#REF!</v>
      </c>
      <c r="S377" s="114" t="e">
        <f t="shared" si="44"/>
        <v>#REF!</v>
      </c>
      <c r="T377" s="212" t="e">
        <f t="shared" si="43"/>
        <v>#REF!</v>
      </c>
      <c r="W377" s="215">
        <v>45251</v>
      </c>
      <c r="X377" s="1">
        <v>4651</v>
      </c>
      <c r="Y377" s="104">
        <v>12000</v>
      </c>
      <c r="Z377" s="114">
        <f t="shared" si="41"/>
        <v>38.758333333333333</v>
      </c>
      <c r="AB377" s="215">
        <v>45251</v>
      </c>
      <c r="AC377" s="1">
        <v>1245</v>
      </c>
      <c r="AD377" s="104">
        <v>12000</v>
      </c>
      <c r="AE377" s="114">
        <f t="shared" si="42"/>
        <v>10.375</v>
      </c>
      <c r="AG377" s="215">
        <v>45251</v>
      </c>
      <c r="AH377" s="1">
        <v>5783</v>
      </c>
      <c r="AI377" s="104">
        <v>12000</v>
      </c>
      <c r="AJ377" s="46">
        <f t="shared" si="40"/>
        <v>48.19166666666667</v>
      </c>
      <c r="AL377" s="140">
        <v>45183</v>
      </c>
      <c r="AM377" t="s">
        <v>180</v>
      </c>
      <c r="AN377">
        <v>28338</v>
      </c>
      <c r="AP377" s="140">
        <v>45183</v>
      </c>
      <c r="AQ377" t="s">
        <v>148</v>
      </c>
      <c r="AR377">
        <v>2004104</v>
      </c>
      <c r="AT377" s="140">
        <v>45183</v>
      </c>
      <c r="AU377" t="s">
        <v>147</v>
      </c>
      <c r="AV377">
        <v>66</v>
      </c>
    </row>
    <row r="378" spans="1:48" hidden="1" x14ac:dyDescent="0.25">
      <c r="A378" s="113">
        <v>45252</v>
      </c>
      <c r="B378" s="101">
        <v>11068848</v>
      </c>
      <c r="C378" s="101">
        <v>322348</v>
      </c>
      <c r="D378" s="101">
        <v>11391196</v>
      </c>
      <c r="E378" s="101">
        <v>97.17</v>
      </c>
      <c r="F378" s="211">
        <f t="shared" si="39"/>
        <v>11.391196000000001</v>
      </c>
      <c r="H378" s="215">
        <v>45252</v>
      </c>
      <c r="I378" s="104">
        <v>4675133</v>
      </c>
      <c r="J378" s="104">
        <v>690</v>
      </c>
      <c r="K378" s="104">
        <v>4675823</v>
      </c>
      <c r="L378" s="104">
        <v>99.99</v>
      </c>
      <c r="M378" s="114">
        <f t="shared" si="38"/>
        <v>4.6758230000000003</v>
      </c>
      <c r="O378" s="215">
        <v>45252</v>
      </c>
      <c r="P378" s="104" t="e">
        <f>61871077+#REF!</f>
        <v>#REF!</v>
      </c>
      <c r="Q378" s="104" t="e">
        <f>20762363+#REF!</f>
        <v>#REF!</v>
      </c>
      <c r="R378" s="104" t="e">
        <f>82633440+#REF!</f>
        <v>#REF!</v>
      </c>
      <c r="S378" s="114" t="e">
        <f t="shared" si="44"/>
        <v>#REF!</v>
      </c>
      <c r="T378" s="212" t="e">
        <f t="shared" si="43"/>
        <v>#REF!</v>
      </c>
      <c r="W378" s="215">
        <v>45252</v>
      </c>
      <c r="X378" s="1">
        <v>4447</v>
      </c>
      <c r="Y378" s="104">
        <v>12000</v>
      </c>
      <c r="Z378" s="114">
        <f t="shared" si="41"/>
        <v>37.05833333333333</v>
      </c>
      <c r="AB378" s="215">
        <v>45252</v>
      </c>
      <c r="AC378" s="1">
        <v>1024</v>
      </c>
      <c r="AD378" s="104">
        <v>12000</v>
      </c>
      <c r="AE378" s="114">
        <f t="shared" si="42"/>
        <v>8.5333333333333332</v>
      </c>
      <c r="AG378" s="215">
        <v>45252</v>
      </c>
      <c r="AH378" s="1">
        <v>5026</v>
      </c>
      <c r="AI378" s="104">
        <v>12000</v>
      </c>
      <c r="AJ378" s="46">
        <f t="shared" si="40"/>
        <v>41.883333333333333</v>
      </c>
      <c r="AL378" s="140">
        <v>45183</v>
      </c>
      <c r="AM378" t="s">
        <v>149</v>
      </c>
      <c r="AN378">
        <v>18712</v>
      </c>
      <c r="AP378" s="140">
        <v>45183</v>
      </c>
      <c r="AQ378" t="s">
        <v>180</v>
      </c>
      <c r="AR378">
        <v>1220681</v>
      </c>
    </row>
    <row r="379" spans="1:48" ht="15.75" hidden="1" x14ac:dyDescent="0.25">
      <c r="A379" s="113">
        <v>45253</v>
      </c>
      <c r="B379" s="194">
        <v>10927730</v>
      </c>
      <c r="C379" s="194">
        <v>318936</v>
      </c>
      <c r="D379" s="194">
        <v>11246666</v>
      </c>
      <c r="E379" s="194">
        <v>97.16</v>
      </c>
      <c r="F379" s="211">
        <f t="shared" si="39"/>
        <v>11.246665999999999</v>
      </c>
      <c r="H379" s="215">
        <v>45253</v>
      </c>
      <c r="I379" s="205">
        <v>5193605</v>
      </c>
      <c r="J379" s="205">
        <v>2448</v>
      </c>
      <c r="K379" s="205">
        <v>5196053</v>
      </c>
      <c r="L379" s="205">
        <v>99.95</v>
      </c>
      <c r="M379" s="114">
        <f t="shared" si="38"/>
        <v>5.196053</v>
      </c>
      <c r="O379" s="215">
        <v>45253</v>
      </c>
      <c r="P379" s="205" t="e">
        <f>58773263+#REF!</f>
        <v>#REF!</v>
      </c>
      <c r="Q379" s="205" t="e">
        <f>17365419+#REF!</f>
        <v>#REF!</v>
      </c>
      <c r="R379" s="205" t="e">
        <f>76138682+#REF!</f>
        <v>#REF!</v>
      </c>
      <c r="S379" s="114" t="e">
        <f t="shared" si="44"/>
        <v>#REF!</v>
      </c>
      <c r="T379" s="212" t="e">
        <f t="shared" si="43"/>
        <v>#REF!</v>
      </c>
      <c r="W379" s="215">
        <v>45253</v>
      </c>
      <c r="X379" s="1">
        <v>7184</v>
      </c>
      <c r="Y379" s="104">
        <v>12000</v>
      </c>
      <c r="Z379" s="114">
        <f t="shared" si="41"/>
        <v>59.866666666666667</v>
      </c>
      <c r="AB379" s="215">
        <v>45253</v>
      </c>
      <c r="AC379" s="1">
        <v>1135</v>
      </c>
      <c r="AD379" s="104">
        <v>12000</v>
      </c>
      <c r="AE379" s="114">
        <f t="shared" si="42"/>
        <v>9.4583333333333339</v>
      </c>
      <c r="AG379" s="215">
        <v>45253</v>
      </c>
      <c r="AH379" s="1">
        <v>7895</v>
      </c>
      <c r="AI379" s="104">
        <v>12000</v>
      </c>
      <c r="AJ379" s="46">
        <f t="shared" si="40"/>
        <v>65.791666666666671</v>
      </c>
      <c r="AL379" s="140">
        <v>45183</v>
      </c>
      <c r="AM379" t="s">
        <v>172</v>
      </c>
      <c r="AN379">
        <v>10066</v>
      </c>
      <c r="AP379" s="140">
        <v>45183</v>
      </c>
      <c r="AQ379" t="s">
        <v>169</v>
      </c>
      <c r="AR379">
        <v>270426</v>
      </c>
    </row>
    <row r="380" spans="1:48" ht="15.75" hidden="1" x14ac:dyDescent="0.25">
      <c r="A380" s="113">
        <v>45254</v>
      </c>
      <c r="B380" s="194">
        <v>11262677</v>
      </c>
      <c r="C380" s="194">
        <v>298758</v>
      </c>
      <c r="D380" s="194">
        <v>11561435</v>
      </c>
      <c r="E380" s="194">
        <v>97.42</v>
      </c>
      <c r="F380" s="211">
        <f t="shared" si="39"/>
        <v>11.561434999999999</v>
      </c>
      <c r="H380" s="215">
        <v>45254</v>
      </c>
      <c r="I380" s="205">
        <v>3709503</v>
      </c>
      <c r="J380" s="205">
        <v>148</v>
      </c>
      <c r="K380" s="205">
        <v>3709651</v>
      </c>
      <c r="L380" s="205">
        <v>100</v>
      </c>
      <c r="M380" s="114">
        <f t="shared" si="38"/>
        <v>3.709651</v>
      </c>
      <c r="O380" s="215">
        <v>45254</v>
      </c>
      <c r="P380" s="205" t="e">
        <f>60282357+#REF!</f>
        <v>#REF!</v>
      </c>
      <c r="Q380" s="205" t="e">
        <f>14800747+#REF!</f>
        <v>#REF!</v>
      </c>
      <c r="R380" s="205" t="e">
        <f>75083104+#REF!</f>
        <v>#REF!</v>
      </c>
      <c r="S380" s="114" t="e">
        <f t="shared" si="44"/>
        <v>#REF!</v>
      </c>
      <c r="T380" s="212" t="e">
        <f t="shared" si="43"/>
        <v>#REF!</v>
      </c>
      <c r="W380" s="215">
        <v>45254</v>
      </c>
      <c r="X380" s="1">
        <v>4364</v>
      </c>
      <c r="Y380" s="104">
        <v>12000</v>
      </c>
      <c r="Z380" s="114">
        <f t="shared" si="41"/>
        <v>36.366666666666667</v>
      </c>
      <c r="AB380" s="215">
        <v>45254</v>
      </c>
      <c r="AC380" s="1">
        <v>1172</v>
      </c>
      <c r="AD380" s="104">
        <v>12000</v>
      </c>
      <c r="AE380" s="114">
        <f t="shared" si="42"/>
        <v>9.7666666666666675</v>
      </c>
      <c r="AG380" s="215">
        <v>45254</v>
      </c>
      <c r="AH380" s="1">
        <v>5029</v>
      </c>
      <c r="AI380" s="104">
        <v>12000</v>
      </c>
      <c r="AJ380" s="46">
        <f t="shared" si="40"/>
        <v>41.908333333333331</v>
      </c>
    </row>
    <row r="381" spans="1:48" ht="15.75" hidden="1" x14ac:dyDescent="0.25">
      <c r="A381" s="113">
        <v>45255</v>
      </c>
      <c r="B381" s="194">
        <v>11853843</v>
      </c>
      <c r="C381" s="194">
        <v>293841</v>
      </c>
      <c r="D381" s="194">
        <v>12147684</v>
      </c>
      <c r="E381" s="194">
        <v>97.58</v>
      </c>
      <c r="F381" s="211">
        <f t="shared" si="39"/>
        <v>12.147684</v>
      </c>
      <c r="H381" s="215">
        <v>45255</v>
      </c>
      <c r="I381" s="205">
        <v>4815755</v>
      </c>
      <c r="J381" s="205">
        <v>121</v>
      </c>
      <c r="K381" s="205">
        <v>4815876</v>
      </c>
      <c r="L381" s="205">
        <v>100</v>
      </c>
      <c r="M381" s="114">
        <f t="shared" si="38"/>
        <v>4.8158760000000003</v>
      </c>
      <c r="O381" s="215">
        <v>45255</v>
      </c>
      <c r="P381" s="205" t="e">
        <f>63773691+#REF!</f>
        <v>#REF!</v>
      </c>
      <c r="Q381" s="205" t="e">
        <f>19389414+#REF!</f>
        <v>#REF!</v>
      </c>
      <c r="R381" s="205" t="e">
        <f>83163105+#REF!</f>
        <v>#REF!</v>
      </c>
      <c r="S381" s="114" t="e">
        <f t="shared" si="44"/>
        <v>#REF!</v>
      </c>
      <c r="T381" s="212" t="e">
        <f t="shared" si="43"/>
        <v>#REF!</v>
      </c>
      <c r="W381" s="215">
        <v>45255</v>
      </c>
      <c r="X381" s="1">
        <v>4327</v>
      </c>
      <c r="Y381" s="104">
        <v>12000</v>
      </c>
      <c r="Z381" s="114">
        <f t="shared" si="41"/>
        <v>36.05833333333333</v>
      </c>
      <c r="AB381" s="215">
        <v>45255</v>
      </c>
      <c r="AC381" s="1">
        <v>1092</v>
      </c>
      <c r="AD381" s="104">
        <v>12000</v>
      </c>
      <c r="AE381" s="114">
        <f t="shared" si="42"/>
        <v>9.1</v>
      </c>
      <c r="AG381" s="215">
        <v>45255</v>
      </c>
      <c r="AH381" s="1">
        <v>5065</v>
      </c>
      <c r="AI381" s="104">
        <v>12000</v>
      </c>
      <c r="AJ381" s="46">
        <f t="shared" si="40"/>
        <v>42.208333333333336</v>
      </c>
      <c r="AL381" s="140">
        <v>45186</v>
      </c>
      <c r="AM381" t="s">
        <v>146</v>
      </c>
      <c r="AN381">
        <v>256593</v>
      </c>
      <c r="AP381" s="140">
        <v>45186</v>
      </c>
      <c r="AQ381" t="s">
        <v>146</v>
      </c>
      <c r="AR381">
        <v>6328085</v>
      </c>
      <c r="AT381" s="140">
        <v>45186</v>
      </c>
      <c r="AU381" t="s">
        <v>147</v>
      </c>
      <c r="AV381">
        <v>77</v>
      </c>
    </row>
    <row r="382" spans="1:48" ht="15.75" hidden="1" x14ac:dyDescent="0.25">
      <c r="A382" s="113">
        <v>45256</v>
      </c>
      <c r="B382" s="194">
        <v>11471455</v>
      </c>
      <c r="C382" s="194">
        <v>287299</v>
      </c>
      <c r="D382" s="194">
        <v>11758754</v>
      </c>
      <c r="E382" s="194">
        <v>97.56</v>
      </c>
      <c r="F382" s="211">
        <f t="shared" si="39"/>
        <v>11.758754</v>
      </c>
      <c r="H382" s="215">
        <v>45256</v>
      </c>
      <c r="I382" s="205">
        <v>2297321</v>
      </c>
      <c r="J382" s="205">
        <v>139</v>
      </c>
      <c r="K382" s="205">
        <v>2297460</v>
      </c>
      <c r="L382" s="205">
        <v>99.99</v>
      </c>
      <c r="M382" s="114">
        <f t="shared" si="38"/>
        <v>2.2974600000000001</v>
      </c>
      <c r="O382" s="215">
        <v>45256</v>
      </c>
      <c r="P382" s="205" t="e">
        <f>46096443+#REF!</f>
        <v>#REF!</v>
      </c>
      <c r="Q382" s="205" t="e">
        <f>8646416+#REF!</f>
        <v>#REF!</v>
      </c>
      <c r="R382" s="205" t="e">
        <f>54742859+#REF!</f>
        <v>#REF!</v>
      </c>
      <c r="S382" s="114" t="e">
        <f t="shared" si="44"/>
        <v>#REF!</v>
      </c>
      <c r="T382" s="212" t="e">
        <f t="shared" si="43"/>
        <v>#REF!</v>
      </c>
      <c r="W382" s="215">
        <v>45256</v>
      </c>
      <c r="X382" s="1">
        <v>8321</v>
      </c>
      <c r="Y382" s="104">
        <v>12000</v>
      </c>
      <c r="Z382" s="114">
        <f t="shared" si="41"/>
        <v>69.341666666666669</v>
      </c>
      <c r="AB382" s="215">
        <v>45256</v>
      </c>
      <c r="AC382" s="1">
        <v>3679</v>
      </c>
      <c r="AD382" s="104">
        <v>12000</v>
      </c>
      <c r="AE382" s="114">
        <f t="shared" si="42"/>
        <v>30.658333333333335</v>
      </c>
      <c r="AG382" s="215">
        <v>45256</v>
      </c>
      <c r="AH382" s="1">
        <v>12000</v>
      </c>
      <c r="AI382" s="104">
        <v>12000</v>
      </c>
      <c r="AJ382" s="46">
        <f t="shared" si="40"/>
        <v>100</v>
      </c>
      <c r="AL382" s="140">
        <v>45186</v>
      </c>
      <c r="AM382" t="s">
        <v>180</v>
      </c>
      <c r="AN382">
        <v>26549</v>
      </c>
      <c r="AP382" s="140">
        <v>45186</v>
      </c>
      <c r="AQ382" t="s">
        <v>149</v>
      </c>
      <c r="AR382">
        <v>1424203</v>
      </c>
      <c r="AT382" s="140">
        <v>45186</v>
      </c>
      <c r="AU382" t="s">
        <v>155</v>
      </c>
      <c r="AV382">
        <v>6</v>
      </c>
    </row>
    <row r="383" spans="1:48" ht="15.75" hidden="1" x14ac:dyDescent="0.25">
      <c r="A383" s="113">
        <v>45257</v>
      </c>
      <c r="B383" s="194">
        <v>10635529</v>
      </c>
      <c r="C383" s="194">
        <v>223905</v>
      </c>
      <c r="D383" s="194">
        <v>10859434</v>
      </c>
      <c r="E383" s="194">
        <v>97.94</v>
      </c>
      <c r="F383" s="211">
        <f t="shared" si="39"/>
        <v>10.859434</v>
      </c>
      <c r="H383" s="215">
        <v>45257</v>
      </c>
      <c r="I383" s="205">
        <v>4681345</v>
      </c>
      <c r="J383" s="205">
        <v>203</v>
      </c>
      <c r="K383" s="205">
        <v>4681548</v>
      </c>
      <c r="L383" s="205">
        <v>100</v>
      </c>
      <c r="M383" s="114">
        <f t="shared" si="38"/>
        <v>4.6815480000000003</v>
      </c>
      <c r="O383" s="215">
        <v>45257</v>
      </c>
      <c r="P383" s="205" t="e">
        <f>66650745+#REF!</f>
        <v>#REF!</v>
      </c>
      <c r="Q383" s="205" t="e">
        <f>22239244+#REF!</f>
        <v>#REF!</v>
      </c>
      <c r="R383" s="205" t="e">
        <f>88889989+#REF!</f>
        <v>#REF!</v>
      </c>
      <c r="S383" s="114" t="e">
        <f t="shared" si="44"/>
        <v>#REF!</v>
      </c>
      <c r="T383" s="212" t="e">
        <f t="shared" si="43"/>
        <v>#REF!</v>
      </c>
      <c r="W383" s="215">
        <v>45257</v>
      </c>
      <c r="X383" s="1">
        <v>4339</v>
      </c>
      <c r="Y383" s="104">
        <v>12000</v>
      </c>
      <c r="Z383" s="114">
        <f t="shared" si="41"/>
        <v>36.158333333333331</v>
      </c>
      <c r="AB383" s="215">
        <v>45257</v>
      </c>
      <c r="AC383" s="1">
        <v>1180</v>
      </c>
      <c r="AD383" s="104">
        <v>12000</v>
      </c>
      <c r="AE383" s="114">
        <f t="shared" si="42"/>
        <v>9.8333333333333339</v>
      </c>
      <c r="AG383" s="215">
        <v>45257</v>
      </c>
      <c r="AH383" s="1">
        <v>4939</v>
      </c>
      <c r="AI383" s="104">
        <v>12000</v>
      </c>
      <c r="AJ383" s="46">
        <f t="shared" si="40"/>
        <v>41.158333333333331</v>
      </c>
      <c r="AL383" s="140">
        <v>45186</v>
      </c>
      <c r="AM383" t="s">
        <v>148</v>
      </c>
      <c r="AN383">
        <v>24495</v>
      </c>
      <c r="AP383" s="140">
        <v>45186</v>
      </c>
      <c r="AQ383" t="s">
        <v>180</v>
      </c>
      <c r="AR383">
        <v>1182040</v>
      </c>
    </row>
    <row r="384" spans="1:48" ht="15.75" hidden="1" x14ac:dyDescent="0.25">
      <c r="A384" s="113">
        <v>45258</v>
      </c>
      <c r="B384" s="194">
        <v>10583182</v>
      </c>
      <c r="C384" s="194">
        <v>316050</v>
      </c>
      <c r="D384" s="194">
        <v>10899232</v>
      </c>
      <c r="E384" s="194">
        <v>97.1</v>
      </c>
      <c r="F384" s="211">
        <f t="shared" si="39"/>
        <v>10.899232</v>
      </c>
      <c r="H384" s="215">
        <v>45258</v>
      </c>
      <c r="I384" s="205">
        <v>4231135</v>
      </c>
      <c r="J384" s="205">
        <v>3514</v>
      </c>
      <c r="K384" s="205">
        <v>4234649</v>
      </c>
      <c r="L384" s="205">
        <v>99.92</v>
      </c>
      <c r="M384" s="114">
        <f t="shared" si="38"/>
        <v>4.2346490000000001</v>
      </c>
      <c r="O384" s="215">
        <v>45258</v>
      </c>
      <c r="P384" s="205" t="e">
        <f>73992034+#REF!</f>
        <v>#REF!</v>
      </c>
      <c r="Q384" s="205" t="e">
        <f>28760451+#REF!</f>
        <v>#REF!</v>
      </c>
      <c r="R384" s="205" t="e">
        <f>102752485+#REF!</f>
        <v>#REF!</v>
      </c>
      <c r="S384" s="114" t="e">
        <f t="shared" si="44"/>
        <v>#REF!</v>
      </c>
      <c r="T384" s="212" t="e">
        <f t="shared" si="43"/>
        <v>#REF!</v>
      </c>
      <c r="W384" s="215">
        <v>45258</v>
      </c>
      <c r="X384" s="1">
        <v>5600</v>
      </c>
      <c r="Y384" s="104">
        <v>12000</v>
      </c>
      <c r="Z384" s="114">
        <f t="shared" si="41"/>
        <v>46.666666666666664</v>
      </c>
      <c r="AB384" s="215">
        <v>45258</v>
      </c>
      <c r="AC384" s="1">
        <v>1401</v>
      </c>
      <c r="AD384" s="104">
        <v>12000</v>
      </c>
      <c r="AE384" s="114">
        <f t="shared" si="42"/>
        <v>11.675000000000001</v>
      </c>
      <c r="AG384" s="215">
        <v>45258</v>
      </c>
      <c r="AH384" s="1">
        <v>6461</v>
      </c>
      <c r="AI384" s="104">
        <v>12000</v>
      </c>
      <c r="AJ384" s="46">
        <f t="shared" si="40"/>
        <v>53.841666666666669</v>
      </c>
      <c r="AL384" s="140">
        <v>45186</v>
      </c>
      <c r="AM384" t="s">
        <v>149</v>
      </c>
      <c r="AN384">
        <v>15579</v>
      </c>
      <c r="AP384" s="140">
        <v>45186</v>
      </c>
      <c r="AQ384" t="s">
        <v>148</v>
      </c>
      <c r="AR384">
        <v>157760</v>
      </c>
    </row>
    <row r="385" spans="1:48" ht="15.75" hidden="1" x14ac:dyDescent="0.25">
      <c r="A385" s="113">
        <v>45259</v>
      </c>
      <c r="B385" s="194">
        <v>10709044</v>
      </c>
      <c r="C385" s="194">
        <v>314292</v>
      </c>
      <c r="D385" s="194">
        <v>11023336</v>
      </c>
      <c r="E385" s="194">
        <v>97.15</v>
      </c>
      <c r="F385" s="211">
        <f t="shared" si="39"/>
        <v>11.023336</v>
      </c>
      <c r="H385" s="215">
        <v>45259</v>
      </c>
      <c r="I385" s="205">
        <v>5552410</v>
      </c>
      <c r="J385" s="205">
        <v>1163</v>
      </c>
      <c r="K385" s="205">
        <v>5553573</v>
      </c>
      <c r="L385" s="205">
        <v>99.98</v>
      </c>
      <c r="M385" s="114">
        <f t="shared" si="38"/>
        <v>5.5535730000000001</v>
      </c>
      <c r="O385" s="215">
        <v>45259</v>
      </c>
      <c r="P385" s="205" t="e">
        <f>64031558+#REF!</f>
        <v>#REF!</v>
      </c>
      <c r="Q385" s="205" t="e">
        <f>21984575+#REF!</f>
        <v>#REF!</v>
      </c>
      <c r="R385" s="205" t="e">
        <f>86016133+#REF!</f>
        <v>#REF!</v>
      </c>
      <c r="S385" s="114" t="e">
        <f t="shared" si="44"/>
        <v>#REF!</v>
      </c>
      <c r="T385" s="212" t="e">
        <f t="shared" si="43"/>
        <v>#REF!</v>
      </c>
      <c r="W385" s="215">
        <v>45259</v>
      </c>
      <c r="X385" s="1">
        <v>4590</v>
      </c>
      <c r="Y385" s="104">
        <v>12000</v>
      </c>
      <c r="Z385" s="114">
        <f t="shared" si="41"/>
        <v>38.25</v>
      </c>
      <c r="AB385" s="215">
        <v>45259</v>
      </c>
      <c r="AC385" s="1">
        <v>2238</v>
      </c>
      <c r="AD385" s="104">
        <v>12000</v>
      </c>
      <c r="AE385" s="114">
        <f t="shared" si="42"/>
        <v>18.649999999999999</v>
      </c>
      <c r="AG385" s="215">
        <v>45259</v>
      </c>
      <c r="AH385" s="1">
        <v>5573</v>
      </c>
      <c r="AI385" s="104">
        <v>12000</v>
      </c>
      <c r="AJ385" s="46">
        <f t="shared" si="40"/>
        <v>46.44166666666667</v>
      </c>
      <c r="AL385" s="140">
        <v>45186</v>
      </c>
      <c r="AM385" t="s">
        <v>172</v>
      </c>
      <c r="AN385">
        <v>14647</v>
      </c>
      <c r="AP385" s="140">
        <v>45186</v>
      </c>
      <c r="AQ385" t="s">
        <v>173</v>
      </c>
      <c r="AR385">
        <v>99514</v>
      </c>
    </row>
    <row r="386" spans="1:48" ht="15.75" hidden="1" x14ac:dyDescent="0.25">
      <c r="A386" s="113">
        <v>45260</v>
      </c>
      <c r="B386" s="194">
        <v>10500108</v>
      </c>
      <c r="C386" s="194">
        <v>296926</v>
      </c>
      <c r="D386" s="194">
        <v>10797034</v>
      </c>
      <c r="E386" s="194">
        <v>97.25</v>
      </c>
      <c r="F386" s="211">
        <f t="shared" si="39"/>
        <v>10.797034</v>
      </c>
      <c r="H386" s="215">
        <v>45260</v>
      </c>
      <c r="I386" s="205">
        <v>6136462</v>
      </c>
      <c r="J386" s="205">
        <v>3968</v>
      </c>
      <c r="K386" s="205">
        <v>6140430</v>
      </c>
      <c r="L386" s="205">
        <v>99.94</v>
      </c>
      <c r="M386" s="114">
        <f t="shared" si="38"/>
        <v>6.1404300000000003</v>
      </c>
      <c r="O386" s="215">
        <v>45260</v>
      </c>
      <c r="P386" s="205" t="e">
        <f>73104176+#REF!</f>
        <v>#REF!</v>
      </c>
      <c r="Q386" s="205" t="e">
        <f>26957352+#REF!</f>
        <v>#REF!</v>
      </c>
      <c r="R386" s="205" t="e">
        <f>100061528+#REF!</f>
        <v>#REF!</v>
      </c>
      <c r="S386" s="114" t="e">
        <f t="shared" si="44"/>
        <v>#REF!</v>
      </c>
      <c r="T386" s="212" t="e">
        <f t="shared" si="43"/>
        <v>#REF!</v>
      </c>
      <c r="W386" s="215">
        <v>45260</v>
      </c>
      <c r="X386" s="1">
        <v>7426</v>
      </c>
      <c r="Y386" s="104">
        <v>12000</v>
      </c>
      <c r="Z386" s="114">
        <f>X386/Y386%</f>
        <v>61.883333333333333</v>
      </c>
      <c r="AB386" s="215">
        <v>45260</v>
      </c>
      <c r="AC386" s="1">
        <v>1246</v>
      </c>
      <c r="AD386" s="104">
        <v>12000</v>
      </c>
      <c r="AE386" s="114">
        <f t="shared" si="42"/>
        <v>10.383333333333333</v>
      </c>
      <c r="AG386" s="215">
        <v>45260</v>
      </c>
      <c r="AH386" s="1">
        <v>7952</v>
      </c>
      <c r="AI386" s="104">
        <v>12000</v>
      </c>
      <c r="AJ386" s="46">
        <f t="shared" si="40"/>
        <v>66.266666666666666</v>
      </c>
    </row>
    <row r="387" spans="1:48" ht="15.75" hidden="1" x14ac:dyDescent="0.25">
      <c r="A387" s="113">
        <v>45261</v>
      </c>
      <c r="B387" s="194">
        <v>10995206</v>
      </c>
      <c r="C387" s="194">
        <v>312472</v>
      </c>
      <c r="D387" s="194">
        <v>11307678</v>
      </c>
      <c r="E387" s="194">
        <v>97.24</v>
      </c>
      <c r="F387" s="211">
        <f t="shared" si="39"/>
        <v>11.307677999999999</v>
      </c>
      <c r="H387" s="215">
        <v>45261</v>
      </c>
      <c r="I387" s="205">
        <v>3348205</v>
      </c>
      <c r="J387" s="205">
        <v>159</v>
      </c>
      <c r="K387" s="205">
        <v>3348364</v>
      </c>
      <c r="L387" s="205">
        <v>100</v>
      </c>
      <c r="M387" s="114">
        <f t="shared" si="38"/>
        <v>3.3483640000000001</v>
      </c>
      <c r="O387" s="215">
        <v>45261</v>
      </c>
      <c r="P387" s="205" t="e">
        <f>69762305+#REF!</f>
        <v>#REF!</v>
      </c>
      <c r="Q387" s="205" t="e">
        <f>25097564+#REF!</f>
        <v>#REF!</v>
      </c>
      <c r="R387" s="205" t="e">
        <f>94859869+#REF!</f>
        <v>#REF!</v>
      </c>
      <c r="S387" s="114" t="e">
        <f t="shared" si="44"/>
        <v>#REF!</v>
      </c>
      <c r="T387" s="212" t="e">
        <f t="shared" si="43"/>
        <v>#REF!</v>
      </c>
      <c r="W387" s="215">
        <v>45261</v>
      </c>
      <c r="X387" s="1">
        <v>5672</v>
      </c>
      <c r="Y387" s="104">
        <v>12000</v>
      </c>
      <c r="Z387" s="114">
        <f t="shared" ref="Z387:Z388" si="45">X387/Y387%</f>
        <v>47.266666666666666</v>
      </c>
      <c r="AB387" s="215">
        <v>45261</v>
      </c>
      <c r="AC387" s="1">
        <v>1285</v>
      </c>
      <c r="AD387" s="104">
        <v>12000</v>
      </c>
      <c r="AE387" s="114">
        <f t="shared" si="42"/>
        <v>10.708333333333334</v>
      </c>
      <c r="AG387" s="215">
        <v>45261</v>
      </c>
      <c r="AH387" s="1">
        <v>6748</v>
      </c>
      <c r="AI387" s="104">
        <v>12000</v>
      </c>
      <c r="AJ387" s="46">
        <f t="shared" si="40"/>
        <v>56.233333333333334</v>
      </c>
      <c r="AL387" s="140">
        <v>45187</v>
      </c>
      <c r="AM387" s="101" t="s">
        <v>189</v>
      </c>
      <c r="AN387" s="101">
        <v>208699</v>
      </c>
      <c r="AP387" s="140">
        <v>45187</v>
      </c>
      <c r="AQ387" s="101" t="s">
        <v>189</v>
      </c>
      <c r="AR387" s="101">
        <v>15389851</v>
      </c>
      <c r="AT387" s="140">
        <v>45187</v>
      </c>
      <c r="AU387" s="101" t="s">
        <v>193</v>
      </c>
      <c r="AV387" s="101">
        <v>385</v>
      </c>
    </row>
    <row r="388" spans="1:48" ht="15.75" hidden="1" x14ac:dyDescent="0.25">
      <c r="A388" s="113">
        <v>45262</v>
      </c>
      <c r="B388" s="194">
        <v>11421572</v>
      </c>
      <c r="C388" s="194">
        <v>320689</v>
      </c>
      <c r="D388" s="194">
        <v>11742261</v>
      </c>
      <c r="E388" s="194">
        <v>97.27</v>
      </c>
      <c r="F388" s="211">
        <f t="shared" si="39"/>
        <v>11.742260999999999</v>
      </c>
      <c r="H388" s="215">
        <v>45262</v>
      </c>
      <c r="I388" s="205">
        <v>1953193</v>
      </c>
      <c r="J388" s="205">
        <v>107</v>
      </c>
      <c r="K388" s="205">
        <v>1953300</v>
      </c>
      <c r="L388" s="205">
        <v>99.99</v>
      </c>
      <c r="M388" s="114">
        <f t="shared" si="38"/>
        <v>1.9533</v>
      </c>
      <c r="O388" s="215">
        <v>45262</v>
      </c>
      <c r="P388" s="205" t="e">
        <f>58803957+#REF!</f>
        <v>#REF!</v>
      </c>
      <c r="Q388" s="205" t="e">
        <f>17500985+#REF!</f>
        <v>#REF!</v>
      </c>
      <c r="R388" s="205" t="e">
        <f>76304942+#REF!</f>
        <v>#REF!</v>
      </c>
      <c r="S388" s="114" t="e">
        <f t="shared" si="44"/>
        <v>#REF!</v>
      </c>
      <c r="T388" s="212" t="e">
        <f t="shared" si="43"/>
        <v>#REF!</v>
      </c>
      <c r="W388" s="215">
        <v>45262</v>
      </c>
      <c r="X388" s="1">
        <v>4258</v>
      </c>
      <c r="Y388" s="104">
        <v>12000</v>
      </c>
      <c r="Z388" s="114">
        <f t="shared" si="45"/>
        <v>35.483333333333334</v>
      </c>
      <c r="AB388" s="215">
        <v>45262</v>
      </c>
      <c r="AC388" s="1">
        <v>1084</v>
      </c>
      <c r="AD388" s="104">
        <v>12000</v>
      </c>
      <c r="AE388" s="114">
        <f t="shared" si="42"/>
        <v>9.0333333333333332</v>
      </c>
      <c r="AG388" s="215">
        <v>45262</v>
      </c>
      <c r="AH388" s="1">
        <v>4891</v>
      </c>
      <c r="AI388" s="104">
        <v>12000</v>
      </c>
      <c r="AJ388" s="46">
        <f t="shared" si="40"/>
        <v>40.758333333333333</v>
      </c>
      <c r="AL388" s="140">
        <v>45187</v>
      </c>
      <c r="AM388" s="101" t="s">
        <v>191</v>
      </c>
      <c r="AN388" s="101">
        <v>31387</v>
      </c>
      <c r="AP388" s="140">
        <v>45187</v>
      </c>
      <c r="AQ388" s="101" t="s">
        <v>192</v>
      </c>
      <c r="AR388" s="101">
        <v>2647103</v>
      </c>
      <c r="AT388" s="140">
        <v>45187</v>
      </c>
      <c r="AU388" s="101" t="s">
        <v>190</v>
      </c>
      <c r="AV388" s="101">
        <v>125</v>
      </c>
    </row>
    <row r="389" spans="1:48" ht="15.75" hidden="1" x14ac:dyDescent="0.25">
      <c r="A389" s="113">
        <v>45263</v>
      </c>
      <c r="B389" s="194">
        <v>10999486</v>
      </c>
      <c r="C389" s="194">
        <v>273525</v>
      </c>
      <c r="D389" s="194">
        <v>11273011</v>
      </c>
      <c r="E389" s="194">
        <v>97.57</v>
      </c>
      <c r="F389" s="211">
        <f t="shared" si="39"/>
        <v>11.273011</v>
      </c>
      <c r="H389" s="215">
        <v>45263</v>
      </c>
      <c r="I389" s="205">
        <v>2607817</v>
      </c>
      <c r="J389" s="205">
        <v>127</v>
      </c>
      <c r="K389" s="205">
        <v>2607944</v>
      </c>
      <c r="L389" s="205">
        <v>100</v>
      </c>
      <c r="M389" s="114">
        <f t="shared" si="38"/>
        <v>2.6079439999999998</v>
      </c>
      <c r="O389" s="215">
        <v>45263</v>
      </c>
      <c r="P389" s="205" t="e">
        <f>46503148+#REF!</f>
        <v>#REF!</v>
      </c>
      <c r="Q389" s="205" t="e">
        <f>8647235+#REF!</f>
        <v>#REF!</v>
      </c>
      <c r="R389" s="205" t="e">
        <f>55150383+#REF!</f>
        <v>#REF!</v>
      </c>
      <c r="S389" s="114" t="e">
        <f t="shared" si="44"/>
        <v>#REF!</v>
      </c>
      <c r="T389" s="212" t="e">
        <f t="shared" si="43"/>
        <v>#REF!</v>
      </c>
      <c r="W389" s="215">
        <v>45263</v>
      </c>
      <c r="X389" s="1">
        <v>3139</v>
      </c>
      <c r="Y389" s="104">
        <v>12000</v>
      </c>
      <c r="Z389" s="114">
        <f>X389/Y389%</f>
        <v>26.158333333333335</v>
      </c>
      <c r="AB389" s="215">
        <v>45263</v>
      </c>
      <c r="AC389" s="1">
        <v>1046</v>
      </c>
      <c r="AD389" s="104">
        <v>12000</v>
      </c>
      <c r="AE389" s="114">
        <f t="shared" si="42"/>
        <v>8.7166666666666668</v>
      </c>
      <c r="AG389" s="215">
        <v>45263</v>
      </c>
      <c r="AH389" s="1">
        <v>3743</v>
      </c>
      <c r="AI389" s="104">
        <v>12000</v>
      </c>
      <c r="AJ389" s="46">
        <f t="shared" si="40"/>
        <v>31.191666666666666</v>
      </c>
      <c r="AL389" s="140">
        <v>45187</v>
      </c>
      <c r="AM389" s="101" t="s">
        <v>192</v>
      </c>
      <c r="AN389" s="101">
        <v>12650</v>
      </c>
      <c r="AP389" s="140">
        <v>45187</v>
      </c>
      <c r="AQ389" s="101" t="s">
        <v>194</v>
      </c>
      <c r="AR389" s="101">
        <v>1473826</v>
      </c>
    </row>
    <row r="390" spans="1:48" ht="15.75" hidden="1" x14ac:dyDescent="0.25">
      <c r="A390" s="113">
        <v>45264</v>
      </c>
      <c r="B390" s="194">
        <v>10415003</v>
      </c>
      <c r="C390" s="194">
        <v>232108</v>
      </c>
      <c r="D390" s="194">
        <v>10647111</v>
      </c>
      <c r="E390" s="194">
        <v>97.82</v>
      </c>
      <c r="F390" s="211">
        <f t="shared" si="39"/>
        <v>10.647111000000001</v>
      </c>
      <c r="H390" s="215">
        <v>45264</v>
      </c>
      <c r="I390" s="205">
        <v>2851488</v>
      </c>
      <c r="J390" s="205">
        <v>111</v>
      </c>
      <c r="K390" s="205">
        <v>2851599</v>
      </c>
      <c r="L390" s="205">
        <v>100</v>
      </c>
      <c r="M390" s="114">
        <f t="shared" si="38"/>
        <v>2.8515990000000002</v>
      </c>
      <c r="O390" s="215">
        <v>45264</v>
      </c>
      <c r="P390" s="205" t="e">
        <f>60578192+#REF!</f>
        <v>#REF!</v>
      </c>
      <c r="Q390" s="205" t="e">
        <f>17946039+#REF!</f>
        <v>#REF!</v>
      </c>
      <c r="R390" s="205" t="e">
        <f>78524231+#REF!</f>
        <v>#REF!</v>
      </c>
      <c r="S390" s="114" t="e">
        <f t="shared" si="44"/>
        <v>#REF!</v>
      </c>
      <c r="T390" s="212" t="e">
        <f t="shared" si="43"/>
        <v>#REF!</v>
      </c>
      <c r="W390" s="215">
        <v>45264</v>
      </c>
      <c r="X390" s="1">
        <v>5034</v>
      </c>
      <c r="Y390" s="104">
        <v>12000</v>
      </c>
      <c r="Z390" s="114">
        <f>X390/Y390%</f>
        <v>41.95</v>
      </c>
      <c r="AB390" s="215">
        <v>45264</v>
      </c>
      <c r="AC390" s="1">
        <v>1144</v>
      </c>
      <c r="AD390" s="104">
        <v>12000</v>
      </c>
      <c r="AE390" s="114">
        <f t="shared" si="42"/>
        <v>9.5333333333333332</v>
      </c>
      <c r="AG390" s="215">
        <v>45264</v>
      </c>
      <c r="AH390" s="1">
        <v>5744</v>
      </c>
      <c r="AI390" s="104">
        <v>12000</v>
      </c>
      <c r="AJ390" s="46">
        <f t="shared" si="40"/>
        <v>47.866666666666667</v>
      </c>
      <c r="AL390" s="140">
        <v>45187</v>
      </c>
      <c r="AM390" s="101" t="s">
        <v>194</v>
      </c>
      <c r="AN390" s="101">
        <v>12128</v>
      </c>
      <c r="AP390" s="140">
        <v>45187</v>
      </c>
      <c r="AQ390" s="101" t="s">
        <v>191</v>
      </c>
      <c r="AR390" s="101">
        <v>775126</v>
      </c>
    </row>
    <row r="391" spans="1:48" ht="15.75" hidden="1" x14ac:dyDescent="0.25">
      <c r="A391" s="113">
        <v>45265</v>
      </c>
      <c r="B391" s="194">
        <v>10498214</v>
      </c>
      <c r="C391" s="194">
        <v>302730</v>
      </c>
      <c r="D391" s="194">
        <v>10800944</v>
      </c>
      <c r="E391" s="194">
        <v>97.2</v>
      </c>
      <c r="F391" s="211">
        <f t="shared" si="39"/>
        <v>10.800943999999999</v>
      </c>
      <c r="H391" s="215">
        <v>45265</v>
      </c>
      <c r="I391" s="205">
        <v>5037721</v>
      </c>
      <c r="J391" s="205">
        <v>1822</v>
      </c>
      <c r="K391" s="205">
        <v>5039543</v>
      </c>
      <c r="L391" s="205">
        <v>99.96</v>
      </c>
      <c r="M391" s="114">
        <f t="shared" si="38"/>
        <v>5.0395430000000001</v>
      </c>
      <c r="O391" s="215">
        <v>45265</v>
      </c>
      <c r="P391" s="205" t="e">
        <f>68619254+#REF!</f>
        <v>#REF!</v>
      </c>
      <c r="Q391" s="205" t="e">
        <f>21162113+#REF!</f>
        <v>#REF!</v>
      </c>
      <c r="R391" s="205" t="e">
        <f>89781367+#REF!</f>
        <v>#REF!</v>
      </c>
      <c r="S391" s="114" t="e">
        <f t="shared" si="44"/>
        <v>#REF!</v>
      </c>
      <c r="T391" s="212" t="e">
        <f t="shared" si="43"/>
        <v>#REF!</v>
      </c>
      <c r="W391" s="215">
        <v>45265</v>
      </c>
      <c r="X391" s="1">
        <v>7438</v>
      </c>
      <c r="Y391" s="104">
        <v>12000</v>
      </c>
      <c r="Z391" s="114">
        <f>X391/Y391%</f>
        <v>61.983333333333334</v>
      </c>
      <c r="AB391" s="215">
        <v>45265</v>
      </c>
      <c r="AC391" s="1">
        <v>2054</v>
      </c>
      <c r="AD391" s="104">
        <v>12000</v>
      </c>
      <c r="AE391" s="114">
        <f t="shared" si="42"/>
        <v>17.116666666666667</v>
      </c>
      <c r="AG391" s="215">
        <v>45265</v>
      </c>
      <c r="AH391" s="1">
        <v>8169</v>
      </c>
      <c r="AI391" s="104">
        <v>12000</v>
      </c>
      <c r="AJ391" s="46">
        <f t="shared" si="40"/>
        <v>68.075000000000003</v>
      </c>
      <c r="AL391" s="140">
        <v>45187</v>
      </c>
      <c r="AM391" s="101" t="s">
        <v>199</v>
      </c>
      <c r="AN391" s="101">
        <v>8645</v>
      </c>
      <c r="AP391" s="140">
        <v>45187</v>
      </c>
      <c r="AQ391" s="101" t="s">
        <v>200</v>
      </c>
      <c r="AR391" s="101">
        <v>169730</v>
      </c>
    </row>
    <row r="392" spans="1:48" ht="15.75" hidden="1" x14ac:dyDescent="0.25">
      <c r="A392" s="113">
        <v>45266</v>
      </c>
      <c r="B392" s="194">
        <v>10678587</v>
      </c>
      <c r="C392" s="194">
        <v>302247</v>
      </c>
      <c r="D392" s="194">
        <v>10980834</v>
      </c>
      <c r="E392" s="194">
        <v>97.25</v>
      </c>
      <c r="F392" s="211">
        <f t="shared" si="39"/>
        <v>10.980834</v>
      </c>
      <c r="H392" s="215">
        <v>45266</v>
      </c>
      <c r="I392" s="205">
        <v>3358240</v>
      </c>
      <c r="J392" s="205">
        <v>137</v>
      </c>
      <c r="K392" s="205">
        <v>3358377</v>
      </c>
      <c r="L392" s="205">
        <v>100</v>
      </c>
      <c r="M392" s="114">
        <f t="shared" si="38"/>
        <v>3.3583769999999999</v>
      </c>
      <c r="O392" s="215">
        <v>45266</v>
      </c>
      <c r="P392" s="205" t="e">
        <f>55976888+#REF!</f>
        <v>#REF!</v>
      </c>
      <c r="Q392" s="205" t="e">
        <f>13695379+#REF!</f>
        <v>#REF!</v>
      </c>
      <c r="R392" s="205" t="e">
        <f>69672267+#REF!</f>
        <v>#REF!</v>
      </c>
      <c r="S392" s="114" t="e">
        <f t="shared" si="44"/>
        <v>#REF!</v>
      </c>
      <c r="T392" s="212" t="e">
        <f t="shared" si="43"/>
        <v>#REF!</v>
      </c>
      <c r="W392" s="215">
        <v>45266</v>
      </c>
      <c r="X392" s="1">
        <v>3703</v>
      </c>
      <c r="Y392" s="104">
        <v>12000</v>
      </c>
      <c r="Z392" s="114">
        <f>X392/Y392%</f>
        <v>30.858333333333334</v>
      </c>
      <c r="AB392" s="215">
        <v>45266</v>
      </c>
      <c r="AC392" s="1">
        <v>1089</v>
      </c>
      <c r="AD392" s="104">
        <v>12000</v>
      </c>
      <c r="AE392" s="114">
        <f t="shared" si="42"/>
        <v>9.0749999999999993</v>
      </c>
      <c r="AG392" s="215">
        <v>45266</v>
      </c>
      <c r="AH392" s="1">
        <v>4247</v>
      </c>
      <c r="AI392" s="104">
        <v>12000</v>
      </c>
      <c r="AJ392" s="46">
        <f t="shared" si="40"/>
        <v>35.391666666666666</v>
      </c>
    </row>
    <row r="393" spans="1:48" hidden="1" x14ac:dyDescent="0.25">
      <c r="A393" s="113">
        <v>45267</v>
      </c>
      <c r="B393" s="101">
        <v>10492533</v>
      </c>
      <c r="C393" s="101">
        <v>292515</v>
      </c>
      <c r="D393" s="101">
        <v>10785048</v>
      </c>
      <c r="E393" s="101">
        <v>97.29</v>
      </c>
      <c r="F393" s="211">
        <f t="shared" si="39"/>
        <v>10.785048</v>
      </c>
      <c r="H393" s="215">
        <v>45267</v>
      </c>
      <c r="I393" s="104">
        <v>8167299</v>
      </c>
      <c r="J393" s="104">
        <v>183</v>
      </c>
      <c r="K393" s="104">
        <v>8167482</v>
      </c>
      <c r="L393" s="104">
        <v>100</v>
      </c>
      <c r="M393" s="114">
        <f t="shared" si="38"/>
        <v>8.1674819999999997</v>
      </c>
      <c r="O393" s="215">
        <v>45267</v>
      </c>
      <c r="P393" s="104" t="e">
        <f>81862627+#REF!</f>
        <v>#REF!</v>
      </c>
      <c r="Q393" s="104" t="e">
        <f>24520721+#REF!</f>
        <v>#REF!</v>
      </c>
      <c r="R393" s="104" t="e">
        <f>106383348+#REF!</f>
        <v>#REF!</v>
      </c>
      <c r="S393" s="114" t="e">
        <f t="shared" si="44"/>
        <v>#REF!</v>
      </c>
      <c r="T393" s="212" t="e">
        <f t="shared" si="43"/>
        <v>#REF!</v>
      </c>
      <c r="W393" s="215">
        <v>45267</v>
      </c>
      <c r="X393" s="1">
        <v>6186</v>
      </c>
      <c r="Y393" s="104">
        <v>12000</v>
      </c>
      <c r="Z393" s="114">
        <f>X393/Y393%</f>
        <v>51.55</v>
      </c>
      <c r="AB393" s="215">
        <v>45267</v>
      </c>
      <c r="AC393" s="1">
        <v>1136</v>
      </c>
      <c r="AD393" s="104">
        <v>12000</v>
      </c>
      <c r="AE393" s="114">
        <f t="shared" si="42"/>
        <v>9.4666666666666668</v>
      </c>
      <c r="AG393" s="215">
        <v>45267</v>
      </c>
      <c r="AH393" s="1">
        <v>6819</v>
      </c>
      <c r="AI393" s="104">
        <v>12000</v>
      </c>
      <c r="AJ393" s="46">
        <f t="shared" si="40"/>
        <v>56.825000000000003</v>
      </c>
      <c r="AL393" s="70">
        <v>45188</v>
      </c>
      <c r="AM393" s="101" t="s">
        <v>189</v>
      </c>
      <c r="AN393" s="101">
        <v>293868</v>
      </c>
      <c r="AP393" s="70">
        <v>45188</v>
      </c>
      <c r="AQ393" s="101" t="s">
        <v>189</v>
      </c>
      <c r="AR393" s="101">
        <v>17066517</v>
      </c>
      <c r="AT393" s="70">
        <v>45188</v>
      </c>
      <c r="AU393" s="101" t="s">
        <v>190</v>
      </c>
      <c r="AV393" s="101">
        <v>17313</v>
      </c>
    </row>
    <row r="394" spans="1:48" ht="15.75" hidden="1" x14ac:dyDescent="0.25">
      <c r="A394" s="113">
        <v>45268</v>
      </c>
      <c r="B394" s="194">
        <v>10892867</v>
      </c>
      <c r="C394" s="194">
        <v>321430</v>
      </c>
      <c r="D394" s="194">
        <v>11214297</v>
      </c>
      <c r="E394" s="194">
        <v>97.13</v>
      </c>
      <c r="F394" s="211">
        <f t="shared" si="39"/>
        <v>11.214297</v>
      </c>
      <c r="H394" s="215">
        <v>45268</v>
      </c>
      <c r="I394" s="205">
        <v>7579000</v>
      </c>
      <c r="J394" s="205">
        <v>128</v>
      </c>
      <c r="K394" s="205">
        <v>7579128</v>
      </c>
      <c r="L394" s="205">
        <v>100</v>
      </c>
      <c r="M394" s="114">
        <f t="shared" si="38"/>
        <v>7.5791279999999999</v>
      </c>
      <c r="O394" s="215">
        <v>45268</v>
      </c>
      <c r="P394" s="205">
        <v>93964194</v>
      </c>
      <c r="Q394" s="205">
        <v>37241930</v>
      </c>
      <c r="R394" s="205">
        <v>131206124</v>
      </c>
      <c r="S394" s="205">
        <v>71.62</v>
      </c>
      <c r="T394" s="212">
        <f t="shared" si="43"/>
        <v>131.20612399999999</v>
      </c>
      <c r="W394" s="215">
        <v>45268</v>
      </c>
      <c r="X394" s="1">
        <v>11000</v>
      </c>
      <c r="Y394" s="104">
        <v>12000</v>
      </c>
      <c r="Z394" s="114">
        <f t="shared" ref="Z394:Z457" si="46">X394/Y394%</f>
        <v>91.666666666666671</v>
      </c>
      <c r="AB394" s="215">
        <v>45268</v>
      </c>
      <c r="AC394" s="1">
        <v>1197</v>
      </c>
      <c r="AD394" s="104">
        <v>12000</v>
      </c>
      <c r="AE394" s="114">
        <f t="shared" si="42"/>
        <v>9.9749999999999996</v>
      </c>
      <c r="AG394" s="215">
        <v>45268</v>
      </c>
      <c r="AH394" s="1">
        <v>11666</v>
      </c>
      <c r="AI394" s="104">
        <v>12000</v>
      </c>
      <c r="AJ394" s="46">
        <f t="shared" si="40"/>
        <v>97.216666666666669</v>
      </c>
      <c r="AL394" s="70">
        <v>45188</v>
      </c>
      <c r="AM394" s="101" t="s">
        <v>191</v>
      </c>
      <c r="AN394" s="101">
        <v>31530</v>
      </c>
      <c r="AP394" s="70">
        <v>45188</v>
      </c>
      <c r="AQ394" s="101" t="s">
        <v>192</v>
      </c>
      <c r="AR394" s="101">
        <v>2474902</v>
      </c>
      <c r="AT394" s="70">
        <v>45188</v>
      </c>
      <c r="AU394" s="101" t="s">
        <v>193</v>
      </c>
      <c r="AV394" s="101">
        <v>151</v>
      </c>
    </row>
    <row r="395" spans="1:48" ht="15.75" hidden="1" x14ac:dyDescent="0.25">
      <c r="A395" s="113">
        <v>45269</v>
      </c>
      <c r="B395" s="194">
        <v>11186420</v>
      </c>
      <c r="C395" s="194">
        <v>334825</v>
      </c>
      <c r="D395" s="194">
        <v>11521245</v>
      </c>
      <c r="E395" s="194">
        <v>97.09</v>
      </c>
      <c r="F395" s="211">
        <f t="shared" si="39"/>
        <v>11.521245</v>
      </c>
      <c r="H395" s="215">
        <v>45269</v>
      </c>
      <c r="I395" s="205">
        <v>2890055</v>
      </c>
      <c r="J395" s="205">
        <v>94</v>
      </c>
      <c r="K395" s="205">
        <v>2890149</v>
      </c>
      <c r="L395" s="205">
        <v>100</v>
      </c>
      <c r="M395" s="114">
        <f t="shared" si="38"/>
        <v>2.8901490000000001</v>
      </c>
      <c r="O395" s="215">
        <v>45269</v>
      </c>
      <c r="P395" s="205">
        <v>81708217</v>
      </c>
      <c r="Q395" s="205">
        <v>33681986</v>
      </c>
      <c r="R395" s="205">
        <v>115390203</v>
      </c>
      <c r="S395" s="205">
        <v>70.81</v>
      </c>
      <c r="T395" s="212">
        <f t="shared" si="43"/>
        <v>115.390203</v>
      </c>
      <c r="W395" s="215">
        <v>45269</v>
      </c>
      <c r="X395" s="1">
        <v>8036</v>
      </c>
      <c r="Y395" s="104">
        <v>12000</v>
      </c>
      <c r="Z395" s="114">
        <f t="shared" si="46"/>
        <v>66.966666666666669</v>
      </c>
      <c r="AB395" s="215">
        <v>45269</v>
      </c>
      <c r="AC395" s="1">
        <v>1054</v>
      </c>
      <c r="AD395" s="104">
        <v>12000</v>
      </c>
      <c r="AE395" s="114">
        <f t="shared" si="42"/>
        <v>8.7833333333333332</v>
      </c>
      <c r="AG395" s="215">
        <v>45269</v>
      </c>
      <c r="AH395" s="1">
        <v>8681</v>
      </c>
      <c r="AI395" s="104">
        <v>12000</v>
      </c>
      <c r="AJ395" s="46">
        <f t="shared" si="40"/>
        <v>72.341666666666669</v>
      </c>
      <c r="AL395" s="70">
        <v>45188</v>
      </c>
      <c r="AM395" s="101" t="s">
        <v>194</v>
      </c>
      <c r="AN395" s="101">
        <v>28615</v>
      </c>
      <c r="AP395" s="70">
        <v>45188</v>
      </c>
      <c r="AQ395" s="101" t="s">
        <v>194</v>
      </c>
      <c r="AR395" s="101">
        <v>1522753</v>
      </c>
    </row>
    <row r="396" spans="1:48" ht="15.75" hidden="1" x14ac:dyDescent="0.25">
      <c r="A396" s="113">
        <v>45270</v>
      </c>
      <c r="B396" s="194">
        <v>10401104</v>
      </c>
      <c r="C396" s="194">
        <v>35428</v>
      </c>
      <c r="D396" s="194">
        <v>10436532</v>
      </c>
      <c r="E396" s="194">
        <v>99.66</v>
      </c>
      <c r="F396" s="211">
        <f t="shared" si="39"/>
        <v>10.436532</v>
      </c>
      <c r="H396" s="215">
        <v>45270</v>
      </c>
      <c r="I396" s="205">
        <v>1394054</v>
      </c>
      <c r="J396" s="205">
        <v>28</v>
      </c>
      <c r="K396" s="205">
        <v>1394082</v>
      </c>
      <c r="L396" s="205">
        <v>100</v>
      </c>
      <c r="M396" s="114">
        <f t="shared" si="38"/>
        <v>1.394082</v>
      </c>
      <c r="O396" s="215">
        <v>45270</v>
      </c>
      <c r="P396" s="205">
        <f>49839218+3536680</f>
        <v>53375898</v>
      </c>
      <c r="Q396" s="205">
        <f>30609258+3569920</f>
        <v>34179178</v>
      </c>
      <c r="R396" s="205">
        <f>80448476+7106600</f>
        <v>87555076</v>
      </c>
      <c r="S396" s="221">
        <f>P396/R396%</f>
        <v>60.962653952810228</v>
      </c>
      <c r="T396" s="212">
        <f t="shared" si="43"/>
        <v>87.555076</v>
      </c>
      <c r="W396" s="215">
        <v>45270</v>
      </c>
      <c r="X396" s="1">
        <v>3421</v>
      </c>
      <c r="Y396" s="104">
        <v>12000</v>
      </c>
      <c r="Z396" s="114">
        <f t="shared" si="46"/>
        <v>28.508333333333333</v>
      </c>
      <c r="AB396" s="215">
        <v>45270</v>
      </c>
      <c r="AC396" s="1">
        <v>1026</v>
      </c>
      <c r="AD396" s="104">
        <v>12000</v>
      </c>
      <c r="AE396" s="114">
        <f t="shared" si="42"/>
        <v>8.5500000000000007</v>
      </c>
      <c r="AG396" s="215">
        <v>45270</v>
      </c>
      <c r="AH396" s="1">
        <v>3753</v>
      </c>
      <c r="AI396" s="104">
        <v>12000</v>
      </c>
      <c r="AJ396" s="46">
        <f t="shared" si="40"/>
        <v>31.274999999999999</v>
      </c>
      <c r="AL396" s="70">
        <v>45188</v>
      </c>
      <c r="AM396" s="101" t="s">
        <v>192</v>
      </c>
      <c r="AN396" s="101">
        <v>22689</v>
      </c>
      <c r="AP396" s="70">
        <v>45188</v>
      </c>
      <c r="AQ396" s="101" t="s">
        <v>191</v>
      </c>
      <c r="AR396" s="101">
        <v>695024</v>
      </c>
    </row>
    <row r="397" spans="1:48" ht="15.75" hidden="1" x14ac:dyDescent="0.25">
      <c r="A397" s="113">
        <v>45271</v>
      </c>
      <c r="B397" s="194">
        <v>10012496</v>
      </c>
      <c r="C397" s="194">
        <v>223221</v>
      </c>
      <c r="D397" s="194">
        <v>10235717</v>
      </c>
      <c r="E397" s="194">
        <v>97.81</v>
      </c>
      <c r="F397" s="211">
        <f t="shared" si="39"/>
        <v>10.235716999999999</v>
      </c>
      <c r="H397" s="215">
        <v>45271</v>
      </c>
      <c r="I397" s="205">
        <v>2964618</v>
      </c>
      <c r="J397" s="205">
        <v>3493</v>
      </c>
      <c r="K397" s="205">
        <v>2968111</v>
      </c>
      <c r="L397" s="205">
        <v>99.88</v>
      </c>
      <c r="M397" s="114">
        <f t="shared" si="38"/>
        <v>2.9681109999999999</v>
      </c>
      <c r="O397" s="215">
        <v>45271</v>
      </c>
      <c r="P397" s="205">
        <v>71663120</v>
      </c>
      <c r="Q397" s="205">
        <v>37870244</v>
      </c>
      <c r="R397" s="205">
        <v>109533364</v>
      </c>
      <c r="S397" s="205">
        <v>65.42</v>
      </c>
      <c r="T397" s="212">
        <f t="shared" si="43"/>
        <v>109.53336400000001</v>
      </c>
      <c r="W397" s="215">
        <v>45271</v>
      </c>
      <c r="X397" s="1">
        <v>5557</v>
      </c>
      <c r="Y397" s="104">
        <v>12000</v>
      </c>
      <c r="Z397" s="114">
        <f t="shared" si="46"/>
        <v>46.30833333333333</v>
      </c>
      <c r="AB397" s="215">
        <v>45271</v>
      </c>
      <c r="AC397" s="1">
        <v>1130</v>
      </c>
      <c r="AD397" s="104">
        <v>12000</v>
      </c>
      <c r="AE397" s="114">
        <f t="shared" si="42"/>
        <v>9.4166666666666661</v>
      </c>
      <c r="AG397" s="215">
        <v>45271</v>
      </c>
      <c r="AH397" s="1">
        <v>6220</v>
      </c>
      <c r="AI397" s="104">
        <v>12000</v>
      </c>
      <c r="AJ397" s="46">
        <f t="shared" si="40"/>
        <v>51.833333333333336</v>
      </c>
      <c r="AL397" s="70">
        <v>45188</v>
      </c>
      <c r="AM397" s="101" t="s">
        <v>197</v>
      </c>
      <c r="AN397" s="101">
        <v>9561</v>
      </c>
      <c r="AP397" s="70">
        <v>45188</v>
      </c>
      <c r="AQ397" s="101" t="s">
        <v>169</v>
      </c>
      <c r="AR397" s="101">
        <v>235042</v>
      </c>
    </row>
    <row r="398" spans="1:48" ht="15.75" hidden="1" x14ac:dyDescent="0.25">
      <c r="A398" s="113">
        <v>45272</v>
      </c>
      <c r="B398" s="194">
        <v>9889854</v>
      </c>
      <c r="C398" s="194">
        <v>328291</v>
      </c>
      <c r="D398" s="194">
        <v>10218145</v>
      </c>
      <c r="E398" s="194">
        <v>96.79</v>
      </c>
      <c r="F398" s="211">
        <f t="shared" si="39"/>
        <v>10.218145</v>
      </c>
      <c r="H398" s="215">
        <v>45272</v>
      </c>
      <c r="I398" s="205">
        <v>2110784</v>
      </c>
      <c r="J398" s="205">
        <v>9105</v>
      </c>
      <c r="K398" s="205">
        <v>2119889</v>
      </c>
      <c r="L398" s="205">
        <v>99.57</v>
      </c>
      <c r="M398" s="114">
        <f t="shared" si="38"/>
        <v>2.1198890000000001</v>
      </c>
      <c r="O398" s="215">
        <v>45272</v>
      </c>
      <c r="P398" s="205">
        <v>71693995</v>
      </c>
      <c r="Q398" s="205">
        <v>40040941</v>
      </c>
      <c r="R398" s="205">
        <v>111734936</v>
      </c>
      <c r="S398" s="205">
        <v>64.16</v>
      </c>
      <c r="T398" s="212">
        <f t="shared" si="43"/>
        <v>111.734936</v>
      </c>
      <c r="W398" s="215">
        <v>45272</v>
      </c>
      <c r="X398" s="1">
        <v>12213</v>
      </c>
      <c r="Y398" s="104">
        <v>12000</v>
      </c>
      <c r="Z398" s="114">
        <f t="shared" si="46"/>
        <v>101.77500000000001</v>
      </c>
      <c r="AB398" s="215">
        <v>45272</v>
      </c>
      <c r="AC398" s="1">
        <v>705</v>
      </c>
      <c r="AD398" s="104">
        <v>12000</v>
      </c>
      <c r="AE398" s="114">
        <f t="shared" si="42"/>
        <v>5.875</v>
      </c>
      <c r="AG398" s="215">
        <v>45272</v>
      </c>
      <c r="AH398" s="1">
        <v>12279</v>
      </c>
      <c r="AI398" s="104">
        <v>12000</v>
      </c>
      <c r="AJ398" s="46">
        <f t="shared" si="40"/>
        <v>102.325</v>
      </c>
    </row>
    <row r="399" spans="1:48" hidden="1" x14ac:dyDescent="0.25">
      <c r="A399" s="113">
        <v>45273</v>
      </c>
      <c r="B399" s="101">
        <v>9760245</v>
      </c>
      <c r="C399" s="101">
        <v>326070</v>
      </c>
      <c r="D399" s="101">
        <v>10086315</v>
      </c>
      <c r="E399" s="101">
        <v>96.77</v>
      </c>
      <c r="F399" s="211">
        <f t="shared" si="39"/>
        <v>10.086315000000001</v>
      </c>
      <c r="H399" s="215">
        <v>45273</v>
      </c>
      <c r="I399" s="104">
        <v>5481281</v>
      </c>
      <c r="J399" s="104">
        <v>1215</v>
      </c>
      <c r="K399" s="104">
        <v>5482496</v>
      </c>
      <c r="L399" s="104">
        <v>99.98</v>
      </c>
      <c r="M399" s="114">
        <f t="shared" si="38"/>
        <v>5.4824960000000003</v>
      </c>
      <c r="O399" s="215">
        <v>45273</v>
      </c>
      <c r="P399" s="104">
        <v>83456867</v>
      </c>
      <c r="Q399" s="104">
        <v>42267771</v>
      </c>
      <c r="R399" s="104">
        <v>125724638</v>
      </c>
      <c r="S399" s="104">
        <v>66.38</v>
      </c>
      <c r="T399" s="212">
        <f t="shared" si="43"/>
        <v>125.724638</v>
      </c>
      <c r="W399" s="215">
        <v>45273</v>
      </c>
      <c r="X399" s="1">
        <v>12450</v>
      </c>
      <c r="Y399" s="104">
        <v>12000</v>
      </c>
      <c r="Z399" s="114">
        <f t="shared" si="46"/>
        <v>103.75</v>
      </c>
      <c r="AB399" s="215">
        <v>45273</v>
      </c>
      <c r="AC399" s="1">
        <v>1030</v>
      </c>
      <c r="AD399" s="104">
        <v>12000</v>
      </c>
      <c r="AE399" s="114">
        <f t="shared" si="42"/>
        <v>8.5833333333333339</v>
      </c>
      <c r="AG399" s="215">
        <v>45273</v>
      </c>
      <c r="AH399" s="1">
        <v>12938</v>
      </c>
      <c r="AI399" s="104">
        <v>12000</v>
      </c>
      <c r="AJ399" s="46">
        <f t="shared" si="40"/>
        <v>107.81666666666666</v>
      </c>
      <c r="AL399" s="222">
        <v>45189</v>
      </c>
      <c r="AM399" s="101" t="s">
        <v>189</v>
      </c>
      <c r="AN399" s="101">
        <v>296112</v>
      </c>
      <c r="AP399" s="222">
        <v>45189</v>
      </c>
      <c r="AQ399" s="101" t="s">
        <v>189</v>
      </c>
      <c r="AR399" s="101">
        <v>18478080</v>
      </c>
      <c r="AT399" s="222">
        <v>45189</v>
      </c>
      <c r="AU399" s="101" t="s">
        <v>190</v>
      </c>
      <c r="AV399" s="101">
        <v>2378</v>
      </c>
    </row>
    <row r="400" spans="1:48" ht="15.75" hidden="1" x14ac:dyDescent="0.25">
      <c r="A400" s="113">
        <v>45274</v>
      </c>
      <c r="B400" s="194">
        <v>9896864</v>
      </c>
      <c r="C400" s="194">
        <v>314532</v>
      </c>
      <c r="D400" s="194">
        <v>10211396</v>
      </c>
      <c r="E400" s="194">
        <v>96.92</v>
      </c>
      <c r="F400" s="211">
        <f t="shared" si="39"/>
        <v>10.211396000000001</v>
      </c>
      <c r="H400" s="215">
        <v>45274</v>
      </c>
      <c r="I400" s="205">
        <v>6944884</v>
      </c>
      <c r="J400" s="205">
        <v>1923</v>
      </c>
      <c r="K400" s="205">
        <v>6946807</v>
      </c>
      <c r="L400" s="205">
        <v>99.97</v>
      </c>
      <c r="M400" s="114">
        <f t="shared" si="38"/>
        <v>6.9468069999999997</v>
      </c>
      <c r="O400" s="215">
        <v>45274</v>
      </c>
      <c r="P400" s="205">
        <v>93986691</v>
      </c>
      <c r="Q400" s="205">
        <v>42931080</v>
      </c>
      <c r="R400" s="205">
        <v>136917771</v>
      </c>
      <c r="S400" s="205">
        <v>68.64</v>
      </c>
      <c r="T400" s="212">
        <f t="shared" si="43"/>
        <v>136.91777099999999</v>
      </c>
      <c r="W400" s="215">
        <v>45274</v>
      </c>
      <c r="X400" s="1">
        <v>7549</v>
      </c>
      <c r="Y400" s="104">
        <v>12000</v>
      </c>
      <c r="Z400" s="114">
        <f t="shared" si="46"/>
        <v>62.908333333333331</v>
      </c>
      <c r="AB400" s="215">
        <v>45274</v>
      </c>
      <c r="AC400" s="1">
        <v>1123</v>
      </c>
      <c r="AD400" s="104">
        <v>12000</v>
      </c>
      <c r="AE400" s="114">
        <f t="shared" si="42"/>
        <v>9.3583333333333325</v>
      </c>
      <c r="AG400" s="215">
        <v>45274</v>
      </c>
      <c r="AH400" s="1">
        <v>8625</v>
      </c>
      <c r="AI400" s="104">
        <v>12000</v>
      </c>
      <c r="AJ400" s="46">
        <f t="shared" si="40"/>
        <v>71.875</v>
      </c>
      <c r="AL400" s="222">
        <v>45189</v>
      </c>
      <c r="AM400" s="101" t="s">
        <v>191</v>
      </c>
      <c r="AN400" s="101">
        <v>34276</v>
      </c>
      <c r="AP400" s="222">
        <v>45189</v>
      </c>
      <c r="AQ400" s="101" t="s">
        <v>192</v>
      </c>
      <c r="AR400" s="101">
        <v>2773275</v>
      </c>
      <c r="AT400" s="222">
        <v>45189</v>
      </c>
      <c r="AU400" s="101" t="s">
        <v>193</v>
      </c>
      <c r="AV400" s="101">
        <v>139</v>
      </c>
    </row>
    <row r="401" spans="1:48" ht="15.75" hidden="1" x14ac:dyDescent="0.25">
      <c r="A401" s="113">
        <v>45275</v>
      </c>
      <c r="B401" s="194">
        <v>10629775</v>
      </c>
      <c r="C401" s="194">
        <v>301966</v>
      </c>
      <c r="D401" s="194">
        <v>10931741</v>
      </c>
      <c r="E401" s="194">
        <v>97.24</v>
      </c>
      <c r="F401" s="211">
        <f t="shared" si="39"/>
        <v>10.931741000000001</v>
      </c>
      <c r="H401" s="215">
        <v>45275</v>
      </c>
      <c r="I401" s="205">
        <v>3897257</v>
      </c>
      <c r="J401" s="205">
        <v>3144</v>
      </c>
      <c r="K401" s="205">
        <v>3900401</v>
      </c>
      <c r="L401" s="205">
        <v>99.92</v>
      </c>
      <c r="M401" s="114">
        <f t="shared" ref="M401:M464" si="47">K401/1000000</f>
        <v>3.900401</v>
      </c>
      <c r="O401" s="215">
        <v>45275</v>
      </c>
      <c r="P401" s="205">
        <v>84956753</v>
      </c>
      <c r="Q401" s="205">
        <v>38400166</v>
      </c>
      <c r="R401" s="205">
        <v>123356919</v>
      </c>
      <c r="S401" s="205">
        <v>68.87</v>
      </c>
      <c r="T401" s="212">
        <f t="shared" si="43"/>
        <v>123.356919</v>
      </c>
      <c r="W401" s="215">
        <v>45275</v>
      </c>
      <c r="X401" s="1">
        <v>11000</v>
      </c>
      <c r="Y401" s="104">
        <v>12000</v>
      </c>
      <c r="Z401" s="114">
        <f t="shared" si="46"/>
        <v>91.666666666666671</v>
      </c>
      <c r="AB401" s="215">
        <v>45275</v>
      </c>
      <c r="AC401" s="1">
        <v>1677</v>
      </c>
      <c r="AD401" s="104">
        <v>12000</v>
      </c>
      <c r="AE401" s="114">
        <f t="shared" si="42"/>
        <v>13.975</v>
      </c>
      <c r="AG401" s="215">
        <v>45275</v>
      </c>
      <c r="AH401" s="1">
        <v>11621</v>
      </c>
      <c r="AI401" s="104">
        <v>12000</v>
      </c>
      <c r="AJ401" s="46">
        <f t="shared" si="40"/>
        <v>96.841666666666669</v>
      </c>
      <c r="AL401" s="222">
        <v>45189</v>
      </c>
      <c r="AM401" s="101" t="s">
        <v>194</v>
      </c>
      <c r="AN401" s="101">
        <v>28816</v>
      </c>
      <c r="AP401" s="222">
        <v>45189</v>
      </c>
      <c r="AQ401" s="101" t="s">
        <v>194</v>
      </c>
      <c r="AR401" s="101">
        <v>1395211</v>
      </c>
    </row>
    <row r="402" spans="1:48" ht="15.75" hidden="1" x14ac:dyDescent="0.25">
      <c r="A402" s="113">
        <v>45276</v>
      </c>
      <c r="B402" s="194">
        <v>11076554</v>
      </c>
      <c r="C402" s="194">
        <v>334623</v>
      </c>
      <c r="D402" s="194">
        <v>11411177</v>
      </c>
      <c r="E402" s="194">
        <v>97.07</v>
      </c>
      <c r="F402" s="211">
        <f t="shared" si="39"/>
        <v>11.411177</v>
      </c>
      <c r="H402" s="215">
        <v>45276</v>
      </c>
      <c r="I402" s="205">
        <v>7624639</v>
      </c>
      <c r="J402" s="205">
        <v>22</v>
      </c>
      <c r="K402" s="205">
        <v>7624661</v>
      </c>
      <c r="L402" s="205">
        <v>100</v>
      </c>
      <c r="M402" s="114">
        <f t="shared" si="47"/>
        <v>7.6246609999999997</v>
      </c>
      <c r="O402" s="215">
        <v>45276</v>
      </c>
      <c r="P402" s="205">
        <v>92855387</v>
      </c>
      <c r="Q402" s="205">
        <v>39497353</v>
      </c>
      <c r="R402" s="205">
        <v>132352740</v>
      </c>
      <c r="S402" s="205">
        <v>70.16</v>
      </c>
      <c r="T402" s="212">
        <f t="shared" si="43"/>
        <v>132.35274000000001</v>
      </c>
      <c r="W402" s="215">
        <v>45276</v>
      </c>
      <c r="X402" s="1">
        <v>11000</v>
      </c>
      <c r="Y402" s="104">
        <v>12000</v>
      </c>
      <c r="Z402" s="114">
        <f t="shared" si="46"/>
        <v>91.666666666666671</v>
      </c>
      <c r="AB402" s="215">
        <v>45276</v>
      </c>
      <c r="AC402" s="1">
        <v>1588</v>
      </c>
      <c r="AD402" s="104">
        <v>12000</v>
      </c>
      <c r="AE402" s="114">
        <f t="shared" si="42"/>
        <v>13.233333333333333</v>
      </c>
      <c r="AG402" s="215">
        <v>45276</v>
      </c>
      <c r="AH402" s="1">
        <v>11577</v>
      </c>
      <c r="AI402" s="104">
        <v>12000</v>
      </c>
      <c r="AJ402" s="46">
        <f t="shared" si="40"/>
        <v>96.474999999999994</v>
      </c>
      <c r="AL402" s="222">
        <v>45189</v>
      </c>
      <c r="AM402" s="101" t="s">
        <v>192</v>
      </c>
      <c r="AN402" s="101">
        <v>22728</v>
      </c>
      <c r="AP402" s="222">
        <v>45189</v>
      </c>
      <c r="AQ402" s="101" t="s">
        <v>191</v>
      </c>
      <c r="AR402" s="101">
        <v>608055</v>
      </c>
    </row>
    <row r="403" spans="1:48" ht="15.75" hidden="1" x14ac:dyDescent="0.25">
      <c r="A403" s="113">
        <v>45277</v>
      </c>
      <c r="B403" s="194">
        <v>10901967</v>
      </c>
      <c r="C403" s="194">
        <v>300427</v>
      </c>
      <c r="D403" s="194">
        <v>11202394</v>
      </c>
      <c r="E403" s="194">
        <v>97.32</v>
      </c>
      <c r="F403" s="211">
        <f t="shared" si="39"/>
        <v>11.202394</v>
      </c>
      <c r="H403" s="215">
        <v>45277</v>
      </c>
      <c r="I403" s="205">
        <v>1627579</v>
      </c>
      <c r="J403" s="205">
        <v>37</v>
      </c>
      <c r="K403" s="205">
        <v>1627616</v>
      </c>
      <c r="L403" s="205">
        <v>100</v>
      </c>
      <c r="M403" s="114">
        <f t="shared" si="47"/>
        <v>1.627616</v>
      </c>
      <c r="O403" s="215">
        <v>45277</v>
      </c>
      <c r="P403" s="205">
        <v>58871465</v>
      </c>
      <c r="Q403" s="205">
        <v>24816289</v>
      </c>
      <c r="R403" s="205">
        <v>83687754</v>
      </c>
      <c r="S403" s="205">
        <v>70.349999999999994</v>
      </c>
      <c r="T403" s="212">
        <f t="shared" si="43"/>
        <v>83.687753999999998</v>
      </c>
      <c r="W403" s="215">
        <v>45277</v>
      </c>
      <c r="X403" s="1">
        <v>5793</v>
      </c>
      <c r="Y403" s="104">
        <v>12000</v>
      </c>
      <c r="Z403" s="114">
        <f t="shared" si="46"/>
        <v>48.274999999999999</v>
      </c>
      <c r="AB403" s="215">
        <v>45277</v>
      </c>
      <c r="AC403" s="1">
        <v>1144</v>
      </c>
      <c r="AD403" s="104">
        <v>12000</v>
      </c>
      <c r="AE403" s="114">
        <f t="shared" si="42"/>
        <v>9.5333333333333332</v>
      </c>
      <c r="AG403" s="215">
        <v>45277</v>
      </c>
      <c r="AH403" s="1">
        <v>6252</v>
      </c>
      <c r="AI403" s="104">
        <v>12000</v>
      </c>
      <c r="AJ403" s="46">
        <f t="shared" si="40"/>
        <v>52.1</v>
      </c>
      <c r="AL403" s="222">
        <v>45189</v>
      </c>
      <c r="AM403" s="101" t="s">
        <v>197</v>
      </c>
      <c r="AN403" s="101">
        <v>9081</v>
      </c>
      <c r="AP403" s="222">
        <v>45189</v>
      </c>
      <c r="AQ403" s="101" t="s">
        <v>200</v>
      </c>
      <c r="AR403" s="101">
        <v>155838</v>
      </c>
    </row>
    <row r="404" spans="1:48" ht="15.75" hidden="1" x14ac:dyDescent="0.25">
      <c r="A404" s="113">
        <v>45278</v>
      </c>
      <c r="B404" s="194">
        <v>10600938</v>
      </c>
      <c r="C404" s="194">
        <v>249844</v>
      </c>
      <c r="D404" s="194">
        <v>10850782</v>
      </c>
      <c r="E404" s="194">
        <v>97.7</v>
      </c>
      <c r="F404" s="211">
        <f t="shared" si="39"/>
        <v>10.850782000000001</v>
      </c>
      <c r="H404" s="215">
        <v>45278</v>
      </c>
      <c r="I404" s="205">
        <v>4946077</v>
      </c>
      <c r="J404" s="205">
        <v>3500</v>
      </c>
      <c r="K404" s="205">
        <v>4949577</v>
      </c>
      <c r="L404" s="205">
        <v>99.93</v>
      </c>
      <c r="M404" s="114">
        <f t="shared" si="47"/>
        <v>4.9495769999999997</v>
      </c>
      <c r="O404" s="215">
        <v>45278</v>
      </c>
      <c r="P404" s="205">
        <v>84991191</v>
      </c>
      <c r="Q404" s="205">
        <v>38536209</v>
      </c>
      <c r="R404" s="205">
        <v>123527400</v>
      </c>
      <c r="S404" s="205">
        <v>68.8</v>
      </c>
      <c r="T404" s="212">
        <f t="shared" si="43"/>
        <v>123.5274</v>
      </c>
      <c r="W404" s="215">
        <v>45278</v>
      </c>
      <c r="X404" s="1">
        <v>8063</v>
      </c>
      <c r="Y404" s="104">
        <v>12000</v>
      </c>
      <c r="Z404" s="114">
        <f t="shared" si="46"/>
        <v>67.191666666666663</v>
      </c>
      <c r="AB404" s="215">
        <v>45278</v>
      </c>
      <c r="AC404" s="1">
        <v>1176</v>
      </c>
      <c r="AD404" s="104">
        <v>12000</v>
      </c>
      <c r="AE404" s="114">
        <f t="shared" si="42"/>
        <v>9.8000000000000007</v>
      </c>
      <c r="AG404" s="215">
        <v>45278</v>
      </c>
      <c r="AH404" s="1">
        <v>8636</v>
      </c>
      <c r="AI404" s="104">
        <v>12000</v>
      </c>
      <c r="AJ404" s="46">
        <f t="shared" si="40"/>
        <v>71.966666666666669</v>
      </c>
    </row>
    <row r="405" spans="1:48" ht="15.75" hidden="1" x14ac:dyDescent="0.25">
      <c r="A405" s="113">
        <v>45279</v>
      </c>
      <c r="B405" s="194">
        <v>10660899</v>
      </c>
      <c r="C405" s="194">
        <v>333056</v>
      </c>
      <c r="D405" s="194">
        <v>10993955</v>
      </c>
      <c r="E405" s="194">
        <v>96.97</v>
      </c>
      <c r="F405" s="211">
        <f t="shared" si="39"/>
        <v>10.993955</v>
      </c>
      <c r="H405" s="215">
        <v>45279</v>
      </c>
      <c r="I405" s="205">
        <v>2527010</v>
      </c>
      <c r="J405" s="205">
        <v>51</v>
      </c>
      <c r="K405" s="205">
        <v>2527061</v>
      </c>
      <c r="L405" s="205">
        <v>100</v>
      </c>
      <c r="M405" s="114">
        <f t="shared" si="47"/>
        <v>2.5270609999999998</v>
      </c>
      <c r="O405" s="215">
        <v>45279</v>
      </c>
      <c r="P405" s="205">
        <v>82603660</v>
      </c>
      <c r="Q405" s="205">
        <v>35442287</v>
      </c>
      <c r="R405" s="205">
        <v>118045947</v>
      </c>
      <c r="S405" s="205">
        <v>69.98</v>
      </c>
      <c r="T405" s="212">
        <f t="shared" si="43"/>
        <v>118.045947</v>
      </c>
      <c r="W405" s="215">
        <v>45279</v>
      </c>
      <c r="X405" s="1">
        <v>7244</v>
      </c>
      <c r="Y405" s="104">
        <v>12000</v>
      </c>
      <c r="Z405" s="114">
        <f t="shared" si="46"/>
        <v>60.366666666666667</v>
      </c>
      <c r="AB405" s="215">
        <v>45279</v>
      </c>
      <c r="AC405" s="1">
        <v>1222</v>
      </c>
      <c r="AD405" s="104">
        <v>12000</v>
      </c>
      <c r="AE405" s="114">
        <f t="shared" si="42"/>
        <v>10.183333333333334</v>
      </c>
      <c r="AG405" s="215">
        <v>45279</v>
      </c>
      <c r="AH405" s="1">
        <v>8242</v>
      </c>
      <c r="AI405" s="104">
        <v>12000</v>
      </c>
      <c r="AJ405" s="46">
        <f t="shared" si="40"/>
        <v>68.683333333333337</v>
      </c>
      <c r="AL405" s="222">
        <v>45190</v>
      </c>
      <c r="AM405" s="101" t="s">
        <v>189</v>
      </c>
      <c r="AN405" s="101">
        <v>286993</v>
      </c>
      <c r="AP405" s="222">
        <v>45190</v>
      </c>
      <c r="AQ405" s="101" t="s">
        <v>189</v>
      </c>
      <c r="AR405" s="101">
        <v>14704211</v>
      </c>
      <c r="AT405" s="222">
        <v>45190</v>
      </c>
      <c r="AU405" s="101" t="s">
        <v>190</v>
      </c>
      <c r="AV405" s="101">
        <v>1007</v>
      </c>
    </row>
    <row r="406" spans="1:48" hidden="1" x14ac:dyDescent="0.25">
      <c r="A406" s="113">
        <v>45280</v>
      </c>
      <c r="B406" s="101">
        <v>10702134</v>
      </c>
      <c r="C406" s="101">
        <v>348137</v>
      </c>
      <c r="D406" s="101">
        <v>11050271</v>
      </c>
      <c r="E406" s="101">
        <v>96.85</v>
      </c>
      <c r="F406" s="211">
        <f t="shared" si="39"/>
        <v>11.050271</v>
      </c>
      <c r="H406" s="215">
        <v>45280</v>
      </c>
      <c r="I406" s="104">
        <v>2730535</v>
      </c>
      <c r="J406" s="104">
        <v>27</v>
      </c>
      <c r="K406" s="104">
        <v>2730562</v>
      </c>
      <c r="L406" s="104">
        <v>100</v>
      </c>
      <c r="M406" s="114">
        <f t="shared" si="47"/>
        <v>2.7305619999999999</v>
      </c>
      <c r="O406" s="215">
        <v>45280</v>
      </c>
      <c r="P406" s="104">
        <v>80258232</v>
      </c>
      <c r="Q406" s="104">
        <v>38005555</v>
      </c>
      <c r="R406" s="104">
        <v>118263787</v>
      </c>
      <c r="S406" s="104">
        <v>67.86</v>
      </c>
      <c r="T406" s="212">
        <f t="shared" si="43"/>
        <v>118.26378699999999</v>
      </c>
      <c r="W406" s="215">
        <v>45280</v>
      </c>
      <c r="X406" s="1">
        <v>10232</v>
      </c>
      <c r="Y406" s="104">
        <v>12000</v>
      </c>
      <c r="Z406" s="114">
        <f t="shared" si="46"/>
        <v>85.266666666666666</v>
      </c>
      <c r="AB406" s="215">
        <v>45280</v>
      </c>
      <c r="AC406" s="1">
        <v>1241</v>
      </c>
      <c r="AD406" s="104">
        <v>12000</v>
      </c>
      <c r="AE406" s="114">
        <f t="shared" si="42"/>
        <v>10.341666666666667</v>
      </c>
      <c r="AG406" s="215">
        <v>45280</v>
      </c>
      <c r="AH406" s="1">
        <v>11473</v>
      </c>
      <c r="AI406" s="104">
        <v>12000</v>
      </c>
      <c r="AJ406" s="46">
        <f t="shared" si="40"/>
        <v>95.608333333333334</v>
      </c>
      <c r="AL406" s="222">
        <v>45190</v>
      </c>
      <c r="AM406" s="101" t="s">
        <v>191</v>
      </c>
      <c r="AN406" s="101">
        <v>30814</v>
      </c>
      <c r="AP406" s="222">
        <v>45190</v>
      </c>
      <c r="AQ406" s="101" t="s">
        <v>192</v>
      </c>
      <c r="AR406" s="101">
        <v>2312883</v>
      </c>
      <c r="AT406" s="222">
        <v>45190</v>
      </c>
      <c r="AU406" s="101" t="s">
        <v>193</v>
      </c>
      <c r="AV406" s="101">
        <v>43</v>
      </c>
    </row>
    <row r="407" spans="1:48" hidden="1" x14ac:dyDescent="0.25">
      <c r="A407" s="113">
        <v>45281</v>
      </c>
      <c r="B407" s="101">
        <v>10930363</v>
      </c>
      <c r="C407" s="101">
        <v>329652</v>
      </c>
      <c r="D407" s="101">
        <v>11260015</v>
      </c>
      <c r="E407" s="101">
        <v>97.07</v>
      </c>
      <c r="F407" s="211">
        <f t="shared" si="39"/>
        <v>11.260014999999999</v>
      </c>
      <c r="H407" s="215">
        <v>45281</v>
      </c>
      <c r="I407" s="104">
        <v>2307787</v>
      </c>
      <c r="J407" s="104">
        <v>44</v>
      </c>
      <c r="K407" s="104">
        <v>2307831</v>
      </c>
      <c r="L407" s="104">
        <v>100</v>
      </c>
      <c r="M407" s="114">
        <f t="shared" si="47"/>
        <v>2.3078310000000002</v>
      </c>
      <c r="O407" s="215">
        <v>45281</v>
      </c>
      <c r="P407" s="104">
        <v>83135784</v>
      </c>
      <c r="Q407" s="104">
        <v>41078645</v>
      </c>
      <c r="R407" s="104">
        <v>124214429</v>
      </c>
      <c r="S407" s="104">
        <v>66.930000000000007</v>
      </c>
      <c r="T407" s="212">
        <f t="shared" si="43"/>
        <v>124.214429</v>
      </c>
      <c r="W407" s="215">
        <v>45281</v>
      </c>
      <c r="X407" s="1">
        <v>11845</v>
      </c>
      <c r="Y407" s="104">
        <v>12000</v>
      </c>
      <c r="Z407" s="114">
        <f t="shared" si="46"/>
        <v>98.708333333333329</v>
      </c>
      <c r="AB407" s="215">
        <v>45281</v>
      </c>
      <c r="AC407" s="1">
        <v>1575</v>
      </c>
      <c r="AD407" s="104">
        <v>12000</v>
      </c>
      <c r="AE407" s="114">
        <f t="shared" si="42"/>
        <v>13.125</v>
      </c>
      <c r="AG407" s="215">
        <v>45281</v>
      </c>
      <c r="AH407" s="1">
        <v>12855</v>
      </c>
      <c r="AI407" s="104">
        <v>12000</v>
      </c>
      <c r="AJ407" s="46">
        <f t="shared" si="40"/>
        <v>107.125</v>
      </c>
      <c r="AL407" s="222">
        <v>45190</v>
      </c>
      <c r="AM407" s="101" t="s">
        <v>194</v>
      </c>
      <c r="AN407" s="101">
        <v>30777</v>
      </c>
      <c r="AP407" s="222">
        <v>45190</v>
      </c>
      <c r="AQ407" s="101" t="s">
        <v>194</v>
      </c>
      <c r="AR407" s="101">
        <v>1401702</v>
      </c>
    </row>
    <row r="408" spans="1:48" hidden="1" x14ac:dyDescent="0.25">
      <c r="A408" s="113">
        <v>45282</v>
      </c>
      <c r="B408" s="101">
        <v>10950538</v>
      </c>
      <c r="C408" s="101">
        <v>328771</v>
      </c>
      <c r="D408" s="101">
        <v>11279309</v>
      </c>
      <c r="E408" s="101">
        <v>97.09</v>
      </c>
      <c r="F408" s="211">
        <f t="shared" si="39"/>
        <v>11.279309</v>
      </c>
      <c r="H408" s="215">
        <v>45282</v>
      </c>
      <c r="I408" s="104">
        <v>7151649</v>
      </c>
      <c r="J408" s="104">
        <v>73</v>
      </c>
      <c r="K408" s="104">
        <v>7151722</v>
      </c>
      <c r="L408" s="104">
        <v>100</v>
      </c>
      <c r="M408" s="114">
        <f t="shared" si="47"/>
        <v>7.1517220000000004</v>
      </c>
      <c r="O408" s="215">
        <v>45282</v>
      </c>
      <c r="P408" s="104">
        <v>101372357</v>
      </c>
      <c r="Q408" s="104">
        <v>42588522</v>
      </c>
      <c r="R408" s="104">
        <v>143960879</v>
      </c>
      <c r="S408" s="104">
        <v>70.42</v>
      </c>
      <c r="T408" s="212">
        <f t="shared" si="43"/>
        <v>143.96087900000001</v>
      </c>
      <c r="W408" s="215">
        <v>45282</v>
      </c>
      <c r="X408" s="1">
        <v>8443</v>
      </c>
      <c r="Y408" s="104">
        <v>12000</v>
      </c>
      <c r="Z408" s="114">
        <f t="shared" si="46"/>
        <v>70.358333333333334</v>
      </c>
      <c r="AB408" s="215">
        <v>45282</v>
      </c>
      <c r="AC408" s="1">
        <v>1576</v>
      </c>
      <c r="AD408" s="104">
        <v>12000</v>
      </c>
      <c r="AE408" s="114">
        <f t="shared" si="42"/>
        <v>13.133333333333333</v>
      </c>
      <c r="AG408" s="215">
        <v>45282</v>
      </c>
      <c r="AH408" s="1">
        <v>10019</v>
      </c>
      <c r="AI408" s="104">
        <v>12000</v>
      </c>
      <c r="AJ408" s="46">
        <f t="shared" si="40"/>
        <v>83.49166666666666</v>
      </c>
      <c r="AL408" s="222">
        <v>45190</v>
      </c>
      <c r="AM408" s="101" t="s">
        <v>192</v>
      </c>
      <c r="AN408" s="101">
        <v>19394</v>
      </c>
      <c r="AP408" s="222">
        <v>45190</v>
      </c>
      <c r="AQ408" s="101" t="s">
        <v>191</v>
      </c>
      <c r="AR408" s="101">
        <v>526603</v>
      </c>
    </row>
    <row r="409" spans="1:48" hidden="1" x14ac:dyDescent="0.25">
      <c r="A409" s="113">
        <v>45283</v>
      </c>
      <c r="B409" s="101">
        <v>10812372</v>
      </c>
      <c r="C409" s="101">
        <v>318545</v>
      </c>
      <c r="D409" s="101">
        <v>11130917</v>
      </c>
      <c r="E409" s="101">
        <v>97.14</v>
      </c>
      <c r="F409" s="211">
        <f t="shared" si="39"/>
        <v>11.130917</v>
      </c>
      <c r="H409" s="215">
        <v>45283</v>
      </c>
      <c r="I409" s="104">
        <v>7231183</v>
      </c>
      <c r="J409" s="104">
        <v>915</v>
      </c>
      <c r="K409" s="104">
        <v>7232098</v>
      </c>
      <c r="L409" s="104">
        <v>99.99</v>
      </c>
      <c r="M409" s="114">
        <f t="shared" si="47"/>
        <v>7.2320979999999997</v>
      </c>
      <c r="O409" s="215">
        <v>45283</v>
      </c>
      <c r="P409" s="104">
        <v>105498631</v>
      </c>
      <c r="Q409" s="104">
        <v>44340800</v>
      </c>
      <c r="R409" s="104">
        <v>149839431</v>
      </c>
      <c r="S409" s="104">
        <v>70.41</v>
      </c>
      <c r="T409" s="212">
        <f t="shared" si="43"/>
        <v>149.83943099999999</v>
      </c>
      <c r="W409" s="215">
        <v>45283</v>
      </c>
      <c r="X409" s="1">
        <v>8917</v>
      </c>
      <c r="Y409" s="104">
        <v>12000</v>
      </c>
      <c r="Z409" s="114">
        <f t="shared" si="46"/>
        <v>74.308333333333337</v>
      </c>
      <c r="AB409" s="215">
        <v>45283</v>
      </c>
      <c r="AC409" s="1">
        <v>1102</v>
      </c>
      <c r="AD409" s="104">
        <v>12000</v>
      </c>
      <c r="AE409" s="114">
        <f t="shared" si="42"/>
        <v>9.1833333333333336</v>
      </c>
      <c r="AG409" s="215">
        <v>45283</v>
      </c>
      <c r="AH409" s="1">
        <v>9598</v>
      </c>
      <c r="AI409" s="104">
        <v>12000</v>
      </c>
      <c r="AJ409" s="46">
        <f t="shared" si="40"/>
        <v>79.983333333333334</v>
      </c>
      <c r="AL409" s="222">
        <v>45190</v>
      </c>
      <c r="AM409" s="101" t="s">
        <v>197</v>
      </c>
      <c r="AN409" s="101">
        <v>9986</v>
      </c>
      <c r="AP409" s="222">
        <v>45190</v>
      </c>
      <c r="AQ409" s="101" t="s">
        <v>169</v>
      </c>
      <c r="AR409" s="101">
        <v>233809</v>
      </c>
    </row>
    <row r="410" spans="1:48" hidden="1" x14ac:dyDescent="0.25">
      <c r="A410" s="113">
        <v>45284</v>
      </c>
      <c r="B410" s="101">
        <v>11073788</v>
      </c>
      <c r="C410" s="101">
        <v>301490</v>
      </c>
      <c r="D410" s="101">
        <v>11375278</v>
      </c>
      <c r="E410" s="101">
        <v>97.35</v>
      </c>
      <c r="F410" s="211">
        <f t="shared" si="39"/>
        <v>11.375278</v>
      </c>
      <c r="H410" s="215">
        <v>45284</v>
      </c>
      <c r="I410" s="104">
        <v>2760435</v>
      </c>
      <c r="J410" s="104">
        <v>87</v>
      </c>
      <c r="K410" s="104">
        <v>2760522</v>
      </c>
      <c r="L410" s="104">
        <v>100</v>
      </c>
      <c r="M410" s="114">
        <f t="shared" si="47"/>
        <v>2.7605219999999999</v>
      </c>
      <c r="O410" s="215">
        <v>45284</v>
      </c>
      <c r="P410" s="104">
        <v>48898400</v>
      </c>
      <c r="Q410" s="104">
        <v>11283895</v>
      </c>
      <c r="R410" s="104">
        <v>60182295</v>
      </c>
      <c r="S410" s="104">
        <v>81.25</v>
      </c>
      <c r="T410" s="212">
        <f t="shared" si="43"/>
        <v>60.182295000000003</v>
      </c>
      <c r="W410" s="215">
        <v>45284</v>
      </c>
      <c r="X410" s="1">
        <v>3406</v>
      </c>
      <c r="Y410" s="104">
        <v>12000</v>
      </c>
      <c r="Z410" s="114">
        <f t="shared" si="46"/>
        <v>28.383333333333333</v>
      </c>
      <c r="AB410" s="215">
        <v>45284</v>
      </c>
      <c r="AC410" s="1">
        <v>1001</v>
      </c>
      <c r="AD410" s="104">
        <v>12000</v>
      </c>
      <c r="AE410" s="114">
        <f t="shared" si="42"/>
        <v>8.3416666666666668</v>
      </c>
      <c r="AG410" s="215">
        <v>45284</v>
      </c>
      <c r="AH410" s="1">
        <v>3950</v>
      </c>
      <c r="AI410" s="104">
        <v>12000</v>
      </c>
      <c r="AJ410" s="46">
        <f t="shared" si="40"/>
        <v>32.916666666666664</v>
      </c>
      <c r="AL410" s="222">
        <v>45192</v>
      </c>
      <c r="AM410" s="101" t="s">
        <v>189</v>
      </c>
      <c r="AN410" s="101">
        <v>282968</v>
      </c>
      <c r="AP410" s="222">
        <v>45192</v>
      </c>
      <c r="AQ410" s="101" t="s">
        <v>189</v>
      </c>
      <c r="AR410" s="101">
        <v>13231954</v>
      </c>
      <c r="AT410" s="222">
        <v>45192</v>
      </c>
      <c r="AU410" s="101" t="s">
        <v>190</v>
      </c>
      <c r="AV410" s="101">
        <v>438</v>
      </c>
    </row>
    <row r="411" spans="1:48" hidden="1" x14ac:dyDescent="0.25">
      <c r="A411" s="113">
        <v>45285</v>
      </c>
      <c r="B411" s="101">
        <v>12618273</v>
      </c>
      <c r="C411" s="101">
        <v>232169</v>
      </c>
      <c r="D411" s="101">
        <v>12850442</v>
      </c>
      <c r="E411" s="101">
        <v>98.19</v>
      </c>
      <c r="F411" s="211">
        <f t="shared" si="39"/>
        <v>12.850441999999999</v>
      </c>
      <c r="H411" s="215">
        <v>45285</v>
      </c>
      <c r="I411" s="104">
        <v>3466158</v>
      </c>
      <c r="J411" s="104">
        <v>228</v>
      </c>
      <c r="K411" s="104">
        <v>3466386</v>
      </c>
      <c r="L411" s="104">
        <v>99.99</v>
      </c>
      <c r="M411" s="114">
        <f t="shared" si="47"/>
        <v>3.466386</v>
      </c>
      <c r="O411" s="215">
        <v>45285</v>
      </c>
      <c r="P411" s="104">
        <v>54458822</v>
      </c>
      <c r="Q411" s="104">
        <v>9462770</v>
      </c>
      <c r="R411" s="104">
        <v>63921592</v>
      </c>
      <c r="S411" s="104">
        <v>85.19</v>
      </c>
      <c r="T411" s="212">
        <f t="shared" si="43"/>
        <v>63.921591999999997</v>
      </c>
      <c r="W411" s="215">
        <v>45285</v>
      </c>
      <c r="X411" s="1">
        <v>3924</v>
      </c>
      <c r="Y411" s="104">
        <v>12000</v>
      </c>
      <c r="Z411" s="114">
        <f t="shared" si="46"/>
        <v>32.700000000000003</v>
      </c>
      <c r="AB411" s="215">
        <v>45285</v>
      </c>
      <c r="AC411" s="1">
        <v>968</v>
      </c>
      <c r="AD411" s="104">
        <v>12000</v>
      </c>
      <c r="AE411" s="114">
        <f t="shared" si="42"/>
        <v>8.0666666666666664</v>
      </c>
      <c r="AG411" s="215">
        <v>45285</v>
      </c>
      <c r="AH411" s="1">
        <v>4556</v>
      </c>
      <c r="AI411" s="104">
        <v>12000</v>
      </c>
      <c r="AJ411" s="46">
        <f t="shared" si="40"/>
        <v>37.966666666666669</v>
      </c>
      <c r="AL411" s="222">
        <v>45192</v>
      </c>
      <c r="AM411" s="101" t="s">
        <v>194</v>
      </c>
      <c r="AN411" s="101">
        <v>32198</v>
      </c>
      <c r="AP411" s="222">
        <v>45192</v>
      </c>
      <c r="AQ411" s="101" t="s">
        <v>192</v>
      </c>
      <c r="AR411" s="101">
        <v>1898834</v>
      </c>
      <c r="AT411" s="222">
        <v>45192</v>
      </c>
      <c r="AU411" s="101" t="s">
        <v>193</v>
      </c>
      <c r="AV411" s="101">
        <v>32</v>
      </c>
    </row>
    <row r="412" spans="1:48" hidden="1" x14ac:dyDescent="0.25">
      <c r="A412" s="113">
        <v>45286</v>
      </c>
      <c r="B412" s="101">
        <v>11529697</v>
      </c>
      <c r="C412" s="101">
        <v>287227</v>
      </c>
      <c r="D412" s="101">
        <v>11816924</v>
      </c>
      <c r="E412" s="101">
        <v>97.57</v>
      </c>
      <c r="F412" s="211">
        <f t="shared" ref="F412:F477" si="48">D412/1000000</f>
        <v>11.816924</v>
      </c>
      <c r="H412" s="215">
        <v>45286</v>
      </c>
      <c r="I412" s="104">
        <v>2942139</v>
      </c>
      <c r="J412" s="104">
        <v>239</v>
      </c>
      <c r="K412" s="104">
        <v>2942378</v>
      </c>
      <c r="L412" s="104">
        <v>99.99</v>
      </c>
      <c r="M412" s="114">
        <f t="shared" si="47"/>
        <v>2.9423780000000002</v>
      </c>
      <c r="O412" s="215">
        <v>45286</v>
      </c>
      <c r="P412" s="104">
        <v>75671804</v>
      </c>
      <c r="Q412" s="104">
        <v>30387907</v>
      </c>
      <c r="R412" s="104">
        <v>106059711</v>
      </c>
      <c r="S412" s="104">
        <v>71.349999999999994</v>
      </c>
      <c r="T412" s="212">
        <f t="shared" si="43"/>
        <v>106.05971099999999</v>
      </c>
      <c r="W412" s="215">
        <v>45286</v>
      </c>
      <c r="X412" s="1">
        <v>11000</v>
      </c>
      <c r="Y412" s="104">
        <v>12000</v>
      </c>
      <c r="Z412" s="114">
        <f t="shared" si="46"/>
        <v>91.666666666666671</v>
      </c>
      <c r="AB412" s="215">
        <v>45286</v>
      </c>
      <c r="AC412" s="1">
        <v>1058</v>
      </c>
      <c r="AD412" s="104">
        <v>12000</v>
      </c>
      <c r="AE412" s="114">
        <f t="shared" si="42"/>
        <v>8.8166666666666664</v>
      </c>
      <c r="AG412" s="215">
        <v>45286</v>
      </c>
      <c r="AH412" s="1">
        <v>11482</v>
      </c>
      <c r="AI412" s="104">
        <v>12000</v>
      </c>
      <c r="AJ412" s="46">
        <f t="shared" si="40"/>
        <v>95.683333333333337</v>
      </c>
      <c r="AL412" s="222">
        <v>45192</v>
      </c>
      <c r="AM412" s="101" t="s">
        <v>197</v>
      </c>
      <c r="AN412" s="101">
        <v>22648</v>
      </c>
      <c r="AP412" s="222">
        <v>45192</v>
      </c>
      <c r="AQ412" s="101" t="s">
        <v>194</v>
      </c>
      <c r="AR412" s="101">
        <v>1134351</v>
      </c>
    </row>
    <row r="413" spans="1:48" hidden="1" x14ac:dyDescent="0.25">
      <c r="A413" s="113">
        <v>45287</v>
      </c>
      <c r="B413" s="101">
        <v>11278437</v>
      </c>
      <c r="C413" s="101">
        <v>276967</v>
      </c>
      <c r="D413" s="101">
        <v>11555404</v>
      </c>
      <c r="E413" s="101">
        <v>97.6</v>
      </c>
      <c r="F413" s="211">
        <f t="shared" si="48"/>
        <v>11.555403999999999</v>
      </c>
      <c r="H413" s="215">
        <v>45287</v>
      </c>
      <c r="I413" s="104">
        <v>2785955</v>
      </c>
      <c r="J413" s="104">
        <v>82</v>
      </c>
      <c r="K413" s="104">
        <v>2786037</v>
      </c>
      <c r="L413" s="104">
        <v>100</v>
      </c>
      <c r="M413" s="114">
        <f t="shared" si="47"/>
        <v>2.7860369999999999</v>
      </c>
      <c r="O413" s="215">
        <v>45287</v>
      </c>
      <c r="P413" s="104">
        <v>80160202</v>
      </c>
      <c r="Q413" s="104">
        <v>41020602</v>
      </c>
      <c r="R413" s="104">
        <v>121180804</v>
      </c>
      <c r="S413" s="104">
        <v>66.150000000000006</v>
      </c>
      <c r="T413" s="212">
        <f t="shared" si="43"/>
        <v>121.18080399999999</v>
      </c>
      <c r="W413" s="215">
        <v>45287</v>
      </c>
      <c r="X413" s="1">
        <v>7705</v>
      </c>
      <c r="Y413" s="104">
        <v>12000</v>
      </c>
      <c r="Z413" s="114">
        <f t="shared" si="46"/>
        <v>64.208333333333329</v>
      </c>
      <c r="AB413" s="215">
        <v>45287</v>
      </c>
      <c r="AC413" s="1">
        <v>1048</v>
      </c>
      <c r="AD413" s="104">
        <v>12000</v>
      </c>
      <c r="AE413" s="114">
        <f t="shared" si="42"/>
        <v>8.7333333333333325</v>
      </c>
      <c r="AG413" s="215">
        <v>45287</v>
      </c>
      <c r="AH413" s="1">
        <v>8332</v>
      </c>
      <c r="AI413" s="104">
        <v>12000</v>
      </c>
      <c r="AJ413" s="46">
        <f t="shared" si="40"/>
        <v>69.433333333333337</v>
      </c>
      <c r="AL413" s="222">
        <v>45192</v>
      </c>
      <c r="AM413" s="101" t="s">
        <v>191</v>
      </c>
      <c r="AN413" s="101">
        <v>21366</v>
      </c>
      <c r="AP413" s="222">
        <v>45192</v>
      </c>
      <c r="AQ413" s="101" t="s">
        <v>191</v>
      </c>
      <c r="AR413" s="101">
        <v>529353</v>
      </c>
    </row>
    <row r="414" spans="1:48" hidden="1" x14ac:dyDescent="0.25">
      <c r="A414" s="113">
        <v>45288</v>
      </c>
      <c r="B414" s="101">
        <v>10538119</v>
      </c>
      <c r="C414" s="101">
        <v>541906</v>
      </c>
      <c r="D414" s="101">
        <v>11080025</v>
      </c>
      <c r="E414" s="101">
        <v>95.11</v>
      </c>
      <c r="F414" s="211">
        <f t="shared" si="48"/>
        <v>11.080024999999999</v>
      </c>
      <c r="H414" s="215">
        <v>45288</v>
      </c>
      <c r="I414" s="104">
        <v>2810092</v>
      </c>
      <c r="J414" s="104">
        <v>37</v>
      </c>
      <c r="K414" s="104">
        <v>2810129</v>
      </c>
      <c r="L414" s="104">
        <v>100</v>
      </c>
      <c r="M414" s="114">
        <f t="shared" si="47"/>
        <v>2.8101289999999999</v>
      </c>
      <c r="O414" s="215">
        <v>45288</v>
      </c>
      <c r="P414" s="104">
        <v>75714124</v>
      </c>
      <c r="Q414" s="104">
        <v>40439407</v>
      </c>
      <c r="R414" s="104">
        <v>116153531</v>
      </c>
      <c r="S414" s="104">
        <v>65.180000000000007</v>
      </c>
      <c r="T414" s="212">
        <f t="shared" si="43"/>
        <v>116.153531</v>
      </c>
      <c r="W414" s="215">
        <v>45288</v>
      </c>
      <c r="X414" s="1">
        <v>8736</v>
      </c>
      <c r="Y414" s="104">
        <v>12000</v>
      </c>
      <c r="Z414" s="114">
        <f t="shared" si="46"/>
        <v>72.8</v>
      </c>
      <c r="AB414" s="215">
        <v>45288</v>
      </c>
      <c r="AC414" s="1">
        <v>1127</v>
      </c>
      <c r="AD414" s="104">
        <v>12000</v>
      </c>
      <c r="AE414" s="114">
        <f t="shared" si="42"/>
        <v>9.3916666666666675</v>
      </c>
      <c r="AG414" s="215">
        <v>45288</v>
      </c>
      <c r="AH414" s="1">
        <v>9724</v>
      </c>
      <c r="AI414" s="104">
        <v>12000</v>
      </c>
      <c r="AJ414" s="46">
        <f t="shared" si="40"/>
        <v>81.033333333333331</v>
      </c>
      <c r="AL414" s="222">
        <v>45192</v>
      </c>
      <c r="AM414" s="101" t="s">
        <v>192</v>
      </c>
      <c r="AN414" s="101">
        <v>18479</v>
      </c>
      <c r="AP414" s="222">
        <v>45192</v>
      </c>
      <c r="AQ414" s="101" t="s">
        <v>169</v>
      </c>
      <c r="AR414" s="101">
        <v>326606</v>
      </c>
    </row>
    <row r="415" spans="1:48" hidden="1" x14ac:dyDescent="0.25">
      <c r="A415" s="113">
        <v>45289</v>
      </c>
      <c r="B415" s="101">
        <v>11209112</v>
      </c>
      <c r="C415" s="101">
        <v>269223</v>
      </c>
      <c r="D415" s="101">
        <v>11478335</v>
      </c>
      <c r="E415" s="101">
        <v>97.65</v>
      </c>
      <c r="F415" s="211">
        <f t="shared" si="48"/>
        <v>11.478335</v>
      </c>
      <c r="H415" s="215">
        <v>45289</v>
      </c>
      <c r="I415" s="104">
        <v>2615892</v>
      </c>
      <c r="J415" s="104">
        <v>33</v>
      </c>
      <c r="K415" s="104">
        <v>2615925</v>
      </c>
      <c r="L415" s="104">
        <v>100</v>
      </c>
      <c r="M415" s="114">
        <f t="shared" si="47"/>
        <v>2.6159249999999998</v>
      </c>
      <c r="O415" s="215">
        <v>45289</v>
      </c>
      <c r="P415" s="104">
        <v>74108372</v>
      </c>
      <c r="Q415" s="104">
        <v>27733654</v>
      </c>
      <c r="R415" s="104">
        <v>101842026</v>
      </c>
      <c r="S415" s="104">
        <v>72.77</v>
      </c>
      <c r="T415" s="212">
        <f t="shared" si="43"/>
        <v>101.842026</v>
      </c>
      <c r="W415" s="215">
        <v>45289</v>
      </c>
      <c r="X415" s="1">
        <v>8097</v>
      </c>
      <c r="Y415" s="104">
        <v>12000</v>
      </c>
      <c r="Z415" s="114">
        <f t="shared" si="46"/>
        <v>67.474999999999994</v>
      </c>
      <c r="AB415" s="215">
        <v>45289</v>
      </c>
      <c r="AC415" s="1">
        <v>1074</v>
      </c>
      <c r="AD415" s="104">
        <v>12000</v>
      </c>
      <c r="AE415" s="114">
        <f t="shared" si="42"/>
        <v>8.9499999999999993</v>
      </c>
      <c r="AG415" s="215">
        <v>45289</v>
      </c>
      <c r="AH415" s="1">
        <v>8795</v>
      </c>
      <c r="AI415" s="104">
        <v>12000</v>
      </c>
      <c r="AJ415" s="46">
        <f t="shared" si="40"/>
        <v>73.291666666666671</v>
      </c>
      <c r="AL415" s="222">
        <v>45193</v>
      </c>
      <c r="AM415" t="s">
        <v>146</v>
      </c>
      <c r="AN415">
        <v>238139</v>
      </c>
      <c r="AP415" s="222">
        <v>45193</v>
      </c>
      <c r="AQ415" t="s">
        <v>146</v>
      </c>
      <c r="AR415">
        <v>5324708</v>
      </c>
    </row>
    <row r="416" spans="1:48" hidden="1" x14ac:dyDescent="0.25">
      <c r="A416" s="113">
        <v>45290</v>
      </c>
      <c r="B416" s="101">
        <v>10696368</v>
      </c>
      <c r="C416" s="101">
        <v>295962</v>
      </c>
      <c r="D416" s="101">
        <v>10992330</v>
      </c>
      <c r="E416" s="101">
        <v>97.31</v>
      </c>
      <c r="F416" s="211">
        <f t="shared" si="48"/>
        <v>10.992330000000001</v>
      </c>
      <c r="H416" s="215">
        <v>45290</v>
      </c>
      <c r="I416" s="104">
        <v>1771805</v>
      </c>
      <c r="J416" s="104">
        <v>55</v>
      </c>
      <c r="K416" s="104">
        <v>1771860</v>
      </c>
      <c r="L416" s="104">
        <v>100</v>
      </c>
      <c r="M416" s="114">
        <f t="shared" si="47"/>
        <v>1.77186</v>
      </c>
      <c r="O416" s="215">
        <v>45290</v>
      </c>
      <c r="P416" s="104">
        <v>76450075</v>
      </c>
      <c r="Q416" s="104">
        <v>31443219</v>
      </c>
      <c r="R416" s="104">
        <v>107893294</v>
      </c>
      <c r="S416" s="104">
        <v>70.86</v>
      </c>
      <c r="T416" s="212">
        <f t="shared" si="43"/>
        <v>107.893294</v>
      </c>
      <c r="W416" s="215">
        <v>45290</v>
      </c>
      <c r="X416" s="1">
        <v>7328</v>
      </c>
      <c r="Y416" s="104">
        <v>12000</v>
      </c>
      <c r="Z416" s="114">
        <f t="shared" si="46"/>
        <v>61.06666666666667</v>
      </c>
      <c r="AB416" s="215">
        <v>45290</v>
      </c>
      <c r="AC416" s="1">
        <v>1128</v>
      </c>
      <c r="AD416" s="104">
        <v>12000</v>
      </c>
      <c r="AE416" s="114">
        <f t="shared" si="42"/>
        <v>9.4</v>
      </c>
      <c r="AG416" s="215">
        <v>45290</v>
      </c>
      <c r="AH416" s="1">
        <v>8042</v>
      </c>
      <c r="AI416" s="104">
        <v>12000</v>
      </c>
      <c r="AJ416" s="46">
        <f t="shared" ref="AJ416:AJ479" si="49">AH416/AI416%</f>
        <v>67.016666666666666</v>
      </c>
      <c r="AL416" s="222">
        <v>45193</v>
      </c>
      <c r="AM416" t="s">
        <v>172</v>
      </c>
      <c r="AN416">
        <v>35668</v>
      </c>
      <c r="AP416" s="222">
        <v>45193</v>
      </c>
      <c r="AQ416" t="s">
        <v>180</v>
      </c>
      <c r="AR416">
        <v>1186524</v>
      </c>
      <c r="AT416" s="222">
        <v>45193</v>
      </c>
      <c r="AU416" t="s">
        <v>198</v>
      </c>
      <c r="AV416">
        <v>91</v>
      </c>
    </row>
    <row r="417" spans="1:48" hidden="1" x14ac:dyDescent="0.25">
      <c r="A417" s="113">
        <v>45291</v>
      </c>
      <c r="B417" s="101">
        <v>10093757</v>
      </c>
      <c r="C417" s="101">
        <v>263153</v>
      </c>
      <c r="D417" s="101">
        <v>10356910</v>
      </c>
      <c r="E417" s="101">
        <v>97.46</v>
      </c>
      <c r="F417" s="211">
        <f t="shared" si="48"/>
        <v>10.356909999999999</v>
      </c>
      <c r="H417" s="215">
        <v>45291</v>
      </c>
      <c r="I417" s="104">
        <v>1867974</v>
      </c>
      <c r="J417" s="104">
        <v>40</v>
      </c>
      <c r="K417" s="104">
        <v>1868014</v>
      </c>
      <c r="L417" s="104">
        <v>100</v>
      </c>
      <c r="M417" s="114">
        <f t="shared" si="47"/>
        <v>1.8680140000000001</v>
      </c>
      <c r="O417" s="215">
        <v>45291</v>
      </c>
      <c r="P417" s="104">
        <v>48896109</v>
      </c>
      <c r="Q417" s="104">
        <v>6560764</v>
      </c>
      <c r="R417" s="104">
        <v>55456873</v>
      </c>
      <c r="S417" s="104">
        <v>88.17</v>
      </c>
      <c r="T417" s="212">
        <f t="shared" si="43"/>
        <v>55.456873000000002</v>
      </c>
      <c r="W417" s="215">
        <v>45291</v>
      </c>
      <c r="X417" s="1">
        <v>3195</v>
      </c>
      <c r="Y417" s="104">
        <v>12000</v>
      </c>
      <c r="Z417" s="114">
        <f t="shared" si="46"/>
        <v>26.625</v>
      </c>
      <c r="AB417" s="215">
        <v>45291</v>
      </c>
      <c r="AC417" s="1">
        <v>1100</v>
      </c>
      <c r="AD417" s="104">
        <v>12000</v>
      </c>
      <c r="AE417" s="114">
        <f t="shared" si="42"/>
        <v>9.1666666666666661</v>
      </c>
      <c r="AG417" s="215">
        <v>45291</v>
      </c>
      <c r="AH417" s="1">
        <v>3805</v>
      </c>
      <c r="AI417" s="104">
        <v>12000</v>
      </c>
      <c r="AJ417" s="46">
        <f t="shared" si="49"/>
        <v>31.708333333333332</v>
      </c>
      <c r="AL417" s="222">
        <v>45193</v>
      </c>
      <c r="AM417" t="s">
        <v>180</v>
      </c>
      <c r="AN417">
        <v>26142</v>
      </c>
      <c r="AP417" s="222">
        <v>45193</v>
      </c>
      <c r="AQ417" t="s">
        <v>149</v>
      </c>
      <c r="AR417">
        <v>947560</v>
      </c>
      <c r="AT417" s="222">
        <v>45193</v>
      </c>
      <c r="AU417" t="s">
        <v>147</v>
      </c>
      <c r="AV417">
        <v>36</v>
      </c>
    </row>
    <row r="418" spans="1:48" hidden="1" x14ac:dyDescent="0.25">
      <c r="A418" s="113">
        <v>45292</v>
      </c>
      <c r="B418" s="101">
        <v>14567451</v>
      </c>
      <c r="C418" s="101">
        <v>254436</v>
      </c>
      <c r="D418" s="101">
        <v>14821887</v>
      </c>
      <c r="E418" s="101">
        <v>98.28</v>
      </c>
      <c r="F418" s="211">
        <f t="shared" si="48"/>
        <v>14.821887</v>
      </c>
      <c r="H418" s="215">
        <v>45292</v>
      </c>
      <c r="I418" s="104">
        <v>1357671</v>
      </c>
      <c r="J418" s="104">
        <v>114</v>
      </c>
      <c r="K418" s="104">
        <v>1357785</v>
      </c>
      <c r="L418" s="104">
        <v>99.99</v>
      </c>
      <c r="M418" s="114">
        <f t="shared" si="47"/>
        <v>1.357785</v>
      </c>
      <c r="O418" s="215">
        <v>45292</v>
      </c>
      <c r="P418" s="104">
        <v>45129764</v>
      </c>
      <c r="Q418" s="104">
        <v>6877947</v>
      </c>
      <c r="R418" s="104">
        <v>52007711</v>
      </c>
      <c r="S418" s="104">
        <v>86.78</v>
      </c>
      <c r="T418" s="212">
        <f t="shared" si="43"/>
        <v>52.007711</v>
      </c>
      <c r="W418" s="215">
        <v>45292</v>
      </c>
      <c r="X418" s="1">
        <v>3494</v>
      </c>
      <c r="Y418" s="104">
        <v>12000</v>
      </c>
      <c r="Z418" s="114">
        <f t="shared" si="46"/>
        <v>29.116666666666667</v>
      </c>
      <c r="AB418" s="215">
        <v>45292</v>
      </c>
      <c r="AC418" s="1">
        <v>825</v>
      </c>
      <c r="AD418" s="104">
        <v>12000</v>
      </c>
      <c r="AE418" s="114">
        <f t="shared" si="42"/>
        <v>6.875</v>
      </c>
      <c r="AG418" s="215">
        <v>45292</v>
      </c>
      <c r="AH418" s="1">
        <v>3948</v>
      </c>
      <c r="AI418" s="104">
        <v>12000</v>
      </c>
      <c r="AJ418" s="46">
        <f t="shared" si="49"/>
        <v>32.9</v>
      </c>
      <c r="AL418" s="222">
        <v>45193</v>
      </c>
      <c r="AM418" t="s">
        <v>148</v>
      </c>
      <c r="AN418">
        <v>21659</v>
      </c>
      <c r="AP418" s="222">
        <v>45193</v>
      </c>
      <c r="AQ418" t="s">
        <v>148</v>
      </c>
      <c r="AR418">
        <v>193275</v>
      </c>
    </row>
    <row r="419" spans="1:48" hidden="1" x14ac:dyDescent="0.25">
      <c r="A419" s="113">
        <v>45293</v>
      </c>
      <c r="B419" s="101">
        <v>11392780</v>
      </c>
      <c r="C419" s="101">
        <v>454192</v>
      </c>
      <c r="D419" s="101">
        <v>11846972</v>
      </c>
      <c r="E419" s="101">
        <v>96.17</v>
      </c>
      <c r="F419" s="211">
        <f t="shared" si="48"/>
        <v>11.846971999999999</v>
      </c>
      <c r="H419" s="215">
        <v>45293</v>
      </c>
      <c r="I419" s="104">
        <v>1633882</v>
      </c>
      <c r="J419" s="104">
        <v>70</v>
      </c>
      <c r="K419" s="104">
        <v>1633952</v>
      </c>
      <c r="L419" s="104">
        <v>100</v>
      </c>
      <c r="M419" s="114">
        <f t="shared" si="47"/>
        <v>1.6339520000000001</v>
      </c>
      <c r="O419" s="215">
        <v>45293</v>
      </c>
      <c r="P419" s="104">
        <v>71406031</v>
      </c>
      <c r="Q419" s="104">
        <v>30638603</v>
      </c>
      <c r="R419" s="104">
        <v>102044634</v>
      </c>
      <c r="S419" s="104">
        <v>69.98</v>
      </c>
      <c r="T419" s="212">
        <f t="shared" si="43"/>
        <v>102.044634</v>
      </c>
      <c r="W419" s="215">
        <v>45293</v>
      </c>
      <c r="X419" s="1">
        <v>7566</v>
      </c>
      <c r="Y419" s="104">
        <v>12000</v>
      </c>
      <c r="Z419" s="114">
        <f t="shared" si="46"/>
        <v>63.05</v>
      </c>
      <c r="AB419" s="215">
        <v>45293</v>
      </c>
      <c r="AC419" s="1">
        <v>1007</v>
      </c>
      <c r="AD419" s="104">
        <v>12000</v>
      </c>
      <c r="AE419" s="114">
        <f t="shared" si="42"/>
        <v>8.3916666666666675</v>
      </c>
      <c r="AG419" s="215">
        <v>45293</v>
      </c>
      <c r="AH419" s="1">
        <v>8262</v>
      </c>
      <c r="AI419" s="104">
        <v>12000</v>
      </c>
      <c r="AJ419" s="46">
        <f t="shared" si="49"/>
        <v>68.849999999999994</v>
      </c>
      <c r="AL419" s="222">
        <v>45193</v>
      </c>
      <c r="AM419" t="s">
        <v>149</v>
      </c>
      <c r="AN419">
        <v>16041</v>
      </c>
      <c r="AP419" s="222">
        <v>45193</v>
      </c>
      <c r="AQ419" t="s">
        <v>152</v>
      </c>
      <c r="AR419">
        <v>101579</v>
      </c>
    </row>
    <row r="420" spans="1:48" hidden="1" x14ac:dyDescent="0.25">
      <c r="A420" s="113">
        <v>45294</v>
      </c>
      <c r="B420" s="101">
        <v>11861768</v>
      </c>
      <c r="C420" s="101">
        <v>280737</v>
      </c>
      <c r="D420" s="101">
        <v>12142505</v>
      </c>
      <c r="E420" s="101">
        <v>97.69</v>
      </c>
      <c r="F420" s="211">
        <f t="shared" si="48"/>
        <v>12.142505</v>
      </c>
      <c r="H420" s="215">
        <v>45294</v>
      </c>
      <c r="I420" s="104">
        <v>6830387</v>
      </c>
      <c r="J420" s="104">
        <v>69</v>
      </c>
      <c r="K420" s="104">
        <v>6830456</v>
      </c>
      <c r="L420" s="104">
        <v>100</v>
      </c>
      <c r="M420" s="114">
        <f t="shared" si="47"/>
        <v>6.8304559999999999</v>
      </c>
      <c r="O420" s="215">
        <v>45294</v>
      </c>
      <c r="P420" s="104">
        <v>74192661</v>
      </c>
      <c r="Q420" s="104">
        <v>26545912</v>
      </c>
      <c r="R420" s="104">
        <v>100738573</v>
      </c>
      <c r="S420" s="104">
        <v>73.650000000000006</v>
      </c>
      <c r="T420" s="212">
        <f t="shared" si="43"/>
        <v>100.738573</v>
      </c>
      <c r="W420" s="215">
        <v>45294</v>
      </c>
      <c r="X420" s="1">
        <v>5393</v>
      </c>
      <c r="Y420" s="104">
        <v>12000</v>
      </c>
      <c r="Z420" s="114">
        <f t="shared" si="46"/>
        <v>44.94166666666667</v>
      </c>
      <c r="AB420" s="215">
        <v>45294</v>
      </c>
      <c r="AC420" s="1">
        <v>986</v>
      </c>
      <c r="AD420" s="104">
        <v>12000</v>
      </c>
      <c r="AE420" s="114">
        <f t="shared" si="42"/>
        <v>8.2166666666666668</v>
      </c>
      <c r="AG420" s="215">
        <v>45294</v>
      </c>
      <c r="AH420" s="1">
        <v>6041</v>
      </c>
      <c r="AI420" s="104">
        <v>12000</v>
      </c>
      <c r="AJ420" s="46">
        <f t="shared" si="49"/>
        <v>50.341666666666669</v>
      </c>
      <c r="AL420" s="222">
        <v>45194</v>
      </c>
      <c r="AM420" t="s">
        <v>146</v>
      </c>
      <c r="AN420">
        <v>216971</v>
      </c>
      <c r="AP420" s="222">
        <v>45194</v>
      </c>
      <c r="AQ420" t="s">
        <v>146</v>
      </c>
      <c r="AR420">
        <v>12922002</v>
      </c>
    </row>
    <row r="421" spans="1:48" hidden="1" x14ac:dyDescent="0.25">
      <c r="A421" s="113">
        <v>45295</v>
      </c>
      <c r="B421" s="101">
        <v>11848277</v>
      </c>
      <c r="C421" s="101">
        <v>306310</v>
      </c>
      <c r="D421" s="101">
        <v>12154587</v>
      </c>
      <c r="E421" s="101">
        <v>97.48</v>
      </c>
      <c r="F421" s="211">
        <f t="shared" si="48"/>
        <v>12.154586999999999</v>
      </c>
      <c r="H421" s="215">
        <v>45295</v>
      </c>
      <c r="I421" s="104">
        <v>6286160</v>
      </c>
      <c r="J421" s="104">
        <v>81</v>
      </c>
      <c r="K421" s="104">
        <v>6286241</v>
      </c>
      <c r="L421" s="104">
        <v>100</v>
      </c>
      <c r="M421" s="114">
        <f t="shared" si="47"/>
        <v>6.2862410000000004</v>
      </c>
      <c r="O421" s="215">
        <v>45295</v>
      </c>
      <c r="P421" s="104">
        <v>71967573</v>
      </c>
      <c r="Q421" s="104">
        <v>23775381</v>
      </c>
      <c r="R421" s="104">
        <v>95742954</v>
      </c>
      <c r="S421" s="104">
        <v>75.17</v>
      </c>
      <c r="T421" s="212">
        <f t="shared" si="43"/>
        <v>95.742953999999997</v>
      </c>
      <c r="W421" s="215">
        <v>45295</v>
      </c>
      <c r="X421" s="1">
        <v>5574</v>
      </c>
      <c r="Y421" s="104">
        <v>12000</v>
      </c>
      <c r="Z421" s="114">
        <f t="shared" si="46"/>
        <v>46.45</v>
      </c>
      <c r="AB421" s="215">
        <v>45295</v>
      </c>
      <c r="AC421" s="1">
        <v>984</v>
      </c>
      <c r="AD421" s="104">
        <v>12000</v>
      </c>
      <c r="AE421" s="114">
        <f t="shared" si="42"/>
        <v>8.1999999999999993</v>
      </c>
      <c r="AG421" s="215">
        <v>45295</v>
      </c>
      <c r="AH421" s="1">
        <v>6166</v>
      </c>
      <c r="AI421" s="104">
        <v>12000</v>
      </c>
      <c r="AJ421" s="46">
        <f t="shared" si="49"/>
        <v>51.383333333333333</v>
      </c>
      <c r="AL421" s="222">
        <v>45194</v>
      </c>
      <c r="AM421" t="s">
        <v>172</v>
      </c>
      <c r="AN421">
        <v>48186</v>
      </c>
      <c r="AP421" s="222">
        <v>45194</v>
      </c>
      <c r="AQ421" t="s">
        <v>149</v>
      </c>
      <c r="AR421">
        <v>1811453</v>
      </c>
      <c r="AU421" t="s">
        <v>155</v>
      </c>
      <c r="AV421">
        <v>2360</v>
      </c>
    </row>
    <row r="422" spans="1:48" hidden="1" x14ac:dyDescent="0.25">
      <c r="A422" s="113">
        <v>45296</v>
      </c>
      <c r="B422" s="101">
        <v>12070189</v>
      </c>
      <c r="C422" s="101">
        <v>301799</v>
      </c>
      <c r="D422" s="101">
        <v>12371988</v>
      </c>
      <c r="E422" s="101">
        <v>97.56</v>
      </c>
      <c r="F422" s="211">
        <f t="shared" si="48"/>
        <v>12.371988</v>
      </c>
      <c r="H422" s="215">
        <v>45296</v>
      </c>
      <c r="I422" s="104">
        <v>1962960</v>
      </c>
      <c r="J422" s="104">
        <v>68</v>
      </c>
      <c r="K422" s="104">
        <v>1963028</v>
      </c>
      <c r="L422" s="104">
        <v>100</v>
      </c>
      <c r="M422" s="114">
        <f t="shared" si="47"/>
        <v>1.963028</v>
      </c>
      <c r="O422" s="215">
        <v>45296</v>
      </c>
      <c r="P422" s="104">
        <v>61748488</v>
      </c>
      <c r="Q422" s="104">
        <v>20307623</v>
      </c>
      <c r="R422" s="104">
        <v>82056111</v>
      </c>
      <c r="S422" s="104">
        <v>75.25</v>
      </c>
      <c r="T422" s="212">
        <f t="shared" si="43"/>
        <v>82.056111000000001</v>
      </c>
      <c r="W422" s="215">
        <v>45296</v>
      </c>
      <c r="X422" s="1">
        <v>5691</v>
      </c>
      <c r="Y422" s="104">
        <v>12000</v>
      </c>
      <c r="Z422" s="114">
        <f t="shared" si="46"/>
        <v>47.424999999999997</v>
      </c>
      <c r="AB422" s="215">
        <v>45296</v>
      </c>
      <c r="AC422" s="1">
        <v>1072</v>
      </c>
      <c r="AD422" s="104">
        <v>12000</v>
      </c>
      <c r="AE422" s="114">
        <f t="shared" si="42"/>
        <v>8.9333333333333336</v>
      </c>
      <c r="AG422" s="215">
        <v>45296</v>
      </c>
      <c r="AH422" s="1">
        <v>6378</v>
      </c>
      <c r="AI422" s="104">
        <v>12000</v>
      </c>
      <c r="AJ422" s="46">
        <f t="shared" si="49"/>
        <v>53.15</v>
      </c>
      <c r="AL422" s="222">
        <v>45194</v>
      </c>
      <c r="AM422" t="s">
        <v>148</v>
      </c>
      <c r="AN422">
        <v>28679</v>
      </c>
      <c r="AP422" s="222">
        <v>45194</v>
      </c>
      <c r="AQ422" t="s">
        <v>180</v>
      </c>
      <c r="AR422">
        <v>1353453</v>
      </c>
      <c r="AU422" t="s">
        <v>147</v>
      </c>
      <c r="AV422">
        <v>1972</v>
      </c>
    </row>
    <row r="423" spans="1:48" hidden="1" x14ac:dyDescent="0.25">
      <c r="A423" s="113">
        <v>45297</v>
      </c>
      <c r="B423" s="101">
        <v>11803572</v>
      </c>
      <c r="C423" s="101">
        <v>302641</v>
      </c>
      <c r="D423" s="101">
        <v>12106213</v>
      </c>
      <c r="E423" s="101">
        <v>97.5</v>
      </c>
      <c r="F423" s="211">
        <f t="shared" si="48"/>
        <v>12.106213</v>
      </c>
      <c r="H423" s="215">
        <v>45297</v>
      </c>
      <c r="I423" s="104">
        <v>2051152</v>
      </c>
      <c r="J423" s="104">
        <v>52</v>
      </c>
      <c r="K423" s="104">
        <v>2051204</v>
      </c>
      <c r="L423" s="104">
        <v>100</v>
      </c>
      <c r="M423" s="114">
        <f t="shared" si="47"/>
        <v>2.0512039999999998</v>
      </c>
      <c r="O423" s="215">
        <v>45297</v>
      </c>
      <c r="P423" s="104">
        <v>56938603</v>
      </c>
      <c r="Q423" s="104">
        <v>19351563</v>
      </c>
      <c r="R423" s="104">
        <v>76290166</v>
      </c>
      <c r="S423" s="104">
        <v>74.63</v>
      </c>
      <c r="T423" s="212">
        <f t="shared" si="43"/>
        <v>76.290165999999999</v>
      </c>
      <c r="W423" s="215">
        <v>45297</v>
      </c>
      <c r="X423" s="1">
        <v>4734</v>
      </c>
      <c r="Y423" s="104">
        <v>12000</v>
      </c>
      <c r="Z423" s="114">
        <f t="shared" si="46"/>
        <v>39.450000000000003</v>
      </c>
      <c r="AB423" s="215">
        <v>45297</v>
      </c>
      <c r="AC423" s="1">
        <v>1066</v>
      </c>
      <c r="AD423" s="104">
        <v>12000</v>
      </c>
      <c r="AE423" s="114">
        <f t="shared" si="42"/>
        <v>8.8833333333333329</v>
      </c>
      <c r="AG423" s="215">
        <v>45297</v>
      </c>
      <c r="AH423" s="1">
        <v>5342</v>
      </c>
      <c r="AI423" s="104">
        <v>12000</v>
      </c>
      <c r="AJ423" s="46">
        <f t="shared" si="49"/>
        <v>44.516666666666666</v>
      </c>
      <c r="AL423" s="222">
        <v>45194</v>
      </c>
      <c r="AM423" t="s">
        <v>180</v>
      </c>
      <c r="AN423">
        <v>19853</v>
      </c>
      <c r="AP423" s="222">
        <v>45194</v>
      </c>
      <c r="AQ423" t="s">
        <v>148</v>
      </c>
      <c r="AR423">
        <v>457451</v>
      </c>
    </row>
    <row r="424" spans="1:48" hidden="1" x14ac:dyDescent="0.25">
      <c r="A424" s="113">
        <v>45298</v>
      </c>
      <c r="B424" s="101">
        <v>12172178</v>
      </c>
      <c r="C424" s="101">
        <v>260463</v>
      </c>
      <c r="D424" s="101">
        <v>12432641</v>
      </c>
      <c r="E424" s="101">
        <v>97.91</v>
      </c>
      <c r="F424" s="211">
        <f t="shared" si="48"/>
        <v>12.432641</v>
      </c>
      <c r="H424" s="215">
        <v>45298</v>
      </c>
      <c r="I424" s="104">
        <v>1517021</v>
      </c>
      <c r="J424" s="104">
        <v>226</v>
      </c>
      <c r="K424" s="104">
        <v>1517247</v>
      </c>
      <c r="L424" s="104">
        <v>99.99</v>
      </c>
      <c r="M424" s="114">
        <f t="shared" si="47"/>
        <v>1.517247</v>
      </c>
      <c r="O424" s="215">
        <v>45298</v>
      </c>
      <c r="P424" s="104">
        <v>43940254</v>
      </c>
      <c r="Q424" s="104">
        <v>6852485</v>
      </c>
      <c r="R424" s="104">
        <v>50792739</v>
      </c>
      <c r="S424" s="104">
        <v>86.51</v>
      </c>
      <c r="T424" s="212">
        <f t="shared" si="43"/>
        <v>50.792738999999997</v>
      </c>
      <c r="W424" s="215">
        <v>45298</v>
      </c>
      <c r="X424" s="1">
        <v>2933</v>
      </c>
      <c r="Y424" s="104">
        <v>12000</v>
      </c>
      <c r="Z424" s="114">
        <f t="shared" si="46"/>
        <v>24.441666666666666</v>
      </c>
      <c r="AB424" s="215">
        <v>45298</v>
      </c>
      <c r="AC424" s="1">
        <v>988</v>
      </c>
      <c r="AD424" s="104">
        <v>12000</v>
      </c>
      <c r="AE424" s="114">
        <f t="shared" si="42"/>
        <v>8.2333333333333325</v>
      </c>
      <c r="AG424" s="215">
        <v>45298</v>
      </c>
      <c r="AH424" s="1">
        <v>3621</v>
      </c>
      <c r="AI424" s="104">
        <v>12000</v>
      </c>
      <c r="AJ424" s="46">
        <f t="shared" si="49"/>
        <v>30.175000000000001</v>
      </c>
      <c r="AL424" s="222">
        <v>45194</v>
      </c>
      <c r="AM424" t="s">
        <v>149</v>
      </c>
      <c r="AN424">
        <v>12425</v>
      </c>
      <c r="AP424" s="222">
        <v>45194</v>
      </c>
      <c r="AQ424" t="s">
        <v>152</v>
      </c>
      <c r="AR424">
        <v>152904</v>
      </c>
    </row>
    <row r="425" spans="1:48" hidden="1" x14ac:dyDescent="0.25">
      <c r="A425" s="113">
        <v>45299</v>
      </c>
      <c r="B425" s="101">
        <v>11895431</v>
      </c>
      <c r="C425" s="101">
        <v>229203</v>
      </c>
      <c r="D425" s="101">
        <v>12124634</v>
      </c>
      <c r="E425" s="101">
        <v>98.11</v>
      </c>
      <c r="F425" s="211">
        <f t="shared" si="48"/>
        <v>12.124634</v>
      </c>
      <c r="H425" s="215">
        <v>45299</v>
      </c>
      <c r="I425" s="104">
        <v>1696065</v>
      </c>
      <c r="J425" s="104">
        <v>961</v>
      </c>
      <c r="K425" s="104">
        <v>1697026</v>
      </c>
      <c r="L425" s="104">
        <v>99.94</v>
      </c>
      <c r="M425" s="114">
        <f t="shared" si="47"/>
        <v>1.6970259999999999</v>
      </c>
      <c r="O425" s="215">
        <v>45299</v>
      </c>
      <c r="P425" s="104">
        <v>60787494</v>
      </c>
      <c r="Q425" s="104">
        <v>21373112</v>
      </c>
      <c r="R425" s="104">
        <v>82160606</v>
      </c>
      <c r="S425" s="104">
        <v>73.989999999999995</v>
      </c>
      <c r="T425" s="212">
        <f t="shared" si="43"/>
        <v>82.160606000000001</v>
      </c>
      <c r="W425" s="215">
        <v>45299</v>
      </c>
      <c r="X425" s="1">
        <v>4966</v>
      </c>
      <c r="Y425" s="104">
        <v>12000</v>
      </c>
      <c r="Z425" s="114">
        <f t="shared" si="46"/>
        <v>41.383333333333333</v>
      </c>
      <c r="AB425" s="215">
        <v>45299</v>
      </c>
      <c r="AC425" s="1">
        <v>1332</v>
      </c>
      <c r="AD425" s="104">
        <v>12000</v>
      </c>
      <c r="AE425" s="114">
        <f t="shared" si="42"/>
        <v>11.1</v>
      </c>
      <c r="AG425" s="215">
        <v>45299</v>
      </c>
      <c r="AH425" s="1">
        <v>5498</v>
      </c>
      <c r="AI425" s="104">
        <v>12000</v>
      </c>
      <c r="AJ425" s="46">
        <f t="shared" si="49"/>
        <v>45.81666666666667</v>
      </c>
      <c r="AL425" s="222">
        <v>45195</v>
      </c>
      <c r="AM425" t="s">
        <v>146</v>
      </c>
      <c r="AN425">
        <v>288610</v>
      </c>
      <c r="AP425" s="222">
        <v>45195</v>
      </c>
      <c r="AQ425" t="s">
        <v>146</v>
      </c>
      <c r="AR425">
        <v>14005956</v>
      </c>
    </row>
    <row r="426" spans="1:48" hidden="1" x14ac:dyDescent="0.25">
      <c r="A426" s="113">
        <v>45300</v>
      </c>
      <c r="B426" s="101">
        <v>11816839</v>
      </c>
      <c r="C426" s="101">
        <v>316061</v>
      </c>
      <c r="D426" s="101">
        <v>12132900</v>
      </c>
      <c r="E426" s="101">
        <v>97.4</v>
      </c>
      <c r="F426" s="211">
        <f t="shared" si="48"/>
        <v>12.132899999999999</v>
      </c>
      <c r="H426" s="215">
        <v>45300</v>
      </c>
      <c r="I426" s="104">
        <v>2178466</v>
      </c>
      <c r="J426" s="104">
        <v>99</v>
      </c>
      <c r="K426" s="104">
        <v>2178565</v>
      </c>
      <c r="L426" s="104">
        <v>100</v>
      </c>
      <c r="M426" s="114">
        <f t="shared" si="47"/>
        <v>2.1785649999999999</v>
      </c>
      <c r="O426" s="215">
        <v>45300</v>
      </c>
      <c r="P426" s="104">
        <v>61937270</v>
      </c>
      <c r="Q426" s="104">
        <v>21749613</v>
      </c>
      <c r="R426" s="104">
        <v>83686883</v>
      </c>
      <c r="S426" s="104">
        <v>74.010000000000005</v>
      </c>
      <c r="T426" s="212">
        <f t="shared" si="43"/>
        <v>83.686882999999995</v>
      </c>
      <c r="W426" s="215">
        <v>45300</v>
      </c>
      <c r="X426" s="1">
        <v>5041</v>
      </c>
      <c r="Y426" s="104">
        <v>12000</v>
      </c>
      <c r="Z426" s="114">
        <f t="shared" si="46"/>
        <v>42.008333333333333</v>
      </c>
      <c r="AB426" s="215">
        <v>45300</v>
      </c>
      <c r="AC426" s="1">
        <v>1163</v>
      </c>
      <c r="AD426" s="104">
        <v>12000</v>
      </c>
      <c r="AE426" s="114">
        <f t="shared" si="42"/>
        <v>9.6916666666666664</v>
      </c>
      <c r="AG426" s="215">
        <v>45300</v>
      </c>
      <c r="AH426" s="1">
        <v>5662</v>
      </c>
      <c r="AI426" s="104">
        <v>12000</v>
      </c>
      <c r="AJ426" s="46">
        <f t="shared" si="49"/>
        <v>47.18333333333333</v>
      </c>
      <c r="AL426" s="222">
        <v>45195</v>
      </c>
      <c r="AM426" t="s">
        <v>172</v>
      </c>
      <c r="AN426">
        <v>38766</v>
      </c>
      <c r="AP426" s="222">
        <v>45195</v>
      </c>
      <c r="AQ426" t="s">
        <v>149</v>
      </c>
      <c r="AR426">
        <v>2153882</v>
      </c>
      <c r="AT426" s="222">
        <v>45195</v>
      </c>
      <c r="AU426" t="s">
        <v>198</v>
      </c>
      <c r="AV426">
        <v>1601</v>
      </c>
    </row>
    <row r="427" spans="1:48" hidden="1" x14ac:dyDescent="0.25">
      <c r="A427" s="113">
        <v>45301</v>
      </c>
      <c r="B427" s="101">
        <v>11885531</v>
      </c>
      <c r="C427" s="101">
        <v>309417</v>
      </c>
      <c r="D427" s="101">
        <v>12194948</v>
      </c>
      <c r="E427" s="101">
        <v>97.46</v>
      </c>
      <c r="F427" s="211">
        <f t="shared" si="48"/>
        <v>12.194948</v>
      </c>
      <c r="H427" s="215">
        <v>45301</v>
      </c>
      <c r="I427" s="104">
        <v>1973840</v>
      </c>
      <c r="J427" s="104">
        <v>28987</v>
      </c>
      <c r="K427" s="104">
        <v>2002827</v>
      </c>
      <c r="L427" s="104">
        <v>98.55</v>
      </c>
      <c r="M427" s="114">
        <f t="shared" si="47"/>
        <v>2.0028269999999999</v>
      </c>
      <c r="O427" s="215">
        <v>45301</v>
      </c>
      <c r="P427" s="104">
        <v>62646787</v>
      </c>
      <c r="Q427" s="104">
        <v>21507585</v>
      </c>
      <c r="R427" s="104">
        <v>84154372</v>
      </c>
      <c r="S427" s="104">
        <v>74.44</v>
      </c>
      <c r="T427" s="212">
        <f t="shared" si="43"/>
        <v>84.154371999999995</v>
      </c>
      <c r="W427" s="215">
        <v>45301</v>
      </c>
      <c r="X427" s="1">
        <v>4914</v>
      </c>
      <c r="Y427" s="104">
        <v>12000</v>
      </c>
      <c r="Z427" s="114">
        <f t="shared" si="46"/>
        <v>40.950000000000003</v>
      </c>
      <c r="AB427" s="215">
        <v>45301</v>
      </c>
      <c r="AC427" s="1">
        <v>1129</v>
      </c>
      <c r="AD427" s="104">
        <v>12000</v>
      </c>
      <c r="AE427" s="114">
        <f t="shared" si="42"/>
        <v>9.4083333333333332</v>
      </c>
      <c r="AG427" s="215">
        <v>45301</v>
      </c>
      <c r="AH427" s="1">
        <v>5468</v>
      </c>
      <c r="AI427" s="104">
        <v>12000</v>
      </c>
      <c r="AJ427" s="46">
        <f t="shared" si="49"/>
        <v>45.56666666666667</v>
      </c>
      <c r="AL427" s="222">
        <v>45195</v>
      </c>
      <c r="AM427" t="s">
        <v>180</v>
      </c>
      <c r="AN427">
        <v>32885</v>
      </c>
      <c r="AP427" s="222">
        <v>45195</v>
      </c>
      <c r="AQ427" t="s">
        <v>180</v>
      </c>
      <c r="AR427">
        <v>1419820</v>
      </c>
      <c r="AT427" s="222">
        <v>45195</v>
      </c>
      <c r="AU427" t="s">
        <v>147</v>
      </c>
      <c r="AV427">
        <v>595</v>
      </c>
    </row>
    <row r="428" spans="1:48" hidden="1" x14ac:dyDescent="0.25">
      <c r="A428" s="113">
        <v>45302</v>
      </c>
      <c r="B428" s="101">
        <v>11651755</v>
      </c>
      <c r="C428" s="101">
        <v>305479</v>
      </c>
      <c r="D428" s="101">
        <v>11957234</v>
      </c>
      <c r="E428" s="101">
        <v>97.45</v>
      </c>
      <c r="F428" s="211">
        <f t="shared" si="48"/>
        <v>11.957234</v>
      </c>
      <c r="H428" s="215">
        <v>45302</v>
      </c>
      <c r="I428" s="104">
        <v>1888035</v>
      </c>
      <c r="J428" s="104">
        <v>74412</v>
      </c>
      <c r="K428" s="104">
        <v>1962447</v>
      </c>
      <c r="L428" s="104">
        <v>96.21</v>
      </c>
      <c r="M428" s="114">
        <f t="shared" si="47"/>
        <v>1.9624470000000001</v>
      </c>
      <c r="O428" s="215">
        <v>45302</v>
      </c>
      <c r="P428" s="104">
        <v>62333642</v>
      </c>
      <c r="Q428" s="104">
        <v>21476581</v>
      </c>
      <c r="R428" s="104">
        <v>83810223</v>
      </c>
      <c r="S428" s="104">
        <v>74.37</v>
      </c>
      <c r="T428" s="212">
        <f t="shared" si="43"/>
        <v>83.810222999999993</v>
      </c>
      <c r="W428" s="215">
        <v>45302</v>
      </c>
      <c r="X428" s="1">
        <v>4994</v>
      </c>
      <c r="Y428" s="104">
        <v>12000</v>
      </c>
      <c r="Z428" s="114">
        <f t="shared" si="46"/>
        <v>41.616666666666667</v>
      </c>
      <c r="AB428" s="215">
        <v>45302</v>
      </c>
      <c r="AC428" s="1">
        <v>1130</v>
      </c>
      <c r="AD428" s="104">
        <v>12000</v>
      </c>
      <c r="AE428" s="114">
        <f t="shared" si="42"/>
        <v>9.4166666666666661</v>
      </c>
      <c r="AG428" s="215">
        <v>45302</v>
      </c>
      <c r="AH428" s="1">
        <v>5536</v>
      </c>
      <c r="AI428" s="104">
        <v>12000</v>
      </c>
      <c r="AJ428" s="46">
        <f t="shared" si="49"/>
        <v>46.133333333333333</v>
      </c>
      <c r="AL428" s="222">
        <v>45195</v>
      </c>
      <c r="AM428" t="s">
        <v>148</v>
      </c>
      <c r="AN428">
        <v>29501</v>
      </c>
      <c r="AP428" s="222">
        <v>45195</v>
      </c>
      <c r="AQ428" t="s">
        <v>148</v>
      </c>
      <c r="AR428">
        <v>318872</v>
      </c>
    </row>
    <row r="429" spans="1:48" hidden="1" x14ac:dyDescent="0.25">
      <c r="A429" s="113">
        <v>45303</v>
      </c>
      <c r="B429" s="101">
        <v>11938106</v>
      </c>
      <c r="C429" s="101">
        <v>300221</v>
      </c>
      <c r="D429" s="101">
        <v>12238327</v>
      </c>
      <c r="E429" s="101">
        <v>97.55</v>
      </c>
      <c r="F429" s="211">
        <f t="shared" si="48"/>
        <v>12.238327</v>
      </c>
      <c r="H429" s="215">
        <v>45303</v>
      </c>
      <c r="I429" s="104">
        <v>1809725</v>
      </c>
      <c r="J429" s="104">
        <v>32453</v>
      </c>
      <c r="K429" s="104">
        <v>1842178</v>
      </c>
      <c r="L429" s="104">
        <v>98.24</v>
      </c>
      <c r="M429" s="114">
        <f t="shared" si="47"/>
        <v>1.8421780000000001</v>
      </c>
      <c r="O429" s="215">
        <v>45303</v>
      </c>
      <c r="P429" s="104">
        <v>63907225</v>
      </c>
      <c r="Q429" s="104">
        <v>22322679</v>
      </c>
      <c r="R429" s="104">
        <v>86229904</v>
      </c>
      <c r="S429" s="104">
        <v>74.11</v>
      </c>
      <c r="T429" s="212">
        <f t="shared" si="43"/>
        <v>86.229904000000005</v>
      </c>
      <c r="W429" s="215">
        <v>45303</v>
      </c>
      <c r="X429" s="1">
        <v>5993</v>
      </c>
      <c r="Y429" s="104">
        <v>12000</v>
      </c>
      <c r="Z429" s="114">
        <f t="shared" si="46"/>
        <v>49.94166666666667</v>
      </c>
      <c r="AB429" s="215">
        <v>45303</v>
      </c>
      <c r="AC429" s="1">
        <v>1183</v>
      </c>
      <c r="AD429" s="104">
        <v>12000</v>
      </c>
      <c r="AE429" s="114">
        <f t="shared" si="42"/>
        <v>9.8583333333333325</v>
      </c>
      <c r="AG429" s="215">
        <v>45303</v>
      </c>
      <c r="AH429" s="1">
        <v>6619</v>
      </c>
      <c r="AI429" s="104">
        <v>12000</v>
      </c>
      <c r="AJ429" s="46">
        <f t="shared" si="49"/>
        <v>55.158333333333331</v>
      </c>
      <c r="AL429" s="222">
        <v>45195</v>
      </c>
      <c r="AM429" t="s">
        <v>149</v>
      </c>
      <c r="AN429">
        <v>16029</v>
      </c>
      <c r="AP429" s="222">
        <v>45195</v>
      </c>
      <c r="AQ429" t="s">
        <v>201</v>
      </c>
      <c r="AR429">
        <v>246650</v>
      </c>
    </row>
    <row r="430" spans="1:48" hidden="1" x14ac:dyDescent="0.25">
      <c r="A430" s="113">
        <v>45304</v>
      </c>
      <c r="B430" s="101">
        <v>10650785</v>
      </c>
      <c r="C430" s="101">
        <v>299912</v>
      </c>
      <c r="D430" s="101">
        <v>10950697</v>
      </c>
      <c r="E430" s="101">
        <v>97.26</v>
      </c>
      <c r="F430" s="211">
        <f t="shared" si="48"/>
        <v>10.950697</v>
      </c>
      <c r="H430" s="215">
        <v>45304</v>
      </c>
      <c r="I430" s="104">
        <v>1773025</v>
      </c>
      <c r="J430" s="104">
        <v>77</v>
      </c>
      <c r="K430" s="104">
        <v>1773102</v>
      </c>
      <c r="L430" s="104">
        <v>100</v>
      </c>
      <c r="M430" s="114">
        <f t="shared" si="47"/>
        <v>1.773102</v>
      </c>
      <c r="O430" s="215">
        <v>45304</v>
      </c>
      <c r="P430" s="104">
        <v>58999524</v>
      </c>
      <c r="Q430" s="104">
        <v>19361373</v>
      </c>
      <c r="R430" s="104">
        <v>78360897</v>
      </c>
      <c r="S430" s="104">
        <v>75.290000000000006</v>
      </c>
      <c r="T430" s="212">
        <f t="shared" si="43"/>
        <v>78.360896999999994</v>
      </c>
      <c r="W430" s="215">
        <v>45304</v>
      </c>
      <c r="X430" s="1">
        <v>5989</v>
      </c>
      <c r="Y430" s="104">
        <v>12000</v>
      </c>
      <c r="Z430" s="114">
        <f t="shared" si="46"/>
        <v>49.908333333333331</v>
      </c>
      <c r="AB430" s="215">
        <v>45304</v>
      </c>
      <c r="AC430" s="1">
        <v>1028</v>
      </c>
      <c r="AD430" s="104">
        <v>12000</v>
      </c>
      <c r="AE430" s="114">
        <f t="shared" ref="AE430:AE483" si="50">AC430/AD430%</f>
        <v>8.5666666666666664</v>
      </c>
      <c r="AG430" s="215">
        <v>45304</v>
      </c>
      <c r="AH430" s="1">
        <v>6698</v>
      </c>
      <c r="AI430" s="104">
        <v>12000</v>
      </c>
      <c r="AJ430" s="46">
        <f t="shared" si="49"/>
        <v>55.81666666666667</v>
      </c>
      <c r="AL430" s="222">
        <v>45196</v>
      </c>
      <c r="AM430" s="101" t="s">
        <v>189</v>
      </c>
      <c r="AN430" s="101">
        <v>279658</v>
      </c>
      <c r="AP430" s="222">
        <v>45196</v>
      </c>
      <c r="AQ430" s="101" t="s">
        <v>189</v>
      </c>
      <c r="AR430" s="101">
        <v>18063300</v>
      </c>
    </row>
    <row r="431" spans="1:48" hidden="1" x14ac:dyDescent="0.25">
      <c r="A431" s="113">
        <v>45305</v>
      </c>
      <c r="B431" s="101">
        <v>11990224</v>
      </c>
      <c r="C431" s="101">
        <v>244334</v>
      </c>
      <c r="D431" s="101">
        <v>12234558</v>
      </c>
      <c r="E431" s="101">
        <v>98</v>
      </c>
      <c r="F431" s="211">
        <f t="shared" si="48"/>
        <v>12.234558</v>
      </c>
      <c r="H431" s="215">
        <v>45305</v>
      </c>
      <c r="I431" s="104">
        <v>1507995</v>
      </c>
      <c r="J431" s="104">
        <v>112</v>
      </c>
      <c r="K431" s="104">
        <v>1508107</v>
      </c>
      <c r="L431" s="104">
        <v>99.99</v>
      </c>
      <c r="M431" s="114">
        <f t="shared" si="47"/>
        <v>1.5081070000000001</v>
      </c>
      <c r="O431" s="215">
        <v>45305</v>
      </c>
      <c r="P431" s="104">
        <v>44551502</v>
      </c>
      <c r="Q431" s="104">
        <v>9257359</v>
      </c>
      <c r="R431" s="104">
        <v>53808861</v>
      </c>
      <c r="S431" s="104">
        <v>82.8</v>
      </c>
      <c r="T431" s="212">
        <f t="shared" si="43"/>
        <v>53.808861</v>
      </c>
      <c r="W431" s="215">
        <v>45305</v>
      </c>
      <c r="X431" s="1">
        <v>3401</v>
      </c>
      <c r="Y431" s="104">
        <v>12000</v>
      </c>
      <c r="Z431" s="114">
        <f t="shared" si="46"/>
        <v>28.341666666666665</v>
      </c>
      <c r="AB431" s="215">
        <v>45305</v>
      </c>
      <c r="AC431" s="1">
        <v>985</v>
      </c>
      <c r="AD431" s="104">
        <v>12000</v>
      </c>
      <c r="AE431" s="114">
        <f t="shared" si="50"/>
        <v>8.2083333333333339</v>
      </c>
      <c r="AG431" s="215">
        <v>45305</v>
      </c>
      <c r="AH431" s="1">
        <v>4041</v>
      </c>
      <c r="AI431" s="104">
        <v>12000</v>
      </c>
      <c r="AJ431" s="46">
        <f t="shared" si="49"/>
        <v>33.674999999999997</v>
      </c>
      <c r="AL431" s="222">
        <v>45196</v>
      </c>
      <c r="AM431" s="101" t="s">
        <v>194</v>
      </c>
      <c r="AN431" s="101">
        <v>34210</v>
      </c>
      <c r="AP431" s="222">
        <v>45196</v>
      </c>
      <c r="AQ431" s="101" t="s">
        <v>192</v>
      </c>
      <c r="AR431" s="101">
        <v>2240107</v>
      </c>
      <c r="AU431" s="101" t="s">
        <v>190</v>
      </c>
      <c r="AV431" s="101">
        <v>759</v>
      </c>
    </row>
    <row r="432" spans="1:48" hidden="1" x14ac:dyDescent="0.25">
      <c r="A432" s="113">
        <v>45306</v>
      </c>
      <c r="B432" s="101">
        <v>11486573</v>
      </c>
      <c r="C432" s="101">
        <v>222262</v>
      </c>
      <c r="D432" s="101">
        <v>11708835</v>
      </c>
      <c r="E432" s="101">
        <v>98.1</v>
      </c>
      <c r="F432" s="211">
        <f t="shared" si="48"/>
        <v>11.708835000000001</v>
      </c>
      <c r="H432" s="215">
        <v>45306</v>
      </c>
      <c r="I432" s="104">
        <v>1706540</v>
      </c>
      <c r="J432" s="104">
        <v>379</v>
      </c>
      <c r="K432" s="104">
        <v>1706919</v>
      </c>
      <c r="L432" s="104">
        <v>99.98</v>
      </c>
      <c r="M432" s="114">
        <f t="shared" si="47"/>
        <v>1.7069190000000001</v>
      </c>
      <c r="O432" s="215">
        <v>45306</v>
      </c>
      <c r="P432" s="104">
        <v>58483607</v>
      </c>
      <c r="Q432" s="104">
        <v>21127183</v>
      </c>
      <c r="R432" s="104">
        <v>79610790</v>
      </c>
      <c r="S432" s="104">
        <v>73.459999999999994</v>
      </c>
      <c r="T432" s="212">
        <f t="shared" si="43"/>
        <v>79.610789999999994</v>
      </c>
      <c r="W432" s="215">
        <v>45306</v>
      </c>
      <c r="X432" s="1">
        <v>4797</v>
      </c>
      <c r="Y432" s="104">
        <v>12000</v>
      </c>
      <c r="Z432" s="114">
        <f t="shared" si="46"/>
        <v>39.975000000000001</v>
      </c>
      <c r="AB432" s="215">
        <v>45306</v>
      </c>
      <c r="AC432" s="1">
        <v>1184</v>
      </c>
      <c r="AD432" s="104">
        <v>12000</v>
      </c>
      <c r="AE432" s="114">
        <f t="shared" si="50"/>
        <v>9.8666666666666671</v>
      </c>
      <c r="AG432" s="215">
        <v>45306</v>
      </c>
      <c r="AH432" s="1">
        <v>5380</v>
      </c>
      <c r="AI432" s="104">
        <v>12000</v>
      </c>
      <c r="AJ432" s="46">
        <f t="shared" si="49"/>
        <v>44.833333333333336</v>
      </c>
      <c r="AL432" s="222">
        <v>45196</v>
      </c>
      <c r="AM432" s="101" t="s">
        <v>191</v>
      </c>
      <c r="AN432" s="101">
        <v>30176</v>
      </c>
      <c r="AP432" s="222">
        <v>45196</v>
      </c>
      <c r="AQ432" s="101" t="s">
        <v>194</v>
      </c>
      <c r="AR432" s="101">
        <v>1375745</v>
      </c>
      <c r="AU432" s="101" t="s">
        <v>193</v>
      </c>
      <c r="AV432" s="101">
        <v>565</v>
      </c>
    </row>
    <row r="433" spans="1:48" hidden="1" x14ac:dyDescent="0.25">
      <c r="A433" s="113">
        <v>45307</v>
      </c>
      <c r="B433" s="101">
        <v>11556637</v>
      </c>
      <c r="C433" s="101">
        <v>278966</v>
      </c>
      <c r="D433" s="101">
        <v>11835603</v>
      </c>
      <c r="E433" s="101">
        <v>97.64</v>
      </c>
      <c r="F433" s="211">
        <f t="shared" si="48"/>
        <v>11.835603000000001</v>
      </c>
      <c r="H433" s="215">
        <v>45307</v>
      </c>
      <c r="I433" s="104">
        <v>1840067</v>
      </c>
      <c r="J433" s="104">
        <v>457</v>
      </c>
      <c r="K433" s="104">
        <v>1840524</v>
      </c>
      <c r="L433" s="104">
        <v>99.98</v>
      </c>
      <c r="M433" s="114">
        <f t="shared" si="47"/>
        <v>1.840524</v>
      </c>
      <c r="O433" s="215">
        <v>45307</v>
      </c>
      <c r="P433" s="104">
        <v>60638698</v>
      </c>
      <c r="Q433" s="104">
        <v>21859729</v>
      </c>
      <c r="R433" s="104">
        <v>82498427</v>
      </c>
      <c r="S433" s="104">
        <v>73.5</v>
      </c>
      <c r="T433" s="212">
        <f t="shared" si="43"/>
        <v>82.498427000000007</v>
      </c>
      <c r="W433" s="215">
        <v>45307</v>
      </c>
      <c r="X433" s="1">
        <v>5484</v>
      </c>
      <c r="Y433" s="104">
        <v>12000</v>
      </c>
      <c r="Z433" s="114">
        <f t="shared" si="46"/>
        <v>45.7</v>
      </c>
      <c r="AB433" s="215">
        <v>45307</v>
      </c>
      <c r="AC433" s="1">
        <v>1228</v>
      </c>
      <c r="AD433" s="104">
        <v>12000</v>
      </c>
      <c r="AE433" s="114">
        <f t="shared" si="50"/>
        <v>10.233333333333333</v>
      </c>
      <c r="AG433" s="215">
        <v>45307</v>
      </c>
      <c r="AH433" s="1">
        <v>6204</v>
      </c>
      <c r="AI433" s="104">
        <v>12000</v>
      </c>
      <c r="AJ433" s="46">
        <f t="shared" si="49"/>
        <v>51.7</v>
      </c>
      <c r="AL433" s="222">
        <v>45271</v>
      </c>
      <c r="AM433" t="s">
        <v>146</v>
      </c>
      <c r="AN433">
        <v>146346</v>
      </c>
      <c r="AP433" s="222">
        <v>45271</v>
      </c>
      <c r="AQ433" t="s">
        <v>146</v>
      </c>
      <c r="AR433">
        <v>29633806</v>
      </c>
      <c r="AT433" s="222">
        <v>45271</v>
      </c>
      <c r="AU433" t="s">
        <v>198</v>
      </c>
      <c r="AV433">
        <v>3468</v>
      </c>
    </row>
    <row r="434" spans="1:48" hidden="1" x14ac:dyDescent="0.25">
      <c r="A434" s="113">
        <v>45308</v>
      </c>
      <c r="B434" s="173">
        <v>11966401</v>
      </c>
      <c r="C434" s="173">
        <v>292875</v>
      </c>
      <c r="D434" s="173">
        <v>12259276</v>
      </c>
      <c r="E434" s="173">
        <v>97.61</v>
      </c>
      <c r="F434" s="214">
        <f t="shared" si="48"/>
        <v>12.259276</v>
      </c>
      <c r="H434" s="215">
        <v>45308</v>
      </c>
      <c r="I434" s="104">
        <v>1700885</v>
      </c>
      <c r="J434" s="104">
        <v>451</v>
      </c>
      <c r="K434" s="104">
        <v>1701336</v>
      </c>
      <c r="L434" s="104">
        <v>99.97</v>
      </c>
      <c r="M434" s="114">
        <f t="shared" si="47"/>
        <v>1.701336</v>
      </c>
      <c r="O434" s="215">
        <v>45308</v>
      </c>
      <c r="P434" s="104">
        <v>63236763</v>
      </c>
      <c r="Q434" s="104">
        <v>23645360</v>
      </c>
      <c r="R434" s="104">
        <v>86882123</v>
      </c>
      <c r="S434" s="104">
        <v>72.78</v>
      </c>
      <c r="T434" s="212">
        <f t="shared" si="43"/>
        <v>86.882123000000007</v>
      </c>
      <c r="W434" s="215">
        <v>45308</v>
      </c>
      <c r="X434" s="1">
        <v>4484</v>
      </c>
      <c r="Y434" s="104">
        <v>12000</v>
      </c>
      <c r="Z434" s="114">
        <f t="shared" si="46"/>
        <v>37.366666666666667</v>
      </c>
      <c r="AB434" s="215">
        <v>45308</v>
      </c>
      <c r="AC434" s="1">
        <v>1106</v>
      </c>
      <c r="AD434" s="104">
        <v>12000</v>
      </c>
      <c r="AE434" s="114">
        <f t="shared" si="50"/>
        <v>9.2166666666666668</v>
      </c>
      <c r="AG434" s="215">
        <v>45308</v>
      </c>
      <c r="AH434" s="1">
        <v>5354</v>
      </c>
      <c r="AI434" s="104">
        <v>12000</v>
      </c>
      <c r="AJ434" s="46">
        <f t="shared" si="49"/>
        <v>44.616666666666667</v>
      </c>
      <c r="AL434" s="222">
        <v>45271</v>
      </c>
      <c r="AM434" t="s">
        <v>186</v>
      </c>
      <c r="AN434">
        <v>17521</v>
      </c>
      <c r="AP434" s="222">
        <v>45271</v>
      </c>
      <c r="AQ434" t="s">
        <v>149</v>
      </c>
      <c r="AR434">
        <v>2659763</v>
      </c>
      <c r="AT434" s="222">
        <v>45271</v>
      </c>
      <c r="AU434" s="101" t="s">
        <v>193</v>
      </c>
      <c r="AV434">
        <v>25</v>
      </c>
    </row>
    <row r="435" spans="1:48" hidden="1" x14ac:dyDescent="0.25">
      <c r="A435" s="215">
        <v>45309</v>
      </c>
      <c r="B435" s="104">
        <v>11777856</v>
      </c>
      <c r="C435" s="104">
        <v>283451</v>
      </c>
      <c r="D435" s="104">
        <v>12061307</v>
      </c>
      <c r="E435" s="104">
        <v>97.65</v>
      </c>
      <c r="F435" s="212">
        <f t="shared" si="48"/>
        <v>12.061306999999999</v>
      </c>
      <c r="H435" s="215">
        <v>45309</v>
      </c>
      <c r="I435" s="104">
        <v>2121928</v>
      </c>
      <c r="J435" s="104">
        <v>404</v>
      </c>
      <c r="K435" s="104">
        <v>2122332</v>
      </c>
      <c r="L435" s="104">
        <v>99.98</v>
      </c>
      <c r="M435" s="114">
        <f t="shared" si="47"/>
        <v>2.1223320000000001</v>
      </c>
      <c r="O435" s="215">
        <v>45309</v>
      </c>
      <c r="P435" s="104">
        <v>62175510</v>
      </c>
      <c r="Q435" s="104">
        <v>23569523</v>
      </c>
      <c r="R435" s="104">
        <v>85745033</v>
      </c>
      <c r="S435" s="104">
        <v>72.510000000000005</v>
      </c>
      <c r="T435" s="212">
        <f t="shared" si="43"/>
        <v>85.745033000000006</v>
      </c>
      <c r="W435" s="215">
        <v>45309</v>
      </c>
      <c r="X435" s="1">
        <v>5287</v>
      </c>
      <c r="Y435" s="104">
        <v>12000</v>
      </c>
      <c r="Z435" s="114">
        <f t="shared" si="46"/>
        <v>44.05833333333333</v>
      </c>
      <c r="AB435" s="215">
        <v>45309</v>
      </c>
      <c r="AC435" s="1">
        <v>1117</v>
      </c>
      <c r="AD435" s="104">
        <v>12000</v>
      </c>
      <c r="AE435" s="114">
        <f t="shared" si="50"/>
        <v>9.3083333333333336</v>
      </c>
      <c r="AG435" s="215">
        <v>45309</v>
      </c>
      <c r="AH435" s="1">
        <v>6104</v>
      </c>
      <c r="AI435" s="104">
        <v>12000</v>
      </c>
      <c r="AJ435" s="46">
        <f t="shared" si="49"/>
        <v>50.866666666666667</v>
      </c>
      <c r="AL435" s="222">
        <v>45271</v>
      </c>
      <c r="AM435" t="s">
        <v>148</v>
      </c>
      <c r="AN435">
        <v>13380</v>
      </c>
      <c r="AP435" s="222">
        <v>45271</v>
      </c>
      <c r="AQ435" t="s">
        <v>180</v>
      </c>
      <c r="AR435">
        <v>2356294</v>
      </c>
    </row>
    <row r="436" spans="1:48" hidden="1" x14ac:dyDescent="0.25">
      <c r="A436" s="215">
        <v>45310</v>
      </c>
      <c r="B436" s="104">
        <v>11996232</v>
      </c>
      <c r="C436" s="104">
        <v>302084</v>
      </c>
      <c r="D436" s="104">
        <v>12298316</v>
      </c>
      <c r="E436" s="104">
        <v>97.54</v>
      </c>
      <c r="F436" s="212">
        <f t="shared" si="48"/>
        <v>12.298316</v>
      </c>
      <c r="H436" s="215">
        <v>45310</v>
      </c>
      <c r="I436" s="104">
        <v>1710944</v>
      </c>
      <c r="J436" s="104">
        <v>507</v>
      </c>
      <c r="K436" s="104">
        <v>1711451</v>
      </c>
      <c r="L436" s="104">
        <v>99.97</v>
      </c>
      <c r="M436" s="114">
        <f t="shared" si="47"/>
        <v>1.7114510000000001</v>
      </c>
      <c r="O436" s="215">
        <v>45310</v>
      </c>
      <c r="P436" s="104">
        <v>69488219</v>
      </c>
      <c r="Q436" s="104">
        <v>28246500</v>
      </c>
      <c r="R436" s="104">
        <v>97734719</v>
      </c>
      <c r="S436" s="114">
        <v>71.098806760778643</v>
      </c>
      <c r="T436" s="212">
        <f t="shared" si="43"/>
        <v>97.734718999999998</v>
      </c>
      <c r="W436" s="215">
        <v>45310</v>
      </c>
      <c r="X436" s="1">
        <v>5006</v>
      </c>
      <c r="Y436" s="104">
        <v>12000</v>
      </c>
      <c r="Z436" s="114">
        <f t="shared" si="46"/>
        <v>41.716666666666669</v>
      </c>
      <c r="AB436" s="215">
        <v>45310</v>
      </c>
      <c r="AC436" s="1">
        <v>1176</v>
      </c>
      <c r="AD436" s="104">
        <v>12000</v>
      </c>
      <c r="AE436" s="114">
        <f t="shared" si="50"/>
        <v>9.8000000000000007</v>
      </c>
      <c r="AG436" s="215">
        <v>45310</v>
      </c>
      <c r="AH436" s="1">
        <v>5617</v>
      </c>
      <c r="AI436" s="104">
        <v>12000</v>
      </c>
      <c r="AJ436" s="46">
        <f t="shared" si="49"/>
        <v>46.80833333333333</v>
      </c>
      <c r="AL436" s="222">
        <v>45271</v>
      </c>
      <c r="AM436" t="s">
        <v>180</v>
      </c>
      <c r="AN436">
        <v>11770</v>
      </c>
      <c r="AP436" s="222">
        <v>45271</v>
      </c>
      <c r="AQ436" t="s">
        <v>148</v>
      </c>
      <c r="AR436">
        <v>1096465</v>
      </c>
    </row>
    <row r="437" spans="1:48" hidden="1" x14ac:dyDescent="0.25">
      <c r="A437" s="215">
        <v>45311</v>
      </c>
      <c r="B437" s="104">
        <v>12535307</v>
      </c>
      <c r="C437" s="104">
        <v>328020</v>
      </c>
      <c r="D437" s="104">
        <v>12863327</v>
      </c>
      <c r="E437" s="104">
        <v>97.45</v>
      </c>
      <c r="F437" s="212">
        <f t="shared" si="48"/>
        <v>12.863327</v>
      </c>
      <c r="H437" s="215">
        <v>45311</v>
      </c>
      <c r="I437" s="104">
        <v>1646839</v>
      </c>
      <c r="J437" s="104">
        <v>1463</v>
      </c>
      <c r="K437" s="104">
        <v>1648302</v>
      </c>
      <c r="L437" s="104">
        <v>99.91</v>
      </c>
      <c r="M437" s="114">
        <f t="shared" si="47"/>
        <v>1.6483019999999999</v>
      </c>
      <c r="O437" s="215">
        <v>45311</v>
      </c>
      <c r="P437" s="104">
        <v>69230133</v>
      </c>
      <c r="Q437" s="104">
        <v>30527696</v>
      </c>
      <c r="R437" s="104">
        <v>99757829</v>
      </c>
      <c r="S437" s="114">
        <v>69.398195303548547</v>
      </c>
      <c r="T437" s="212">
        <f t="shared" ref="T437:T496" si="51">R437/1000000</f>
        <v>99.757829000000001</v>
      </c>
      <c r="W437" s="215">
        <v>45311</v>
      </c>
      <c r="X437" s="1">
        <v>4156</v>
      </c>
      <c r="Y437" s="104">
        <v>12000</v>
      </c>
      <c r="Z437" s="114">
        <f t="shared" si="46"/>
        <v>34.633333333333333</v>
      </c>
      <c r="AB437" s="215">
        <v>45311</v>
      </c>
      <c r="AC437" s="1">
        <v>1108</v>
      </c>
      <c r="AD437" s="104">
        <v>12000</v>
      </c>
      <c r="AE437" s="114">
        <f t="shared" si="50"/>
        <v>9.2333333333333325</v>
      </c>
      <c r="AG437" s="215">
        <v>45311</v>
      </c>
      <c r="AH437" s="1">
        <v>4746</v>
      </c>
      <c r="AI437" s="104">
        <v>12000</v>
      </c>
      <c r="AJ437" s="46">
        <f t="shared" si="49"/>
        <v>39.549999999999997</v>
      </c>
      <c r="AL437" s="222">
        <v>45271</v>
      </c>
      <c r="AM437" t="s">
        <v>149</v>
      </c>
      <c r="AN437">
        <v>11575</v>
      </c>
      <c r="AP437" s="222">
        <v>45271</v>
      </c>
      <c r="AQ437" t="s">
        <v>152</v>
      </c>
      <c r="AR437">
        <v>784149</v>
      </c>
    </row>
    <row r="438" spans="1:48" hidden="1" x14ac:dyDescent="0.25">
      <c r="A438" s="215">
        <v>45312</v>
      </c>
      <c r="B438" s="104">
        <v>12616825</v>
      </c>
      <c r="C438" s="104">
        <v>286777</v>
      </c>
      <c r="D438" s="104">
        <v>12903602</v>
      </c>
      <c r="E438" s="104">
        <v>97.78</v>
      </c>
      <c r="F438" s="212">
        <f t="shared" si="48"/>
        <v>12.903601999999999</v>
      </c>
      <c r="H438" s="215">
        <v>45312</v>
      </c>
      <c r="I438" s="104">
        <v>907050</v>
      </c>
      <c r="J438" s="104">
        <v>2079</v>
      </c>
      <c r="K438" s="104">
        <v>909129</v>
      </c>
      <c r="L438" s="104">
        <v>99.77</v>
      </c>
      <c r="M438" s="114">
        <f t="shared" si="47"/>
        <v>0.90912899999999996</v>
      </c>
      <c r="O438" s="215">
        <v>45312</v>
      </c>
      <c r="P438" s="104">
        <v>50712652</v>
      </c>
      <c r="Q438" s="104">
        <v>17706708</v>
      </c>
      <c r="R438" s="104">
        <v>68419360</v>
      </c>
      <c r="S438" s="114">
        <v>74.120325007424796</v>
      </c>
      <c r="T438" s="212">
        <f t="shared" si="51"/>
        <v>68.419359999999998</v>
      </c>
      <c r="W438" s="215">
        <v>45312</v>
      </c>
      <c r="X438" s="1">
        <v>3141</v>
      </c>
      <c r="Y438" s="104">
        <v>12000</v>
      </c>
      <c r="Z438" s="114">
        <f t="shared" si="46"/>
        <v>26.175000000000001</v>
      </c>
      <c r="AB438" s="215">
        <v>45312</v>
      </c>
      <c r="AC438" s="1">
        <v>983</v>
      </c>
      <c r="AD438" s="104">
        <v>12000</v>
      </c>
      <c r="AE438" s="114">
        <f t="shared" si="50"/>
        <v>8.1916666666666664</v>
      </c>
      <c r="AG438" s="215">
        <v>45312</v>
      </c>
      <c r="AH438" s="1">
        <v>3919</v>
      </c>
      <c r="AI438" s="104">
        <v>12000</v>
      </c>
      <c r="AJ438" s="46">
        <f t="shared" si="49"/>
        <v>32.658333333333331</v>
      </c>
      <c r="AL438" s="222">
        <v>45272</v>
      </c>
      <c r="AM438" t="s">
        <v>189</v>
      </c>
      <c r="AN438">
        <v>199878</v>
      </c>
      <c r="AP438" s="222">
        <v>45272</v>
      </c>
      <c r="AQ438" t="s">
        <v>189</v>
      </c>
      <c r="AR438">
        <v>30664481</v>
      </c>
      <c r="AT438" s="222">
        <v>45272</v>
      </c>
      <c r="AU438" s="101" t="s">
        <v>190</v>
      </c>
      <c r="AV438" s="101">
        <v>5021</v>
      </c>
    </row>
    <row r="439" spans="1:48" hidden="1" x14ac:dyDescent="0.25">
      <c r="A439" s="215">
        <v>45313</v>
      </c>
      <c r="B439" s="104">
        <v>11540776</v>
      </c>
      <c r="C439" s="104">
        <v>247282</v>
      </c>
      <c r="D439" s="104">
        <v>11788058</v>
      </c>
      <c r="E439" s="104">
        <v>97.9</v>
      </c>
      <c r="F439" s="212">
        <f t="shared" si="48"/>
        <v>11.788057999999999</v>
      </c>
      <c r="H439" s="215">
        <v>45313</v>
      </c>
      <c r="I439" s="104">
        <v>1741000</v>
      </c>
      <c r="J439" s="104">
        <v>1203</v>
      </c>
      <c r="K439" s="104">
        <v>1742203</v>
      </c>
      <c r="L439" s="104">
        <v>99.93</v>
      </c>
      <c r="M439" s="114">
        <f t="shared" si="47"/>
        <v>1.7422029999999999</v>
      </c>
      <c r="O439" s="215">
        <v>45313</v>
      </c>
      <c r="P439" s="104">
        <v>69884812</v>
      </c>
      <c r="Q439" s="104">
        <v>34450461</v>
      </c>
      <c r="R439" s="104">
        <v>104335273</v>
      </c>
      <c r="S439" s="114">
        <v>66.981002675863991</v>
      </c>
      <c r="T439" s="212">
        <f t="shared" si="51"/>
        <v>104.335273</v>
      </c>
      <c r="W439" s="215">
        <v>45313</v>
      </c>
      <c r="X439" s="1">
        <v>5750</v>
      </c>
      <c r="Y439" s="104">
        <v>12000</v>
      </c>
      <c r="Z439" s="114">
        <f t="shared" si="46"/>
        <v>47.916666666666664</v>
      </c>
      <c r="AB439" s="215">
        <v>45313</v>
      </c>
      <c r="AC439" s="1">
        <v>1095</v>
      </c>
      <c r="AD439" s="104">
        <v>12000</v>
      </c>
      <c r="AE439" s="114">
        <f t="shared" si="50"/>
        <v>9.125</v>
      </c>
      <c r="AG439" s="215">
        <v>45313</v>
      </c>
      <c r="AH439" s="1">
        <v>6399</v>
      </c>
      <c r="AI439" s="104">
        <v>12000</v>
      </c>
      <c r="AJ439" s="46">
        <f t="shared" si="49"/>
        <v>53.325000000000003</v>
      </c>
      <c r="AL439" s="222">
        <v>45272</v>
      </c>
      <c r="AM439" t="s">
        <v>191</v>
      </c>
      <c r="AN439">
        <v>28098</v>
      </c>
      <c r="AP439" s="222">
        <v>45272</v>
      </c>
      <c r="AQ439" t="s">
        <v>191</v>
      </c>
      <c r="AR439">
        <v>2657420</v>
      </c>
      <c r="AT439" s="222">
        <v>45272</v>
      </c>
      <c r="AU439" s="101" t="s">
        <v>193</v>
      </c>
      <c r="AV439" s="101">
        <v>4082</v>
      </c>
    </row>
    <row r="440" spans="1:48" hidden="1" x14ac:dyDescent="0.25">
      <c r="A440" s="215">
        <v>45314</v>
      </c>
      <c r="B440" s="104">
        <v>11006064</v>
      </c>
      <c r="C440" s="104">
        <v>323849</v>
      </c>
      <c r="D440" s="104">
        <v>11329913</v>
      </c>
      <c r="E440" s="104">
        <v>97.14</v>
      </c>
      <c r="F440" s="212">
        <f t="shared" si="48"/>
        <v>11.329912999999999</v>
      </c>
      <c r="H440" s="215">
        <v>45314</v>
      </c>
      <c r="I440" s="104">
        <v>2417842</v>
      </c>
      <c r="J440" s="104">
        <v>67</v>
      </c>
      <c r="K440" s="104">
        <v>2417909</v>
      </c>
      <c r="L440" s="104">
        <v>100</v>
      </c>
      <c r="M440" s="114">
        <f t="shared" si="47"/>
        <v>2.4179089999999999</v>
      </c>
      <c r="O440" s="215">
        <v>45314</v>
      </c>
      <c r="P440" s="48">
        <v>71625644</v>
      </c>
      <c r="Q440" s="48">
        <v>31408021</v>
      </c>
      <c r="R440" s="48">
        <v>103033665</v>
      </c>
      <c r="S440" s="71">
        <v>69.516739019232205</v>
      </c>
      <c r="T440" s="212">
        <f t="shared" si="51"/>
        <v>103.033665</v>
      </c>
      <c r="W440" s="215">
        <v>45314</v>
      </c>
      <c r="X440" s="1">
        <v>4517</v>
      </c>
      <c r="Y440" s="104">
        <v>12000</v>
      </c>
      <c r="Z440" s="114">
        <f t="shared" si="46"/>
        <v>37.641666666666666</v>
      </c>
      <c r="AB440" s="215">
        <v>45314</v>
      </c>
      <c r="AC440" s="1">
        <v>1139</v>
      </c>
      <c r="AD440" s="104">
        <v>12000</v>
      </c>
      <c r="AE440" s="114">
        <f t="shared" si="50"/>
        <v>9.4916666666666671</v>
      </c>
      <c r="AG440" s="215">
        <v>45314</v>
      </c>
      <c r="AH440" s="1">
        <v>5107</v>
      </c>
      <c r="AI440" s="104">
        <v>12000</v>
      </c>
      <c r="AJ440" s="46">
        <f t="shared" si="49"/>
        <v>42.55833333333333</v>
      </c>
      <c r="AL440" s="222">
        <v>45272</v>
      </c>
      <c r="AM440" t="s">
        <v>194</v>
      </c>
      <c r="AN440">
        <v>24726</v>
      </c>
      <c r="AP440" s="222">
        <v>45272</v>
      </c>
      <c r="AQ440" t="s">
        <v>194</v>
      </c>
      <c r="AR440">
        <v>2523250</v>
      </c>
      <c r="AT440" s="222"/>
      <c r="AU440" s="101"/>
      <c r="AV440" s="101"/>
    </row>
    <row r="441" spans="1:48" hidden="1" x14ac:dyDescent="0.25">
      <c r="A441" s="215">
        <v>45315</v>
      </c>
      <c r="B441" s="104">
        <v>10822506</v>
      </c>
      <c r="C441" s="104">
        <v>307943</v>
      </c>
      <c r="D441" s="104">
        <v>11130449</v>
      </c>
      <c r="E441" s="104">
        <v>97.23</v>
      </c>
      <c r="F441" s="212">
        <f t="shared" si="48"/>
        <v>11.130449</v>
      </c>
      <c r="H441" s="215">
        <v>45315</v>
      </c>
      <c r="I441" s="104">
        <v>2162243</v>
      </c>
      <c r="J441" s="104">
        <v>49</v>
      </c>
      <c r="K441" s="104">
        <v>2162292</v>
      </c>
      <c r="L441" s="104">
        <v>100</v>
      </c>
      <c r="M441" s="114">
        <f t="shared" si="47"/>
        <v>2.1622919999999999</v>
      </c>
      <c r="O441" s="215">
        <v>45315</v>
      </c>
      <c r="P441" s="48">
        <v>69859228</v>
      </c>
      <c r="Q441" s="48">
        <v>33632010</v>
      </c>
      <c r="R441" s="48">
        <v>103491238</v>
      </c>
      <c r="S441" s="71">
        <v>67.502553211316311</v>
      </c>
      <c r="T441" s="212">
        <f t="shared" si="51"/>
        <v>103.491238</v>
      </c>
      <c r="W441" s="215">
        <v>45315</v>
      </c>
      <c r="X441" s="1">
        <v>4301</v>
      </c>
      <c r="Y441" s="104">
        <v>12000</v>
      </c>
      <c r="Z441" s="114">
        <f t="shared" si="46"/>
        <v>35.841666666666669</v>
      </c>
      <c r="AB441" s="215">
        <v>45315</v>
      </c>
      <c r="AC441" s="1">
        <v>1089</v>
      </c>
      <c r="AD441" s="104">
        <v>12000</v>
      </c>
      <c r="AE441" s="114">
        <f t="shared" si="50"/>
        <v>9.0749999999999993</v>
      </c>
      <c r="AG441" s="215">
        <v>45315</v>
      </c>
      <c r="AH441" s="1">
        <v>5199</v>
      </c>
      <c r="AI441" s="104">
        <v>12000</v>
      </c>
      <c r="AJ441" s="46">
        <f t="shared" si="49"/>
        <v>43.325000000000003</v>
      </c>
      <c r="AL441" s="222">
        <v>45272</v>
      </c>
      <c r="AM441" t="s">
        <v>195</v>
      </c>
      <c r="AN441">
        <v>20446</v>
      </c>
      <c r="AP441" s="222">
        <v>45272</v>
      </c>
      <c r="AQ441" t="s">
        <v>192</v>
      </c>
      <c r="AR441">
        <v>2145453</v>
      </c>
      <c r="AT441" s="222"/>
    </row>
    <row r="442" spans="1:48" hidden="1" x14ac:dyDescent="0.25">
      <c r="A442" s="215">
        <v>45316</v>
      </c>
      <c r="B442" s="48">
        <v>11352708</v>
      </c>
      <c r="C442" s="48">
        <v>307537</v>
      </c>
      <c r="D442" s="48">
        <v>11660245</v>
      </c>
      <c r="E442" s="48">
        <v>97.36</v>
      </c>
      <c r="F442" s="212">
        <f t="shared" si="48"/>
        <v>11.660245</v>
      </c>
      <c r="H442" s="215">
        <v>45316</v>
      </c>
      <c r="I442" s="48">
        <v>1870142</v>
      </c>
      <c r="J442" s="48">
        <v>98</v>
      </c>
      <c r="K442" s="48">
        <v>1870240</v>
      </c>
      <c r="L442" s="104">
        <v>99.99</v>
      </c>
      <c r="M442" s="114">
        <f t="shared" si="47"/>
        <v>1.8702399999999999</v>
      </c>
      <c r="O442" s="215">
        <v>45316</v>
      </c>
      <c r="P442" s="48">
        <v>69975871</v>
      </c>
      <c r="Q442" s="48">
        <v>36537698</v>
      </c>
      <c r="R442" s="48">
        <v>106513569</v>
      </c>
      <c r="S442" s="71">
        <v>65.696672881180049</v>
      </c>
      <c r="T442" s="212">
        <f t="shared" si="51"/>
        <v>106.513569</v>
      </c>
      <c r="W442" s="215">
        <v>45316</v>
      </c>
      <c r="X442" s="1">
        <v>4292</v>
      </c>
      <c r="Y442" s="104">
        <v>12000</v>
      </c>
      <c r="Z442" s="114">
        <f t="shared" si="46"/>
        <v>35.766666666666666</v>
      </c>
      <c r="AB442" s="215">
        <v>45316</v>
      </c>
      <c r="AC442" s="1">
        <v>1103</v>
      </c>
      <c r="AD442" s="104">
        <v>12000</v>
      </c>
      <c r="AE442" s="114">
        <f t="shared" si="50"/>
        <v>9.1916666666666664</v>
      </c>
      <c r="AG442" s="215">
        <v>45316</v>
      </c>
      <c r="AH442" s="1">
        <v>4922</v>
      </c>
      <c r="AI442" s="104">
        <v>12000</v>
      </c>
      <c r="AJ442" s="46">
        <f t="shared" si="49"/>
        <v>41.016666666666666</v>
      </c>
      <c r="AL442" s="222">
        <v>45272</v>
      </c>
      <c r="AM442" t="s">
        <v>192</v>
      </c>
      <c r="AN442">
        <v>17113</v>
      </c>
      <c r="AP442" s="222">
        <v>45272</v>
      </c>
      <c r="AQ442" t="s">
        <v>193</v>
      </c>
      <c r="AR442">
        <v>502970</v>
      </c>
      <c r="AT442" s="222"/>
    </row>
    <row r="443" spans="1:48" hidden="1" x14ac:dyDescent="0.25">
      <c r="A443" s="215">
        <v>45317</v>
      </c>
      <c r="B443" s="48">
        <v>11585766</v>
      </c>
      <c r="C443" s="48">
        <v>320309</v>
      </c>
      <c r="D443" s="48">
        <v>11906075</v>
      </c>
      <c r="E443" s="48">
        <v>97.3</v>
      </c>
      <c r="F443" s="212">
        <f t="shared" si="48"/>
        <v>11.906075</v>
      </c>
      <c r="H443" s="215">
        <v>45317</v>
      </c>
      <c r="I443" s="48">
        <v>1650376</v>
      </c>
      <c r="J443" s="48">
        <v>443</v>
      </c>
      <c r="K443" s="48">
        <v>1650819</v>
      </c>
      <c r="L443" s="48">
        <v>99.97</v>
      </c>
      <c r="M443" s="114">
        <f t="shared" si="47"/>
        <v>1.650819</v>
      </c>
      <c r="O443" s="215">
        <v>45317</v>
      </c>
      <c r="P443" s="48">
        <v>71598416</v>
      </c>
      <c r="Q443" s="48">
        <v>32236688</v>
      </c>
      <c r="R443" s="48">
        <v>103835104</v>
      </c>
      <c r="S443" s="71">
        <v>68.953959924766863</v>
      </c>
      <c r="T443" s="212">
        <f t="shared" si="51"/>
        <v>103.835104</v>
      </c>
      <c r="W443" s="215">
        <v>45317</v>
      </c>
      <c r="X443" s="1">
        <v>4948</v>
      </c>
      <c r="Y443" s="104">
        <v>12000</v>
      </c>
      <c r="Z443" s="114">
        <f t="shared" si="46"/>
        <v>41.233333333333334</v>
      </c>
      <c r="AB443" s="215">
        <v>45317</v>
      </c>
      <c r="AC443" s="1">
        <v>1201</v>
      </c>
      <c r="AD443" s="104">
        <v>12000</v>
      </c>
      <c r="AE443" s="114">
        <f t="shared" si="50"/>
        <v>10.008333333333333</v>
      </c>
      <c r="AG443" s="215">
        <v>45317</v>
      </c>
      <c r="AH443" s="1">
        <v>5566</v>
      </c>
      <c r="AI443" s="104">
        <v>12000</v>
      </c>
      <c r="AJ443" s="46">
        <f t="shared" si="49"/>
        <v>46.383333333333333</v>
      </c>
      <c r="AL443" s="222">
        <v>45273</v>
      </c>
      <c r="AM443" s="101" t="s">
        <v>189</v>
      </c>
      <c r="AN443" s="101">
        <v>209678</v>
      </c>
      <c r="AP443" s="222">
        <v>45273</v>
      </c>
      <c r="AQ443" s="101" t="s">
        <v>189</v>
      </c>
      <c r="AR443" s="101">
        <v>36314623</v>
      </c>
      <c r="AT443" s="222">
        <v>45273</v>
      </c>
      <c r="AU443" s="101" t="s">
        <v>190</v>
      </c>
      <c r="AV443" s="101">
        <v>763</v>
      </c>
    </row>
    <row r="444" spans="1:48" hidden="1" x14ac:dyDescent="0.25">
      <c r="A444" s="215">
        <v>45318</v>
      </c>
      <c r="B444" s="48">
        <v>11826563</v>
      </c>
      <c r="C444" s="48">
        <v>336120</v>
      </c>
      <c r="D444" s="48">
        <v>12162683</v>
      </c>
      <c r="E444" s="48">
        <v>97.2</v>
      </c>
      <c r="F444" s="212">
        <f t="shared" si="48"/>
        <v>12.162682999999999</v>
      </c>
      <c r="H444" s="215">
        <v>45318</v>
      </c>
      <c r="I444" s="48">
        <v>2129494</v>
      </c>
      <c r="J444" s="48">
        <v>118</v>
      </c>
      <c r="K444" s="48">
        <v>2129612</v>
      </c>
      <c r="L444" s="48">
        <v>99.99</v>
      </c>
      <c r="M444" s="114">
        <f t="shared" si="47"/>
        <v>2.1296119999999998</v>
      </c>
      <c r="O444" s="215">
        <v>45318</v>
      </c>
      <c r="P444" s="48">
        <v>70833196</v>
      </c>
      <c r="Q444" s="48">
        <v>30700109</v>
      </c>
      <c r="R444" s="48">
        <v>101533305</v>
      </c>
      <c r="S444" s="71">
        <v>69.763508633940361</v>
      </c>
      <c r="T444" s="212">
        <f t="shared" si="51"/>
        <v>101.533305</v>
      </c>
      <c r="W444" s="215">
        <v>45318</v>
      </c>
      <c r="X444" s="1">
        <v>4006</v>
      </c>
      <c r="Y444" s="104">
        <v>12000</v>
      </c>
      <c r="Z444" s="114">
        <f t="shared" si="46"/>
        <v>33.383333333333333</v>
      </c>
      <c r="AB444" s="215">
        <v>45318</v>
      </c>
      <c r="AC444" s="1">
        <v>1102</v>
      </c>
      <c r="AD444" s="104">
        <v>12000</v>
      </c>
      <c r="AE444" s="114">
        <f t="shared" si="50"/>
        <v>9.1833333333333336</v>
      </c>
      <c r="AG444" s="215">
        <v>45318</v>
      </c>
      <c r="AH444" s="1">
        <v>4623</v>
      </c>
      <c r="AI444" s="104">
        <v>12000</v>
      </c>
      <c r="AJ444" s="46">
        <f t="shared" si="49"/>
        <v>38.524999999999999</v>
      </c>
      <c r="AL444" s="222">
        <v>45273</v>
      </c>
      <c r="AM444" s="101" t="s">
        <v>194</v>
      </c>
      <c r="AN444" s="101">
        <v>31620</v>
      </c>
      <c r="AP444" s="222">
        <v>45273</v>
      </c>
      <c r="AQ444" s="101" t="s">
        <v>194</v>
      </c>
      <c r="AR444" s="101">
        <v>1494271</v>
      </c>
      <c r="AT444" s="222">
        <v>45273</v>
      </c>
      <c r="AU444" s="101" t="s">
        <v>193</v>
      </c>
      <c r="AV444" s="101">
        <v>452</v>
      </c>
    </row>
    <row r="445" spans="1:48" hidden="1" x14ac:dyDescent="0.25">
      <c r="A445" s="215">
        <v>45319</v>
      </c>
      <c r="B445" s="48">
        <v>11780764</v>
      </c>
      <c r="C445" s="48">
        <v>269775</v>
      </c>
      <c r="D445" s="48">
        <v>12050539</v>
      </c>
      <c r="E445" s="48">
        <v>97.76</v>
      </c>
      <c r="F445" s="212">
        <f t="shared" si="48"/>
        <v>12.050539000000001</v>
      </c>
      <c r="H445" s="215">
        <v>45319</v>
      </c>
      <c r="I445" s="48">
        <v>1691726</v>
      </c>
      <c r="J445" s="48">
        <v>68</v>
      </c>
      <c r="K445" s="48">
        <v>1691794</v>
      </c>
      <c r="L445" s="48">
        <v>99.99</v>
      </c>
      <c r="M445" s="114">
        <f t="shared" si="47"/>
        <v>1.691794</v>
      </c>
      <c r="O445" s="215">
        <v>45319</v>
      </c>
      <c r="P445" s="48">
        <v>51649856</v>
      </c>
      <c r="Q445" s="48">
        <v>17088187</v>
      </c>
      <c r="R445" s="48">
        <v>68738043</v>
      </c>
      <c r="S445" s="71">
        <v>75.140131644422866</v>
      </c>
      <c r="T445" s="212">
        <f t="shared" si="51"/>
        <v>68.738043000000005</v>
      </c>
      <c r="W445" s="215">
        <v>45319</v>
      </c>
      <c r="X445" s="1">
        <v>3014</v>
      </c>
      <c r="Y445" s="104">
        <v>12000</v>
      </c>
      <c r="Z445" s="114">
        <f t="shared" si="46"/>
        <v>25.116666666666667</v>
      </c>
      <c r="AB445" s="215">
        <v>45319</v>
      </c>
      <c r="AC445" s="1">
        <v>983</v>
      </c>
      <c r="AD445" s="104">
        <v>12000</v>
      </c>
      <c r="AE445" s="114">
        <f t="shared" si="50"/>
        <v>8.1916666666666664</v>
      </c>
      <c r="AG445" s="215">
        <v>45319</v>
      </c>
      <c r="AH445" s="1">
        <v>3675</v>
      </c>
      <c r="AI445" s="104">
        <v>12000</v>
      </c>
      <c r="AJ445" s="46">
        <f t="shared" si="49"/>
        <v>30.625</v>
      </c>
      <c r="AL445" s="222">
        <v>45273</v>
      </c>
      <c r="AM445" s="101" t="s">
        <v>195</v>
      </c>
      <c r="AN445" s="101">
        <v>18542</v>
      </c>
      <c r="AP445" s="222">
        <v>45273</v>
      </c>
      <c r="AQ445" s="101" t="s">
        <v>191</v>
      </c>
      <c r="AR445" s="101">
        <v>1386488</v>
      </c>
      <c r="AT445" s="222"/>
      <c r="AU445" s="101"/>
      <c r="AV445" s="101"/>
    </row>
    <row r="446" spans="1:48" hidden="1" x14ac:dyDescent="0.25">
      <c r="A446" s="215">
        <v>45320</v>
      </c>
      <c r="B446" s="101">
        <v>10037443</v>
      </c>
      <c r="C446" s="101">
        <v>229841</v>
      </c>
      <c r="D446" s="101">
        <v>10267284</v>
      </c>
      <c r="E446" s="101">
        <v>97.76</v>
      </c>
      <c r="F446" s="212">
        <f t="shared" si="48"/>
        <v>10.267284</v>
      </c>
      <c r="H446" s="215">
        <v>45320</v>
      </c>
      <c r="I446" s="101">
        <v>1986222</v>
      </c>
      <c r="J446" s="101">
        <v>68</v>
      </c>
      <c r="K446" s="101">
        <v>1986290</v>
      </c>
      <c r="L446" s="101">
        <v>100</v>
      </c>
      <c r="M446" s="114">
        <f t="shared" si="47"/>
        <v>1.9862899999999999</v>
      </c>
      <c r="O446" s="215">
        <v>45320</v>
      </c>
      <c r="P446" s="101">
        <v>59576734</v>
      </c>
      <c r="Q446" s="101">
        <v>18879380</v>
      </c>
      <c r="R446" s="101">
        <v>78456114</v>
      </c>
      <c r="S446" s="101">
        <v>75.94</v>
      </c>
      <c r="T446" s="212">
        <f t="shared" si="51"/>
        <v>78.456113999999999</v>
      </c>
      <c r="W446" s="215">
        <v>45320</v>
      </c>
      <c r="X446">
        <v>4954</v>
      </c>
      <c r="Y446" s="104">
        <v>12000</v>
      </c>
      <c r="Z446" s="114">
        <f t="shared" si="46"/>
        <v>41.283333333333331</v>
      </c>
      <c r="AB446" s="215">
        <v>45320</v>
      </c>
      <c r="AC446">
        <v>1206</v>
      </c>
      <c r="AD446" s="104">
        <v>12000</v>
      </c>
      <c r="AE446" s="114">
        <f t="shared" si="50"/>
        <v>10.050000000000001</v>
      </c>
      <c r="AG446" s="215">
        <v>45320</v>
      </c>
      <c r="AH446">
        <v>5626</v>
      </c>
      <c r="AI446" s="104">
        <v>12000</v>
      </c>
      <c r="AJ446" s="46">
        <f t="shared" si="49"/>
        <v>46.883333333333333</v>
      </c>
      <c r="AL446" s="222">
        <v>45323</v>
      </c>
      <c r="AM446" s="101" t="s">
        <v>189</v>
      </c>
      <c r="AN446" s="101">
        <v>181207</v>
      </c>
      <c r="AP446" s="222">
        <v>45323</v>
      </c>
      <c r="AQ446" s="101" t="s">
        <v>189</v>
      </c>
      <c r="AR446" s="101">
        <v>13577315</v>
      </c>
    </row>
    <row r="447" spans="1:48" hidden="1" x14ac:dyDescent="0.25">
      <c r="A447" s="215">
        <v>45321</v>
      </c>
      <c r="B447" s="101">
        <v>11550282</v>
      </c>
      <c r="C447" s="101">
        <v>294460</v>
      </c>
      <c r="D447" s="101">
        <v>11844742</v>
      </c>
      <c r="E447" s="101">
        <v>97.51</v>
      </c>
      <c r="F447" s="212">
        <f t="shared" si="48"/>
        <v>11.844742</v>
      </c>
      <c r="H447" s="215">
        <v>45321</v>
      </c>
      <c r="I447" s="101">
        <v>2960121</v>
      </c>
      <c r="J447" s="101">
        <v>1110</v>
      </c>
      <c r="K447" s="101">
        <v>2961231</v>
      </c>
      <c r="L447" s="101">
        <v>99.96</v>
      </c>
      <c r="M447" s="114">
        <f t="shared" si="47"/>
        <v>2.9612310000000002</v>
      </c>
      <c r="O447" s="215">
        <v>45321</v>
      </c>
      <c r="P447" s="101">
        <v>62250806</v>
      </c>
      <c r="Q447" s="101">
        <v>18971021</v>
      </c>
      <c r="R447" s="101">
        <v>81221827</v>
      </c>
      <c r="S447" s="101">
        <v>76.64</v>
      </c>
      <c r="T447" s="212">
        <f t="shared" si="51"/>
        <v>81.221827000000005</v>
      </c>
      <c r="W447" s="215">
        <v>45321</v>
      </c>
      <c r="X447">
        <v>5830</v>
      </c>
      <c r="Y447" s="104">
        <v>12000</v>
      </c>
      <c r="Z447" s="114">
        <f t="shared" si="46"/>
        <v>48.583333333333336</v>
      </c>
      <c r="AB447" s="215">
        <v>45321</v>
      </c>
      <c r="AC447">
        <v>1148</v>
      </c>
      <c r="AD447" s="104">
        <v>12000</v>
      </c>
      <c r="AE447" s="114">
        <f t="shared" si="50"/>
        <v>9.5666666666666664</v>
      </c>
      <c r="AG447" s="215">
        <v>45321</v>
      </c>
      <c r="AH447">
        <v>6734</v>
      </c>
      <c r="AI447" s="104">
        <v>12000</v>
      </c>
      <c r="AJ447" s="46">
        <f t="shared" si="49"/>
        <v>56.116666666666667</v>
      </c>
      <c r="AL447" s="222">
        <v>45323</v>
      </c>
      <c r="AM447" s="101" t="s">
        <v>194</v>
      </c>
      <c r="AN447" s="101">
        <v>35187</v>
      </c>
      <c r="AP447" s="222">
        <v>45323</v>
      </c>
      <c r="AQ447" s="101" t="s">
        <v>191</v>
      </c>
      <c r="AR447" s="101">
        <v>1729526</v>
      </c>
    </row>
    <row r="448" spans="1:48" hidden="1" x14ac:dyDescent="0.25">
      <c r="A448" s="215">
        <v>45322</v>
      </c>
      <c r="B448" s="101">
        <v>11404845</v>
      </c>
      <c r="C448" s="101">
        <v>302722</v>
      </c>
      <c r="D448" s="101">
        <v>11707567</v>
      </c>
      <c r="E448" s="101">
        <v>97.41</v>
      </c>
      <c r="F448" s="212">
        <f t="shared" si="48"/>
        <v>11.707566999999999</v>
      </c>
      <c r="H448" s="215">
        <v>45322</v>
      </c>
      <c r="I448" s="101">
        <v>2463169</v>
      </c>
      <c r="J448" s="101">
        <v>5647</v>
      </c>
      <c r="K448" s="101">
        <v>2468816</v>
      </c>
      <c r="L448" s="101">
        <v>99.77</v>
      </c>
      <c r="M448" s="114">
        <f t="shared" si="47"/>
        <v>2.4688159999999999</v>
      </c>
      <c r="O448" s="215">
        <v>45322</v>
      </c>
      <c r="P448" s="101">
        <v>58217618</v>
      </c>
      <c r="Q448" s="101">
        <v>19452678</v>
      </c>
      <c r="R448" s="101">
        <v>77670296</v>
      </c>
      <c r="S448" s="101">
        <v>74.95</v>
      </c>
      <c r="T448" s="212">
        <f t="shared" si="51"/>
        <v>77.670295999999993</v>
      </c>
      <c r="W448" s="215">
        <v>45322</v>
      </c>
      <c r="X448">
        <v>4159</v>
      </c>
      <c r="Y448" s="104">
        <v>12000</v>
      </c>
      <c r="Z448" s="114">
        <f t="shared" si="46"/>
        <v>34.658333333333331</v>
      </c>
      <c r="AB448" s="215">
        <v>45322</v>
      </c>
      <c r="AC448">
        <v>1421</v>
      </c>
      <c r="AD448" s="104">
        <v>12000</v>
      </c>
      <c r="AE448" s="114">
        <f t="shared" si="50"/>
        <v>11.841666666666667</v>
      </c>
      <c r="AG448" s="215">
        <v>45322</v>
      </c>
      <c r="AH448">
        <v>4752</v>
      </c>
      <c r="AI448" s="104">
        <v>12000</v>
      </c>
      <c r="AJ448" s="46">
        <f t="shared" si="49"/>
        <v>39.6</v>
      </c>
      <c r="AL448" s="222">
        <v>45323</v>
      </c>
      <c r="AM448" s="101" t="s">
        <v>195</v>
      </c>
      <c r="AN448" s="101">
        <v>33975</v>
      </c>
      <c r="AP448" s="222">
        <v>45323</v>
      </c>
      <c r="AQ448" s="101" t="s">
        <v>194</v>
      </c>
      <c r="AR448" s="101">
        <v>1062665</v>
      </c>
    </row>
    <row r="449" spans="1:48" hidden="1" x14ac:dyDescent="0.25">
      <c r="A449" s="215">
        <v>45323</v>
      </c>
      <c r="B449" s="101">
        <v>11314702</v>
      </c>
      <c r="C449" s="101">
        <v>324725</v>
      </c>
      <c r="D449" s="101">
        <v>11639427</v>
      </c>
      <c r="E449" s="101">
        <v>97.21</v>
      </c>
      <c r="F449" s="212">
        <f t="shared" si="48"/>
        <v>11.639427</v>
      </c>
      <c r="H449" s="215">
        <v>45323</v>
      </c>
      <c r="I449" s="101">
        <v>1910408</v>
      </c>
      <c r="J449" s="101">
        <v>108402</v>
      </c>
      <c r="K449" s="101">
        <v>2018810</v>
      </c>
      <c r="L449" s="101">
        <v>94.63</v>
      </c>
      <c r="M449" s="114">
        <f t="shared" si="47"/>
        <v>2.0188100000000002</v>
      </c>
      <c r="O449" s="215">
        <v>45323</v>
      </c>
      <c r="P449" s="101">
        <v>59358197</v>
      </c>
      <c r="Q449" s="101">
        <v>17465717</v>
      </c>
      <c r="R449" s="101">
        <v>76823914</v>
      </c>
      <c r="S449" s="101">
        <v>77.27</v>
      </c>
      <c r="T449" s="212">
        <f t="shared" si="51"/>
        <v>76.823914000000002</v>
      </c>
      <c r="W449" s="215">
        <v>45323</v>
      </c>
      <c r="X449">
        <v>4317</v>
      </c>
      <c r="Y449" s="104">
        <v>12000</v>
      </c>
      <c r="Z449" s="114">
        <f t="shared" si="46"/>
        <v>35.975000000000001</v>
      </c>
      <c r="AB449" s="215">
        <v>45323</v>
      </c>
      <c r="AC449">
        <v>1181</v>
      </c>
      <c r="AD449" s="104">
        <v>12000</v>
      </c>
      <c r="AE449" s="114">
        <f t="shared" si="50"/>
        <v>9.8416666666666668</v>
      </c>
      <c r="AG449" s="215">
        <v>45323</v>
      </c>
      <c r="AH449">
        <v>5051</v>
      </c>
      <c r="AI449" s="104">
        <v>12000</v>
      </c>
      <c r="AJ449" s="46">
        <f t="shared" si="49"/>
        <v>42.091666666666669</v>
      </c>
      <c r="AL449" s="222">
        <v>45323</v>
      </c>
      <c r="AM449" s="101" t="s">
        <v>197</v>
      </c>
      <c r="AN449" s="101">
        <v>29203</v>
      </c>
      <c r="AP449" s="222">
        <v>45323</v>
      </c>
      <c r="AQ449" s="101" t="s">
        <v>192</v>
      </c>
      <c r="AR449" s="101">
        <v>492319</v>
      </c>
      <c r="AU449" s="101" t="s">
        <v>190</v>
      </c>
      <c r="AV449" s="101">
        <v>105337</v>
      </c>
    </row>
    <row r="450" spans="1:48" hidden="1" x14ac:dyDescent="0.25">
      <c r="A450" s="215">
        <v>45324</v>
      </c>
      <c r="B450" s="101">
        <v>11185021</v>
      </c>
      <c r="C450" s="101">
        <v>307287</v>
      </c>
      <c r="D450" s="101">
        <v>11492308</v>
      </c>
      <c r="E450" s="101">
        <v>97.33</v>
      </c>
      <c r="F450" s="212">
        <f t="shared" si="48"/>
        <v>11.492308</v>
      </c>
      <c r="H450" s="215">
        <v>45324</v>
      </c>
      <c r="I450" s="101">
        <v>1606554</v>
      </c>
      <c r="J450" s="101">
        <v>163531</v>
      </c>
      <c r="K450" s="101">
        <v>1770085</v>
      </c>
      <c r="L450" s="101">
        <v>90.76</v>
      </c>
      <c r="M450" s="114">
        <f t="shared" si="47"/>
        <v>1.7700849999999999</v>
      </c>
      <c r="O450" s="215">
        <v>45324</v>
      </c>
      <c r="P450" s="101">
        <v>60389001</v>
      </c>
      <c r="Q450" s="101">
        <v>18587219</v>
      </c>
      <c r="R450" s="101">
        <v>78976220</v>
      </c>
      <c r="S450" s="101">
        <v>76.459999999999994</v>
      </c>
      <c r="T450" s="212">
        <f t="shared" si="51"/>
        <v>78.976219999999998</v>
      </c>
      <c r="W450" s="215">
        <v>45324</v>
      </c>
      <c r="X450">
        <v>4643</v>
      </c>
      <c r="Y450" s="104">
        <v>12000</v>
      </c>
      <c r="Z450" s="114">
        <f t="shared" si="46"/>
        <v>38.69166666666667</v>
      </c>
      <c r="AB450" s="215">
        <v>45324</v>
      </c>
      <c r="AC450">
        <v>1179</v>
      </c>
      <c r="AD450" s="104">
        <v>12000</v>
      </c>
      <c r="AE450" s="114">
        <f t="shared" si="50"/>
        <v>9.8249999999999993</v>
      </c>
      <c r="AG450" s="215">
        <v>45324</v>
      </c>
      <c r="AH450">
        <v>5245</v>
      </c>
      <c r="AI450" s="104">
        <v>12000</v>
      </c>
      <c r="AJ450" s="46">
        <f t="shared" si="49"/>
        <v>43.708333333333336</v>
      </c>
      <c r="AL450" s="222">
        <v>45323</v>
      </c>
      <c r="AM450" s="101" t="s">
        <v>191</v>
      </c>
      <c r="AN450" s="101">
        <v>16260</v>
      </c>
      <c r="AP450" s="222">
        <v>45323</v>
      </c>
      <c r="AQ450" s="101" t="s">
        <v>199</v>
      </c>
      <c r="AR450" s="101">
        <v>153967</v>
      </c>
      <c r="AU450" s="101" t="s">
        <v>193</v>
      </c>
      <c r="AV450" s="101">
        <v>3065</v>
      </c>
    </row>
    <row r="451" spans="1:48" hidden="1" x14ac:dyDescent="0.25">
      <c r="A451" s="215">
        <v>45325</v>
      </c>
      <c r="B451" s="101">
        <v>9706744</v>
      </c>
      <c r="C451" s="101">
        <v>314175</v>
      </c>
      <c r="D451" s="101">
        <v>10020919</v>
      </c>
      <c r="E451" s="101">
        <v>96.86</v>
      </c>
      <c r="F451" s="212">
        <f t="shared" si="48"/>
        <v>10.020918999999999</v>
      </c>
      <c r="H451" s="215">
        <v>45325</v>
      </c>
      <c r="I451" s="101">
        <v>1863290</v>
      </c>
      <c r="J451" s="101">
        <v>129034</v>
      </c>
      <c r="K451" s="101">
        <v>1992324</v>
      </c>
      <c r="L451" s="101">
        <v>93.52</v>
      </c>
      <c r="M451" s="114">
        <f t="shared" si="47"/>
        <v>1.992324</v>
      </c>
      <c r="O451" s="215">
        <v>45325</v>
      </c>
      <c r="P451" s="101">
        <v>61229676</v>
      </c>
      <c r="Q451" s="101">
        <v>19320293</v>
      </c>
      <c r="R451" s="101">
        <v>80549969</v>
      </c>
      <c r="S451" s="101">
        <v>76.010000000000005</v>
      </c>
      <c r="T451" s="212">
        <f t="shared" si="51"/>
        <v>80.549969000000004</v>
      </c>
      <c r="W451" s="215">
        <v>45325</v>
      </c>
      <c r="X451">
        <v>5036</v>
      </c>
      <c r="Y451" s="104">
        <v>12000</v>
      </c>
      <c r="Z451" s="114">
        <f t="shared" si="46"/>
        <v>41.966666666666669</v>
      </c>
      <c r="AB451" s="215">
        <v>45325</v>
      </c>
      <c r="AC451">
        <v>956</v>
      </c>
      <c r="AD451" s="104">
        <v>12000</v>
      </c>
      <c r="AE451" s="114">
        <f t="shared" si="50"/>
        <v>7.9666666666666668</v>
      </c>
      <c r="AG451" s="215">
        <v>45325</v>
      </c>
      <c r="AH451">
        <v>5698</v>
      </c>
      <c r="AI451" s="104">
        <v>12000</v>
      </c>
      <c r="AJ451" s="46">
        <f t="shared" si="49"/>
        <v>47.483333333333334</v>
      </c>
    </row>
    <row r="452" spans="1:48" hidden="1" x14ac:dyDescent="0.25">
      <c r="A452" s="215">
        <v>45326</v>
      </c>
      <c r="B452" s="101">
        <v>11418622</v>
      </c>
      <c r="C452" s="101">
        <v>244677</v>
      </c>
      <c r="D452" s="101">
        <v>11663299</v>
      </c>
      <c r="E452" s="101">
        <v>97.9</v>
      </c>
      <c r="F452" s="212">
        <f t="shared" si="48"/>
        <v>11.663299</v>
      </c>
      <c r="H452" s="215">
        <v>45326</v>
      </c>
      <c r="I452" s="101">
        <v>1484120</v>
      </c>
      <c r="J452" s="101">
        <v>71</v>
      </c>
      <c r="K452" s="101">
        <v>1484191</v>
      </c>
      <c r="L452" s="101">
        <v>100</v>
      </c>
      <c r="M452" s="114">
        <f t="shared" si="47"/>
        <v>1.484191</v>
      </c>
      <c r="O452" s="215">
        <v>45326</v>
      </c>
      <c r="P452" s="101">
        <v>43585505</v>
      </c>
      <c r="Q452" s="101">
        <v>7248419</v>
      </c>
      <c r="R452" s="101">
        <v>50833924</v>
      </c>
      <c r="S452" s="101">
        <v>85.74</v>
      </c>
      <c r="T452" s="212">
        <f t="shared" si="51"/>
        <v>50.833924000000003</v>
      </c>
      <c r="W452" s="215">
        <v>45326</v>
      </c>
      <c r="X452">
        <v>2840</v>
      </c>
      <c r="Y452" s="104">
        <v>12000</v>
      </c>
      <c r="Z452" s="114">
        <f t="shared" si="46"/>
        <v>23.666666666666668</v>
      </c>
      <c r="AB452" s="215">
        <v>45326</v>
      </c>
      <c r="AC452">
        <v>1029</v>
      </c>
      <c r="AD452" s="104">
        <v>12000</v>
      </c>
      <c r="AE452" s="114">
        <f t="shared" si="50"/>
        <v>8.5749999999999993</v>
      </c>
      <c r="AG452" s="215">
        <v>45326</v>
      </c>
      <c r="AH452">
        <v>3649</v>
      </c>
      <c r="AI452" s="104">
        <v>12000</v>
      </c>
      <c r="AJ452" s="46">
        <f t="shared" si="49"/>
        <v>30.408333333333335</v>
      </c>
      <c r="AL452" s="222">
        <v>45326</v>
      </c>
      <c r="AM452" s="101" t="s">
        <v>189</v>
      </c>
      <c r="AN452" s="101">
        <v>140483</v>
      </c>
      <c r="AP452" s="222">
        <v>45326</v>
      </c>
      <c r="AQ452" s="101" t="s">
        <v>189</v>
      </c>
      <c r="AR452" s="101">
        <v>5358829</v>
      </c>
      <c r="AT452" s="222">
        <v>45326</v>
      </c>
      <c r="AU452" s="101" t="s">
        <v>202</v>
      </c>
      <c r="AV452" s="101">
        <v>100</v>
      </c>
    </row>
    <row r="453" spans="1:48" hidden="1" x14ac:dyDescent="0.25">
      <c r="A453" s="215">
        <v>45327</v>
      </c>
      <c r="B453" s="101">
        <v>11237018</v>
      </c>
      <c r="C453" s="101">
        <v>212499</v>
      </c>
      <c r="D453" s="101">
        <v>11449517</v>
      </c>
      <c r="E453" s="101">
        <v>98.14</v>
      </c>
      <c r="F453" s="212">
        <f t="shared" si="48"/>
        <v>11.449517</v>
      </c>
      <c r="H453" s="215">
        <v>45327</v>
      </c>
      <c r="I453" s="101">
        <v>2588033</v>
      </c>
      <c r="J453" s="101">
        <v>175</v>
      </c>
      <c r="K453" s="101">
        <v>2588208</v>
      </c>
      <c r="L453" s="101">
        <v>99.99</v>
      </c>
      <c r="M453" s="114">
        <f t="shared" si="47"/>
        <v>2.5882079999999998</v>
      </c>
      <c r="O453" s="215">
        <v>45327</v>
      </c>
      <c r="P453" s="101">
        <v>62843958</v>
      </c>
      <c r="Q453" s="101">
        <v>19444714</v>
      </c>
      <c r="R453" s="101">
        <v>82288672</v>
      </c>
      <c r="S453" s="101">
        <v>76.37</v>
      </c>
      <c r="T453" s="212">
        <f t="shared" si="51"/>
        <v>82.288672000000005</v>
      </c>
      <c r="W453" s="215">
        <v>45327</v>
      </c>
      <c r="X453">
        <v>4259</v>
      </c>
      <c r="Y453" s="104">
        <v>12000</v>
      </c>
      <c r="Z453" s="114">
        <f t="shared" si="46"/>
        <v>35.491666666666667</v>
      </c>
      <c r="AB453" s="215">
        <v>45327</v>
      </c>
      <c r="AC453">
        <v>1218</v>
      </c>
      <c r="AD453" s="104">
        <v>12000</v>
      </c>
      <c r="AE453" s="114">
        <f t="shared" si="50"/>
        <v>10.15</v>
      </c>
      <c r="AG453" s="215">
        <v>45327</v>
      </c>
      <c r="AH453">
        <v>5023</v>
      </c>
      <c r="AI453" s="104">
        <v>12000</v>
      </c>
      <c r="AJ453" s="46">
        <f t="shared" si="49"/>
        <v>41.858333333333334</v>
      </c>
      <c r="AL453" s="222">
        <v>45326</v>
      </c>
      <c r="AM453" s="101" t="s">
        <v>195</v>
      </c>
      <c r="AN453" s="101">
        <v>34205</v>
      </c>
      <c r="AP453" s="222">
        <v>45326</v>
      </c>
      <c r="AQ453" s="101" t="s">
        <v>194</v>
      </c>
      <c r="AR453" s="101">
        <v>1020825</v>
      </c>
      <c r="AT453" s="222"/>
      <c r="AU453" s="101"/>
      <c r="AV453" s="101"/>
    </row>
    <row r="454" spans="1:48" hidden="1" x14ac:dyDescent="0.25">
      <c r="A454" s="215">
        <v>45328</v>
      </c>
      <c r="B454" s="101">
        <v>11659553</v>
      </c>
      <c r="C454" s="101">
        <v>303769</v>
      </c>
      <c r="D454" s="101">
        <v>11963322</v>
      </c>
      <c r="E454" s="101">
        <v>97.46</v>
      </c>
      <c r="F454" s="212">
        <f t="shared" si="48"/>
        <v>11.963322</v>
      </c>
      <c r="H454" s="215">
        <v>45328</v>
      </c>
      <c r="I454" s="101">
        <v>3207622</v>
      </c>
      <c r="J454" s="101">
        <v>111</v>
      </c>
      <c r="K454" s="101">
        <v>3207733</v>
      </c>
      <c r="L454" s="101">
        <v>100</v>
      </c>
      <c r="M454" s="114">
        <f t="shared" si="47"/>
        <v>3.2077330000000002</v>
      </c>
      <c r="O454" s="215">
        <v>45328</v>
      </c>
      <c r="P454" s="101">
        <v>63519369</v>
      </c>
      <c r="Q454" s="101">
        <v>19161543</v>
      </c>
      <c r="R454" s="101">
        <v>82680912</v>
      </c>
      <c r="S454" s="101">
        <v>76.819999999999993</v>
      </c>
      <c r="T454" s="212">
        <f t="shared" si="51"/>
        <v>82.680912000000006</v>
      </c>
      <c r="W454" s="215">
        <v>45328</v>
      </c>
      <c r="X454">
        <v>4359</v>
      </c>
      <c r="Y454" s="104">
        <v>12000</v>
      </c>
      <c r="Z454" s="114">
        <f t="shared" si="46"/>
        <v>36.325000000000003</v>
      </c>
      <c r="AB454" s="215">
        <v>45328</v>
      </c>
      <c r="AC454">
        <v>1225</v>
      </c>
      <c r="AD454" s="104">
        <v>12000</v>
      </c>
      <c r="AE454" s="114">
        <f t="shared" si="50"/>
        <v>10.208333333333334</v>
      </c>
      <c r="AG454" s="215">
        <v>45328</v>
      </c>
      <c r="AH454">
        <v>5012</v>
      </c>
      <c r="AI454" s="104">
        <v>12000</v>
      </c>
      <c r="AJ454" s="46">
        <f t="shared" si="49"/>
        <v>41.766666666666666</v>
      </c>
      <c r="AL454" s="222">
        <v>45326</v>
      </c>
      <c r="AM454" s="101" t="s">
        <v>194</v>
      </c>
      <c r="AN454" s="101">
        <v>26446</v>
      </c>
      <c r="AP454" s="222">
        <v>45326</v>
      </c>
      <c r="AQ454" s="101" t="s">
        <v>191</v>
      </c>
      <c r="AR454" s="101">
        <v>620674</v>
      </c>
    </row>
    <row r="455" spans="1:48" hidden="1" x14ac:dyDescent="0.25">
      <c r="A455" s="215">
        <v>45329</v>
      </c>
      <c r="B455" s="101">
        <v>10452857</v>
      </c>
      <c r="C455" s="101">
        <v>301827</v>
      </c>
      <c r="D455" s="101">
        <v>10754684</v>
      </c>
      <c r="E455" s="101">
        <v>97.19</v>
      </c>
      <c r="F455" s="212">
        <f t="shared" si="48"/>
        <v>10.754683999999999</v>
      </c>
      <c r="H455" s="215">
        <v>45329</v>
      </c>
      <c r="I455" s="101">
        <v>2870179</v>
      </c>
      <c r="J455" s="101">
        <v>4682</v>
      </c>
      <c r="K455" s="101">
        <v>2874861</v>
      </c>
      <c r="L455" s="101">
        <v>99.84</v>
      </c>
      <c r="M455" s="114">
        <f t="shared" si="47"/>
        <v>2.8748610000000001</v>
      </c>
      <c r="O455" s="215">
        <v>45329</v>
      </c>
      <c r="P455" s="101">
        <v>61185300</v>
      </c>
      <c r="Q455" s="101">
        <v>17664740</v>
      </c>
      <c r="R455" s="101">
        <v>78850040</v>
      </c>
      <c r="S455" s="101">
        <v>77.599999999999994</v>
      </c>
      <c r="T455" s="212">
        <f t="shared" si="51"/>
        <v>78.850040000000007</v>
      </c>
      <c r="W455" s="215">
        <v>45329</v>
      </c>
      <c r="X455">
        <v>4449</v>
      </c>
      <c r="Y455" s="104">
        <v>12000</v>
      </c>
      <c r="Z455" s="114">
        <f t="shared" si="46"/>
        <v>37.075000000000003</v>
      </c>
      <c r="AB455" s="215">
        <v>45329</v>
      </c>
      <c r="AC455">
        <v>1012</v>
      </c>
      <c r="AD455" s="104">
        <v>12000</v>
      </c>
      <c r="AE455" s="114">
        <f t="shared" si="50"/>
        <v>8.4333333333333336</v>
      </c>
      <c r="AG455" s="215">
        <v>45329</v>
      </c>
      <c r="AH455">
        <v>5137</v>
      </c>
      <c r="AI455" s="104">
        <v>12000</v>
      </c>
      <c r="AJ455" s="46">
        <f t="shared" si="49"/>
        <v>42.80833333333333</v>
      </c>
      <c r="AL455" s="222">
        <v>45326</v>
      </c>
      <c r="AM455" s="101" t="s">
        <v>197</v>
      </c>
      <c r="AN455" s="101">
        <v>11597</v>
      </c>
      <c r="AP455" s="222">
        <v>45326</v>
      </c>
      <c r="AQ455" s="101" t="s">
        <v>200</v>
      </c>
      <c r="AR455" s="101">
        <v>37700</v>
      </c>
    </row>
    <row r="456" spans="1:48" hidden="1" x14ac:dyDescent="0.25">
      <c r="A456" s="215">
        <v>45330</v>
      </c>
      <c r="B456" s="101">
        <v>11981597</v>
      </c>
      <c r="C456" s="101">
        <v>261349</v>
      </c>
      <c r="D456" s="101">
        <v>12242946</v>
      </c>
      <c r="E456" s="101">
        <v>97.87</v>
      </c>
      <c r="F456" s="212">
        <f t="shared" si="48"/>
        <v>12.242946</v>
      </c>
      <c r="H456" s="215">
        <v>45330</v>
      </c>
      <c r="I456" s="101">
        <v>3409355</v>
      </c>
      <c r="J456" s="101">
        <v>219997</v>
      </c>
      <c r="K456" s="101">
        <v>3629352</v>
      </c>
      <c r="L456" s="101">
        <v>93.94</v>
      </c>
      <c r="M456" s="114">
        <f t="shared" si="47"/>
        <v>3.6293519999999999</v>
      </c>
      <c r="O456" s="215">
        <v>45330</v>
      </c>
      <c r="P456" s="101">
        <v>63524379</v>
      </c>
      <c r="Q456" s="101">
        <v>16898061</v>
      </c>
      <c r="R456" s="101">
        <v>80422440</v>
      </c>
      <c r="S456" s="101">
        <v>78.989999999999995</v>
      </c>
      <c r="T456" s="212">
        <f t="shared" si="51"/>
        <v>80.422439999999995</v>
      </c>
      <c r="W456" s="215">
        <v>45330</v>
      </c>
      <c r="X456">
        <v>5753</v>
      </c>
      <c r="Y456" s="104">
        <v>12000</v>
      </c>
      <c r="Z456" s="114">
        <f t="shared" si="46"/>
        <v>47.94166666666667</v>
      </c>
      <c r="AB456" s="215">
        <v>45330</v>
      </c>
      <c r="AC456">
        <v>1130</v>
      </c>
      <c r="AD456" s="104">
        <v>12000</v>
      </c>
      <c r="AE456" s="114">
        <f t="shared" si="50"/>
        <v>9.4166666666666661</v>
      </c>
      <c r="AG456" s="215">
        <v>45330</v>
      </c>
      <c r="AH456">
        <v>6429</v>
      </c>
      <c r="AI456" s="104">
        <v>12000</v>
      </c>
      <c r="AJ456" s="46">
        <f t="shared" si="49"/>
        <v>53.575000000000003</v>
      </c>
      <c r="AL456" s="222">
        <v>45326</v>
      </c>
      <c r="AM456" s="101" t="s">
        <v>191</v>
      </c>
      <c r="AN456" s="101">
        <v>10962</v>
      </c>
      <c r="AP456" s="222">
        <v>45326</v>
      </c>
      <c r="AQ456" s="101" t="s">
        <v>203</v>
      </c>
      <c r="AR456" s="101">
        <v>32896</v>
      </c>
    </row>
    <row r="457" spans="1:48" hidden="1" x14ac:dyDescent="0.25">
      <c r="A457" s="215">
        <v>45331</v>
      </c>
      <c r="B457" s="101">
        <v>12140377</v>
      </c>
      <c r="C457" s="101">
        <v>289255</v>
      </c>
      <c r="D457" s="101">
        <v>12429632</v>
      </c>
      <c r="E457" s="101">
        <v>97.67</v>
      </c>
      <c r="F457" s="212">
        <f t="shared" si="48"/>
        <v>12.429632</v>
      </c>
      <c r="H457" s="215">
        <v>45331</v>
      </c>
      <c r="I457" s="101">
        <v>2094704</v>
      </c>
      <c r="J457" s="101">
        <v>1223125</v>
      </c>
      <c r="K457" s="101">
        <v>3317829</v>
      </c>
      <c r="L457" s="101">
        <v>63.13</v>
      </c>
      <c r="M457" s="114">
        <f t="shared" si="47"/>
        <v>3.3178290000000001</v>
      </c>
      <c r="O457" s="215">
        <v>45331</v>
      </c>
      <c r="P457" s="101">
        <v>65371439</v>
      </c>
      <c r="Q457" s="101">
        <v>20350843</v>
      </c>
      <c r="R457" s="101">
        <v>85722282</v>
      </c>
      <c r="S457" s="101">
        <v>76.260000000000005</v>
      </c>
      <c r="T457" s="212">
        <f t="shared" si="51"/>
        <v>85.722282000000007</v>
      </c>
      <c r="W457" s="215">
        <v>45331</v>
      </c>
      <c r="X457">
        <v>4951</v>
      </c>
      <c r="Y457" s="104">
        <v>12000</v>
      </c>
      <c r="Z457" s="114">
        <f t="shared" si="46"/>
        <v>41.258333333333333</v>
      </c>
      <c r="AB457" s="215">
        <v>45331</v>
      </c>
      <c r="AC457">
        <v>1214</v>
      </c>
      <c r="AD457" s="104">
        <v>12000</v>
      </c>
      <c r="AE457" s="114">
        <f t="shared" si="50"/>
        <v>10.116666666666667</v>
      </c>
      <c r="AG457" s="215">
        <v>45331</v>
      </c>
      <c r="AH457">
        <v>6052</v>
      </c>
      <c r="AI457" s="104">
        <v>12000</v>
      </c>
      <c r="AJ457" s="46">
        <f t="shared" si="49"/>
        <v>50.43333333333333</v>
      </c>
    </row>
    <row r="458" spans="1:48" hidden="1" x14ac:dyDescent="0.25">
      <c r="A458" s="215">
        <v>45332</v>
      </c>
      <c r="B458" s="173">
        <v>12467662</v>
      </c>
      <c r="C458" s="173">
        <v>311894</v>
      </c>
      <c r="D458" s="173">
        <v>12779556</v>
      </c>
      <c r="E458" s="173">
        <v>97.56</v>
      </c>
      <c r="F458" s="223">
        <f t="shared" si="48"/>
        <v>12.779555999999999</v>
      </c>
      <c r="H458" s="224">
        <v>45332</v>
      </c>
      <c r="I458" s="173">
        <v>4054133</v>
      </c>
      <c r="J458" s="173">
        <v>1272</v>
      </c>
      <c r="K458" s="173">
        <v>4055405</v>
      </c>
      <c r="L458" s="173">
        <v>99.97</v>
      </c>
      <c r="M458" s="225">
        <f t="shared" si="47"/>
        <v>4.0554050000000004</v>
      </c>
      <c r="O458" s="224">
        <v>45332</v>
      </c>
      <c r="P458" s="173">
        <v>71833713</v>
      </c>
      <c r="Q458" s="173">
        <v>21011663</v>
      </c>
      <c r="R458" s="173">
        <v>92845376</v>
      </c>
      <c r="S458" s="173">
        <v>77.37</v>
      </c>
      <c r="T458" s="223">
        <f t="shared" si="51"/>
        <v>92.845376000000002</v>
      </c>
      <c r="W458" s="215">
        <v>45332</v>
      </c>
      <c r="X458">
        <v>4956</v>
      </c>
      <c r="Y458" s="104">
        <v>12000</v>
      </c>
      <c r="Z458" s="114">
        <f t="shared" ref="Z458:Z520" si="52">X458/Y458%</f>
        <v>41.3</v>
      </c>
      <c r="AB458" s="215">
        <v>45332</v>
      </c>
      <c r="AC458">
        <v>1362</v>
      </c>
      <c r="AD458" s="104">
        <v>12000</v>
      </c>
      <c r="AE458" s="114">
        <f t="shared" si="50"/>
        <v>11.35</v>
      </c>
      <c r="AG458" s="215">
        <v>45332</v>
      </c>
      <c r="AH458">
        <v>5732</v>
      </c>
      <c r="AI458" s="104">
        <v>12000</v>
      </c>
      <c r="AJ458" s="46">
        <f t="shared" si="49"/>
        <v>47.766666666666666</v>
      </c>
      <c r="AL458" s="222">
        <v>45327</v>
      </c>
      <c r="AM458" s="101" t="s">
        <v>189</v>
      </c>
      <c r="AN458" s="101">
        <v>132267</v>
      </c>
      <c r="AP458" s="222">
        <v>45327</v>
      </c>
      <c r="AQ458" s="101" t="s">
        <v>189</v>
      </c>
      <c r="AR458" s="101">
        <v>15497520</v>
      </c>
      <c r="AT458" s="70">
        <v>45327</v>
      </c>
      <c r="AU458" s="101" t="s">
        <v>193</v>
      </c>
      <c r="AV458" s="101">
        <v>140</v>
      </c>
    </row>
    <row r="459" spans="1:48" ht="14.25" hidden="1" customHeight="1" x14ac:dyDescent="0.25">
      <c r="A459" s="215">
        <v>45333</v>
      </c>
      <c r="B459" s="104">
        <v>10020219</v>
      </c>
      <c r="C459" s="104">
        <v>293091</v>
      </c>
      <c r="D459" s="104">
        <v>10313310</v>
      </c>
      <c r="E459" s="104">
        <v>97.16</v>
      </c>
      <c r="F459" s="212">
        <f t="shared" si="48"/>
        <v>10.31331</v>
      </c>
      <c r="H459" s="215">
        <v>45333</v>
      </c>
      <c r="I459" s="104">
        <v>1895868</v>
      </c>
      <c r="J459" s="104">
        <v>2688</v>
      </c>
      <c r="K459" s="104">
        <v>1898556</v>
      </c>
      <c r="L459" s="104">
        <v>99.86</v>
      </c>
      <c r="M459" s="114">
        <f t="shared" si="47"/>
        <v>1.8985559999999999</v>
      </c>
      <c r="O459" s="215">
        <v>45333</v>
      </c>
      <c r="P459" s="104">
        <v>45718055</v>
      </c>
      <c r="Q459" s="104">
        <v>8498097</v>
      </c>
      <c r="R459" s="104">
        <v>54216152</v>
      </c>
      <c r="S459" s="104">
        <v>84.33</v>
      </c>
      <c r="T459" s="212">
        <f t="shared" si="51"/>
        <v>54.216152000000001</v>
      </c>
      <c r="W459" s="215">
        <v>45333</v>
      </c>
      <c r="X459">
        <v>2846</v>
      </c>
      <c r="Y459" s="104">
        <v>12000</v>
      </c>
      <c r="Z459" s="114">
        <f t="shared" si="52"/>
        <v>23.716666666666665</v>
      </c>
      <c r="AB459" s="215">
        <v>45333</v>
      </c>
      <c r="AC459">
        <v>1002</v>
      </c>
      <c r="AD459" s="104">
        <v>12000</v>
      </c>
      <c r="AE459" s="114">
        <f t="shared" si="50"/>
        <v>8.35</v>
      </c>
      <c r="AG459" s="215">
        <v>45333</v>
      </c>
      <c r="AH459">
        <v>3582</v>
      </c>
      <c r="AI459" s="104">
        <v>12000</v>
      </c>
      <c r="AJ459" s="46">
        <f t="shared" si="49"/>
        <v>29.85</v>
      </c>
      <c r="AL459" s="222">
        <v>45327</v>
      </c>
      <c r="AM459" s="101" t="s">
        <v>195</v>
      </c>
      <c r="AN459" s="101">
        <v>21262</v>
      </c>
      <c r="AP459" s="222">
        <v>45327</v>
      </c>
      <c r="AQ459" s="101" t="s">
        <v>191</v>
      </c>
      <c r="AR459" s="101">
        <v>1508412</v>
      </c>
      <c r="AU459" s="101" t="s">
        <v>190</v>
      </c>
      <c r="AV459" s="101">
        <v>35</v>
      </c>
    </row>
    <row r="460" spans="1:48" hidden="1" x14ac:dyDescent="0.25">
      <c r="A460" s="215">
        <v>45334</v>
      </c>
      <c r="B460" s="104">
        <v>13251730</v>
      </c>
      <c r="C460" s="104">
        <v>179646</v>
      </c>
      <c r="D460" s="104">
        <v>13431376</v>
      </c>
      <c r="E460" s="104">
        <v>98.66</v>
      </c>
      <c r="F460" s="212">
        <f t="shared" si="48"/>
        <v>13.431376</v>
      </c>
      <c r="H460" s="215">
        <v>45334</v>
      </c>
      <c r="I460" s="104">
        <v>2809877</v>
      </c>
      <c r="J460" s="104">
        <v>14755</v>
      </c>
      <c r="K460" s="104">
        <v>2824632</v>
      </c>
      <c r="L460" s="104">
        <v>99.48</v>
      </c>
      <c r="M460" s="114">
        <f t="shared" si="47"/>
        <v>2.8246319999999998</v>
      </c>
      <c r="O460" s="215">
        <v>45334</v>
      </c>
      <c r="P460" s="104">
        <v>65485649</v>
      </c>
      <c r="Q460" s="104">
        <v>17230300</v>
      </c>
      <c r="R460" s="104">
        <v>82715949</v>
      </c>
      <c r="S460" s="104">
        <v>79.17</v>
      </c>
      <c r="T460" s="212">
        <f t="shared" si="51"/>
        <v>82.715948999999995</v>
      </c>
      <c r="W460" s="215">
        <v>45334</v>
      </c>
      <c r="X460">
        <v>4385</v>
      </c>
      <c r="Y460" s="104">
        <v>12000</v>
      </c>
      <c r="Z460" s="114">
        <f t="shared" si="52"/>
        <v>36.541666666666664</v>
      </c>
      <c r="AB460" s="215">
        <v>45334</v>
      </c>
      <c r="AC460">
        <v>1178</v>
      </c>
      <c r="AD460" s="104">
        <v>12000</v>
      </c>
      <c r="AE460" s="114">
        <f t="shared" si="50"/>
        <v>9.8166666666666664</v>
      </c>
      <c r="AG460" s="215">
        <v>45334</v>
      </c>
      <c r="AH460">
        <v>5198</v>
      </c>
      <c r="AI460" s="104">
        <v>12000</v>
      </c>
      <c r="AJ460" s="46">
        <f t="shared" si="49"/>
        <v>43.31666666666667</v>
      </c>
      <c r="AL460" s="222">
        <v>45327</v>
      </c>
      <c r="AM460" s="101" t="s">
        <v>191</v>
      </c>
      <c r="AN460" s="101">
        <v>16132</v>
      </c>
      <c r="AP460" s="222">
        <v>45327</v>
      </c>
      <c r="AQ460" s="101" t="s">
        <v>194</v>
      </c>
      <c r="AR460" s="101">
        <v>1160191</v>
      </c>
    </row>
    <row r="461" spans="1:48" hidden="1" x14ac:dyDescent="0.25">
      <c r="A461" s="215">
        <v>45335</v>
      </c>
      <c r="B461" s="104">
        <v>11851503</v>
      </c>
      <c r="C461" s="104">
        <v>239363</v>
      </c>
      <c r="D461" s="104">
        <v>12090866</v>
      </c>
      <c r="E461" s="104">
        <v>98.02</v>
      </c>
      <c r="F461" s="212">
        <f t="shared" si="48"/>
        <v>12.090866</v>
      </c>
      <c r="H461" s="215">
        <v>45335</v>
      </c>
      <c r="I461" s="104">
        <v>1432378</v>
      </c>
      <c r="J461" s="104">
        <v>2063</v>
      </c>
      <c r="K461" s="104">
        <v>1434441</v>
      </c>
      <c r="L461" s="104">
        <v>99.86</v>
      </c>
      <c r="M461" s="114">
        <f t="shared" si="47"/>
        <v>1.4344410000000001</v>
      </c>
      <c r="O461" s="215">
        <v>45335</v>
      </c>
      <c r="P461" s="104">
        <v>64608460</v>
      </c>
      <c r="Q461" s="104">
        <v>20096307</v>
      </c>
      <c r="R461" s="104">
        <v>84704767</v>
      </c>
      <c r="S461" s="104">
        <v>76.27</v>
      </c>
      <c r="T461" s="212">
        <f t="shared" si="51"/>
        <v>84.704767000000004</v>
      </c>
      <c r="W461" s="215">
        <v>45335</v>
      </c>
      <c r="X461">
        <v>4873</v>
      </c>
      <c r="Y461" s="104">
        <v>12000</v>
      </c>
      <c r="Z461" s="114">
        <f t="shared" si="52"/>
        <v>40.608333333333334</v>
      </c>
      <c r="AB461" s="215">
        <v>45335</v>
      </c>
      <c r="AC461">
        <v>1287</v>
      </c>
      <c r="AD461" s="104">
        <v>12000</v>
      </c>
      <c r="AE461" s="114">
        <f t="shared" si="50"/>
        <v>10.725</v>
      </c>
      <c r="AG461" s="215">
        <v>45335</v>
      </c>
      <c r="AH461">
        <v>5725</v>
      </c>
      <c r="AI461" s="104">
        <v>12000</v>
      </c>
      <c r="AJ461" s="46">
        <f t="shared" si="49"/>
        <v>47.708333333333336</v>
      </c>
      <c r="AL461" s="222">
        <v>45327</v>
      </c>
      <c r="AM461" s="101" t="s">
        <v>194</v>
      </c>
      <c r="AN461" s="101">
        <v>12499</v>
      </c>
      <c r="AP461" s="222">
        <v>45327</v>
      </c>
      <c r="AQ461" s="101" t="s">
        <v>192</v>
      </c>
      <c r="AR461" s="101">
        <v>734265</v>
      </c>
    </row>
    <row r="462" spans="1:48" hidden="1" x14ac:dyDescent="0.25">
      <c r="A462" s="215">
        <v>45336</v>
      </c>
      <c r="B462" s="104">
        <v>13209924</v>
      </c>
      <c r="C462" s="104">
        <v>284836</v>
      </c>
      <c r="D462" s="104">
        <v>13494760</v>
      </c>
      <c r="E462" s="104">
        <v>97.89</v>
      </c>
      <c r="F462" s="212">
        <f t="shared" si="48"/>
        <v>13.494759999999999</v>
      </c>
      <c r="H462" s="215">
        <v>45336</v>
      </c>
      <c r="I462" s="104">
        <v>2927572</v>
      </c>
      <c r="J462" s="104">
        <v>3002</v>
      </c>
      <c r="K462" s="104">
        <v>2930574</v>
      </c>
      <c r="L462" s="104">
        <v>99.9</v>
      </c>
      <c r="M462" s="114">
        <f t="shared" si="47"/>
        <v>2.930574</v>
      </c>
      <c r="O462" s="215">
        <v>45336</v>
      </c>
      <c r="P462" s="104">
        <v>64777846</v>
      </c>
      <c r="Q462" s="104">
        <v>19213483</v>
      </c>
      <c r="R462" s="104">
        <v>83991329</v>
      </c>
      <c r="S462" s="104">
        <v>77.12</v>
      </c>
      <c r="T462" s="212">
        <f t="shared" si="51"/>
        <v>83.991328999999993</v>
      </c>
      <c r="W462" s="215">
        <v>45336</v>
      </c>
      <c r="X462">
        <v>4484</v>
      </c>
      <c r="Y462" s="104">
        <v>12000</v>
      </c>
      <c r="Z462" s="114">
        <f t="shared" si="52"/>
        <v>37.366666666666667</v>
      </c>
      <c r="AB462" s="215">
        <v>45336</v>
      </c>
      <c r="AC462">
        <v>1335</v>
      </c>
      <c r="AD462" s="104">
        <v>12000</v>
      </c>
      <c r="AE462" s="114">
        <f t="shared" si="50"/>
        <v>11.125</v>
      </c>
      <c r="AG462" s="215">
        <v>45336</v>
      </c>
      <c r="AH462">
        <v>5288</v>
      </c>
      <c r="AI462" s="104">
        <v>12000</v>
      </c>
      <c r="AJ462" s="46">
        <f t="shared" si="49"/>
        <v>44.06666666666667</v>
      </c>
      <c r="AL462" s="222">
        <v>45327</v>
      </c>
      <c r="AM462" s="101" t="s">
        <v>192</v>
      </c>
      <c r="AN462" s="101">
        <v>8780</v>
      </c>
      <c r="AP462" s="222">
        <v>45327</v>
      </c>
      <c r="AQ462" s="101" t="s">
        <v>199</v>
      </c>
      <c r="AR462" s="101">
        <v>101811</v>
      </c>
    </row>
    <row r="463" spans="1:48" hidden="1" x14ac:dyDescent="0.25">
      <c r="A463" s="215">
        <v>45337</v>
      </c>
      <c r="B463" s="48">
        <v>11327058</v>
      </c>
      <c r="C463" s="48">
        <v>337379</v>
      </c>
      <c r="D463" s="48">
        <v>11664437</v>
      </c>
      <c r="E463" s="48">
        <v>97.1</v>
      </c>
      <c r="F463" s="212">
        <f t="shared" si="48"/>
        <v>11.664437</v>
      </c>
      <c r="H463" s="215">
        <v>45337</v>
      </c>
      <c r="I463" s="48">
        <v>2993177</v>
      </c>
      <c r="J463" s="48">
        <v>6285</v>
      </c>
      <c r="K463" s="48">
        <v>2999462</v>
      </c>
      <c r="L463" s="48">
        <v>99.79</v>
      </c>
      <c r="M463" s="114">
        <f t="shared" si="47"/>
        <v>2.9994619999999999</v>
      </c>
      <c r="O463" s="215">
        <v>45337</v>
      </c>
      <c r="P463" s="48">
        <v>61576275</v>
      </c>
      <c r="Q463" s="48">
        <v>22145485</v>
      </c>
      <c r="R463" s="48">
        <v>83721760</v>
      </c>
      <c r="S463" s="48">
        <v>73.540000000000006</v>
      </c>
      <c r="T463" s="212">
        <f t="shared" si="51"/>
        <v>83.721760000000003</v>
      </c>
      <c r="W463" s="215">
        <v>45337</v>
      </c>
      <c r="X463">
        <v>5312</v>
      </c>
      <c r="Y463" s="104">
        <v>12000</v>
      </c>
      <c r="Z463" s="114">
        <f t="shared" si="52"/>
        <v>44.266666666666666</v>
      </c>
      <c r="AB463" s="215">
        <v>45337</v>
      </c>
      <c r="AC463">
        <v>1265</v>
      </c>
      <c r="AD463" s="104">
        <v>12000</v>
      </c>
      <c r="AE463" s="114">
        <f t="shared" si="50"/>
        <v>10.541666666666666</v>
      </c>
      <c r="AG463" s="215">
        <v>45337</v>
      </c>
      <c r="AH463">
        <v>10917</v>
      </c>
      <c r="AI463" s="104">
        <v>12000</v>
      </c>
      <c r="AJ463" s="46">
        <f t="shared" si="49"/>
        <v>90.974999999999994</v>
      </c>
    </row>
    <row r="464" spans="1:48" hidden="1" x14ac:dyDescent="0.25">
      <c r="A464" s="215">
        <v>45338</v>
      </c>
      <c r="B464" s="48">
        <v>11973742</v>
      </c>
      <c r="C464" s="48">
        <v>302154</v>
      </c>
      <c r="D464" s="48">
        <v>12275896</v>
      </c>
      <c r="E464" s="48">
        <v>97.53</v>
      </c>
      <c r="F464" s="212">
        <f t="shared" si="48"/>
        <v>12.275895999999999</v>
      </c>
      <c r="H464" s="215">
        <v>45338</v>
      </c>
      <c r="I464" s="48">
        <v>2811823</v>
      </c>
      <c r="J464" s="48">
        <v>7534</v>
      </c>
      <c r="K464" s="48">
        <v>2819357</v>
      </c>
      <c r="L464" s="48">
        <v>99.73</v>
      </c>
      <c r="M464" s="114">
        <f t="shared" si="47"/>
        <v>2.8193570000000001</v>
      </c>
      <c r="O464" s="215">
        <v>45338</v>
      </c>
      <c r="P464" s="48">
        <v>63805178</v>
      </c>
      <c r="Q464" s="48">
        <v>20423123</v>
      </c>
      <c r="R464" s="48">
        <v>84228301</v>
      </c>
      <c r="S464" s="48">
        <v>75.75</v>
      </c>
      <c r="T464" s="212">
        <f t="shared" si="51"/>
        <v>84.228301000000002</v>
      </c>
      <c r="W464" s="215">
        <v>45338</v>
      </c>
      <c r="X464">
        <v>8171</v>
      </c>
      <c r="Y464" s="104">
        <v>12000</v>
      </c>
      <c r="Z464" s="114">
        <f t="shared" si="52"/>
        <v>68.091666666666669</v>
      </c>
      <c r="AB464" s="215">
        <v>45338</v>
      </c>
      <c r="AC464">
        <v>1114</v>
      </c>
      <c r="AD464" s="104">
        <v>12000</v>
      </c>
      <c r="AE464" s="114">
        <f t="shared" si="50"/>
        <v>9.2833333333333332</v>
      </c>
      <c r="AG464" s="215">
        <v>45338</v>
      </c>
      <c r="AH464">
        <v>8202</v>
      </c>
      <c r="AI464" s="104">
        <v>12000</v>
      </c>
      <c r="AJ464" s="46">
        <f t="shared" si="49"/>
        <v>68.349999999999994</v>
      </c>
      <c r="AL464" s="222">
        <v>45328</v>
      </c>
      <c r="AM464" s="101" t="s">
        <v>189</v>
      </c>
      <c r="AN464" s="101">
        <v>177432</v>
      </c>
      <c r="AP464" s="222">
        <v>45328</v>
      </c>
      <c r="AQ464" s="101" t="s">
        <v>189</v>
      </c>
      <c r="AR464" s="101">
        <v>15123113</v>
      </c>
      <c r="AT464" s="222">
        <v>45328</v>
      </c>
      <c r="AU464" s="101" t="s">
        <v>193</v>
      </c>
      <c r="AV464" s="101">
        <v>77</v>
      </c>
    </row>
    <row r="465" spans="1:48" hidden="1" x14ac:dyDescent="0.25">
      <c r="A465" s="215">
        <v>45339</v>
      </c>
      <c r="B465" s="48">
        <v>12498426</v>
      </c>
      <c r="C465" s="48">
        <v>315984</v>
      </c>
      <c r="D465" s="48">
        <v>12814410</v>
      </c>
      <c r="E465" s="48">
        <v>97.5</v>
      </c>
      <c r="F465" s="212">
        <f t="shared" si="48"/>
        <v>12.814410000000001</v>
      </c>
      <c r="H465" s="215">
        <v>45339</v>
      </c>
      <c r="I465" s="48">
        <v>4448762</v>
      </c>
      <c r="J465" s="48">
        <v>4177</v>
      </c>
      <c r="K465" s="48">
        <v>4452939</v>
      </c>
      <c r="L465" s="48">
        <v>99.9</v>
      </c>
      <c r="M465" s="114">
        <f t="shared" ref="M465:M528" si="53">K465/1000000</f>
        <v>4.4529389999999998</v>
      </c>
      <c r="O465" s="215">
        <v>45339</v>
      </c>
      <c r="P465" s="48">
        <v>64398208</v>
      </c>
      <c r="Q465" s="48">
        <v>21068370</v>
      </c>
      <c r="R465" s="48">
        <v>85466578</v>
      </c>
      <c r="S465" s="48">
        <v>75.34</v>
      </c>
      <c r="T465" s="212">
        <f t="shared" si="51"/>
        <v>85.466577999999998</v>
      </c>
      <c r="W465" s="215">
        <v>45339</v>
      </c>
      <c r="X465">
        <v>10436</v>
      </c>
      <c r="Y465" s="104">
        <v>12000</v>
      </c>
      <c r="Z465" s="114">
        <f t="shared" si="52"/>
        <v>86.966666666666669</v>
      </c>
      <c r="AB465" s="215">
        <v>45339</v>
      </c>
      <c r="AC465">
        <v>1109</v>
      </c>
      <c r="AD465" s="104">
        <v>12000</v>
      </c>
      <c r="AE465" s="114">
        <f t="shared" si="50"/>
        <v>9.2416666666666671</v>
      </c>
      <c r="AG465" s="215">
        <v>45339</v>
      </c>
      <c r="AH465">
        <v>10860</v>
      </c>
      <c r="AI465" s="104">
        <v>12000</v>
      </c>
      <c r="AJ465" s="46">
        <f t="shared" si="49"/>
        <v>90.5</v>
      </c>
      <c r="AL465" s="222">
        <v>45328</v>
      </c>
      <c r="AM465" s="101" t="s">
        <v>194</v>
      </c>
      <c r="AN465" s="101">
        <v>39832</v>
      </c>
      <c r="AP465" s="222">
        <v>45328</v>
      </c>
      <c r="AQ465" s="101" t="s">
        <v>191</v>
      </c>
      <c r="AR465" s="101">
        <v>1717773</v>
      </c>
      <c r="AT465" s="222">
        <v>45328</v>
      </c>
      <c r="AU465" s="101" t="s">
        <v>190</v>
      </c>
      <c r="AV465" s="101">
        <v>34</v>
      </c>
    </row>
    <row r="466" spans="1:48" hidden="1" x14ac:dyDescent="0.25">
      <c r="A466" s="215">
        <v>45340</v>
      </c>
      <c r="B466" s="48">
        <v>12428834</v>
      </c>
      <c r="C466" s="48">
        <v>265817</v>
      </c>
      <c r="D466" s="48">
        <v>12694651</v>
      </c>
      <c r="E466" s="48">
        <v>97.9</v>
      </c>
      <c r="F466" s="212">
        <f t="shared" si="48"/>
        <v>12.694651</v>
      </c>
      <c r="H466" s="215">
        <v>45340</v>
      </c>
      <c r="I466" s="48">
        <v>3302556</v>
      </c>
      <c r="J466" s="48">
        <v>628752</v>
      </c>
      <c r="K466" s="48">
        <v>3931308</v>
      </c>
      <c r="L466" s="48">
        <v>84</v>
      </c>
      <c r="M466" s="114">
        <f t="shared" si="53"/>
        <v>3.931308</v>
      </c>
      <c r="O466" s="215">
        <v>45340</v>
      </c>
      <c r="P466" s="48">
        <v>48086563</v>
      </c>
      <c r="Q466" s="48">
        <v>8271409</v>
      </c>
      <c r="R466" s="48">
        <v>56357972</v>
      </c>
      <c r="S466" s="48">
        <v>85.32</v>
      </c>
      <c r="T466" s="212">
        <f t="shared" si="51"/>
        <v>56.357971999999997</v>
      </c>
      <c r="W466" s="215">
        <v>45340</v>
      </c>
      <c r="X466">
        <v>5292</v>
      </c>
      <c r="Y466" s="104">
        <v>12000</v>
      </c>
      <c r="Z466" s="114">
        <f t="shared" si="52"/>
        <v>44.1</v>
      </c>
      <c r="AB466" s="215">
        <v>45340</v>
      </c>
      <c r="AC466">
        <v>1067</v>
      </c>
      <c r="AD466" s="104">
        <v>12000</v>
      </c>
      <c r="AE466" s="114">
        <f t="shared" si="50"/>
        <v>8.8916666666666675</v>
      </c>
      <c r="AG466" s="215">
        <v>45340</v>
      </c>
      <c r="AH466">
        <v>5943</v>
      </c>
      <c r="AI466" s="104">
        <v>12000</v>
      </c>
      <c r="AJ466" s="46">
        <f t="shared" si="49"/>
        <v>49.524999999999999</v>
      </c>
      <c r="AL466" s="222">
        <v>45328</v>
      </c>
      <c r="AM466" s="101" t="s">
        <v>197</v>
      </c>
      <c r="AN466" s="101">
        <v>32201</v>
      </c>
      <c r="AP466" s="222">
        <v>45328</v>
      </c>
      <c r="AQ466" s="101" t="s">
        <v>194</v>
      </c>
      <c r="AR466" s="101">
        <v>1110920</v>
      </c>
    </row>
    <row r="467" spans="1:48" hidden="1" x14ac:dyDescent="0.25">
      <c r="A467" s="215">
        <v>45341</v>
      </c>
      <c r="B467" s="104">
        <v>11956839</v>
      </c>
      <c r="C467" s="104">
        <v>247754</v>
      </c>
      <c r="D467" s="104">
        <v>12204593</v>
      </c>
      <c r="E467" s="104">
        <v>97.97</v>
      </c>
      <c r="F467" s="212">
        <f t="shared" si="48"/>
        <v>12.204592999999999</v>
      </c>
      <c r="H467" s="215">
        <v>45341</v>
      </c>
      <c r="I467" s="104">
        <v>3533993</v>
      </c>
      <c r="J467" s="104">
        <v>946829</v>
      </c>
      <c r="K467" s="104">
        <v>4480822</v>
      </c>
      <c r="L467" s="104">
        <v>78.87</v>
      </c>
      <c r="M467" s="114">
        <f t="shared" si="53"/>
        <v>4.4808219999999999</v>
      </c>
      <c r="O467" s="215">
        <v>45341</v>
      </c>
      <c r="P467" s="104">
        <v>61925704</v>
      </c>
      <c r="Q467" s="104">
        <v>20659192</v>
      </c>
      <c r="R467" s="104">
        <v>82584896</v>
      </c>
      <c r="S467" s="104">
        <v>74.98</v>
      </c>
      <c r="T467" s="212">
        <f t="shared" si="51"/>
        <v>82.584896000000001</v>
      </c>
      <c r="W467" s="215">
        <v>45341</v>
      </c>
      <c r="X467">
        <v>4738</v>
      </c>
      <c r="Y467" s="104">
        <v>12000</v>
      </c>
      <c r="Z467" s="114">
        <f t="shared" si="52"/>
        <v>39.483333333333334</v>
      </c>
      <c r="AB467" s="215">
        <v>45341</v>
      </c>
      <c r="AC467">
        <v>1170</v>
      </c>
      <c r="AD467" s="104">
        <v>12000</v>
      </c>
      <c r="AE467" s="114">
        <f t="shared" si="50"/>
        <v>9.75</v>
      </c>
      <c r="AG467" s="215">
        <v>45341</v>
      </c>
      <c r="AH467">
        <v>5381</v>
      </c>
      <c r="AI467" s="104">
        <v>12000</v>
      </c>
      <c r="AJ467" s="46">
        <f t="shared" si="49"/>
        <v>44.841666666666669</v>
      </c>
      <c r="AL467" s="222">
        <v>45328</v>
      </c>
      <c r="AM467" s="101" t="s">
        <v>191</v>
      </c>
      <c r="AN467" s="101">
        <v>14293</v>
      </c>
      <c r="AP467" s="222">
        <v>45328</v>
      </c>
      <c r="AQ467" s="101" t="s">
        <v>192</v>
      </c>
      <c r="AR467" s="101">
        <v>619865</v>
      </c>
    </row>
    <row r="468" spans="1:48" hidden="1" x14ac:dyDescent="0.25">
      <c r="A468" s="215">
        <v>45342</v>
      </c>
      <c r="B468" s="101">
        <v>11686842</v>
      </c>
      <c r="C468" s="101">
        <v>307297</v>
      </c>
      <c r="D468" s="101">
        <v>11994139</v>
      </c>
      <c r="E468" s="101">
        <v>97.44</v>
      </c>
      <c r="F468" s="212">
        <f t="shared" si="48"/>
        <v>11.994139000000001</v>
      </c>
      <c r="H468" s="215">
        <v>45342</v>
      </c>
      <c r="I468" s="101">
        <v>2529590</v>
      </c>
      <c r="J468" s="101">
        <v>18969</v>
      </c>
      <c r="K468" s="101">
        <v>2548559</v>
      </c>
      <c r="L468" s="101">
        <v>99.26</v>
      </c>
      <c r="M468" s="114">
        <f t="shared" si="53"/>
        <v>2.548559</v>
      </c>
      <c r="O468" s="215">
        <v>45342</v>
      </c>
      <c r="P468" s="101">
        <v>63167147</v>
      </c>
      <c r="Q468" s="101">
        <v>24153648</v>
      </c>
      <c r="R468" s="101">
        <v>87320795</v>
      </c>
      <c r="S468" s="101">
        <v>72.34</v>
      </c>
      <c r="T468" s="212">
        <f t="shared" si="51"/>
        <v>87.320795000000004</v>
      </c>
      <c r="W468" s="215">
        <v>45342</v>
      </c>
      <c r="X468">
        <v>6248</v>
      </c>
      <c r="Y468" s="104">
        <v>12000</v>
      </c>
      <c r="Z468" s="114">
        <f t="shared" si="52"/>
        <v>52.06666666666667</v>
      </c>
      <c r="AB468" s="215">
        <v>45342</v>
      </c>
      <c r="AC468">
        <v>1125</v>
      </c>
      <c r="AD468" s="104">
        <v>12000</v>
      </c>
      <c r="AE468" s="114">
        <f t="shared" si="50"/>
        <v>9.375</v>
      </c>
      <c r="AG468" s="215">
        <v>45342</v>
      </c>
      <c r="AH468">
        <v>6977</v>
      </c>
      <c r="AI468" s="104">
        <v>12000</v>
      </c>
      <c r="AJ468" s="46">
        <f t="shared" si="49"/>
        <v>58.141666666666666</v>
      </c>
      <c r="AL468" s="222">
        <v>45328</v>
      </c>
      <c r="AM468" s="101" t="s">
        <v>192</v>
      </c>
      <c r="AN468" s="101">
        <v>12988</v>
      </c>
      <c r="AP468" s="222">
        <v>45328</v>
      </c>
      <c r="AQ468" s="101" t="s">
        <v>199</v>
      </c>
      <c r="AR468" s="101">
        <v>114245</v>
      </c>
    </row>
    <row r="469" spans="1:48" hidden="1" x14ac:dyDescent="0.25">
      <c r="A469" s="215">
        <v>45343</v>
      </c>
      <c r="B469" s="101">
        <v>11708205</v>
      </c>
      <c r="C469" s="101">
        <v>337140</v>
      </c>
      <c r="D469" s="101">
        <v>12045345</v>
      </c>
      <c r="E469" s="101">
        <v>97.2</v>
      </c>
      <c r="F469" s="212">
        <f t="shared" si="48"/>
        <v>12.045344999999999</v>
      </c>
      <c r="H469" s="215">
        <v>45343</v>
      </c>
      <c r="I469" s="101">
        <v>2022414</v>
      </c>
      <c r="J469" s="101">
        <v>349</v>
      </c>
      <c r="K469" s="101">
        <v>2022763</v>
      </c>
      <c r="L469" s="101">
        <v>99.98</v>
      </c>
      <c r="M469" s="114">
        <f t="shared" si="53"/>
        <v>2.0227629999999999</v>
      </c>
      <c r="O469" s="215">
        <v>45343</v>
      </c>
      <c r="P469" s="101">
        <v>51959152</v>
      </c>
      <c r="Q469" s="101">
        <v>15990870</v>
      </c>
      <c r="R469" s="101">
        <v>67950022</v>
      </c>
      <c r="S469" s="101">
        <v>76.47</v>
      </c>
      <c r="T469" s="212">
        <f t="shared" si="51"/>
        <v>67.950022000000004</v>
      </c>
      <c r="W469" s="215">
        <v>45343</v>
      </c>
      <c r="X469">
        <v>3738</v>
      </c>
      <c r="Y469" s="104">
        <v>12000</v>
      </c>
      <c r="Z469" s="114">
        <f t="shared" si="52"/>
        <v>31.15</v>
      </c>
      <c r="AB469" s="215">
        <v>45343</v>
      </c>
      <c r="AC469">
        <v>1068</v>
      </c>
      <c r="AD469" s="104">
        <v>12000</v>
      </c>
      <c r="AE469" s="114">
        <f t="shared" si="50"/>
        <v>8.9</v>
      </c>
      <c r="AG469" s="215">
        <v>45343</v>
      </c>
      <c r="AH469">
        <v>4339</v>
      </c>
      <c r="AI469" s="104">
        <v>12000</v>
      </c>
      <c r="AJ469" s="46">
        <f t="shared" si="49"/>
        <v>36.158333333333331</v>
      </c>
    </row>
    <row r="470" spans="1:48" hidden="1" x14ac:dyDescent="0.25">
      <c r="A470" s="215">
        <v>45344</v>
      </c>
      <c r="B470" s="101">
        <v>11481317</v>
      </c>
      <c r="C470" s="101">
        <v>350061</v>
      </c>
      <c r="D470" s="101">
        <v>11831378</v>
      </c>
      <c r="E470" s="101">
        <v>97.04</v>
      </c>
      <c r="F470" s="212">
        <f t="shared" si="48"/>
        <v>11.831378000000001</v>
      </c>
      <c r="H470" s="215">
        <v>45344</v>
      </c>
      <c r="I470" s="101">
        <v>2185616</v>
      </c>
      <c r="J470" s="101">
        <v>2963</v>
      </c>
      <c r="K470" s="101">
        <v>2188579</v>
      </c>
      <c r="L470" s="101">
        <v>99.86</v>
      </c>
      <c r="M470" s="114">
        <f t="shared" si="53"/>
        <v>2.1885789999999998</v>
      </c>
      <c r="O470" s="215">
        <v>45344</v>
      </c>
      <c r="P470" s="101">
        <v>56727521</v>
      </c>
      <c r="Q470" s="101">
        <v>19772159</v>
      </c>
      <c r="R470" s="101">
        <v>76499680</v>
      </c>
      <c r="S470" s="101">
        <v>74.150000000000006</v>
      </c>
      <c r="T470" s="212">
        <f t="shared" si="51"/>
        <v>76.499679999999998</v>
      </c>
      <c r="W470" s="215">
        <v>45344</v>
      </c>
      <c r="X470">
        <v>5939</v>
      </c>
      <c r="Y470" s="104">
        <v>12000</v>
      </c>
      <c r="Z470" s="114">
        <f t="shared" si="52"/>
        <v>49.491666666666667</v>
      </c>
      <c r="AB470" s="215">
        <v>45344</v>
      </c>
      <c r="AC470">
        <v>1106</v>
      </c>
      <c r="AD470" s="104">
        <v>12000</v>
      </c>
      <c r="AE470" s="114">
        <f t="shared" si="50"/>
        <v>9.2166666666666668</v>
      </c>
      <c r="AG470" s="215">
        <v>45344</v>
      </c>
      <c r="AH470">
        <v>6427</v>
      </c>
      <c r="AI470" s="104">
        <v>12000</v>
      </c>
      <c r="AJ470" s="46">
        <f t="shared" si="49"/>
        <v>53.55833333333333</v>
      </c>
      <c r="AL470" s="222">
        <v>45329</v>
      </c>
      <c r="AM470" s="101" t="s">
        <v>189</v>
      </c>
      <c r="AN470" s="101">
        <v>176163</v>
      </c>
      <c r="AP470" s="222">
        <v>45329</v>
      </c>
      <c r="AQ470" s="101" t="s">
        <v>189</v>
      </c>
      <c r="AR470" s="101">
        <v>13472497</v>
      </c>
      <c r="AT470" s="222">
        <v>45329</v>
      </c>
      <c r="AU470" s="101" t="s">
        <v>190</v>
      </c>
      <c r="AV470" s="101">
        <v>4530</v>
      </c>
    </row>
    <row r="471" spans="1:48" hidden="1" x14ac:dyDescent="0.25">
      <c r="A471" s="215">
        <v>45345</v>
      </c>
      <c r="B471" s="101">
        <v>11920188</v>
      </c>
      <c r="C471" s="101">
        <v>300542</v>
      </c>
      <c r="D471" s="101">
        <v>12220730</v>
      </c>
      <c r="E471" s="101">
        <v>97.54</v>
      </c>
      <c r="F471" s="212">
        <f t="shared" si="48"/>
        <v>12.22073</v>
      </c>
      <c r="H471" s="215">
        <v>45345</v>
      </c>
      <c r="I471" s="101">
        <v>2876486</v>
      </c>
      <c r="J471" s="101">
        <v>763</v>
      </c>
      <c r="K471" s="101">
        <v>2877249</v>
      </c>
      <c r="L471" s="101">
        <v>99.97</v>
      </c>
      <c r="M471" s="114">
        <f t="shared" si="53"/>
        <v>2.8772489999999999</v>
      </c>
      <c r="O471" s="215">
        <v>45345</v>
      </c>
      <c r="P471" s="101">
        <v>62270715</v>
      </c>
      <c r="Q471" s="101">
        <v>20441708</v>
      </c>
      <c r="R471" s="101">
        <v>82712423</v>
      </c>
      <c r="S471" s="101">
        <v>75.290000000000006</v>
      </c>
      <c r="T471" s="212">
        <f t="shared" si="51"/>
        <v>82.712423000000001</v>
      </c>
      <c r="W471" s="215">
        <v>45345</v>
      </c>
      <c r="X471">
        <v>5209</v>
      </c>
      <c r="Y471" s="104">
        <v>12000</v>
      </c>
      <c r="Z471" s="114">
        <f t="shared" si="52"/>
        <v>43.408333333333331</v>
      </c>
      <c r="AB471" s="215">
        <v>45345</v>
      </c>
      <c r="AC471">
        <v>1118</v>
      </c>
      <c r="AD471" s="104">
        <v>12000</v>
      </c>
      <c r="AE471" s="114">
        <f t="shared" si="50"/>
        <v>9.3166666666666664</v>
      </c>
      <c r="AG471" s="215">
        <v>45345</v>
      </c>
      <c r="AH471">
        <v>5820</v>
      </c>
      <c r="AI471" s="104">
        <v>12000</v>
      </c>
      <c r="AJ471" s="46">
        <f t="shared" si="49"/>
        <v>48.5</v>
      </c>
      <c r="AL471" s="222">
        <v>45329</v>
      </c>
      <c r="AM471" s="101" t="s">
        <v>194</v>
      </c>
      <c r="AN471" s="101">
        <v>43538</v>
      </c>
      <c r="AP471" s="222">
        <v>45329</v>
      </c>
      <c r="AQ471" s="101" t="s">
        <v>191</v>
      </c>
      <c r="AR471" s="101">
        <v>1759819</v>
      </c>
      <c r="AT471" s="222">
        <v>45329</v>
      </c>
      <c r="AU471" s="101" t="s">
        <v>193</v>
      </c>
      <c r="AV471" s="101">
        <v>152</v>
      </c>
    </row>
    <row r="472" spans="1:48" hidden="1" x14ac:dyDescent="0.25">
      <c r="A472" s="215">
        <v>45346</v>
      </c>
      <c r="B472" s="101">
        <v>12223197</v>
      </c>
      <c r="C472" s="101">
        <v>347253</v>
      </c>
      <c r="D472" s="101">
        <v>12570450</v>
      </c>
      <c r="E472" s="101">
        <v>97.24</v>
      </c>
      <c r="F472" s="212">
        <f t="shared" si="48"/>
        <v>12.570449999999999</v>
      </c>
      <c r="H472" s="215">
        <v>45346</v>
      </c>
      <c r="I472" s="101">
        <v>2490239</v>
      </c>
      <c r="J472" s="101">
        <v>60</v>
      </c>
      <c r="K472" s="101">
        <v>2490299</v>
      </c>
      <c r="L472" s="101">
        <v>100</v>
      </c>
      <c r="M472" s="114">
        <f t="shared" si="53"/>
        <v>2.4902989999999998</v>
      </c>
      <c r="O472" s="215">
        <v>45346</v>
      </c>
      <c r="P472" s="101">
        <v>59482528</v>
      </c>
      <c r="Q472" s="101">
        <v>17305664</v>
      </c>
      <c r="R472" s="101">
        <v>76788192</v>
      </c>
      <c r="S472" s="101">
        <v>77.459999999999994</v>
      </c>
      <c r="T472" s="212">
        <f t="shared" si="51"/>
        <v>76.788191999999995</v>
      </c>
      <c r="W472" s="215">
        <v>45346</v>
      </c>
      <c r="X472">
        <v>5489</v>
      </c>
      <c r="Y472" s="104">
        <v>12000</v>
      </c>
      <c r="Z472" s="114">
        <f t="shared" si="52"/>
        <v>45.741666666666667</v>
      </c>
      <c r="AB472" s="215">
        <v>45346</v>
      </c>
      <c r="AC472">
        <v>1107</v>
      </c>
      <c r="AD472" s="104">
        <v>12000</v>
      </c>
      <c r="AE472" s="114">
        <f t="shared" si="50"/>
        <v>9.2249999999999996</v>
      </c>
      <c r="AG472" s="215">
        <v>45346</v>
      </c>
      <c r="AH472">
        <v>6215</v>
      </c>
      <c r="AI472" s="104">
        <v>12000</v>
      </c>
      <c r="AJ472" s="46">
        <f t="shared" si="49"/>
        <v>51.791666666666664</v>
      </c>
      <c r="AL472" s="222">
        <v>45329</v>
      </c>
      <c r="AM472" s="101" t="s">
        <v>197</v>
      </c>
      <c r="AN472" s="101">
        <v>32707</v>
      </c>
      <c r="AP472" s="222">
        <v>45329</v>
      </c>
      <c r="AQ472" s="101" t="s">
        <v>194</v>
      </c>
      <c r="AR472" s="101">
        <v>1137861</v>
      </c>
    </row>
    <row r="473" spans="1:48" hidden="1" x14ac:dyDescent="0.25">
      <c r="A473" s="215">
        <v>45347</v>
      </c>
      <c r="B473" s="101">
        <v>11879339</v>
      </c>
      <c r="C473" s="101">
        <v>275683</v>
      </c>
      <c r="D473" s="101">
        <v>12155022</v>
      </c>
      <c r="E473" s="101">
        <v>97.73</v>
      </c>
      <c r="F473" s="212">
        <f t="shared" si="48"/>
        <v>12.155022000000001</v>
      </c>
      <c r="H473" s="215">
        <v>45347</v>
      </c>
      <c r="I473" s="101">
        <v>1845563</v>
      </c>
      <c r="J473" s="101">
        <v>18</v>
      </c>
      <c r="K473" s="101">
        <v>1845581</v>
      </c>
      <c r="L473" s="101">
        <v>100</v>
      </c>
      <c r="M473" s="114">
        <f t="shared" si="53"/>
        <v>1.8455809999999999</v>
      </c>
      <c r="O473" s="215">
        <v>45347</v>
      </c>
      <c r="P473" s="101">
        <v>43935289</v>
      </c>
      <c r="Q473" s="101">
        <v>6878058</v>
      </c>
      <c r="R473" s="101">
        <v>50813347</v>
      </c>
      <c r="S473" s="101">
        <v>86.46</v>
      </c>
      <c r="T473" s="212">
        <f t="shared" si="51"/>
        <v>50.813347</v>
      </c>
      <c r="W473" s="215">
        <v>45347</v>
      </c>
      <c r="X473">
        <v>3237</v>
      </c>
      <c r="Y473" s="104">
        <v>12000</v>
      </c>
      <c r="Z473" s="114">
        <f t="shared" si="52"/>
        <v>26.975000000000001</v>
      </c>
      <c r="AB473" s="215">
        <v>45347</v>
      </c>
      <c r="AC473">
        <v>1029</v>
      </c>
      <c r="AD473" s="104">
        <v>12000</v>
      </c>
      <c r="AE473" s="114">
        <f t="shared" si="50"/>
        <v>8.5749999999999993</v>
      </c>
      <c r="AG473" s="215">
        <v>45347</v>
      </c>
      <c r="AH473">
        <v>3888</v>
      </c>
      <c r="AI473" s="104">
        <v>12000</v>
      </c>
      <c r="AJ473" s="46">
        <f t="shared" si="49"/>
        <v>32.4</v>
      </c>
      <c r="AL473" s="222">
        <v>45329</v>
      </c>
      <c r="AM473" s="101" t="s">
        <v>191</v>
      </c>
      <c r="AN473" s="101">
        <v>15605</v>
      </c>
      <c r="AP473" s="222">
        <v>45329</v>
      </c>
      <c r="AQ473" s="101" t="s">
        <v>192</v>
      </c>
      <c r="AR473" s="101">
        <v>795161</v>
      </c>
    </row>
    <row r="474" spans="1:48" hidden="1" x14ac:dyDescent="0.25">
      <c r="A474" s="215">
        <v>45348</v>
      </c>
      <c r="B474" s="101">
        <v>11292535</v>
      </c>
      <c r="C474" s="101">
        <v>237072</v>
      </c>
      <c r="D474" s="101">
        <v>11529607</v>
      </c>
      <c r="E474" s="101">
        <v>97.94</v>
      </c>
      <c r="F474" s="212">
        <f t="shared" si="48"/>
        <v>11.529607</v>
      </c>
      <c r="H474" s="215">
        <v>45348</v>
      </c>
      <c r="I474" s="101">
        <v>2884631</v>
      </c>
      <c r="J474" s="101">
        <v>411</v>
      </c>
      <c r="K474" s="101">
        <v>2885042</v>
      </c>
      <c r="L474" s="101">
        <v>99.99</v>
      </c>
      <c r="M474" s="114">
        <f t="shared" si="53"/>
        <v>2.8850419999999999</v>
      </c>
      <c r="O474" s="215">
        <v>45348</v>
      </c>
      <c r="P474" s="101">
        <v>66940601</v>
      </c>
      <c r="Q474" s="101">
        <v>21592036</v>
      </c>
      <c r="R474" s="101">
        <v>88532637</v>
      </c>
      <c r="S474" s="101">
        <v>75.61</v>
      </c>
      <c r="T474" s="212">
        <f t="shared" si="51"/>
        <v>88.532636999999994</v>
      </c>
      <c r="W474" s="215">
        <v>45348</v>
      </c>
      <c r="X474">
        <v>5711</v>
      </c>
      <c r="Y474" s="104">
        <v>12000</v>
      </c>
      <c r="Z474" s="114">
        <f t="shared" si="52"/>
        <v>47.591666666666669</v>
      </c>
      <c r="AB474" s="215">
        <v>45348</v>
      </c>
      <c r="AC474">
        <v>1252</v>
      </c>
      <c r="AD474" s="104">
        <v>12000</v>
      </c>
      <c r="AE474" s="114">
        <f t="shared" si="50"/>
        <v>10.433333333333334</v>
      </c>
      <c r="AG474" s="215">
        <v>45348</v>
      </c>
      <c r="AH474">
        <v>6351</v>
      </c>
      <c r="AI474" s="104">
        <v>12000</v>
      </c>
      <c r="AJ474" s="46">
        <f t="shared" si="49"/>
        <v>52.924999999999997</v>
      </c>
      <c r="AL474" s="222">
        <v>45329</v>
      </c>
      <c r="AM474" s="101" t="s">
        <v>192</v>
      </c>
      <c r="AN474" s="101">
        <v>10186</v>
      </c>
      <c r="AP474" s="222">
        <v>45329</v>
      </c>
      <c r="AQ474" s="101" t="s">
        <v>199</v>
      </c>
      <c r="AR474" s="101">
        <v>84740</v>
      </c>
    </row>
    <row r="475" spans="1:48" hidden="1" x14ac:dyDescent="0.25">
      <c r="A475" s="215">
        <v>45349</v>
      </c>
      <c r="B475" s="101">
        <v>11125191</v>
      </c>
      <c r="C475" s="101">
        <v>311925</v>
      </c>
      <c r="D475" s="101">
        <v>11437116</v>
      </c>
      <c r="E475" s="101">
        <v>97.27</v>
      </c>
      <c r="F475" s="212">
        <f t="shared" si="48"/>
        <v>11.437116</v>
      </c>
      <c r="H475" s="215">
        <v>45349</v>
      </c>
      <c r="I475" s="101">
        <v>2834437</v>
      </c>
      <c r="J475" s="101">
        <v>1036</v>
      </c>
      <c r="K475" s="101">
        <v>2835473</v>
      </c>
      <c r="L475" s="101">
        <v>99.96</v>
      </c>
      <c r="M475" s="114">
        <f t="shared" si="53"/>
        <v>2.8354729999999999</v>
      </c>
      <c r="O475" s="215">
        <v>45349</v>
      </c>
      <c r="P475" s="101">
        <v>66400990</v>
      </c>
      <c r="Q475" s="101">
        <v>23545285</v>
      </c>
      <c r="R475" s="101">
        <v>89946275</v>
      </c>
      <c r="S475" s="101">
        <v>73.819999999999993</v>
      </c>
      <c r="T475" s="212">
        <f t="shared" si="51"/>
        <v>89.946275</v>
      </c>
      <c r="W475" s="215">
        <v>45349</v>
      </c>
      <c r="X475">
        <v>5186</v>
      </c>
      <c r="Y475" s="104">
        <v>12000</v>
      </c>
      <c r="Z475" s="114">
        <f t="shared" si="52"/>
        <v>43.216666666666669</v>
      </c>
      <c r="AB475" s="215">
        <v>45349</v>
      </c>
      <c r="AC475">
        <v>1159</v>
      </c>
      <c r="AD475" s="104">
        <v>12000</v>
      </c>
      <c r="AE475" s="114">
        <f t="shared" si="50"/>
        <v>9.6583333333333332</v>
      </c>
      <c r="AG475" s="215">
        <v>45349</v>
      </c>
      <c r="AH475">
        <v>6146</v>
      </c>
      <c r="AI475" s="104">
        <v>12000</v>
      </c>
      <c r="AJ475" s="46">
        <f t="shared" si="49"/>
        <v>51.216666666666669</v>
      </c>
      <c r="AL475" s="222">
        <v>45330</v>
      </c>
      <c r="AM475" s="101" t="s">
        <v>189</v>
      </c>
      <c r="AN475" s="101">
        <v>157717</v>
      </c>
      <c r="AP475" s="222">
        <v>45330</v>
      </c>
      <c r="AQ475" s="101" t="s">
        <v>189</v>
      </c>
      <c r="AR475" s="101">
        <v>13099283</v>
      </c>
    </row>
    <row r="476" spans="1:48" hidden="1" x14ac:dyDescent="0.25">
      <c r="A476" s="215">
        <v>45350</v>
      </c>
      <c r="B476" s="101">
        <v>11437171</v>
      </c>
      <c r="C476" s="101">
        <v>259079</v>
      </c>
      <c r="D476" s="101">
        <v>11696250</v>
      </c>
      <c r="E476" s="101">
        <v>97.78</v>
      </c>
      <c r="F476" s="212">
        <f t="shared" si="48"/>
        <v>11.696249999999999</v>
      </c>
      <c r="H476" s="215">
        <v>45350</v>
      </c>
      <c r="I476" s="101">
        <v>2446054</v>
      </c>
      <c r="J476" s="101">
        <v>338</v>
      </c>
      <c r="K476" s="101">
        <v>2446392</v>
      </c>
      <c r="L476" s="101">
        <v>99.99</v>
      </c>
      <c r="M476" s="114">
        <f t="shared" si="53"/>
        <v>2.4463919999999999</v>
      </c>
      <c r="O476" s="215">
        <v>45350</v>
      </c>
      <c r="P476" s="101">
        <v>63088757</v>
      </c>
      <c r="Q476" s="101">
        <v>21652542</v>
      </c>
      <c r="R476" s="101">
        <v>84741299</v>
      </c>
      <c r="S476" s="101">
        <v>74.45</v>
      </c>
      <c r="T476" s="212">
        <f t="shared" si="51"/>
        <v>84.741298999999998</v>
      </c>
      <c r="W476" s="215">
        <v>45350</v>
      </c>
      <c r="X476">
        <v>6172</v>
      </c>
      <c r="Y476" s="104">
        <v>12000</v>
      </c>
      <c r="Z476" s="114">
        <f t="shared" si="52"/>
        <v>51.43333333333333</v>
      </c>
      <c r="AB476" s="215">
        <v>45350</v>
      </c>
      <c r="AC476">
        <v>1106</v>
      </c>
      <c r="AD476" s="104">
        <v>12000</v>
      </c>
      <c r="AE476" s="114">
        <f t="shared" si="50"/>
        <v>9.2166666666666668</v>
      </c>
      <c r="AG476" s="215">
        <v>45350</v>
      </c>
      <c r="AH476">
        <v>6740</v>
      </c>
      <c r="AI476" s="104">
        <v>12000</v>
      </c>
      <c r="AJ476" s="46">
        <f>AH476/AI476%</f>
        <v>56.166666666666664</v>
      </c>
      <c r="AL476" s="222">
        <v>45330</v>
      </c>
      <c r="AM476" s="101" t="s">
        <v>194</v>
      </c>
      <c r="AN476" s="101">
        <v>31513</v>
      </c>
      <c r="AP476" s="222">
        <v>45330</v>
      </c>
      <c r="AQ476" s="101" t="s">
        <v>191</v>
      </c>
      <c r="AR476" s="101">
        <v>1480033</v>
      </c>
    </row>
    <row r="477" spans="1:48" hidden="1" x14ac:dyDescent="0.25">
      <c r="A477" s="215">
        <v>45351</v>
      </c>
      <c r="B477" s="101">
        <v>10933039</v>
      </c>
      <c r="C477" s="101">
        <v>272173</v>
      </c>
      <c r="D477" s="101">
        <v>11205212</v>
      </c>
      <c r="E477" s="101">
        <v>97.57</v>
      </c>
      <c r="F477" s="212">
        <f t="shared" si="48"/>
        <v>11.205212</v>
      </c>
      <c r="H477" s="215">
        <v>45351</v>
      </c>
      <c r="I477" s="101">
        <v>2146142</v>
      </c>
      <c r="J477" s="101">
        <v>773</v>
      </c>
      <c r="K477" s="101">
        <v>2146915</v>
      </c>
      <c r="L477" s="101">
        <v>99.96</v>
      </c>
      <c r="M477" s="114">
        <f t="shared" si="53"/>
        <v>2.1469149999999999</v>
      </c>
      <c r="O477" s="215">
        <v>45351</v>
      </c>
      <c r="P477" s="101">
        <v>67100327</v>
      </c>
      <c r="Q477" s="101">
        <v>22769624</v>
      </c>
      <c r="R477" s="101">
        <v>89869951</v>
      </c>
      <c r="S477" s="101">
        <v>74.66</v>
      </c>
      <c r="T477" s="212">
        <f t="shared" si="51"/>
        <v>89.869951</v>
      </c>
      <c r="W477" s="215">
        <v>45351</v>
      </c>
      <c r="X477">
        <v>5834</v>
      </c>
      <c r="Y477" s="104">
        <v>12000</v>
      </c>
      <c r="Z477" s="114">
        <f t="shared" si="52"/>
        <v>48.616666666666667</v>
      </c>
      <c r="AB477" s="215">
        <v>45351</v>
      </c>
      <c r="AC477">
        <v>1208</v>
      </c>
      <c r="AD477" s="104">
        <v>12000</v>
      </c>
      <c r="AE477" s="114">
        <f t="shared" si="50"/>
        <v>10.066666666666666</v>
      </c>
      <c r="AG477" s="215">
        <v>45351</v>
      </c>
      <c r="AH477">
        <v>6501</v>
      </c>
      <c r="AI477" s="104">
        <v>12000</v>
      </c>
      <c r="AJ477" s="46">
        <f t="shared" si="49"/>
        <v>54.174999999999997</v>
      </c>
    </row>
    <row r="478" spans="1:48" hidden="1" x14ac:dyDescent="0.25">
      <c r="A478" s="215">
        <v>45352</v>
      </c>
      <c r="B478" s="101">
        <v>11461911</v>
      </c>
      <c r="C478" s="101">
        <v>274019</v>
      </c>
      <c r="D478" s="101">
        <v>11735930</v>
      </c>
      <c r="E478" s="101">
        <v>97.67</v>
      </c>
      <c r="F478" s="212">
        <f t="shared" ref="F478:F546" si="54">D478/1000000</f>
        <v>11.73593</v>
      </c>
      <c r="H478" s="215">
        <v>45352</v>
      </c>
      <c r="I478" s="101">
        <v>8071156</v>
      </c>
      <c r="J478" s="101">
        <v>115</v>
      </c>
      <c r="K478" s="101">
        <v>8071271</v>
      </c>
      <c r="L478" s="101">
        <v>100</v>
      </c>
      <c r="M478" s="114">
        <f t="shared" si="53"/>
        <v>8.0712709999999994</v>
      </c>
      <c r="O478" s="215">
        <v>45352</v>
      </c>
      <c r="P478" s="101">
        <v>79682328</v>
      </c>
      <c r="Q478" s="101">
        <v>25728664</v>
      </c>
      <c r="R478" s="101">
        <v>105410992</v>
      </c>
      <c r="S478" s="101">
        <v>75.59</v>
      </c>
      <c r="T478" s="212">
        <f t="shared" si="51"/>
        <v>105.41099199999999</v>
      </c>
      <c r="W478" s="215">
        <v>45352</v>
      </c>
      <c r="X478">
        <v>11000</v>
      </c>
      <c r="Y478" s="104">
        <v>12000</v>
      </c>
      <c r="Z478" s="114">
        <f t="shared" si="52"/>
        <v>91.666666666666671</v>
      </c>
      <c r="AB478" s="215">
        <v>45352</v>
      </c>
      <c r="AC478">
        <v>1138</v>
      </c>
      <c r="AD478" s="104">
        <v>12000</v>
      </c>
      <c r="AE478" s="114">
        <f t="shared" si="50"/>
        <v>9.4833333333333325</v>
      </c>
      <c r="AG478" s="215">
        <v>45352</v>
      </c>
      <c r="AH478">
        <v>11684</v>
      </c>
      <c r="AI478" s="104">
        <v>12000</v>
      </c>
      <c r="AJ478" s="46">
        <f t="shared" si="49"/>
        <v>97.36666666666666</v>
      </c>
      <c r="AL478" s="222">
        <v>45354</v>
      </c>
      <c r="AM478" s="101" t="s">
        <v>189</v>
      </c>
      <c r="AN478" s="101">
        <v>174724</v>
      </c>
      <c r="AP478" s="222">
        <v>45354</v>
      </c>
      <c r="AQ478" s="101" t="s">
        <v>189</v>
      </c>
      <c r="AR478" s="101">
        <v>5569509</v>
      </c>
      <c r="AT478" s="222">
        <v>45354</v>
      </c>
      <c r="AU478" s="101" t="s">
        <v>190</v>
      </c>
      <c r="AV478" s="101">
        <v>112827</v>
      </c>
    </row>
    <row r="479" spans="1:48" hidden="1" x14ac:dyDescent="0.25">
      <c r="A479" s="215">
        <v>45353</v>
      </c>
      <c r="B479" s="101">
        <v>11703705</v>
      </c>
      <c r="C479" s="101">
        <v>287403</v>
      </c>
      <c r="D479" s="101">
        <v>11991108</v>
      </c>
      <c r="E479" s="101">
        <v>97.6</v>
      </c>
      <c r="F479" s="212">
        <f t="shared" si="54"/>
        <v>11.991108000000001</v>
      </c>
      <c r="H479" s="215">
        <v>45353</v>
      </c>
      <c r="I479" s="101">
        <v>6500217</v>
      </c>
      <c r="J479" s="101">
        <v>249</v>
      </c>
      <c r="K479" s="101">
        <v>6500466</v>
      </c>
      <c r="L479" s="101">
        <v>100</v>
      </c>
      <c r="M479" s="114">
        <f t="shared" si="53"/>
        <v>6.5004660000000003</v>
      </c>
      <c r="O479" s="215">
        <v>45353</v>
      </c>
      <c r="P479" s="101">
        <v>74272146</v>
      </c>
      <c r="Q479" s="101">
        <v>21949384</v>
      </c>
      <c r="R479" s="101">
        <v>96221530</v>
      </c>
      <c r="S479" s="101">
        <v>77.19</v>
      </c>
      <c r="T479" s="212">
        <f t="shared" si="51"/>
        <v>96.221530000000001</v>
      </c>
      <c r="W479" s="215">
        <v>45353</v>
      </c>
      <c r="X479">
        <v>11000</v>
      </c>
      <c r="Y479" s="104">
        <v>12000</v>
      </c>
      <c r="Z479" s="114">
        <f t="shared" si="52"/>
        <v>91.666666666666671</v>
      </c>
      <c r="AB479" s="215">
        <v>45353</v>
      </c>
      <c r="AC479">
        <v>1266</v>
      </c>
      <c r="AD479" s="104">
        <v>12000</v>
      </c>
      <c r="AE479" s="114">
        <f t="shared" si="50"/>
        <v>10.55</v>
      </c>
      <c r="AG479" s="215">
        <v>45353</v>
      </c>
      <c r="AH479">
        <v>11674</v>
      </c>
      <c r="AI479" s="104">
        <v>12000</v>
      </c>
      <c r="AJ479" s="46">
        <f t="shared" si="49"/>
        <v>97.283333333333331</v>
      </c>
      <c r="AL479" s="222">
        <v>45354</v>
      </c>
      <c r="AM479" s="101" t="s">
        <v>194</v>
      </c>
      <c r="AN479" s="101">
        <v>22568</v>
      </c>
      <c r="AP479" s="222">
        <v>45354</v>
      </c>
      <c r="AQ479" s="101" t="s">
        <v>194</v>
      </c>
      <c r="AR479" s="101">
        <v>853941</v>
      </c>
      <c r="AT479" s="222">
        <v>45354</v>
      </c>
      <c r="AU479" s="101" t="s">
        <v>204</v>
      </c>
      <c r="AV479" s="101">
        <v>9564</v>
      </c>
    </row>
    <row r="480" spans="1:48" hidden="1" x14ac:dyDescent="0.25">
      <c r="A480" s="215">
        <v>45354</v>
      </c>
      <c r="B480" s="101">
        <v>11840400</v>
      </c>
      <c r="C480" s="101">
        <v>248777</v>
      </c>
      <c r="D480" s="101">
        <v>12089177</v>
      </c>
      <c r="E480" s="101">
        <v>97.94</v>
      </c>
      <c r="F480" s="212">
        <f t="shared" si="54"/>
        <v>12.089176999999999</v>
      </c>
      <c r="H480" s="215">
        <v>45354</v>
      </c>
      <c r="I480" s="101">
        <v>1651552</v>
      </c>
      <c r="J480" s="101">
        <v>127765</v>
      </c>
      <c r="K480" s="101">
        <v>1779317</v>
      </c>
      <c r="L480" s="101">
        <v>92.82</v>
      </c>
      <c r="M480" s="114">
        <f t="shared" si="53"/>
        <v>1.779317</v>
      </c>
      <c r="O480" s="215">
        <v>45354</v>
      </c>
      <c r="P480" s="101">
        <v>43695501</v>
      </c>
      <c r="Q480" s="101">
        <v>7671725</v>
      </c>
      <c r="R480" s="101">
        <v>51367226</v>
      </c>
      <c r="S480" s="101">
        <v>85.06</v>
      </c>
      <c r="T480" s="212">
        <f t="shared" si="51"/>
        <v>51.367226000000002</v>
      </c>
      <c r="W480" s="215">
        <v>45354</v>
      </c>
      <c r="X480">
        <v>4825</v>
      </c>
      <c r="Y480" s="104">
        <v>12000</v>
      </c>
      <c r="Z480" s="114">
        <f t="shared" si="52"/>
        <v>40.208333333333336</v>
      </c>
      <c r="AB480" s="215">
        <v>45354</v>
      </c>
      <c r="AC480">
        <v>962</v>
      </c>
      <c r="AD480" s="104">
        <v>12000</v>
      </c>
      <c r="AE480" s="114">
        <f t="shared" si="50"/>
        <v>8.0166666666666675</v>
      </c>
      <c r="AG480" s="215">
        <v>45354</v>
      </c>
      <c r="AH480">
        <v>5384</v>
      </c>
      <c r="AI480" s="104">
        <v>12000</v>
      </c>
      <c r="AJ480" s="46">
        <f t="shared" ref="AJ480:AJ546" si="55">AH480/AI480%</f>
        <v>44.866666666666667</v>
      </c>
      <c r="AL480" s="222">
        <v>45354</v>
      </c>
      <c r="AM480" s="101" t="s">
        <v>191</v>
      </c>
      <c r="AN480" s="101">
        <v>11869</v>
      </c>
      <c r="AP480" s="222">
        <v>45354</v>
      </c>
      <c r="AQ480" s="101" t="s">
        <v>191</v>
      </c>
      <c r="AR480" s="101">
        <v>766143</v>
      </c>
      <c r="AT480" s="222">
        <v>45354</v>
      </c>
      <c r="AU480" s="101" t="s">
        <v>193</v>
      </c>
      <c r="AV480" s="101">
        <v>5374</v>
      </c>
    </row>
    <row r="481" spans="1:48" hidden="1" x14ac:dyDescent="0.25">
      <c r="A481" s="215">
        <v>45355</v>
      </c>
      <c r="B481" s="57">
        <v>10714447</v>
      </c>
      <c r="C481" s="57">
        <v>325073</v>
      </c>
      <c r="D481" s="57">
        <v>11039520</v>
      </c>
      <c r="E481" s="57">
        <v>97.05</v>
      </c>
      <c r="F481" s="212">
        <f t="shared" si="54"/>
        <v>11.03952</v>
      </c>
      <c r="H481" s="215">
        <v>45355</v>
      </c>
      <c r="I481" s="57">
        <v>2146228</v>
      </c>
      <c r="J481" s="57">
        <v>44848</v>
      </c>
      <c r="K481" s="57">
        <v>2191076</v>
      </c>
      <c r="L481" s="57">
        <v>97.95</v>
      </c>
      <c r="M481" s="114">
        <f t="shared" si="53"/>
        <v>2.1910759999999998</v>
      </c>
      <c r="O481" s="215">
        <v>45355</v>
      </c>
      <c r="P481" s="57">
        <v>60390299</v>
      </c>
      <c r="Q481" s="57">
        <v>18451895</v>
      </c>
      <c r="R481" s="57">
        <v>78842194</v>
      </c>
      <c r="S481" s="57">
        <v>76.59</v>
      </c>
      <c r="T481" s="212">
        <f t="shared" si="51"/>
        <v>78.842194000000006</v>
      </c>
      <c r="W481" s="215">
        <v>45355</v>
      </c>
      <c r="X481">
        <v>6776</v>
      </c>
      <c r="Y481" s="104">
        <v>12000</v>
      </c>
      <c r="Z481" s="114">
        <f t="shared" si="52"/>
        <v>56.466666666666669</v>
      </c>
      <c r="AB481" s="215">
        <v>45355</v>
      </c>
      <c r="AC481">
        <v>1289</v>
      </c>
      <c r="AD481" s="104">
        <v>12000</v>
      </c>
      <c r="AE481" s="114">
        <f t="shared" si="50"/>
        <v>10.741666666666667</v>
      </c>
      <c r="AG481" s="215">
        <v>45355</v>
      </c>
      <c r="AH481">
        <v>7467</v>
      </c>
      <c r="AI481" s="104">
        <v>12000</v>
      </c>
      <c r="AJ481" s="46">
        <f t="shared" si="55"/>
        <v>62.225000000000001</v>
      </c>
      <c r="AL481" s="222">
        <v>45354</v>
      </c>
      <c r="AM481" s="101" t="s">
        <v>192</v>
      </c>
      <c r="AN481" s="101">
        <v>11649</v>
      </c>
      <c r="AP481" s="222">
        <v>45354</v>
      </c>
      <c r="AQ481" s="101" t="s">
        <v>192</v>
      </c>
      <c r="AR481" s="101">
        <v>216978</v>
      </c>
    </row>
    <row r="482" spans="1:48" hidden="1" x14ac:dyDescent="0.25">
      <c r="A482" s="215">
        <v>45356</v>
      </c>
      <c r="B482" s="101">
        <v>10891732</v>
      </c>
      <c r="C482" s="101">
        <v>313412</v>
      </c>
      <c r="D482" s="101">
        <v>11205144</v>
      </c>
      <c r="E482" s="101">
        <v>97.2</v>
      </c>
      <c r="F482" s="212">
        <f t="shared" si="54"/>
        <v>11.205144000000001</v>
      </c>
      <c r="H482" s="215">
        <v>45356</v>
      </c>
      <c r="I482" s="101">
        <v>2449567</v>
      </c>
      <c r="J482" s="101">
        <v>2023</v>
      </c>
      <c r="K482" s="101">
        <v>2451590</v>
      </c>
      <c r="L482" s="101">
        <v>99.92</v>
      </c>
      <c r="M482" s="114">
        <f t="shared" si="53"/>
        <v>2.4515899999999999</v>
      </c>
      <c r="O482" s="215">
        <v>45356</v>
      </c>
      <c r="P482" s="101">
        <v>60381787</v>
      </c>
      <c r="Q482" s="101">
        <v>19549887</v>
      </c>
      <c r="R482" s="101">
        <v>79931674</v>
      </c>
      <c r="S482" s="101">
        <v>75.540000000000006</v>
      </c>
      <c r="T482" s="212">
        <f t="shared" si="51"/>
        <v>79.931674000000001</v>
      </c>
      <c r="W482" s="215">
        <v>45356</v>
      </c>
      <c r="X482">
        <v>4243</v>
      </c>
      <c r="Y482" s="104">
        <v>12000</v>
      </c>
      <c r="Z482" s="114">
        <f t="shared" si="52"/>
        <v>35.358333333333334</v>
      </c>
      <c r="AB482" s="215">
        <v>45356</v>
      </c>
      <c r="AC482">
        <v>1213</v>
      </c>
      <c r="AD482" s="104">
        <v>12000</v>
      </c>
      <c r="AE482" s="114">
        <f t="shared" si="50"/>
        <v>10.108333333333333</v>
      </c>
      <c r="AG482" s="215">
        <v>45356</v>
      </c>
      <c r="AH482">
        <v>4935</v>
      </c>
      <c r="AI482" s="104">
        <v>12000</v>
      </c>
      <c r="AJ482" s="46">
        <f t="shared" si="55"/>
        <v>41.125</v>
      </c>
      <c r="AL482" s="222">
        <v>45354</v>
      </c>
      <c r="AM482" s="101" t="s">
        <v>197</v>
      </c>
      <c r="AN482" s="101">
        <v>8926</v>
      </c>
      <c r="AP482" s="222">
        <v>45354</v>
      </c>
      <c r="AQ482" s="101" t="s">
        <v>205</v>
      </c>
      <c r="AR482" s="101">
        <v>42429</v>
      </c>
    </row>
    <row r="483" spans="1:48" hidden="1" x14ac:dyDescent="0.25">
      <c r="A483" s="215">
        <v>45357</v>
      </c>
      <c r="B483" s="101">
        <v>11020882</v>
      </c>
      <c r="C483" s="101">
        <v>254049</v>
      </c>
      <c r="D483" s="101">
        <v>11274931</v>
      </c>
      <c r="E483" s="101">
        <v>97.75</v>
      </c>
      <c r="F483" s="212">
        <f t="shared" si="54"/>
        <v>11.274931</v>
      </c>
      <c r="H483" s="215">
        <v>45357</v>
      </c>
      <c r="I483" s="101">
        <v>1632742</v>
      </c>
      <c r="J483" s="101">
        <v>990</v>
      </c>
      <c r="K483" s="101">
        <v>1633732</v>
      </c>
      <c r="L483" s="101">
        <v>99.94</v>
      </c>
      <c r="M483" s="114">
        <f t="shared" si="53"/>
        <v>1.633732</v>
      </c>
      <c r="O483" s="215">
        <v>45357</v>
      </c>
      <c r="P483" s="101">
        <v>57576970</v>
      </c>
      <c r="Q483" s="101">
        <v>18513584</v>
      </c>
      <c r="R483" s="101">
        <v>76090554</v>
      </c>
      <c r="S483" s="101">
        <v>75.67</v>
      </c>
      <c r="T483" s="212">
        <f t="shared" si="51"/>
        <v>76.090553999999997</v>
      </c>
      <c r="W483" s="215">
        <v>45357</v>
      </c>
      <c r="X483">
        <v>4514</v>
      </c>
      <c r="Y483" s="104">
        <v>12000</v>
      </c>
      <c r="Z483" s="114">
        <f t="shared" si="52"/>
        <v>37.616666666666667</v>
      </c>
      <c r="AB483" s="215">
        <v>45357</v>
      </c>
      <c r="AC483">
        <v>1151</v>
      </c>
      <c r="AD483" s="104">
        <v>12000</v>
      </c>
      <c r="AE483" s="114">
        <f t="shared" si="50"/>
        <v>9.5916666666666668</v>
      </c>
      <c r="AG483" s="215">
        <v>45357</v>
      </c>
      <c r="AH483">
        <v>5151</v>
      </c>
      <c r="AI483" s="104">
        <v>12000</v>
      </c>
      <c r="AJ483" s="46">
        <f t="shared" si="55"/>
        <v>42.924999999999997</v>
      </c>
    </row>
    <row r="484" spans="1:48" hidden="1" x14ac:dyDescent="0.25">
      <c r="A484" s="224">
        <v>45358</v>
      </c>
      <c r="B484" s="173">
        <v>11203445</v>
      </c>
      <c r="C484" s="173">
        <v>258496</v>
      </c>
      <c r="D484" s="173">
        <v>11461941</v>
      </c>
      <c r="E484" s="173">
        <v>97.74</v>
      </c>
      <c r="F484" s="223">
        <f t="shared" si="54"/>
        <v>11.461940999999999</v>
      </c>
      <c r="H484" s="215">
        <v>45358</v>
      </c>
      <c r="I484" s="101">
        <v>8280304</v>
      </c>
      <c r="J484" s="101">
        <v>710</v>
      </c>
      <c r="K484" s="101">
        <v>8281014</v>
      </c>
      <c r="L484" s="101">
        <v>99.99</v>
      </c>
      <c r="M484" s="114">
        <f t="shared" si="53"/>
        <v>8.2810140000000008</v>
      </c>
      <c r="O484" s="224">
        <v>45358</v>
      </c>
      <c r="P484" s="173">
        <v>83266090</v>
      </c>
      <c r="Q484" s="173">
        <v>30054337</v>
      </c>
      <c r="R484" s="173">
        <v>113320427</v>
      </c>
      <c r="S484" s="173">
        <v>73.48</v>
      </c>
      <c r="T484" s="223">
        <f t="shared" si="51"/>
        <v>113.320427</v>
      </c>
      <c r="W484" s="215">
        <v>45358</v>
      </c>
      <c r="X484">
        <v>11114</v>
      </c>
      <c r="Y484" s="104">
        <v>12000</v>
      </c>
      <c r="Z484" s="114">
        <f t="shared" si="52"/>
        <v>92.61666666666666</v>
      </c>
      <c r="AB484" s="215">
        <v>45358</v>
      </c>
      <c r="AC484">
        <v>1142</v>
      </c>
      <c r="AD484" s="104">
        <v>12000</v>
      </c>
      <c r="AE484" s="114">
        <f>AC484/AD484%</f>
        <v>9.5166666666666675</v>
      </c>
      <c r="AG484" s="215">
        <v>45358</v>
      </c>
      <c r="AH484">
        <v>11767</v>
      </c>
      <c r="AI484" s="104">
        <v>12000</v>
      </c>
      <c r="AJ484" s="46">
        <f t="shared" si="55"/>
        <v>98.058333333333337</v>
      </c>
      <c r="AL484" s="222">
        <v>45355</v>
      </c>
      <c r="AM484" s="101" t="s">
        <v>189</v>
      </c>
      <c r="AN484" s="101">
        <v>201156</v>
      </c>
      <c r="AP484" s="222">
        <v>45355</v>
      </c>
      <c r="AQ484" s="101" t="s">
        <v>189</v>
      </c>
      <c r="AR484" s="101">
        <v>14021652</v>
      </c>
      <c r="AT484" s="222">
        <v>45355</v>
      </c>
      <c r="AU484" s="101" t="s">
        <v>190</v>
      </c>
      <c r="AV484" s="101">
        <v>39754</v>
      </c>
    </row>
    <row r="485" spans="1:48" hidden="1" x14ac:dyDescent="0.25">
      <c r="A485" s="215">
        <v>45359</v>
      </c>
      <c r="B485" s="104">
        <v>11384143</v>
      </c>
      <c r="C485" s="104">
        <v>266956</v>
      </c>
      <c r="D485" s="104">
        <v>11651099</v>
      </c>
      <c r="E485" s="104">
        <v>97.71</v>
      </c>
      <c r="F485" s="212">
        <f t="shared" si="54"/>
        <v>11.651099</v>
      </c>
      <c r="H485" s="224">
        <v>45359</v>
      </c>
      <c r="I485" s="173">
        <v>8888596</v>
      </c>
      <c r="J485" s="173">
        <v>154</v>
      </c>
      <c r="K485" s="173">
        <v>8888750</v>
      </c>
      <c r="L485" s="173">
        <v>100</v>
      </c>
      <c r="M485" s="225">
        <f t="shared" si="53"/>
        <v>8.8887499999999999</v>
      </c>
      <c r="O485" s="215">
        <v>45359</v>
      </c>
      <c r="P485" s="104">
        <v>100824965</v>
      </c>
      <c r="Q485" s="104">
        <v>37563073</v>
      </c>
      <c r="R485" s="104">
        <v>138388038</v>
      </c>
      <c r="S485" s="104">
        <v>72.86</v>
      </c>
      <c r="T485" s="212">
        <f t="shared" si="51"/>
        <v>138.38803799999999</v>
      </c>
      <c r="W485" s="215">
        <v>45359</v>
      </c>
      <c r="X485">
        <v>12267</v>
      </c>
      <c r="Y485" s="104">
        <v>12000</v>
      </c>
      <c r="Z485" s="114">
        <f t="shared" si="52"/>
        <v>102.22499999999999</v>
      </c>
      <c r="AB485" s="215">
        <v>45359</v>
      </c>
      <c r="AC485">
        <v>1381</v>
      </c>
      <c r="AD485" s="104">
        <v>12000</v>
      </c>
      <c r="AE485" s="114">
        <f t="shared" ref="AE485:AE548" si="56">AC485/AD485%</f>
        <v>11.508333333333333</v>
      </c>
      <c r="AG485" s="215">
        <v>45359</v>
      </c>
      <c r="AH485">
        <v>13019</v>
      </c>
      <c r="AI485" s="104">
        <v>12000</v>
      </c>
      <c r="AJ485" s="46">
        <f t="shared" si="55"/>
        <v>108.49166666666666</v>
      </c>
      <c r="AL485" s="222">
        <v>45355</v>
      </c>
      <c r="AM485" s="101" t="s">
        <v>192</v>
      </c>
      <c r="AN485" s="101">
        <v>36432</v>
      </c>
      <c r="AP485" s="222">
        <v>45355</v>
      </c>
      <c r="AQ485" s="101" t="s">
        <v>191</v>
      </c>
      <c r="AR485" s="101">
        <v>1646964</v>
      </c>
      <c r="AT485" s="222">
        <v>45355</v>
      </c>
      <c r="AU485" s="101" t="s">
        <v>193</v>
      </c>
      <c r="AV485" s="101">
        <v>4017</v>
      </c>
    </row>
    <row r="486" spans="1:48" hidden="1" x14ac:dyDescent="0.25">
      <c r="A486" s="215">
        <v>45360</v>
      </c>
      <c r="B486" s="104">
        <v>11710070</v>
      </c>
      <c r="C486" s="104">
        <v>288173</v>
      </c>
      <c r="D486" s="104">
        <v>11998243</v>
      </c>
      <c r="E486" s="104">
        <v>97.6</v>
      </c>
      <c r="F486" s="212">
        <f t="shared" si="54"/>
        <v>11.998243</v>
      </c>
      <c r="H486" s="215">
        <v>45360</v>
      </c>
      <c r="I486" s="104">
        <v>2999134</v>
      </c>
      <c r="J486" s="104">
        <v>72</v>
      </c>
      <c r="K486" s="104">
        <v>2999206</v>
      </c>
      <c r="L486" s="104">
        <v>100</v>
      </c>
      <c r="M486" s="114">
        <f t="shared" si="53"/>
        <v>2.999206</v>
      </c>
      <c r="O486" s="215">
        <v>45360</v>
      </c>
      <c r="P486" s="104">
        <v>80058506</v>
      </c>
      <c r="Q486" s="104">
        <v>35250537</v>
      </c>
      <c r="R486" s="104">
        <v>115309043</v>
      </c>
      <c r="S486" s="104">
        <v>69.430000000000007</v>
      </c>
      <c r="T486" s="212">
        <f t="shared" si="51"/>
        <v>115.309043</v>
      </c>
      <c r="W486" s="215">
        <v>45360</v>
      </c>
      <c r="X486">
        <v>7646</v>
      </c>
      <c r="Y486" s="104">
        <v>12000</v>
      </c>
      <c r="Z486" s="114">
        <f t="shared" si="52"/>
        <v>63.716666666666669</v>
      </c>
      <c r="AB486" s="215">
        <v>45360</v>
      </c>
      <c r="AC486">
        <v>1489</v>
      </c>
      <c r="AD486" s="104">
        <v>12000</v>
      </c>
      <c r="AE486" s="114">
        <f t="shared" si="56"/>
        <v>12.408333333333333</v>
      </c>
      <c r="AG486" s="215">
        <v>45360</v>
      </c>
      <c r="AH486">
        <v>8318</v>
      </c>
      <c r="AI486" s="104">
        <v>12000</v>
      </c>
      <c r="AJ486" s="46">
        <f t="shared" si="55"/>
        <v>69.316666666666663</v>
      </c>
      <c r="AL486" s="222">
        <v>45355</v>
      </c>
      <c r="AM486" s="101" t="s">
        <v>197</v>
      </c>
      <c r="AN486" s="101">
        <v>17733</v>
      </c>
      <c r="AP486" s="222">
        <v>45355</v>
      </c>
      <c r="AQ486" s="101" t="s">
        <v>194</v>
      </c>
      <c r="AR486" s="101">
        <v>1093855</v>
      </c>
      <c r="AT486" s="222">
        <v>45355</v>
      </c>
      <c r="AU486" s="101" t="s">
        <v>204</v>
      </c>
      <c r="AV486" s="101">
        <v>1077</v>
      </c>
    </row>
    <row r="487" spans="1:48" hidden="1" x14ac:dyDescent="0.25">
      <c r="A487" s="215">
        <v>45361</v>
      </c>
      <c r="B487" s="48">
        <v>11364088</v>
      </c>
      <c r="C487" s="48">
        <v>258477</v>
      </c>
      <c r="D487" s="48">
        <v>11622565</v>
      </c>
      <c r="E487" s="104">
        <v>97.77</v>
      </c>
      <c r="F487" s="212">
        <f t="shared" si="54"/>
        <v>11.622565</v>
      </c>
      <c r="H487" s="215">
        <v>45361</v>
      </c>
      <c r="I487" s="48">
        <v>1734223</v>
      </c>
      <c r="J487" s="48">
        <v>833</v>
      </c>
      <c r="K487" s="48">
        <v>1735056</v>
      </c>
      <c r="L487" s="104">
        <v>99.95</v>
      </c>
      <c r="M487" s="114">
        <f t="shared" si="53"/>
        <v>1.7350559999999999</v>
      </c>
      <c r="O487" s="215">
        <v>45361</v>
      </c>
      <c r="P487" s="48">
        <v>66451015</v>
      </c>
      <c r="Q487" s="48">
        <v>24589896</v>
      </c>
      <c r="R487" s="48">
        <v>91040911</v>
      </c>
      <c r="S487" s="104">
        <v>72.989999999999995</v>
      </c>
      <c r="T487" s="212">
        <f t="shared" si="51"/>
        <v>91.040910999999994</v>
      </c>
      <c r="W487" s="215">
        <v>45361</v>
      </c>
      <c r="X487">
        <v>6070</v>
      </c>
      <c r="Y487" s="104">
        <v>12000</v>
      </c>
      <c r="Z487" s="114">
        <f t="shared" si="52"/>
        <v>50.583333333333336</v>
      </c>
      <c r="AB487" s="215">
        <v>45361</v>
      </c>
      <c r="AC487">
        <v>5438</v>
      </c>
      <c r="AD487" s="104">
        <v>12000</v>
      </c>
      <c r="AE487" s="114">
        <f t="shared" si="56"/>
        <v>45.31666666666667</v>
      </c>
      <c r="AG487" s="215">
        <v>45361</v>
      </c>
      <c r="AH487">
        <v>8373</v>
      </c>
      <c r="AI487" s="104">
        <v>12000</v>
      </c>
      <c r="AJ487" s="46">
        <f t="shared" si="55"/>
        <v>69.775000000000006</v>
      </c>
      <c r="AL487" s="222">
        <v>45355</v>
      </c>
      <c r="AM487" s="101" t="s">
        <v>194</v>
      </c>
      <c r="AN487" s="101">
        <v>17351</v>
      </c>
      <c r="AP487" s="222">
        <v>45355</v>
      </c>
      <c r="AQ487" s="101" t="s">
        <v>192</v>
      </c>
      <c r="AR487" s="101">
        <v>795813</v>
      </c>
    </row>
    <row r="488" spans="1:48" hidden="1" x14ac:dyDescent="0.25">
      <c r="A488" s="215">
        <v>45362</v>
      </c>
      <c r="B488" s="101">
        <v>10513984</v>
      </c>
      <c r="C488" s="101">
        <v>223379</v>
      </c>
      <c r="D488" s="101">
        <v>10737363</v>
      </c>
      <c r="E488" s="101">
        <v>97.92</v>
      </c>
      <c r="F488" s="212">
        <f t="shared" si="54"/>
        <v>10.737363</v>
      </c>
      <c r="H488" s="215">
        <v>45362</v>
      </c>
      <c r="I488" s="101">
        <v>4857530</v>
      </c>
      <c r="J488" s="101">
        <v>175</v>
      </c>
      <c r="K488" s="101">
        <v>4857705</v>
      </c>
      <c r="L488" s="101">
        <v>100</v>
      </c>
      <c r="M488" s="114">
        <f t="shared" si="53"/>
        <v>4.8577050000000002</v>
      </c>
      <c r="O488" s="215">
        <v>45362</v>
      </c>
      <c r="P488" s="101">
        <v>82333001</v>
      </c>
      <c r="Q488" s="101">
        <v>34834082</v>
      </c>
      <c r="R488" s="101">
        <v>117167083</v>
      </c>
      <c r="S488" s="101">
        <v>70.27</v>
      </c>
      <c r="T488" s="212">
        <f t="shared" si="51"/>
        <v>117.16708300000001</v>
      </c>
      <c r="W488" s="215">
        <v>45362</v>
      </c>
      <c r="X488">
        <v>11000</v>
      </c>
      <c r="Y488" s="104">
        <v>12000</v>
      </c>
      <c r="Z488" s="114">
        <f t="shared" si="52"/>
        <v>91.666666666666671</v>
      </c>
      <c r="AB488" s="215">
        <v>45362</v>
      </c>
      <c r="AC488">
        <v>1302</v>
      </c>
      <c r="AD488" s="104">
        <v>12000</v>
      </c>
      <c r="AE488" s="114">
        <f t="shared" si="56"/>
        <v>10.85</v>
      </c>
      <c r="AG488" s="215">
        <v>45362</v>
      </c>
      <c r="AH488">
        <v>11684</v>
      </c>
      <c r="AI488" s="104">
        <v>12000</v>
      </c>
      <c r="AJ488" s="46">
        <f t="shared" si="55"/>
        <v>97.36666666666666</v>
      </c>
      <c r="AL488" s="222">
        <v>45355</v>
      </c>
      <c r="AM488" s="101" t="s">
        <v>191</v>
      </c>
      <c r="AN488" s="101">
        <v>14022</v>
      </c>
      <c r="AP488" s="222">
        <v>45355</v>
      </c>
      <c r="AQ488" s="101" t="s">
        <v>206</v>
      </c>
      <c r="AR488" s="101">
        <v>213947</v>
      </c>
    </row>
    <row r="489" spans="1:48" hidden="1" x14ac:dyDescent="0.25">
      <c r="A489" s="215">
        <v>45363</v>
      </c>
      <c r="B489" s="101">
        <v>10230810</v>
      </c>
      <c r="C489" s="101">
        <v>275829</v>
      </c>
      <c r="D489" s="101">
        <v>10506639</v>
      </c>
      <c r="E489" s="101">
        <v>97.37</v>
      </c>
      <c r="F489" s="212">
        <f t="shared" si="54"/>
        <v>10.506639</v>
      </c>
      <c r="H489" s="215">
        <v>45363</v>
      </c>
      <c r="I489" s="173">
        <v>8647977</v>
      </c>
      <c r="J489" s="173">
        <v>8992</v>
      </c>
      <c r="K489" s="173">
        <v>8656969</v>
      </c>
      <c r="L489" s="173">
        <v>99.9</v>
      </c>
      <c r="M489" s="114">
        <f t="shared" si="53"/>
        <v>8.6569690000000001</v>
      </c>
      <c r="O489" s="215">
        <v>45363</v>
      </c>
      <c r="P489" s="173">
        <v>90297316</v>
      </c>
      <c r="Q489" s="173">
        <v>37352847</v>
      </c>
      <c r="R489" s="173">
        <v>127650163</v>
      </c>
      <c r="S489" s="101">
        <v>70.739999999999995</v>
      </c>
      <c r="T489" s="212">
        <f t="shared" si="51"/>
        <v>127.65016300000001</v>
      </c>
      <c r="W489" s="215">
        <v>45363</v>
      </c>
      <c r="X489">
        <v>11000</v>
      </c>
      <c r="Y489" s="104">
        <v>12000</v>
      </c>
      <c r="Z489" s="114">
        <f t="shared" si="52"/>
        <v>91.666666666666671</v>
      </c>
      <c r="AB489" s="215">
        <v>45363</v>
      </c>
      <c r="AC489">
        <v>1537</v>
      </c>
      <c r="AD489" s="104">
        <v>12000</v>
      </c>
      <c r="AE489" s="114">
        <f t="shared" si="56"/>
        <v>12.808333333333334</v>
      </c>
      <c r="AG489" s="215">
        <v>45363</v>
      </c>
      <c r="AH489">
        <v>11633</v>
      </c>
      <c r="AI489" s="104">
        <v>12000</v>
      </c>
      <c r="AJ489" s="46">
        <f t="shared" si="55"/>
        <v>96.941666666666663</v>
      </c>
    </row>
    <row r="490" spans="1:48" hidden="1" x14ac:dyDescent="0.25">
      <c r="A490" s="215">
        <v>45364</v>
      </c>
      <c r="B490" s="173">
        <v>10642332</v>
      </c>
      <c r="C490" s="173">
        <v>271385</v>
      </c>
      <c r="D490" s="173">
        <v>10913717</v>
      </c>
      <c r="E490" s="173">
        <v>97.51</v>
      </c>
      <c r="F490" s="212">
        <f t="shared" si="54"/>
        <v>10.913717</v>
      </c>
      <c r="H490" s="215">
        <v>45364</v>
      </c>
      <c r="I490" s="104">
        <v>4605108</v>
      </c>
      <c r="J490" s="104">
        <v>210840</v>
      </c>
      <c r="K490" s="104">
        <v>4815948</v>
      </c>
      <c r="L490" s="104">
        <v>95.62</v>
      </c>
      <c r="M490" s="114">
        <f t="shared" si="53"/>
        <v>4.8159479999999997</v>
      </c>
      <c r="O490" s="215">
        <v>45364</v>
      </c>
      <c r="P490" s="104">
        <v>77202831</v>
      </c>
      <c r="Q490" s="104">
        <v>30529690</v>
      </c>
      <c r="R490" s="104">
        <v>107732521</v>
      </c>
      <c r="S490" s="104">
        <v>71.66</v>
      </c>
      <c r="T490" s="212">
        <f t="shared" si="51"/>
        <v>107.73252100000001</v>
      </c>
      <c r="W490" s="215">
        <v>45364</v>
      </c>
      <c r="X490">
        <v>9522</v>
      </c>
      <c r="Y490" s="104">
        <v>12000</v>
      </c>
      <c r="Z490" s="114">
        <f t="shared" si="52"/>
        <v>79.349999999999994</v>
      </c>
      <c r="AB490" s="215">
        <v>45364</v>
      </c>
      <c r="AC490">
        <v>2043</v>
      </c>
      <c r="AD490" s="104">
        <v>12000</v>
      </c>
      <c r="AE490" s="114">
        <f t="shared" si="56"/>
        <v>17.024999999999999</v>
      </c>
      <c r="AG490" s="215">
        <v>45364</v>
      </c>
      <c r="AH490">
        <v>9958</v>
      </c>
      <c r="AI490" s="104">
        <v>12000</v>
      </c>
      <c r="AJ490" s="46">
        <f t="shared" si="55"/>
        <v>82.983333333333334</v>
      </c>
      <c r="AL490" s="222">
        <v>45356</v>
      </c>
      <c r="AM490" s="101" t="s">
        <v>189</v>
      </c>
      <c r="AN490" s="101">
        <v>189495</v>
      </c>
      <c r="AP490" s="222">
        <v>45356</v>
      </c>
      <c r="AQ490" s="101" t="s">
        <v>189</v>
      </c>
      <c r="AR490" s="101">
        <v>15113940</v>
      </c>
      <c r="AT490" s="222">
        <v>45356</v>
      </c>
      <c r="AU490" s="101" t="s">
        <v>193</v>
      </c>
      <c r="AV490" s="101">
        <v>1976</v>
      </c>
    </row>
    <row r="491" spans="1:48" hidden="1" x14ac:dyDescent="0.25">
      <c r="A491" s="215">
        <v>45365</v>
      </c>
      <c r="B491" s="48">
        <v>13675611</v>
      </c>
      <c r="C491" s="48">
        <v>273761</v>
      </c>
      <c r="D491" s="48">
        <v>13949372</v>
      </c>
      <c r="E491" s="48">
        <v>98.03</v>
      </c>
      <c r="F491" s="212">
        <f t="shared" si="54"/>
        <v>13.949372</v>
      </c>
      <c r="H491" s="215">
        <v>45365</v>
      </c>
      <c r="I491" s="48">
        <v>503385</v>
      </c>
      <c r="J491" s="48">
        <v>234128</v>
      </c>
      <c r="K491" s="48">
        <v>737513</v>
      </c>
      <c r="L491" s="48">
        <v>68.25</v>
      </c>
      <c r="M491" s="114">
        <f t="shared" si="53"/>
        <v>0.73751299999999997</v>
      </c>
      <c r="O491" s="215">
        <v>45365</v>
      </c>
      <c r="P491" s="48">
        <v>61996797</v>
      </c>
      <c r="Q491" s="48">
        <v>25411800</v>
      </c>
      <c r="R491" s="48">
        <v>87408597</v>
      </c>
      <c r="S491" s="104">
        <v>70.92</v>
      </c>
      <c r="T491" s="212">
        <f t="shared" si="51"/>
        <v>87.408597</v>
      </c>
      <c r="W491" s="215">
        <v>45365</v>
      </c>
      <c r="X491">
        <v>8201</v>
      </c>
      <c r="Y491" s="104">
        <v>12000</v>
      </c>
      <c r="Z491" s="114">
        <f t="shared" si="52"/>
        <v>68.341666666666669</v>
      </c>
      <c r="AB491" s="215">
        <v>45365</v>
      </c>
      <c r="AC491">
        <v>1458</v>
      </c>
      <c r="AD491" s="104">
        <v>12000</v>
      </c>
      <c r="AE491" s="114">
        <f t="shared" si="56"/>
        <v>12.15</v>
      </c>
      <c r="AG491" s="215">
        <v>45365</v>
      </c>
      <c r="AH491">
        <v>9659</v>
      </c>
      <c r="AI491" s="104">
        <v>12000</v>
      </c>
      <c r="AJ491" s="46">
        <f t="shared" si="55"/>
        <v>80.49166666666666</v>
      </c>
      <c r="AL491" s="222">
        <v>45356</v>
      </c>
      <c r="AM491" s="101" t="s">
        <v>197</v>
      </c>
      <c r="AN491" s="101">
        <v>39611</v>
      </c>
      <c r="AP491" s="222">
        <v>45356</v>
      </c>
      <c r="AQ491" s="101" t="s">
        <v>191</v>
      </c>
      <c r="AR491" s="101">
        <v>1742970</v>
      </c>
      <c r="AT491" s="222">
        <v>45356</v>
      </c>
      <c r="AU491" s="101" t="s">
        <v>190</v>
      </c>
      <c r="AV491" s="101">
        <v>58</v>
      </c>
    </row>
    <row r="492" spans="1:48" hidden="1" x14ac:dyDescent="0.25">
      <c r="A492" s="215">
        <v>45366</v>
      </c>
      <c r="B492" s="48">
        <v>11529168</v>
      </c>
      <c r="C492" s="48">
        <v>270429</v>
      </c>
      <c r="D492" s="48">
        <v>11799597</v>
      </c>
      <c r="E492" s="48">
        <v>97.7</v>
      </c>
      <c r="F492" s="212">
        <f t="shared" si="54"/>
        <v>11.799597</v>
      </c>
      <c r="H492" s="215">
        <v>45366</v>
      </c>
      <c r="I492" s="48">
        <v>1048624</v>
      </c>
      <c r="J492" s="48">
        <v>3343516</v>
      </c>
      <c r="K492" s="48">
        <v>4392140</v>
      </c>
      <c r="L492" s="48">
        <v>23.87</v>
      </c>
      <c r="M492" s="114">
        <f t="shared" si="53"/>
        <v>4.3921400000000004</v>
      </c>
      <c r="O492" s="215">
        <v>45366</v>
      </c>
      <c r="P492" s="48">
        <v>62655716</v>
      </c>
      <c r="Q492" s="48">
        <v>18928344</v>
      </c>
      <c r="R492" s="48">
        <v>81584060</v>
      </c>
      <c r="S492" s="104">
        <v>76.8</v>
      </c>
      <c r="T492" s="212">
        <f t="shared" si="51"/>
        <v>81.584059999999994</v>
      </c>
      <c r="W492" s="215">
        <v>45366</v>
      </c>
      <c r="X492">
        <v>6095</v>
      </c>
      <c r="Y492" s="104">
        <v>12000</v>
      </c>
      <c r="Z492" s="114">
        <f t="shared" si="52"/>
        <v>50.791666666666664</v>
      </c>
      <c r="AB492" s="215">
        <v>45366</v>
      </c>
      <c r="AC492">
        <v>1080</v>
      </c>
      <c r="AD492" s="104">
        <v>12000</v>
      </c>
      <c r="AE492" s="114">
        <f t="shared" si="56"/>
        <v>9</v>
      </c>
      <c r="AG492" s="215">
        <v>45366</v>
      </c>
      <c r="AH492">
        <v>6804</v>
      </c>
      <c r="AI492" s="104">
        <v>12000</v>
      </c>
      <c r="AJ492" s="46">
        <f t="shared" si="55"/>
        <v>56.7</v>
      </c>
      <c r="AL492" s="222">
        <v>45356</v>
      </c>
      <c r="AM492" s="101" t="s">
        <v>192</v>
      </c>
      <c r="AN492" s="101">
        <v>29222</v>
      </c>
      <c r="AP492" s="222">
        <v>45356</v>
      </c>
      <c r="AQ492" s="101" t="s">
        <v>194</v>
      </c>
      <c r="AR492" s="101">
        <v>1018670</v>
      </c>
    </row>
    <row r="493" spans="1:48" hidden="1" x14ac:dyDescent="0.25">
      <c r="A493" s="215">
        <v>45367</v>
      </c>
      <c r="B493" s="226">
        <v>11108538</v>
      </c>
      <c r="C493" s="150">
        <v>267263</v>
      </c>
      <c r="D493" s="150">
        <v>11375801</v>
      </c>
      <c r="E493" s="227">
        <v>97.65</v>
      </c>
      <c r="F493" s="212">
        <f t="shared" si="54"/>
        <v>11.375800999999999</v>
      </c>
      <c r="H493" s="215">
        <v>45367</v>
      </c>
      <c r="I493" s="150">
        <v>1476245</v>
      </c>
      <c r="J493" s="150">
        <v>440387</v>
      </c>
      <c r="K493" s="150">
        <v>1916632</v>
      </c>
      <c r="L493" s="150">
        <v>77.02</v>
      </c>
      <c r="M493" s="114">
        <f t="shared" si="53"/>
        <v>1.9166319999999999</v>
      </c>
      <c r="O493" s="215">
        <v>45367</v>
      </c>
      <c r="P493" s="150">
        <v>64842645</v>
      </c>
      <c r="Q493" s="150">
        <v>27444013</v>
      </c>
      <c r="R493" s="150">
        <v>92286658</v>
      </c>
      <c r="S493" s="104">
        <v>70.260000000000005</v>
      </c>
      <c r="T493" s="212">
        <f t="shared" si="51"/>
        <v>92.286658000000003</v>
      </c>
      <c r="W493" s="215">
        <v>45367</v>
      </c>
      <c r="X493">
        <v>6366</v>
      </c>
      <c r="Y493" s="104">
        <v>12000</v>
      </c>
      <c r="Z493" s="114">
        <f t="shared" si="52"/>
        <v>53.05</v>
      </c>
      <c r="AB493" s="215">
        <v>45367</v>
      </c>
      <c r="AC493">
        <v>1143</v>
      </c>
      <c r="AD493" s="104">
        <v>12000</v>
      </c>
      <c r="AE493" s="114">
        <f t="shared" si="56"/>
        <v>9.5250000000000004</v>
      </c>
      <c r="AG493" s="215">
        <v>45367</v>
      </c>
      <c r="AH493">
        <v>7237</v>
      </c>
      <c r="AI493" s="104">
        <v>12000</v>
      </c>
      <c r="AJ493" s="46">
        <f t="shared" si="55"/>
        <v>60.30833333333333</v>
      </c>
      <c r="AL493" s="222">
        <v>45356</v>
      </c>
      <c r="AM493" s="101" t="s">
        <v>191</v>
      </c>
      <c r="AN493" s="101">
        <v>14919</v>
      </c>
      <c r="AP493" s="222">
        <v>45356</v>
      </c>
      <c r="AQ493" s="101" t="s">
        <v>192</v>
      </c>
      <c r="AR493" s="101">
        <v>665240</v>
      </c>
    </row>
    <row r="494" spans="1:48" hidden="1" x14ac:dyDescent="0.25">
      <c r="A494" s="215">
        <v>45368</v>
      </c>
      <c r="B494" s="228">
        <v>11080036</v>
      </c>
      <c r="C494" s="229">
        <v>239280</v>
      </c>
      <c r="D494" s="229">
        <v>11319316</v>
      </c>
      <c r="E494" s="230">
        <v>97.89</v>
      </c>
      <c r="F494" s="212">
        <f t="shared" si="54"/>
        <v>11.319316000000001</v>
      </c>
      <c r="H494" s="215">
        <v>45368</v>
      </c>
      <c r="I494" s="101">
        <v>1844772</v>
      </c>
      <c r="J494" s="101">
        <v>2827901</v>
      </c>
      <c r="K494" s="101">
        <v>4672673</v>
      </c>
      <c r="L494" s="101">
        <v>39.479999999999997</v>
      </c>
      <c r="M494" s="114">
        <f t="shared" si="53"/>
        <v>4.6726729999999996</v>
      </c>
      <c r="O494" s="215">
        <v>45368</v>
      </c>
      <c r="P494" s="101">
        <v>49028778</v>
      </c>
      <c r="Q494" s="101">
        <v>11426471</v>
      </c>
      <c r="R494" s="101">
        <v>60455249</v>
      </c>
      <c r="S494" s="104">
        <v>81.099999999999994</v>
      </c>
      <c r="T494" s="212">
        <f t="shared" si="51"/>
        <v>60.455249000000002</v>
      </c>
      <c r="W494" s="215">
        <v>45368</v>
      </c>
      <c r="X494">
        <v>6701</v>
      </c>
      <c r="Y494" s="104">
        <v>12000</v>
      </c>
      <c r="Z494" s="114">
        <f t="shared" si="52"/>
        <v>55.841666666666669</v>
      </c>
      <c r="AB494" s="215">
        <v>45368</v>
      </c>
      <c r="AC494">
        <v>1077</v>
      </c>
      <c r="AD494" s="104">
        <v>12000</v>
      </c>
      <c r="AE494" s="114">
        <f t="shared" si="56"/>
        <v>8.9749999999999996</v>
      </c>
      <c r="AG494" s="215">
        <v>45368</v>
      </c>
      <c r="AH494">
        <v>7289</v>
      </c>
      <c r="AI494" s="104">
        <v>12000</v>
      </c>
      <c r="AJ494" s="46">
        <f t="shared" si="55"/>
        <v>60.741666666666667</v>
      </c>
      <c r="AL494" s="222">
        <v>45356</v>
      </c>
      <c r="AM494" s="101" t="s">
        <v>194</v>
      </c>
      <c r="AN494" s="101">
        <v>14764</v>
      </c>
      <c r="AP494" s="222">
        <v>45356</v>
      </c>
      <c r="AQ494" s="101" t="s">
        <v>193</v>
      </c>
      <c r="AR494" s="101">
        <v>366892</v>
      </c>
    </row>
    <row r="495" spans="1:48" hidden="1" x14ac:dyDescent="0.25">
      <c r="A495" s="215">
        <v>45369</v>
      </c>
      <c r="B495" s="101">
        <v>10815358</v>
      </c>
      <c r="C495" s="101">
        <v>211071</v>
      </c>
      <c r="D495" s="101">
        <v>11026429</v>
      </c>
      <c r="E495" s="101">
        <v>98.09</v>
      </c>
      <c r="F495" s="212">
        <f t="shared" si="54"/>
        <v>11.026429</v>
      </c>
      <c r="H495" s="215">
        <v>45369</v>
      </c>
      <c r="I495" s="101">
        <v>2016889</v>
      </c>
      <c r="J495" s="101">
        <v>214263</v>
      </c>
      <c r="K495" s="101">
        <v>2231152</v>
      </c>
      <c r="L495" s="101">
        <v>90.4</v>
      </c>
      <c r="M495" s="114">
        <f t="shared" si="53"/>
        <v>2.2311519999999998</v>
      </c>
      <c r="O495" s="215">
        <v>45369</v>
      </c>
      <c r="P495" s="101">
        <v>71523540</v>
      </c>
      <c r="Q495" s="101">
        <v>27676367</v>
      </c>
      <c r="R495" s="101">
        <v>99199907</v>
      </c>
      <c r="S495" s="101">
        <v>72.099999999999994</v>
      </c>
      <c r="T495" s="212">
        <f t="shared" si="51"/>
        <v>99.199906999999996</v>
      </c>
      <c r="W495" s="215">
        <v>45369</v>
      </c>
      <c r="X495">
        <v>7408</v>
      </c>
      <c r="Y495" s="104">
        <v>12000</v>
      </c>
      <c r="Z495" s="114">
        <f t="shared" si="52"/>
        <v>61.733333333333334</v>
      </c>
      <c r="AB495" s="215">
        <v>45369</v>
      </c>
      <c r="AC495">
        <v>1149</v>
      </c>
      <c r="AD495" s="104">
        <v>12000</v>
      </c>
      <c r="AE495" s="114">
        <f t="shared" si="56"/>
        <v>9.5749999999999993</v>
      </c>
      <c r="AG495" s="215">
        <v>45369</v>
      </c>
      <c r="AH495">
        <v>8054</v>
      </c>
      <c r="AI495" s="104">
        <v>12000</v>
      </c>
      <c r="AJ495" s="46">
        <f t="shared" si="55"/>
        <v>67.11666666666666</v>
      </c>
    </row>
    <row r="496" spans="1:48" hidden="1" x14ac:dyDescent="0.25">
      <c r="A496" s="215">
        <v>45370</v>
      </c>
      <c r="B496" s="101">
        <v>11144037</v>
      </c>
      <c r="C496" s="101">
        <v>258796</v>
      </c>
      <c r="D496" s="101">
        <v>11402833</v>
      </c>
      <c r="E496" s="101">
        <v>97.73</v>
      </c>
      <c r="F496" s="212">
        <f t="shared" si="54"/>
        <v>11.402832999999999</v>
      </c>
      <c r="H496" s="215">
        <v>45370</v>
      </c>
      <c r="I496" s="101">
        <v>5550823</v>
      </c>
      <c r="J496" s="101">
        <v>2171265</v>
      </c>
      <c r="K496" s="101">
        <v>7722088</v>
      </c>
      <c r="L496" s="101">
        <v>71.88</v>
      </c>
      <c r="M496" s="114">
        <f t="shared" si="53"/>
        <v>7.7220880000000003</v>
      </c>
      <c r="O496" s="215">
        <v>45370</v>
      </c>
      <c r="P496" s="101">
        <v>79185281</v>
      </c>
      <c r="Q496" s="101">
        <v>34947613</v>
      </c>
      <c r="R496" s="101">
        <v>114132894</v>
      </c>
      <c r="S496" s="101">
        <v>69.38</v>
      </c>
      <c r="T496" s="212">
        <f t="shared" si="51"/>
        <v>114.13289399999999</v>
      </c>
      <c r="W496" s="215">
        <v>45370</v>
      </c>
      <c r="X496">
        <v>7925</v>
      </c>
      <c r="Y496" s="104">
        <v>12000</v>
      </c>
      <c r="Z496" s="114">
        <f t="shared" si="52"/>
        <v>66.041666666666671</v>
      </c>
      <c r="AB496" s="215">
        <v>45370</v>
      </c>
      <c r="AC496">
        <v>1136</v>
      </c>
      <c r="AD496" s="104">
        <v>12000</v>
      </c>
      <c r="AE496" s="114">
        <f t="shared" si="56"/>
        <v>9.4666666666666668</v>
      </c>
      <c r="AG496" s="215">
        <v>45370</v>
      </c>
      <c r="AH496">
        <v>8672</v>
      </c>
      <c r="AI496" s="104">
        <v>12000</v>
      </c>
      <c r="AJ496" s="46">
        <f t="shared" si="55"/>
        <v>72.266666666666666</v>
      </c>
      <c r="AL496" s="222">
        <v>45357</v>
      </c>
      <c r="AM496" s="101" t="s">
        <v>189</v>
      </c>
      <c r="AN496" s="101">
        <v>167365</v>
      </c>
      <c r="AP496" s="222">
        <v>45357</v>
      </c>
      <c r="AQ496" s="101" t="s">
        <v>189</v>
      </c>
      <c r="AR496" s="101">
        <v>14591129</v>
      </c>
      <c r="AU496" s="101"/>
      <c r="AV496" s="101"/>
    </row>
    <row r="497" spans="1:48" hidden="1" x14ac:dyDescent="0.25">
      <c r="A497" s="215">
        <v>45371</v>
      </c>
      <c r="B497" s="101">
        <v>10576659</v>
      </c>
      <c r="C497" s="101">
        <v>282898</v>
      </c>
      <c r="D497" s="101">
        <v>10859557</v>
      </c>
      <c r="E497" s="101">
        <v>97.39</v>
      </c>
      <c r="F497" s="212">
        <f t="shared" si="54"/>
        <v>10.859557000000001</v>
      </c>
      <c r="H497" s="215">
        <v>45371</v>
      </c>
      <c r="I497" s="101">
        <v>7289310</v>
      </c>
      <c r="J497" s="101">
        <v>19087</v>
      </c>
      <c r="K497" s="101">
        <v>7308397</v>
      </c>
      <c r="L497" s="101">
        <v>99.74</v>
      </c>
      <c r="M497" s="114">
        <f t="shared" si="53"/>
        <v>7.3083970000000003</v>
      </c>
      <c r="O497" s="215">
        <v>45371</v>
      </c>
      <c r="P497" s="101">
        <v>89712785</v>
      </c>
      <c r="Q497" s="101">
        <v>38540138</v>
      </c>
      <c r="R497" s="101">
        <v>128252923</v>
      </c>
      <c r="S497" s="101">
        <v>69.95</v>
      </c>
      <c r="T497" s="212">
        <f>R497/1000000</f>
        <v>128.25292300000001</v>
      </c>
      <c r="W497" s="215">
        <v>45371</v>
      </c>
      <c r="X497">
        <v>8516</v>
      </c>
      <c r="Y497" s="104">
        <v>12000</v>
      </c>
      <c r="Z497" s="114">
        <f t="shared" si="52"/>
        <v>70.966666666666669</v>
      </c>
      <c r="AB497" s="215">
        <v>45371</v>
      </c>
      <c r="AC497">
        <v>1064</v>
      </c>
      <c r="AD497" s="104">
        <v>12000</v>
      </c>
      <c r="AE497" s="114">
        <f t="shared" si="56"/>
        <v>8.8666666666666671</v>
      </c>
      <c r="AG497" s="215">
        <v>45371</v>
      </c>
      <c r="AH497">
        <v>9192</v>
      </c>
      <c r="AI497" s="104">
        <v>12000</v>
      </c>
      <c r="AJ497" s="46">
        <f t="shared" si="55"/>
        <v>76.599999999999994</v>
      </c>
      <c r="AL497" s="222">
        <v>45357</v>
      </c>
      <c r="AM497" s="101" t="s">
        <v>197</v>
      </c>
      <c r="AN497" s="101">
        <v>20676</v>
      </c>
      <c r="AP497" s="222">
        <v>45357</v>
      </c>
      <c r="AQ497" s="101" t="s">
        <v>191</v>
      </c>
      <c r="AR497" s="101">
        <v>1574220</v>
      </c>
      <c r="AT497" s="222">
        <v>45357</v>
      </c>
      <c r="AU497" s="101" t="s">
        <v>190</v>
      </c>
      <c r="AV497" s="101">
        <v>21</v>
      </c>
    </row>
    <row r="498" spans="1:48" hidden="1" x14ac:dyDescent="0.25">
      <c r="A498" s="215">
        <v>45372</v>
      </c>
      <c r="B498" s="101">
        <v>10426947</v>
      </c>
      <c r="C498" s="101">
        <v>275942</v>
      </c>
      <c r="D498" s="101">
        <v>10702889</v>
      </c>
      <c r="E498" s="101">
        <v>97.42</v>
      </c>
      <c r="F498" s="212">
        <f t="shared" si="54"/>
        <v>10.702889000000001</v>
      </c>
      <c r="H498" s="215">
        <v>45372</v>
      </c>
      <c r="I498" s="101">
        <v>3033418</v>
      </c>
      <c r="J498" s="101">
        <v>6034</v>
      </c>
      <c r="K498" s="101">
        <v>3039452</v>
      </c>
      <c r="L498" s="101">
        <v>99.8</v>
      </c>
      <c r="M498" s="114">
        <f t="shared" si="53"/>
        <v>3.0394519999999998</v>
      </c>
      <c r="O498" s="215">
        <v>45372</v>
      </c>
      <c r="P498" s="101">
        <v>73345268</v>
      </c>
      <c r="Q498" s="101">
        <v>33943416</v>
      </c>
      <c r="R498" s="101">
        <v>107288684</v>
      </c>
      <c r="S498" s="101">
        <v>68.36</v>
      </c>
      <c r="T498" s="212">
        <f>R498/1000000</f>
        <v>107.288684</v>
      </c>
      <c r="W498" s="215">
        <v>45372</v>
      </c>
      <c r="X498">
        <v>8013</v>
      </c>
      <c r="Y498" s="104">
        <v>12000</v>
      </c>
      <c r="Z498" s="114">
        <f t="shared" si="52"/>
        <v>66.775000000000006</v>
      </c>
      <c r="AB498" s="215">
        <v>45372</v>
      </c>
      <c r="AC498">
        <v>1125</v>
      </c>
      <c r="AD498" s="104">
        <v>12000</v>
      </c>
      <c r="AE498" s="114">
        <f t="shared" si="56"/>
        <v>9.375</v>
      </c>
      <c r="AG498" s="215">
        <v>45372</v>
      </c>
      <c r="AH498">
        <v>8633</v>
      </c>
      <c r="AI498" s="104">
        <v>12000</v>
      </c>
      <c r="AJ498" s="46">
        <f t="shared" si="55"/>
        <v>71.941666666666663</v>
      </c>
      <c r="AL498" s="222">
        <v>45357</v>
      </c>
      <c r="AM498" s="101" t="s">
        <v>191</v>
      </c>
      <c r="AN498" s="101">
        <v>15331</v>
      </c>
      <c r="AP498" s="222">
        <v>45357</v>
      </c>
      <c r="AQ498" s="101" t="s">
        <v>194</v>
      </c>
      <c r="AR498" s="101">
        <v>997229</v>
      </c>
    </row>
    <row r="499" spans="1:48" hidden="1" x14ac:dyDescent="0.25">
      <c r="A499" s="215">
        <v>45373</v>
      </c>
      <c r="B499" s="101">
        <v>10745495</v>
      </c>
      <c r="C499" s="101">
        <v>271322</v>
      </c>
      <c r="D499" s="101">
        <v>11016817</v>
      </c>
      <c r="E499" s="101">
        <v>97.54</v>
      </c>
      <c r="F499" s="212">
        <f t="shared" si="54"/>
        <v>11.016817</v>
      </c>
      <c r="H499" s="215">
        <v>45373</v>
      </c>
      <c r="I499" s="101">
        <v>8872004</v>
      </c>
      <c r="J499" s="101">
        <v>8443</v>
      </c>
      <c r="K499" s="101">
        <v>8880447</v>
      </c>
      <c r="L499" s="101">
        <v>99.9</v>
      </c>
      <c r="M499" s="114">
        <f t="shared" si="53"/>
        <v>8.8804470000000002</v>
      </c>
      <c r="O499" s="215">
        <v>45373</v>
      </c>
      <c r="P499" s="101">
        <v>83912353</v>
      </c>
      <c r="Q499" s="101">
        <v>31361200</v>
      </c>
      <c r="R499" s="101">
        <v>115273553</v>
      </c>
      <c r="S499" s="101">
        <v>72.790000000000006</v>
      </c>
      <c r="T499" s="212">
        <f>R499/1000000</f>
        <v>115.27355300000001</v>
      </c>
      <c r="W499" s="215">
        <v>45373</v>
      </c>
      <c r="X499">
        <v>9973</v>
      </c>
      <c r="Y499" s="104">
        <v>12000</v>
      </c>
      <c r="Z499" s="114">
        <f t="shared" si="52"/>
        <v>83.108333333333334</v>
      </c>
      <c r="AB499" s="215">
        <v>45373</v>
      </c>
      <c r="AC499">
        <v>1196</v>
      </c>
      <c r="AD499" s="104">
        <v>12000</v>
      </c>
      <c r="AE499" s="114">
        <f t="shared" si="56"/>
        <v>9.9666666666666668</v>
      </c>
      <c r="AG499" s="215">
        <v>45373</v>
      </c>
      <c r="AH499">
        <v>10998</v>
      </c>
      <c r="AI499" s="104">
        <v>12000</v>
      </c>
      <c r="AJ499" s="46">
        <f t="shared" si="55"/>
        <v>91.65</v>
      </c>
      <c r="AL499" s="222">
        <v>45357</v>
      </c>
      <c r="AM499" s="101" t="s">
        <v>192</v>
      </c>
      <c r="AN499" s="101">
        <v>14876</v>
      </c>
      <c r="AP499" s="222">
        <v>45357</v>
      </c>
      <c r="AQ499" s="101" t="s">
        <v>192</v>
      </c>
      <c r="AR499" s="101">
        <v>772735</v>
      </c>
    </row>
    <row r="500" spans="1:48" hidden="1" x14ac:dyDescent="0.25">
      <c r="A500" s="215">
        <v>45374</v>
      </c>
      <c r="B500" s="101">
        <v>11199815</v>
      </c>
      <c r="C500" s="101">
        <v>273882</v>
      </c>
      <c r="D500" s="101">
        <v>11473697</v>
      </c>
      <c r="E500" s="101">
        <v>97.61</v>
      </c>
      <c r="F500" s="212">
        <f t="shared" si="54"/>
        <v>11.473697</v>
      </c>
      <c r="H500" s="215">
        <v>45374</v>
      </c>
      <c r="I500" s="101">
        <v>7064684</v>
      </c>
      <c r="J500" s="101">
        <v>3773</v>
      </c>
      <c r="K500" s="101">
        <v>7068457</v>
      </c>
      <c r="L500" s="101">
        <v>99.95</v>
      </c>
      <c r="M500" s="114">
        <f t="shared" si="53"/>
        <v>7.0684570000000004</v>
      </c>
      <c r="O500" s="215">
        <v>45374</v>
      </c>
      <c r="P500" s="101">
        <v>86000122</v>
      </c>
      <c r="Q500" s="101">
        <v>37220339</v>
      </c>
      <c r="R500" s="101">
        <v>123220461</v>
      </c>
      <c r="S500" s="101">
        <v>69.790000000000006</v>
      </c>
      <c r="T500" s="212">
        <f>R500/1000000</f>
        <v>123.220461</v>
      </c>
      <c r="W500" s="215">
        <v>45374</v>
      </c>
      <c r="X500">
        <v>9139</v>
      </c>
      <c r="Y500" s="104">
        <v>12000</v>
      </c>
      <c r="Z500" s="114">
        <f t="shared" si="52"/>
        <v>76.158333333333331</v>
      </c>
      <c r="AB500" s="215">
        <v>45374</v>
      </c>
      <c r="AC500">
        <v>1125</v>
      </c>
      <c r="AD500" s="104">
        <v>12000</v>
      </c>
      <c r="AE500" s="114">
        <f t="shared" si="56"/>
        <v>9.375</v>
      </c>
      <c r="AG500" s="215">
        <v>45374</v>
      </c>
      <c r="AH500">
        <v>10010</v>
      </c>
      <c r="AI500" s="104">
        <v>12000</v>
      </c>
      <c r="AJ500" s="46">
        <f t="shared" si="55"/>
        <v>83.416666666666671</v>
      </c>
      <c r="AL500" s="222">
        <v>45357</v>
      </c>
      <c r="AM500" s="101" t="s">
        <v>194</v>
      </c>
      <c r="AN500" s="101">
        <v>13037</v>
      </c>
      <c r="AP500" s="222">
        <v>45357</v>
      </c>
      <c r="AQ500" s="101" t="s">
        <v>199</v>
      </c>
      <c r="AR500" s="101">
        <v>108388</v>
      </c>
    </row>
    <row r="501" spans="1:48" hidden="1" x14ac:dyDescent="0.25">
      <c r="A501" s="215">
        <v>45375</v>
      </c>
      <c r="B501" s="101">
        <v>11068418</v>
      </c>
      <c r="C501" s="101">
        <v>250544</v>
      </c>
      <c r="D501" s="101">
        <v>11318962</v>
      </c>
      <c r="E501" s="101">
        <v>97.79</v>
      </c>
      <c r="F501" s="212">
        <f t="shared" si="54"/>
        <v>11.318962000000001</v>
      </c>
      <c r="H501" s="215">
        <v>45375</v>
      </c>
      <c r="I501" s="101">
        <v>1625527</v>
      </c>
      <c r="J501" s="101">
        <v>735</v>
      </c>
      <c r="K501" s="101">
        <v>1626262</v>
      </c>
      <c r="L501" s="101">
        <v>99.95</v>
      </c>
      <c r="M501" s="114">
        <f t="shared" si="53"/>
        <v>1.6262620000000001</v>
      </c>
      <c r="O501" s="215">
        <v>45375</v>
      </c>
      <c r="P501" s="101">
        <v>54571879</v>
      </c>
      <c r="Q501" s="101">
        <v>18547873</v>
      </c>
      <c r="R501" s="101">
        <v>73119752</v>
      </c>
      <c r="S501" s="101">
        <v>74.63</v>
      </c>
      <c r="T501" s="212">
        <f t="shared" ref="T501:T567" si="57">R501/1000000</f>
        <v>73.119752000000005</v>
      </c>
      <c r="W501" s="215">
        <v>45375</v>
      </c>
      <c r="X501">
        <v>5124</v>
      </c>
      <c r="Y501" s="104">
        <v>12000</v>
      </c>
      <c r="Z501" s="114">
        <f t="shared" si="52"/>
        <v>42.7</v>
      </c>
      <c r="AB501" s="215">
        <v>45375</v>
      </c>
      <c r="AC501">
        <v>1111</v>
      </c>
      <c r="AD501" s="104">
        <v>12000</v>
      </c>
      <c r="AE501" s="114">
        <f t="shared" si="56"/>
        <v>9.2583333333333329</v>
      </c>
      <c r="AG501" s="215">
        <v>45375</v>
      </c>
      <c r="AH501">
        <v>5613</v>
      </c>
      <c r="AI501" s="104">
        <v>12000</v>
      </c>
      <c r="AJ501" s="46">
        <f t="shared" si="55"/>
        <v>46.774999999999999</v>
      </c>
    </row>
    <row r="502" spans="1:48" hidden="1" x14ac:dyDescent="0.25">
      <c r="A502" s="215">
        <v>45376</v>
      </c>
      <c r="B502" s="101">
        <v>10332424</v>
      </c>
      <c r="C502" s="101">
        <v>217143</v>
      </c>
      <c r="D502" s="101">
        <v>10549567</v>
      </c>
      <c r="E502" s="101">
        <v>97.94</v>
      </c>
      <c r="F502" s="212">
        <f t="shared" si="54"/>
        <v>10.549567</v>
      </c>
      <c r="H502" s="215">
        <v>45376</v>
      </c>
      <c r="I502" s="101">
        <v>1528268</v>
      </c>
      <c r="J502" s="101">
        <v>210</v>
      </c>
      <c r="K502" s="101">
        <v>1528478</v>
      </c>
      <c r="L502" s="101">
        <v>99.99</v>
      </c>
      <c r="M502" s="114">
        <f t="shared" si="53"/>
        <v>1.528478</v>
      </c>
      <c r="O502" s="215">
        <v>45376</v>
      </c>
      <c r="P502" s="101">
        <v>65504804</v>
      </c>
      <c r="Q502" s="101">
        <v>24242088</v>
      </c>
      <c r="R502" s="101">
        <v>89746892</v>
      </c>
      <c r="S502" s="101">
        <v>72.989999999999995</v>
      </c>
      <c r="T502" s="212">
        <f t="shared" si="57"/>
        <v>89.746892000000003</v>
      </c>
      <c r="W502" s="215">
        <v>45376</v>
      </c>
      <c r="X502">
        <v>6337</v>
      </c>
      <c r="Y502" s="104">
        <v>12000</v>
      </c>
      <c r="Z502" s="114">
        <f t="shared" si="52"/>
        <v>52.80833333333333</v>
      </c>
      <c r="AB502" s="215">
        <v>45376</v>
      </c>
      <c r="AC502">
        <v>1196</v>
      </c>
      <c r="AD502" s="104">
        <v>12000</v>
      </c>
      <c r="AE502" s="114">
        <f t="shared" si="56"/>
        <v>9.9666666666666668</v>
      </c>
      <c r="AG502" s="215">
        <v>45376</v>
      </c>
      <c r="AH502">
        <v>7012</v>
      </c>
      <c r="AI502" s="104">
        <v>12000</v>
      </c>
      <c r="AJ502" s="46">
        <f t="shared" si="55"/>
        <v>58.43333333333333</v>
      </c>
      <c r="AL502" s="222">
        <v>45358</v>
      </c>
      <c r="AM502" s="101" t="s">
        <v>189</v>
      </c>
      <c r="AN502" s="101">
        <v>169556</v>
      </c>
      <c r="AP502" s="222">
        <v>45358</v>
      </c>
      <c r="AQ502" s="101" t="s">
        <v>189</v>
      </c>
      <c r="AR502" s="101">
        <v>25307884</v>
      </c>
      <c r="AT502" s="222">
        <v>45358</v>
      </c>
      <c r="AU502" s="101" t="s">
        <v>193</v>
      </c>
      <c r="AV502" s="101">
        <v>676</v>
      </c>
    </row>
    <row r="503" spans="1:48" hidden="1" x14ac:dyDescent="0.25">
      <c r="A503" s="215">
        <v>45377</v>
      </c>
      <c r="B503" s="101">
        <v>9948408</v>
      </c>
      <c r="C503" s="101">
        <v>244797</v>
      </c>
      <c r="D503" s="101">
        <v>10193205</v>
      </c>
      <c r="E503" s="101">
        <v>97.6</v>
      </c>
      <c r="F503" s="212">
        <f t="shared" si="54"/>
        <v>10.193205000000001</v>
      </c>
      <c r="H503" s="215">
        <v>45377</v>
      </c>
      <c r="I503" s="101">
        <v>2414359</v>
      </c>
      <c r="J503" s="101">
        <v>373</v>
      </c>
      <c r="K503" s="101">
        <v>2414732</v>
      </c>
      <c r="L503" s="101">
        <v>99.98</v>
      </c>
      <c r="M503" s="114">
        <f t="shared" si="53"/>
        <v>2.4147319999999999</v>
      </c>
      <c r="O503" s="215">
        <v>45377</v>
      </c>
      <c r="P503" s="101">
        <v>64698355</v>
      </c>
      <c r="Q503" s="101">
        <v>25140430</v>
      </c>
      <c r="R503" s="101">
        <v>89838785</v>
      </c>
      <c r="S503" s="101">
        <v>72.02</v>
      </c>
      <c r="T503" s="212">
        <f t="shared" si="57"/>
        <v>89.838785000000001</v>
      </c>
      <c r="W503" s="215">
        <v>45377</v>
      </c>
      <c r="X503">
        <v>6929</v>
      </c>
      <c r="Y503" s="104">
        <v>12000</v>
      </c>
      <c r="Z503" s="114">
        <f t="shared" si="52"/>
        <v>57.741666666666667</v>
      </c>
      <c r="AB503" s="215">
        <v>45377</v>
      </c>
      <c r="AC503">
        <v>1115</v>
      </c>
      <c r="AD503" s="104">
        <v>12000</v>
      </c>
      <c r="AE503" s="114">
        <f t="shared" si="56"/>
        <v>9.2916666666666661</v>
      </c>
      <c r="AG503" s="215">
        <v>45377</v>
      </c>
      <c r="AH503">
        <v>7609</v>
      </c>
      <c r="AI503" s="104">
        <v>12000</v>
      </c>
      <c r="AJ503" s="46">
        <f t="shared" si="55"/>
        <v>63.408333333333331</v>
      </c>
      <c r="AL503" s="222">
        <v>45358</v>
      </c>
      <c r="AM503" s="101" t="s">
        <v>197</v>
      </c>
      <c r="AN503" s="101">
        <v>20511</v>
      </c>
      <c r="AP503" s="222">
        <v>45358</v>
      </c>
      <c r="AQ503" s="101" t="s">
        <v>191</v>
      </c>
      <c r="AR503" s="101">
        <v>1586540</v>
      </c>
      <c r="AT503" s="222">
        <v>45358</v>
      </c>
      <c r="AU503" s="101" t="s">
        <v>190</v>
      </c>
      <c r="AV503" s="101">
        <v>30</v>
      </c>
    </row>
    <row r="504" spans="1:48" hidden="1" x14ac:dyDescent="0.25">
      <c r="A504" s="215">
        <v>45378</v>
      </c>
      <c r="B504" s="101">
        <v>10476395</v>
      </c>
      <c r="C504" s="101">
        <v>253433</v>
      </c>
      <c r="D504" s="101">
        <v>10729828</v>
      </c>
      <c r="E504" s="101">
        <v>97.64</v>
      </c>
      <c r="F504" s="212">
        <f t="shared" si="54"/>
        <v>10.729827999999999</v>
      </c>
      <c r="H504" s="215">
        <v>45378</v>
      </c>
      <c r="I504" s="101">
        <v>2504338</v>
      </c>
      <c r="J504" s="101">
        <v>4758</v>
      </c>
      <c r="K504" s="101">
        <v>2509096</v>
      </c>
      <c r="L504" s="101">
        <v>99.81</v>
      </c>
      <c r="M504" s="114">
        <f t="shared" si="53"/>
        <v>2.509096</v>
      </c>
      <c r="O504" s="215">
        <v>45378</v>
      </c>
      <c r="P504" s="101">
        <v>75017398</v>
      </c>
      <c r="Q504" s="101">
        <v>31335439</v>
      </c>
      <c r="R504" s="101">
        <v>106352837</v>
      </c>
      <c r="S504" s="101">
        <v>70.540000000000006</v>
      </c>
      <c r="T504" s="212">
        <f t="shared" si="57"/>
        <v>106.35283699999999</v>
      </c>
      <c r="W504" s="215">
        <v>45378</v>
      </c>
      <c r="X504">
        <v>7437</v>
      </c>
      <c r="Y504" s="104">
        <v>12000</v>
      </c>
      <c r="Z504" s="114">
        <f t="shared" si="52"/>
        <v>61.975000000000001</v>
      </c>
      <c r="AB504" s="215">
        <v>45378</v>
      </c>
      <c r="AC504">
        <v>1317</v>
      </c>
      <c r="AD504" s="104">
        <v>12000</v>
      </c>
      <c r="AE504" s="114">
        <f t="shared" si="56"/>
        <v>10.975</v>
      </c>
      <c r="AG504" s="215">
        <v>45378</v>
      </c>
      <c r="AH504">
        <v>8073</v>
      </c>
      <c r="AI504" s="104">
        <v>12000</v>
      </c>
      <c r="AJ504" s="46">
        <f t="shared" si="55"/>
        <v>67.275000000000006</v>
      </c>
      <c r="AL504" s="222">
        <v>45358</v>
      </c>
      <c r="AM504" s="101" t="s">
        <v>191</v>
      </c>
      <c r="AN504" s="101">
        <v>17290</v>
      </c>
      <c r="AP504" s="222">
        <v>45358</v>
      </c>
      <c r="AQ504" s="101" t="s">
        <v>194</v>
      </c>
      <c r="AR504" s="101">
        <v>1138329</v>
      </c>
    </row>
    <row r="505" spans="1:48" hidden="1" x14ac:dyDescent="0.25">
      <c r="A505" s="215">
        <v>45379</v>
      </c>
      <c r="B505" s="101">
        <v>11168013</v>
      </c>
      <c r="C505" s="101">
        <v>272852</v>
      </c>
      <c r="D505" s="101">
        <v>11440865</v>
      </c>
      <c r="E505" s="101">
        <v>97.62</v>
      </c>
      <c r="F505" s="212">
        <f t="shared" si="54"/>
        <v>11.440865000000001</v>
      </c>
      <c r="H505" s="215">
        <v>45379</v>
      </c>
      <c r="I505" s="101">
        <v>2956544</v>
      </c>
      <c r="J505" s="101">
        <v>5577</v>
      </c>
      <c r="K505" s="101">
        <v>2962121</v>
      </c>
      <c r="L505" s="101">
        <v>99.81</v>
      </c>
      <c r="M505" s="114">
        <f t="shared" si="53"/>
        <v>2.9621209999999998</v>
      </c>
      <c r="O505" s="215">
        <v>45379</v>
      </c>
      <c r="P505" s="101">
        <v>73884486</v>
      </c>
      <c r="Q505" s="101">
        <v>34109370</v>
      </c>
      <c r="R505" s="101">
        <v>107993856</v>
      </c>
      <c r="S505" s="101">
        <v>68.42</v>
      </c>
      <c r="T505" s="212">
        <f t="shared" si="57"/>
        <v>107.99385599999999</v>
      </c>
      <c r="W505" s="215">
        <v>45379</v>
      </c>
      <c r="X505">
        <v>7958</v>
      </c>
      <c r="Y505" s="104">
        <v>12000</v>
      </c>
      <c r="Z505" s="114">
        <f t="shared" si="52"/>
        <v>66.316666666666663</v>
      </c>
      <c r="AB505" s="215">
        <v>45379</v>
      </c>
      <c r="AC505">
        <v>1141</v>
      </c>
      <c r="AD505" s="104">
        <v>12000</v>
      </c>
      <c r="AE505" s="114">
        <f t="shared" si="56"/>
        <v>9.5083333333333329</v>
      </c>
      <c r="AG505" s="215">
        <v>45379</v>
      </c>
      <c r="AH505">
        <v>9099</v>
      </c>
      <c r="AI505" s="104">
        <v>12000</v>
      </c>
      <c r="AJ505" s="46">
        <f t="shared" si="55"/>
        <v>75.825000000000003</v>
      </c>
      <c r="AL505" s="222">
        <v>45358</v>
      </c>
      <c r="AM505" s="101" t="s">
        <v>192</v>
      </c>
      <c r="AN505" s="101">
        <v>14257</v>
      </c>
      <c r="AP505" s="222">
        <v>45358</v>
      </c>
      <c r="AQ505" s="101" t="s">
        <v>192</v>
      </c>
      <c r="AR505" s="101">
        <v>957702</v>
      </c>
    </row>
    <row r="506" spans="1:48" hidden="1" x14ac:dyDescent="0.25">
      <c r="A506" s="215">
        <v>45380</v>
      </c>
      <c r="B506" s="101">
        <v>10691682</v>
      </c>
      <c r="C506" s="101">
        <v>273559</v>
      </c>
      <c r="D506" s="101">
        <v>10965241</v>
      </c>
      <c r="E506" s="101">
        <v>97.51</v>
      </c>
      <c r="F506" s="212">
        <f t="shared" si="54"/>
        <v>10.965241000000001</v>
      </c>
      <c r="H506" s="215">
        <v>45380</v>
      </c>
      <c r="I506" s="101">
        <v>3430418</v>
      </c>
      <c r="J506" s="101">
        <v>2941</v>
      </c>
      <c r="K506" s="101">
        <v>3433359</v>
      </c>
      <c r="L506" s="101">
        <v>99.91</v>
      </c>
      <c r="M506" s="114">
        <f t="shared" si="53"/>
        <v>3.4333589999999998</v>
      </c>
      <c r="O506" s="215">
        <v>45380</v>
      </c>
      <c r="P506" s="101">
        <v>70358853</v>
      </c>
      <c r="Q506" s="101">
        <v>24425530</v>
      </c>
      <c r="R506" s="101">
        <v>94784383</v>
      </c>
      <c r="S506" s="101">
        <v>74.23</v>
      </c>
      <c r="T506" s="212">
        <f t="shared" si="57"/>
        <v>94.784383000000005</v>
      </c>
      <c r="W506" s="215">
        <v>45380</v>
      </c>
      <c r="X506">
        <v>9358</v>
      </c>
      <c r="Y506" s="104">
        <v>12000</v>
      </c>
      <c r="Z506" s="114">
        <f t="shared" si="52"/>
        <v>77.983333333333334</v>
      </c>
      <c r="AB506" s="215">
        <v>45380</v>
      </c>
      <c r="AC506">
        <v>1126</v>
      </c>
      <c r="AD506" s="104">
        <v>12000</v>
      </c>
      <c r="AE506" s="114">
        <f t="shared" si="56"/>
        <v>9.3833333333333329</v>
      </c>
      <c r="AG506" s="215">
        <v>45380</v>
      </c>
      <c r="AH506">
        <v>10140</v>
      </c>
      <c r="AI506" s="104">
        <v>12000</v>
      </c>
      <c r="AJ506" s="46">
        <f t="shared" si="55"/>
        <v>84.5</v>
      </c>
      <c r="AL506" s="222">
        <v>45358</v>
      </c>
      <c r="AM506" s="101" t="s">
        <v>194</v>
      </c>
      <c r="AN506" s="101">
        <v>12212</v>
      </c>
      <c r="AP506" s="222">
        <v>45358</v>
      </c>
      <c r="AQ506" s="101" t="s">
        <v>206</v>
      </c>
      <c r="AR506" s="101">
        <v>258442</v>
      </c>
    </row>
    <row r="507" spans="1:48" hidden="1" x14ac:dyDescent="0.25">
      <c r="A507" s="215">
        <v>45381</v>
      </c>
      <c r="B507" s="101">
        <v>10201009</v>
      </c>
      <c r="C507" s="101">
        <v>264837</v>
      </c>
      <c r="D507" s="101">
        <v>10465846</v>
      </c>
      <c r="E507" s="101">
        <v>97.47</v>
      </c>
      <c r="F507" s="212">
        <f t="shared" si="54"/>
        <v>10.465846000000001</v>
      </c>
      <c r="H507" s="215">
        <v>45381</v>
      </c>
      <c r="I507" s="101">
        <v>2765958</v>
      </c>
      <c r="J507" s="101">
        <v>2196</v>
      </c>
      <c r="K507" s="101">
        <v>2768154</v>
      </c>
      <c r="L507" s="101">
        <v>99.92</v>
      </c>
      <c r="M507" s="114">
        <f t="shared" si="53"/>
        <v>2.768154</v>
      </c>
      <c r="O507" s="215">
        <v>45381</v>
      </c>
      <c r="P507" s="101">
        <v>73772403</v>
      </c>
      <c r="Q507" s="101">
        <v>28748281</v>
      </c>
      <c r="R507" s="101">
        <v>102520684</v>
      </c>
      <c r="S507" s="101">
        <v>71.959999999999994</v>
      </c>
      <c r="T507" s="212">
        <f t="shared" si="57"/>
        <v>102.520684</v>
      </c>
      <c r="W507" s="215">
        <v>45381</v>
      </c>
      <c r="X507">
        <v>6788</v>
      </c>
      <c r="Y507" s="104">
        <v>12000</v>
      </c>
      <c r="Z507" s="114">
        <f t="shared" si="52"/>
        <v>56.56666666666667</v>
      </c>
      <c r="AB507" s="215">
        <v>45381</v>
      </c>
      <c r="AC507">
        <v>1207</v>
      </c>
      <c r="AD507" s="104">
        <v>12000</v>
      </c>
      <c r="AE507" s="114">
        <f t="shared" si="56"/>
        <v>10.058333333333334</v>
      </c>
      <c r="AG507" s="215">
        <v>45381</v>
      </c>
      <c r="AH507">
        <v>7581</v>
      </c>
      <c r="AI507" s="104">
        <v>12000</v>
      </c>
      <c r="AJ507" s="46">
        <f t="shared" si="55"/>
        <v>63.174999999999997</v>
      </c>
    </row>
    <row r="508" spans="1:48" hidden="1" x14ac:dyDescent="0.25">
      <c r="A508" s="215">
        <v>45382</v>
      </c>
      <c r="B508" s="101">
        <v>10681877</v>
      </c>
      <c r="C508" s="101">
        <v>266394</v>
      </c>
      <c r="D508" s="101">
        <v>10948271</v>
      </c>
      <c r="E508" s="101">
        <v>97.57</v>
      </c>
      <c r="F508" s="212">
        <f t="shared" si="54"/>
        <v>10.948271</v>
      </c>
      <c r="H508" s="215">
        <v>45382</v>
      </c>
      <c r="I508" s="101">
        <v>1743657</v>
      </c>
      <c r="J508" s="101">
        <v>34</v>
      </c>
      <c r="K508" s="101">
        <v>1743691</v>
      </c>
      <c r="L508" s="101">
        <v>100</v>
      </c>
      <c r="M508" s="114">
        <f t="shared" si="53"/>
        <v>1.7436910000000001</v>
      </c>
      <c r="O508" s="215">
        <v>45382</v>
      </c>
      <c r="P508" s="101">
        <v>56196731</v>
      </c>
      <c r="Q508" s="101">
        <v>19333398</v>
      </c>
      <c r="R508" s="101">
        <v>75530129</v>
      </c>
      <c r="S508" s="101">
        <v>74.400000000000006</v>
      </c>
      <c r="T508" s="212">
        <f t="shared" si="57"/>
        <v>75.530129000000002</v>
      </c>
      <c r="W508" s="215">
        <v>45382</v>
      </c>
      <c r="X508">
        <v>6172</v>
      </c>
      <c r="Y508" s="104">
        <v>12000</v>
      </c>
      <c r="Z508" s="114">
        <f t="shared" si="52"/>
        <v>51.43333333333333</v>
      </c>
      <c r="AB508" s="215">
        <v>45382</v>
      </c>
      <c r="AC508">
        <v>972</v>
      </c>
      <c r="AD508" s="104">
        <v>12000</v>
      </c>
      <c r="AE508" s="114">
        <f t="shared" si="56"/>
        <v>8.1</v>
      </c>
      <c r="AG508" s="215">
        <v>45382</v>
      </c>
      <c r="AH508">
        <v>6960</v>
      </c>
      <c r="AI508" s="104">
        <v>12000</v>
      </c>
      <c r="AJ508" s="46">
        <f t="shared" si="55"/>
        <v>58</v>
      </c>
      <c r="AL508" s="222">
        <v>45361</v>
      </c>
      <c r="AM508" s="101" t="s">
        <v>191</v>
      </c>
      <c r="AN508" s="101">
        <v>11435</v>
      </c>
      <c r="AP508" s="222">
        <v>45361</v>
      </c>
      <c r="AQ508" s="101" t="s">
        <v>189</v>
      </c>
      <c r="AR508" s="101">
        <v>18402542</v>
      </c>
      <c r="AT508" s="222">
        <v>45361</v>
      </c>
      <c r="AU508" s="101" t="s">
        <v>193</v>
      </c>
      <c r="AV508" s="101">
        <v>228</v>
      </c>
    </row>
    <row r="509" spans="1:48" hidden="1" x14ac:dyDescent="0.25">
      <c r="A509" s="215">
        <v>45383</v>
      </c>
      <c r="B509" s="101">
        <v>10673052</v>
      </c>
      <c r="C509" s="101">
        <v>241624</v>
      </c>
      <c r="D509" s="101">
        <v>10914676</v>
      </c>
      <c r="E509" s="101">
        <v>97.79</v>
      </c>
      <c r="F509" s="212">
        <f t="shared" si="54"/>
        <v>10.914676</v>
      </c>
      <c r="H509" s="215">
        <v>45383</v>
      </c>
      <c r="I509" s="101">
        <v>2984761</v>
      </c>
      <c r="J509" s="101">
        <v>543</v>
      </c>
      <c r="K509" s="101">
        <v>2985304</v>
      </c>
      <c r="L509" s="101">
        <v>99.98</v>
      </c>
      <c r="M509" s="114">
        <f t="shared" si="53"/>
        <v>2.9853040000000002</v>
      </c>
      <c r="O509" s="215">
        <v>45383</v>
      </c>
      <c r="P509" s="101">
        <v>63981680</v>
      </c>
      <c r="Q509" s="101">
        <v>27024565</v>
      </c>
      <c r="R509" s="101">
        <v>91006245</v>
      </c>
      <c r="S509" s="101">
        <v>70.3</v>
      </c>
      <c r="T509" s="212">
        <f t="shared" si="57"/>
        <v>91.006245000000007</v>
      </c>
      <c r="W509" s="215">
        <v>45383</v>
      </c>
      <c r="X509">
        <v>11000</v>
      </c>
      <c r="Y509" s="104">
        <v>12000</v>
      </c>
      <c r="Z509" s="114">
        <f t="shared" si="52"/>
        <v>91.666666666666671</v>
      </c>
      <c r="AB509" s="215">
        <v>45383</v>
      </c>
      <c r="AC509">
        <v>995</v>
      </c>
      <c r="AD509" s="104">
        <v>12000</v>
      </c>
      <c r="AE509" s="114">
        <f t="shared" si="56"/>
        <v>8.2916666666666661</v>
      </c>
      <c r="AG509" s="215">
        <v>45383</v>
      </c>
      <c r="AH509">
        <v>11445</v>
      </c>
      <c r="AI509" s="104">
        <v>12000</v>
      </c>
      <c r="AJ509" s="46">
        <f t="shared" si="55"/>
        <v>95.375</v>
      </c>
      <c r="AL509" s="222">
        <v>45361</v>
      </c>
      <c r="AM509" s="101" t="s">
        <v>195</v>
      </c>
      <c r="AN509" s="101">
        <v>6061</v>
      </c>
      <c r="AP509" s="222">
        <v>45361</v>
      </c>
      <c r="AQ509" s="101" t="s">
        <v>194</v>
      </c>
      <c r="AR509" s="101">
        <v>798596</v>
      </c>
    </row>
    <row r="510" spans="1:48" hidden="1" x14ac:dyDescent="0.25">
      <c r="A510" s="215">
        <v>45384</v>
      </c>
      <c r="B510" s="101">
        <v>10523335</v>
      </c>
      <c r="C510" s="101">
        <v>253666</v>
      </c>
      <c r="D510" s="101">
        <v>10777001</v>
      </c>
      <c r="E510" s="101">
        <v>97.65</v>
      </c>
      <c r="F510" s="212">
        <f t="shared" si="54"/>
        <v>10.777001</v>
      </c>
      <c r="H510" s="215">
        <v>45384</v>
      </c>
      <c r="I510" s="101">
        <v>1628419</v>
      </c>
      <c r="J510" s="101">
        <v>34</v>
      </c>
      <c r="K510" s="101">
        <v>1628453</v>
      </c>
      <c r="L510" s="101">
        <v>100</v>
      </c>
      <c r="M510" s="114">
        <f t="shared" si="53"/>
        <v>1.6284529999999999</v>
      </c>
      <c r="O510" s="215">
        <v>45384</v>
      </c>
      <c r="P510" s="101">
        <v>66988243</v>
      </c>
      <c r="Q510" s="101">
        <v>30975680</v>
      </c>
      <c r="R510" s="101">
        <v>97963923</v>
      </c>
      <c r="S510" s="101">
        <v>68.38</v>
      </c>
      <c r="T510" s="212">
        <f t="shared" si="57"/>
        <v>97.963922999999994</v>
      </c>
      <c r="W510" s="215">
        <v>45384</v>
      </c>
      <c r="X510">
        <v>7951</v>
      </c>
      <c r="Y510" s="104">
        <v>12000</v>
      </c>
      <c r="Z510" s="114">
        <f t="shared" si="52"/>
        <v>66.25833333333334</v>
      </c>
      <c r="AB510" s="215">
        <v>45384</v>
      </c>
      <c r="AC510">
        <v>1097</v>
      </c>
      <c r="AD510" s="104">
        <v>12000</v>
      </c>
      <c r="AE510" s="114">
        <f t="shared" si="56"/>
        <v>9.1416666666666675</v>
      </c>
      <c r="AG510" s="215">
        <v>45384</v>
      </c>
      <c r="AH510">
        <v>8661</v>
      </c>
      <c r="AI510" s="104">
        <v>12000</v>
      </c>
      <c r="AJ510" s="46">
        <f t="shared" si="55"/>
        <v>72.174999999999997</v>
      </c>
      <c r="AL510" s="222">
        <v>45361</v>
      </c>
      <c r="AM510" s="101" t="s">
        <v>199</v>
      </c>
      <c r="AN510" s="101">
        <v>4253</v>
      </c>
      <c r="AP510" s="222">
        <v>45361</v>
      </c>
      <c r="AQ510" s="101" t="s">
        <v>191</v>
      </c>
      <c r="AR510" s="101">
        <v>710334</v>
      </c>
    </row>
    <row r="511" spans="1:48" hidden="1" x14ac:dyDescent="0.25">
      <c r="A511" s="215">
        <v>45385</v>
      </c>
      <c r="B511" s="101">
        <v>10133315</v>
      </c>
      <c r="C511" s="101">
        <v>264628</v>
      </c>
      <c r="D511" s="101">
        <v>10397943</v>
      </c>
      <c r="E511" s="101">
        <v>97.45</v>
      </c>
      <c r="F511" s="212">
        <f t="shared" si="54"/>
        <v>10.397943</v>
      </c>
      <c r="H511" s="215">
        <v>45385</v>
      </c>
      <c r="I511" s="101">
        <v>7416078</v>
      </c>
      <c r="J511" s="101">
        <v>33</v>
      </c>
      <c r="K511" s="101">
        <v>7416111</v>
      </c>
      <c r="L511" s="101">
        <v>100</v>
      </c>
      <c r="M511" s="114">
        <f t="shared" si="53"/>
        <v>7.4161109999999999</v>
      </c>
      <c r="O511" s="215">
        <v>45385</v>
      </c>
      <c r="P511" s="101">
        <v>85440730</v>
      </c>
      <c r="Q511" s="101">
        <v>40697062</v>
      </c>
      <c r="R511" s="101">
        <v>126137792</v>
      </c>
      <c r="S511" s="101">
        <v>67.739999999999995</v>
      </c>
      <c r="T511" s="212">
        <f t="shared" si="57"/>
        <v>126.137792</v>
      </c>
      <c r="W511" s="215">
        <v>45385</v>
      </c>
      <c r="X511">
        <v>11000</v>
      </c>
      <c r="Y511" s="104">
        <v>12000</v>
      </c>
      <c r="Z511" s="114">
        <f t="shared" si="52"/>
        <v>91.666666666666671</v>
      </c>
      <c r="AB511" s="215">
        <v>45385</v>
      </c>
      <c r="AC511">
        <v>992</v>
      </c>
      <c r="AD511" s="104">
        <v>12000</v>
      </c>
      <c r="AE511" s="114">
        <f t="shared" si="56"/>
        <v>8.2666666666666675</v>
      </c>
      <c r="AG511" s="215">
        <v>45385</v>
      </c>
      <c r="AH511">
        <v>11955</v>
      </c>
      <c r="AI511" s="104">
        <v>12000</v>
      </c>
      <c r="AJ511" s="46">
        <f t="shared" si="55"/>
        <v>99.625</v>
      </c>
      <c r="AL511" s="222">
        <v>45361</v>
      </c>
      <c r="AM511" s="101" t="s">
        <v>207</v>
      </c>
      <c r="AN511" s="101">
        <v>1336</v>
      </c>
      <c r="AP511" s="222">
        <v>45361</v>
      </c>
      <c r="AQ511" s="101" t="s">
        <v>205</v>
      </c>
      <c r="AR511" s="101">
        <v>432871</v>
      </c>
    </row>
    <row r="512" spans="1:48" hidden="1" x14ac:dyDescent="0.25">
      <c r="A512" s="215">
        <v>45386</v>
      </c>
      <c r="B512" s="101">
        <v>10587630</v>
      </c>
      <c r="C512" s="101">
        <v>264432</v>
      </c>
      <c r="D512" s="101">
        <v>10852062</v>
      </c>
      <c r="E512" s="101">
        <v>97.56</v>
      </c>
      <c r="F512" s="212">
        <f t="shared" si="54"/>
        <v>10.852062</v>
      </c>
      <c r="H512" s="215">
        <v>45386</v>
      </c>
      <c r="I512" s="101">
        <v>5619591</v>
      </c>
      <c r="J512" s="101">
        <v>5778</v>
      </c>
      <c r="K512" s="101">
        <v>5625369</v>
      </c>
      <c r="L512" s="101">
        <v>99.9</v>
      </c>
      <c r="M512" s="114">
        <f t="shared" si="53"/>
        <v>5.6253690000000001</v>
      </c>
      <c r="O512" s="215">
        <v>45386</v>
      </c>
      <c r="P512" s="101">
        <v>80881914</v>
      </c>
      <c r="Q512" s="101">
        <v>39511407</v>
      </c>
      <c r="R512" s="101">
        <v>120393321</v>
      </c>
      <c r="S512" s="101">
        <v>67.180000000000007</v>
      </c>
      <c r="T512" s="212">
        <f t="shared" si="57"/>
        <v>120.393321</v>
      </c>
      <c r="W512" s="215">
        <v>45386</v>
      </c>
      <c r="X512">
        <v>11000</v>
      </c>
      <c r="Y512" s="104">
        <v>12000</v>
      </c>
      <c r="Z512" s="114">
        <f t="shared" si="52"/>
        <v>91.666666666666671</v>
      </c>
      <c r="AB512" s="215">
        <v>45386</v>
      </c>
      <c r="AC512">
        <v>1176</v>
      </c>
      <c r="AD512" s="104">
        <v>12000</v>
      </c>
      <c r="AE512" s="114">
        <f t="shared" si="56"/>
        <v>9.8000000000000007</v>
      </c>
      <c r="AG512" s="215">
        <v>45386</v>
      </c>
      <c r="AH512">
        <v>11642</v>
      </c>
      <c r="AI512" s="104">
        <v>12000</v>
      </c>
      <c r="AJ512" s="46">
        <f t="shared" si="55"/>
        <v>97.016666666666666</v>
      </c>
      <c r="AL512" s="222">
        <v>45361</v>
      </c>
      <c r="AM512" s="101" t="s">
        <v>203</v>
      </c>
      <c r="AN512" s="101">
        <v>415</v>
      </c>
      <c r="AP512" s="222">
        <v>45361</v>
      </c>
      <c r="AQ512" s="101" t="s">
        <v>208</v>
      </c>
      <c r="AR512" s="101">
        <v>61070</v>
      </c>
    </row>
    <row r="513" spans="1:48" hidden="1" x14ac:dyDescent="0.25">
      <c r="A513" s="215">
        <v>45387</v>
      </c>
      <c r="B513" s="101">
        <v>10736464</v>
      </c>
      <c r="C513" s="101">
        <v>265749</v>
      </c>
      <c r="D513" s="101">
        <v>11002213</v>
      </c>
      <c r="E513" s="101">
        <v>97.58</v>
      </c>
      <c r="F513" s="212">
        <f t="shared" si="54"/>
        <v>11.002212999999999</v>
      </c>
      <c r="H513" s="215">
        <v>45387</v>
      </c>
      <c r="I513" s="101">
        <v>2266463</v>
      </c>
      <c r="J513" s="101">
        <v>140</v>
      </c>
      <c r="K513" s="101">
        <v>2266603</v>
      </c>
      <c r="L513" s="101">
        <v>99.99</v>
      </c>
      <c r="M513" s="114">
        <f t="shared" si="53"/>
        <v>2.2666029999999999</v>
      </c>
      <c r="O513" s="215">
        <v>45387</v>
      </c>
      <c r="P513" s="101">
        <v>64333489</v>
      </c>
      <c r="Q513" s="101">
        <v>28383021</v>
      </c>
      <c r="R513" s="101">
        <v>92716510</v>
      </c>
      <c r="S513" s="101">
        <v>69.39</v>
      </c>
      <c r="T513" s="212">
        <f t="shared" si="57"/>
        <v>92.71651</v>
      </c>
      <c r="W513" s="215">
        <v>45387</v>
      </c>
      <c r="X513">
        <v>9003</v>
      </c>
      <c r="Y513" s="104">
        <v>12000</v>
      </c>
      <c r="Z513" s="114">
        <f t="shared" si="52"/>
        <v>75.025000000000006</v>
      </c>
      <c r="AB513" s="215">
        <v>45387</v>
      </c>
      <c r="AC513">
        <v>1148</v>
      </c>
      <c r="AD513" s="104">
        <v>12000</v>
      </c>
      <c r="AE513" s="114">
        <f t="shared" si="56"/>
        <v>9.5666666666666664</v>
      </c>
      <c r="AG513" s="215">
        <v>45387</v>
      </c>
      <c r="AH513">
        <v>9729</v>
      </c>
      <c r="AI513" s="104">
        <v>12000</v>
      </c>
      <c r="AJ513" s="46">
        <f t="shared" si="55"/>
        <v>81.075000000000003</v>
      </c>
    </row>
    <row r="514" spans="1:48" hidden="1" x14ac:dyDescent="0.25">
      <c r="A514" s="215">
        <v>45388</v>
      </c>
      <c r="B514" s="101">
        <v>10499837</v>
      </c>
      <c r="C514" s="101">
        <v>274825</v>
      </c>
      <c r="D514" s="101">
        <v>10774662</v>
      </c>
      <c r="E514" s="101">
        <v>97.45</v>
      </c>
      <c r="F514" s="212">
        <f t="shared" si="54"/>
        <v>10.774661999999999</v>
      </c>
      <c r="H514" s="215">
        <v>45388</v>
      </c>
      <c r="I514" s="101">
        <v>8262101</v>
      </c>
      <c r="J514" s="101">
        <v>204</v>
      </c>
      <c r="K514" s="101">
        <v>8262305</v>
      </c>
      <c r="L514" s="101">
        <v>100</v>
      </c>
      <c r="M514" s="114">
        <f t="shared" si="53"/>
        <v>8.2623049999999996</v>
      </c>
      <c r="O514" s="215">
        <v>45388</v>
      </c>
      <c r="P514" s="101">
        <v>89696395</v>
      </c>
      <c r="Q514" s="101">
        <v>38676227</v>
      </c>
      <c r="R514" s="101">
        <v>128372622</v>
      </c>
      <c r="S514" s="101">
        <v>69.87</v>
      </c>
      <c r="T514" s="212">
        <f t="shared" si="57"/>
        <v>128.37262200000001</v>
      </c>
      <c r="W514" s="215">
        <v>45388</v>
      </c>
      <c r="X514">
        <v>10807</v>
      </c>
      <c r="Y514" s="104">
        <v>12000</v>
      </c>
      <c r="Z514" s="114">
        <f t="shared" si="52"/>
        <v>90.058333333333337</v>
      </c>
      <c r="AB514" s="215">
        <v>45388</v>
      </c>
      <c r="AC514">
        <v>1174</v>
      </c>
      <c r="AD514" s="104">
        <v>12000</v>
      </c>
      <c r="AE514" s="114">
        <f t="shared" si="56"/>
        <v>9.7833333333333332</v>
      </c>
      <c r="AG514" s="215">
        <v>45388</v>
      </c>
      <c r="AH514">
        <v>11417</v>
      </c>
      <c r="AI514" s="104">
        <v>12000</v>
      </c>
      <c r="AJ514" s="46">
        <f t="shared" si="55"/>
        <v>95.141666666666666</v>
      </c>
      <c r="AL514" s="222">
        <v>45362</v>
      </c>
      <c r="AM514" s="101" t="s">
        <v>189</v>
      </c>
      <c r="AN514" s="101">
        <v>150715</v>
      </c>
      <c r="AP514" s="222">
        <v>45362</v>
      </c>
      <c r="AQ514" s="101" t="s">
        <v>189</v>
      </c>
      <c r="AR514" s="101">
        <v>30761663</v>
      </c>
      <c r="AT514" s="222">
        <v>45362</v>
      </c>
      <c r="AU514" t="s">
        <v>209</v>
      </c>
      <c r="AV514">
        <v>100</v>
      </c>
    </row>
    <row r="515" spans="1:48" hidden="1" x14ac:dyDescent="0.25">
      <c r="A515" s="215">
        <v>45389</v>
      </c>
      <c r="B515" s="101">
        <v>10687372</v>
      </c>
      <c r="C515" s="101">
        <v>232555</v>
      </c>
      <c r="D515" s="101">
        <v>10919927</v>
      </c>
      <c r="E515" s="101">
        <v>97.87</v>
      </c>
      <c r="F515" s="212">
        <f t="shared" si="54"/>
        <v>10.919926999999999</v>
      </c>
      <c r="H515" s="215">
        <v>45389</v>
      </c>
      <c r="I515" s="101">
        <v>1723049</v>
      </c>
      <c r="J515" s="101">
        <v>42</v>
      </c>
      <c r="K515" s="101">
        <v>1723091</v>
      </c>
      <c r="L515" s="101">
        <v>100</v>
      </c>
      <c r="M515" s="114">
        <f t="shared" si="53"/>
        <v>1.7230909999999999</v>
      </c>
      <c r="O515" s="215">
        <v>45389</v>
      </c>
      <c r="P515" s="101">
        <v>56288177</v>
      </c>
      <c r="Q515" s="101">
        <v>21590510</v>
      </c>
      <c r="R515" s="101">
        <v>77878687</v>
      </c>
      <c r="S515" s="101">
        <v>72.28</v>
      </c>
      <c r="T515" s="212">
        <f t="shared" si="57"/>
        <v>77.878686999999999</v>
      </c>
      <c r="W515" s="215">
        <v>45389</v>
      </c>
      <c r="X515">
        <v>5604</v>
      </c>
      <c r="Y515" s="104">
        <v>12000</v>
      </c>
      <c r="Z515" s="114">
        <f t="shared" si="52"/>
        <v>46.7</v>
      </c>
      <c r="AB515" s="215">
        <v>45389</v>
      </c>
      <c r="AC515">
        <v>1011</v>
      </c>
      <c r="AD515" s="104">
        <v>12000</v>
      </c>
      <c r="AE515" s="114">
        <f t="shared" si="56"/>
        <v>8.4250000000000007</v>
      </c>
      <c r="AG515" s="215">
        <v>45389</v>
      </c>
      <c r="AH515">
        <v>6091</v>
      </c>
      <c r="AI515" s="104">
        <v>12000</v>
      </c>
      <c r="AJ515" s="46">
        <f t="shared" si="55"/>
        <v>50.758333333333333</v>
      </c>
      <c r="AL515" s="222">
        <v>45362</v>
      </c>
      <c r="AM515" s="101" t="s">
        <v>192</v>
      </c>
      <c r="AN515" s="101">
        <v>17683</v>
      </c>
      <c r="AP515" s="222">
        <v>45362</v>
      </c>
      <c r="AQ515" s="101" t="s">
        <v>191</v>
      </c>
      <c r="AR515" s="101">
        <v>2069474</v>
      </c>
    </row>
    <row r="516" spans="1:48" hidden="1" x14ac:dyDescent="0.25">
      <c r="A516" s="215">
        <v>45390</v>
      </c>
      <c r="B516" s="101">
        <v>11381734</v>
      </c>
      <c r="C516" s="101">
        <v>209156</v>
      </c>
      <c r="D516" s="101">
        <v>11590890</v>
      </c>
      <c r="E516" s="101">
        <v>98.2</v>
      </c>
      <c r="F516" s="212">
        <f t="shared" si="54"/>
        <v>11.59089</v>
      </c>
      <c r="H516" s="215">
        <v>45390</v>
      </c>
      <c r="I516" s="101">
        <v>6720769</v>
      </c>
      <c r="J516" s="101">
        <v>131</v>
      </c>
      <c r="K516" s="101">
        <v>6720900</v>
      </c>
      <c r="L516" s="101">
        <v>100</v>
      </c>
      <c r="M516" s="114">
        <f t="shared" si="53"/>
        <v>6.7209000000000003</v>
      </c>
      <c r="O516" s="215">
        <v>45390</v>
      </c>
      <c r="P516" s="101">
        <v>86919824</v>
      </c>
      <c r="Q516" s="101">
        <v>36706050</v>
      </c>
      <c r="R516" s="101">
        <v>123625874</v>
      </c>
      <c r="S516" s="101">
        <v>70.31</v>
      </c>
      <c r="T516" s="212">
        <f t="shared" si="57"/>
        <v>123.625874</v>
      </c>
      <c r="W516" s="215">
        <v>45390</v>
      </c>
      <c r="X516">
        <v>11000</v>
      </c>
      <c r="Y516" s="104">
        <v>12000</v>
      </c>
      <c r="Z516" s="114">
        <f t="shared" si="52"/>
        <v>91.666666666666671</v>
      </c>
      <c r="AB516" s="215">
        <v>45390</v>
      </c>
      <c r="AC516">
        <v>1223</v>
      </c>
      <c r="AD516" s="104">
        <v>12000</v>
      </c>
      <c r="AE516" s="114">
        <f t="shared" si="56"/>
        <v>10.191666666666666</v>
      </c>
      <c r="AG516" s="215">
        <v>45390</v>
      </c>
      <c r="AH516">
        <v>11684</v>
      </c>
      <c r="AI516" s="104">
        <v>12000</v>
      </c>
      <c r="AJ516" s="46">
        <f t="shared" si="55"/>
        <v>97.36666666666666</v>
      </c>
      <c r="AL516" s="222">
        <v>45362</v>
      </c>
      <c r="AM516" s="101" t="s">
        <v>191</v>
      </c>
      <c r="AN516" s="101">
        <v>16132</v>
      </c>
      <c r="AP516" s="222">
        <v>45362</v>
      </c>
      <c r="AQ516" s="101" t="s">
        <v>194</v>
      </c>
      <c r="AR516" s="101">
        <v>1116680</v>
      </c>
    </row>
    <row r="517" spans="1:48" hidden="1" x14ac:dyDescent="0.25">
      <c r="A517" s="215">
        <v>45391</v>
      </c>
      <c r="B517" s="101">
        <v>11619766</v>
      </c>
      <c r="C517" s="101">
        <v>281878</v>
      </c>
      <c r="D517" s="101">
        <v>11901644</v>
      </c>
      <c r="E517" s="101">
        <v>97.63</v>
      </c>
      <c r="F517" s="212">
        <f t="shared" si="54"/>
        <v>11.901643999999999</v>
      </c>
      <c r="H517" s="215">
        <v>45391</v>
      </c>
      <c r="I517" s="101">
        <v>2791406</v>
      </c>
      <c r="J517" s="101">
        <v>184</v>
      </c>
      <c r="K517" s="101">
        <v>2791590</v>
      </c>
      <c r="L517" s="101">
        <v>99.99</v>
      </c>
      <c r="M517" s="114">
        <f t="shared" si="53"/>
        <v>2.7915899999999998</v>
      </c>
      <c r="O517" s="215">
        <v>45391</v>
      </c>
      <c r="P517" s="101">
        <v>71289953</v>
      </c>
      <c r="Q517" s="101">
        <v>30140130</v>
      </c>
      <c r="R517" s="101">
        <v>101430083</v>
      </c>
      <c r="S517" s="101">
        <v>70.28</v>
      </c>
      <c r="T517" s="212">
        <f t="shared" si="57"/>
        <v>101.430083</v>
      </c>
      <c r="W517" s="215">
        <v>45391</v>
      </c>
      <c r="X517">
        <v>9934</v>
      </c>
      <c r="Y517" s="104">
        <v>12000</v>
      </c>
      <c r="Z517" s="114">
        <f t="shared" si="52"/>
        <v>82.783333333333331</v>
      </c>
      <c r="AB517" s="215">
        <v>45391</v>
      </c>
      <c r="AC517">
        <v>1224</v>
      </c>
      <c r="AD517" s="104">
        <v>12000</v>
      </c>
      <c r="AE517" s="114">
        <f t="shared" si="56"/>
        <v>10.199999999999999</v>
      </c>
      <c r="AG517" s="215">
        <v>45391</v>
      </c>
      <c r="AH517">
        <v>10694</v>
      </c>
      <c r="AI517" s="104">
        <v>12000</v>
      </c>
      <c r="AJ517" s="46">
        <f t="shared" si="55"/>
        <v>89.11666666666666</v>
      </c>
      <c r="AL517" s="222">
        <v>45362</v>
      </c>
      <c r="AM517" s="101" t="s">
        <v>194</v>
      </c>
      <c r="AN517" s="101">
        <v>9910</v>
      </c>
      <c r="AP517" s="222">
        <v>45362</v>
      </c>
      <c r="AQ517" s="101" t="s">
        <v>206</v>
      </c>
      <c r="AR517" s="101">
        <v>214656</v>
      </c>
    </row>
    <row r="518" spans="1:48" hidden="1" x14ac:dyDescent="0.25">
      <c r="A518" s="215">
        <v>45392</v>
      </c>
      <c r="B518" s="101">
        <v>13352385</v>
      </c>
      <c r="C518" s="101">
        <v>292386</v>
      </c>
      <c r="D518" s="101">
        <v>13644771</v>
      </c>
      <c r="E518" s="101">
        <v>97.86</v>
      </c>
      <c r="F518" s="212">
        <f t="shared" si="54"/>
        <v>13.644771</v>
      </c>
      <c r="H518" s="215">
        <v>45392</v>
      </c>
      <c r="I518" s="101">
        <v>3573942</v>
      </c>
      <c r="J518" s="101">
        <v>123</v>
      </c>
      <c r="K518" s="101">
        <v>3574065</v>
      </c>
      <c r="L518" s="101">
        <v>100</v>
      </c>
      <c r="M518" s="114">
        <f t="shared" si="53"/>
        <v>3.574065</v>
      </c>
      <c r="O518" s="215">
        <v>45392</v>
      </c>
      <c r="P518" s="101">
        <v>75832813</v>
      </c>
      <c r="Q518" s="101">
        <v>32965862</v>
      </c>
      <c r="R518" s="101">
        <v>108798675</v>
      </c>
      <c r="S518" s="101">
        <v>69.7</v>
      </c>
      <c r="T518" s="212">
        <f t="shared" si="57"/>
        <v>108.798675</v>
      </c>
      <c r="W518" s="215">
        <v>45392</v>
      </c>
      <c r="X518">
        <v>9894</v>
      </c>
      <c r="Y518" s="104">
        <v>12000</v>
      </c>
      <c r="Z518" s="114">
        <f t="shared" si="52"/>
        <v>82.45</v>
      </c>
      <c r="AB518" s="215">
        <v>45392</v>
      </c>
      <c r="AC518">
        <v>1183</v>
      </c>
      <c r="AD518" s="104">
        <v>12000</v>
      </c>
      <c r="AE518" s="114">
        <f t="shared" si="56"/>
        <v>9.8583333333333325</v>
      </c>
      <c r="AG518" s="215">
        <v>45392</v>
      </c>
      <c r="AH518">
        <v>10062</v>
      </c>
      <c r="AI518" s="104">
        <v>12000</v>
      </c>
      <c r="AJ518" s="46">
        <f t="shared" si="55"/>
        <v>83.85</v>
      </c>
      <c r="AL518" s="222">
        <v>45362</v>
      </c>
      <c r="AM518" s="101" t="s">
        <v>197</v>
      </c>
      <c r="AN518" s="101">
        <v>8225</v>
      </c>
      <c r="AP518" s="222">
        <v>45362</v>
      </c>
      <c r="AQ518" s="101" t="s">
        <v>199</v>
      </c>
      <c r="AR518" s="101">
        <v>136763</v>
      </c>
    </row>
    <row r="519" spans="1:48" hidden="1" x14ac:dyDescent="0.25">
      <c r="A519" s="215">
        <v>45393</v>
      </c>
      <c r="B519" s="101">
        <v>12081623</v>
      </c>
      <c r="C519" s="101">
        <v>279217</v>
      </c>
      <c r="D519" s="101">
        <v>12360840</v>
      </c>
      <c r="E519" s="101">
        <v>97.74</v>
      </c>
      <c r="F519" s="212">
        <f t="shared" si="54"/>
        <v>12.36084</v>
      </c>
      <c r="H519" s="215">
        <v>45393</v>
      </c>
      <c r="I519" s="101">
        <v>2172962</v>
      </c>
      <c r="J519" s="101">
        <v>7443</v>
      </c>
      <c r="K519" s="101">
        <v>2180405</v>
      </c>
      <c r="L519" s="101">
        <v>99.66</v>
      </c>
      <c r="M519" s="114">
        <f t="shared" si="53"/>
        <v>2.1804049999999999</v>
      </c>
      <c r="O519" s="215">
        <v>45393</v>
      </c>
      <c r="P519" s="101">
        <v>64834192</v>
      </c>
      <c r="Q519" s="101">
        <v>29346722</v>
      </c>
      <c r="R519" s="101">
        <v>94180914</v>
      </c>
      <c r="S519" s="101">
        <v>68.84</v>
      </c>
      <c r="T519" s="212">
        <f t="shared" si="57"/>
        <v>94.180914000000001</v>
      </c>
      <c r="W519" s="215">
        <v>45393</v>
      </c>
      <c r="X519">
        <v>8285</v>
      </c>
      <c r="Y519" s="104">
        <v>12000</v>
      </c>
      <c r="Z519" s="114">
        <f t="shared" si="52"/>
        <v>69.041666666666671</v>
      </c>
      <c r="AB519" s="215">
        <v>45393</v>
      </c>
      <c r="AC519">
        <v>1139</v>
      </c>
      <c r="AD519" s="104">
        <v>12000</v>
      </c>
      <c r="AE519" s="114">
        <f t="shared" si="56"/>
        <v>9.4916666666666671</v>
      </c>
      <c r="AG519" s="215">
        <v>45393</v>
      </c>
      <c r="AH519">
        <v>8947</v>
      </c>
      <c r="AI519" s="104">
        <v>12000</v>
      </c>
      <c r="AJ519" s="46">
        <f t="shared" si="55"/>
        <v>74.558333333333337</v>
      </c>
    </row>
    <row r="520" spans="1:48" hidden="1" x14ac:dyDescent="0.25">
      <c r="A520" s="224">
        <v>45394</v>
      </c>
      <c r="B520" s="173">
        <v>13398172</v>
      </c>
      <c r="C520" s="173">
        <v>263368</v>
      </c>
      <c r="D520" s="173">
        <v>13661540</v>
      </c>
      <c r="E520" s="173">
        <v>98.07</v>
      </c>
      <c r="F520" s="223">
        <f t="shared" si="54"/>
        <v>13.66154</v>
      </c>
      <c r="H520" s="215">
        <v>45394</v>
      </c>
      <c r="I520" s="101">
        <v>2145767</v>
      </c>
      <c r="J520" s="101">
        <v>6222</v>
      </c>
      <c r="K520" s="101">
        <v>2151989</v>
      </c>
      <c r="L520" s="101">
        <v>99.71</v>
      </c>
      <c r="M520" s="114">
        <f t="shared" si="53"/>
        <v>2.1519889999999999</v>
      </c>
      <c r="O520" s="215">
        <v>45394</v>
      </c>
      <c r="P520" s="101">
        <v>62697065</v>
      </c>
      <c r="Q520" s="101">
        <v>28457405</v>
      </c>
      <c r="R520" s="101">
        <v>91154470</v>
      </c>
      <c r="S520" s="101">
        <v>68.78</v>
      </c>
      <c r="T520" s="212">
        <f t="shared" si="57"/>
        <v>91.154470000000003</v>
      </c>
      <c r="W520" s="215">
        <v>45394</v>
      </c>
      <c r="X520">
        <v>11000</v>
      </c>
      <c r="Y520" s="104">
        <v>12000</v>
      </c>
      <c r="Z520" s="114">
        <f t="shared" si="52"/>
        <v>91.666666666666671</v>
      </c>
      <c r="AB520" s="215">
        <v>45394</v>
      </c>
      <c r="AC520">
        <v>1076</v>
      </c>
      <c r="AD520" s="104">
        <v>12000</v>
      </c>
      <c r="AE520" s="114">
        <f t="shared" si="56"/>
        <v>8.9666666666666668</v>
      </c>
      <c r="AG520" s="215">
        <v>45394</v>
      </c>
      <c r="AH520">
        <v>11694</v>
      </c>
      <c r="AI520" s="104">
        <v>12000</v>
      </c>
      <c r="AJ520" s="46">
        <f t="shared" si="55"/>
        <v>97.45</v>
      </c>
      <c r="AL520" s="222">
        <v>45363</v>
      </c>
      <c r="AM520" s="101" t="s">
        <v>189</v>
      </c>
      <c r="AN520" s="101">
        <v>173481</v>
      </c>
      <c r="AP520" s="222">
        <v>45363</v>
      </c>
      <c r="AQ520" s="101" t="s">
        <v>189</v>
      </c>
      <c r="AR520" s="101">
        <v>33249360</v>
      </c>
      <c r="AT520" s="222">
        <v>45363</v>
      </c>
      <c r="AU520" s="101" t="s">
        <v>204</v>
      </c>
      <c r="AV520" s="101">
        <v>8088</v>
      </c>
    </row>
    <row r="521" spans="1:48" hidden="1" x14ac:dyDescent="0.25">
      <c r="A521" s="215">
        <v>45395</v>
      </c>
      <c r="B521" s="104">
        <v>13471112</v>
      </c>
      <c r="C521" s="104">
        <v>294784</v>
      </c>
      <c r="D521" s="104">
        <v>13765896</v>
      </c>
      <c r="E521" s="104">
        <v>97.86</v>
      </c>
      <c r="F521" s="212">
        <f t="shared" si="54"/>
        <v>13.765896</v>
      </c>
      <c r="H521" s="224">
        <v>45395</v>
      </c>
      <c r="I521" s="173">
        <v>2765523</v>
      </c>
      <c r="J521" s="173">
        <v>146714</v>
      </c>
      <c r="K521" s="173">
        <v>2912237</v>
      </c>
      <c r="L521" s="173">
        <v>94.96</v>
      </c>
      <c r="M521" s="225">
        <f t="shared" si="53"/>
        <v>2.9122370000000002</v>
      </c>
      <c r="O521" s="224">
        <v>45395</v>
      </c>
      <c r="P521" s="173">
        <v>74879510</v>
      </c>
      <c r="Q521" s="173">
        <v>34524221</v>
      </c>
      <c r="R521" s="173">
        <v>109403731</v>
      </c>
      <c r="S521" s="173">
        <v>68.44</v>
      </c>
      <c r="T521" s="223">
        <f t="shared" si="57"/>
        <v>109.40373099999999</v>
      </c>
      <c r="W521" s="215">
        <v>45395</v>
      </c>
      <c r="X521">
        <v>10127</v>
      </c>
      <c r="Y521" s="104">
        <v>12000</v>
      </c>
      <c r="Z521" s="114">
        <f>AC520/Y521%</f>
        <v>8.9666666666666668</v>
      </c>
      <c r="AB521" s="215">
        <v>45395</v>
      </c>
      <c r="AC521">
        <v>1001</v>
      </c>
      <c r="AD521" s="104">
        <v>12000</v>
      </c>
      <c r="AE521" s="114">
        <f t="shared" si="56"/>
        <v>8.3416666666666668</v>
      </c>
      <c r="AG521" s="215">
        <v>45395</v>
      </c>
      <c r="AH521">
        <v>10870</v>
      </c>
      <c r="AI521" s="104">
        <v>12000</v>
      </c>
      <c r="AJ521" s="46">
        <f t="shared" si="55"/>
        <v>90.583333333333329</v>
      </c>
      <c r="AL521" s="222">
        <v>45363</v>
      </c>
      <c r="AM521" s="101" t="s">
        <v>197</v>
      </c>
      <c r="AN521" s="101">
        <v>25083</v>
      </c>
      <c r="AP521" s="222">
        <v>45363</v>
      </c>
      <c r="AQ521" s="101" t="s">
        <v>191</v>
      </c>
      <c r="AR521" s="101">
        <v>1893366</v>
      </c>
      <c r="AT521" s="222">
        <v>45363</v>
      </c>
      <c r="AU521" s="101" t="s">
        <v>193</v>
      </c>
      <c r="AV521" s="101">
        <v>831</v>
      </c>
    </row>
    <row r="522" spans="1:48" hidden="1" x14ac:dyDescent="0.25">
      <c r="A522" s="215">
        <v>45396</v>
      </c>
      <c r="B522" s="104">
        <v>13624161</v>
      </c>
      <c r="C522" s="104">
        <v>282428</v>
      </c>
      <c r="D522" s="104">
        <v>13906589</v>
      </c>
      <c r="E522" s="104">
        <v>97.97</v>
      </c>
      <c r="F522" s="212">
        <f t="shared" si="54"/>
        <v>13.906589</v>
      </c>
      <c r="H522" s="215">
        <v>45396</v>
      </c>
      <c r="I522" s="104">
        <v>1167507</v>
      </c>
      <c r="J522" s="104">
        <v>2836864</v>
      </c>
      <c r="K522" s="104">
        <v>4004371</v>
      </c>
      <c r="L522" s="104">
        <v>29.16</v>
      </c>
      <c r="M522" s="114">
        <f t="shared" si="53"/>
        <v>4.0043709999999999</v>
      </c>
      <c r="O522" s="215">
        <v>45396</v>
      </c>
      <c r="P522" s="104">
        <v>53074040</v>
      </c>
      <c r="Q522" s="104">
        <v>24031956</v>
      </c>
      <c r="R522" s="104">
        <v>77105996</v>
      </c>
      <c r="S522" s="104">
        <v>68.83</v>
      </c>
      <c r="T522" s="212">
        <f t="shared" si="57"/>
        <v>77.105996000000005</v>
      </c>
      <c r="W522" s="215">
        <v>45396</v>
      </c>
      <c r="X522">
        <v>5708</v>
      </c>
      <c r="Y522" s="104">
        <v>12000</v>
      </c>
      <c r="Z522" s="114">
        <f>AH520/Y522%</f>
        <v>97.45</v>
      </c>
      <c r="AB522" s="215">
        <v>45396</v>
      </c>
      <c r="AC522">
        <v>946</v>
      </c>
      <c r="AD522" s="104">
        <v>12000</v>
      </c>
      <c r="AE522" s="114">
        <f t="shared" si="56"/>
        <v>7.8833333333333337</v>
      </c>
      <c r="AG522" s="215">
        <v>45396</v>
      </c>
      <c r="AH522">
        <v>6257</v>
      </c>
      <c r="AI522" s="104">
        <v>12000</v>
      </c>
      <c r="AJ522" s="46">
        <f t="shared" si="55"/>
        <v>52.141666666666666</v>
      </c>
      <c r="AL522" s="222">
        <v>45363</v>
      </c>
      <c r="AM522" s="101" t="s">
        <v>192</v>
      </c>
      <c r="AN522" s="101">
        <v>23189</v>
      </c>
      <c r="AP522" s="222">
        <v>45363</v>
      </c>
      <c r="AQ522" s="101" t="s">
        <v>194</v>
      </c>
      <c r="AR522" s="101">
        <v>1142820</v>
      </c>
    </row>
    <row r="523" spans="1:48" hidden="1" x14ac:dyDescent="0.25">
      <c r="A523" s="215">
        <v>45397</v>
      </c>
      <c r="B523" s="48">
        <v>13609859</v>
      </c>
      <c r="C523" s="48">
        <v>247867</v>
      </c>
      <c r="D523" s="48">
        <v>13857726</v>
      </c>
      <c r="E523" s="48">
        <v>98.21</v>
      </c>
      <c r="F523" s="212">
        <f t="shared" si="54"/>
        <v>13.857726</v>
      </c>
      <c r="H523" s="215">
        <v>45397</v>
      </c>
      <c r="I523" s="48">
        <v>2547437</v>
      </c>
      <c r="J523" s="48">
        <v>936384</v>
      </c>
      <c r="K523" s="48">
        <v>3483821</v>
      </c>
      <c r="L523" s="48">
        <v>73.12</v>
      </c>
      <c r="M523" s="114">
        <f t="shared" si="53"/>
        <v>3.4838209999999998</v>
      </c>
      <c r="O523" s="215">
        <v>45397</v>
      </c>
      <c r="P523" s="48">
        <v>69408689</v>
      </c>
      <c r="Q523" s="48">
        <v>37188351</v>
      </c>
      <c r="R523" s="48">
        <v>106597040</v>
      </c>
      <c r="S523" s="48">
        <v>65.11</v>
      </c>
      <c r="T523" s="212">
        <f t="shared" si="57"/>
        <v>106.59704000000001</v>
      </c>
      <c r="W523" s="215">
        <v>45397</v>
      </c>
      <c r="X523">
        <v>7518</v>
      </c>
      <c r="Y523" s="104">
        <v>12000</v>
      </c>
      <c r="Z523" s="114">
        <f>AH521/Y523%</f>
        <v>90.583333333333329</v>
      </c>
      <c r="AB523" s="215">
        <v>45397</v>
      </c>
      <c r="AC523">
        <v>1061</v>
      </c>
      <c r="AD523" s="104">
        <v>12000</v>
      </c>
      <c r="AE523" s="114">
        <f t="shared" si="56"/>
        <v>8.8416666666666668</v>
      </c>
      <c r="AG523" s="215">
        <v>45397</v>
      </c>
      <c r="AH523">
        <v>8162</v>
      </c>
      <c r="AI523" s="104">
        <v>12000</v>
      </c>
      <c r="AJ523" s="46">
        <f t="shared" si="55"/>
        <v>68.016666666666666</v>
      </c>
      <c r="AL523" s="222">
        <v>45363</v>
      </c>
      <c r="AM523" s="101" t="s">
        <v>194</v>
      </c>
      <c r="AN523" s="101">
        <v>15119</v>
      </c>
      <c r="AP523" s="222">
        <v>45363</v>
      </c>
      <c r="AQ523" s="101" t="s">
        <v>206</v>
      </c>
      <c r="AR523" s="101">
        <v>289980</v>
      </c>
    </row>
    <row r="524" spans="1:48" hidden="1" x14ac:dyDescent="0.25">
      <c r="A524" s="215">
        <v>45398</v>
      </c>
      <c r="B524" s="101">
        <v>13610513</v>
      </c>
      <c r="C524" s="101">
        <v>296212</v>
      </c>
      <c r="D524" s="101">
        <v>13906725</v>
      </c>
      <c r="E524" s="101">
        <v>97.87</v>
      </c>
      <c r="F524" s="212">
        <f t="shared" si="54"/>
        <v>13.906725</v>
      </c>
      <c r="H524" s="215">
        <v>45398</v>
      </c>
      <c r="I524" s="101">
        <v>4757954</v>
      </c>
      <c r="J524" s="101">
        <v>1601</v>
      </c>
      <c r="K524" s="101">
        <v>4759555</v>
      </c>
      <c r="L524" s="101">
        <v>99.97</v>
      </c>
      <c r="M524" s="114">
        <f t="shared" si="53"/>
        <v>4.7595549999999998</v>
      </c>
      <c r="O524" s="215">
        <v>45398</v>
      </c>
      <c r="P524" s="101">
        <v>65987387</v>
      </c>
      <c r="Q524" s="101">
        <v>35628910</v>
      </c>
      <c r="R524" s="101">
        <v>101616297</v>
      </c>
      <c r="S524" s="101">
        <v>64.94</v>
      </c>
      <c r="T524" s="212">
        <f t="shared" si="57"/>
        <v>101.616297</v>
      </c>
      <c r="W524" s="215">
        <v>45398</v>
      </c>
      <c r="X524">
        <v>11000</v>
      </c>
      <c r="Y524" s="104">
        <v>12000</v>
      </c>
      <c r="Z524" s="114">
        <f>AH522/Y524%</f>
        <v>52.141666666666666</v>
      </c>
      <c r="AB524" s="215">
        <v>45398</v>
      </c>
      <c r="AC524">
        <v>1741</v>
      </c>
      <c r="AD524" s="104">
        <v>12000</v>
      </c>
      <c r="AE524" s="114">
        <f t="shared" si="56"/>
        <v>14.508333333333333</v>
      </c>
      <c r="AG524" s="215">
        <v>45398</v>
      </c>
      <c r="AH524">
        <v>11692</v>
      </c>
      <c r="AI524" s="104">
        <v>12000</v>
      </c>
      <c r="AJ524" s="46">
        <f t="shared" si="55"/>
        <v>97.433333333333337</v>
      </c>
      <c r="AL524" s="222">
        <v>45363</v>
      </c>
      <c r="AM524" s="101" t="s">
        <v>191</v>
      </c>
      <c r="AN524" s="101">
        <v>14170</v>
      </c>
      <c r="AP524" s="222">
        <v>45363</v>
      </c>
      <c r="AQ524" s="101" t="s">
        <v>208</v>
      </c>
      <c r="AR524" s="101">
        <v>143318</v>
      </c>
    </row>
    <row r="525" spans="1:48" hidden="1" x14ac:dyDescent="0.25">
      <c r="A525" s="215">
        <v>45399</v>
      </c>
      <c r="B525" s="101">
        <v>13595679</v>
      </c>
      <c r="C525" s="101">
        <v>317241</v>
      </c>
      <c r="D525" s="101">
        <v>13912920</v>
      </c>
      <c r="E525" s="101">
        <v>97.72</v>
      </c>
      <c r="F525" s="212">
        <f t="shared" si="54"/>
        <v>13.91292</v>
      </c>
      <c r="H525" s="215">
        <v>45399</v>
      </c>
      <c r="I525" s="101">
        <v>3689243</v>
      </c>
      <c r="J525" s="101">
        <v>127</v>
      </c>
      <c r="K525" s="101">
        <v>3689370</v>
      </c>
      <c r="L525" s="101">
        <v>100</v>
      </c>
      <c r="M525" s="114">
        <f t="shared" si="53"/>
        <v>3.6893699999999998</v>
      </c>
      <c r="O525" s="215">
        <v>45399</v>
      </c>
      <c r="P525" s="101">
        <v>76670239</v>
      </c>
      <c r="Q525" s="101">
        <v>43609149</v>
      </c>
      <c r="R525" s="101">
        <v>120279388</v>
      </c>
      <c r="S525" s="101">
        <v>63.74</v>
      </c>
      <c r="T525" s="212">
        <f t="shared" si="57"/>
        <v>120.279388</v>
      </c>
      <c r="W525" s="215">
        <v>45399</v>
      </c>
      <c r="X525">
        <v>11000</v>
      </c>
      <c r="Y525" s="104">
        <v>12000</v>
      </c>
      <c r="Z525" s="114">
        <f>AH523/Y525%</f>
        <v>68.016666666666666</v>
      </c>
      <c r="AB525" s="215">
        <v>45399</v>
      </c>
      <c r="AC525">
        <v>1060</v>
      </c>
      <c r="AD525" s="104">
        <v>12000</v>
      </c>
      <c r="AE525" s="114">
        <f t="shared" si="56"/>
        <v>8.8333333333333339</v>
      </c>
      <c r="AG525" s="215">
        <v>45399</v>
      </c>
      <c r="AH525">
        <v>11531</v>
      </c>
      <c r="AI525" s="104">
        <v>12000</v>
      </c>
      <c r="AJ525" s="46">
        <f t="shared" si="55"/>
        <v>96.091666666666669</v>
      </c>
    </row>
    <row r="526" spans="1:48" hidden="1" x14ac:dyDescent="0.25">
      <c r="A526" s="215">
        <v>45400</v>
      </c>
      <c r="B526" s="101">
        <v>14082818</v>
      </c>
      <c r="C526" s="101">
        <v>295606</v>
      </c>
      <c r="D526" s="101">
        <v>14378424</v>
      </c>
      <c r="E526" s="101">
        <v>97.94</v>
      </c>
      <c r="F526" s="212">
        <f t="shared" si="54"/>
        <v>14.378424000000001</v>
      </c>
      <c r="H526" s="215">
        <v>45400</v>
      </c>
      <c r="I526" s="101">
        <v>2077372</v>
      </c>
      <c r="J526" s="101">
        <v>3786</v>
      </c>
      <c r="K526" s="101">
        <v>2081158</v>
      </c>
      <c r="L526" s="101">
        <v>99.82</v>
      </c>
      <c r="M526" s="114">
        <f t="shared" si="53"/>
        <v>2.0811579999999998</v>
      </c>
      <c r="O526" s="215">
        <v>45400</v>
      </c>
      <c r="P526" s="101">
        <v>70418741</v>
      </c>
      <c r="Q526" s="101">
        <v>36865034</v>
      </c>
      <c r="R526" s="101">
        <v>107283775</v>
      </c>
      <c r="S526" s="101">
        <v>65.64</v>
      </c>
      <c r="T526" s="212">
        <f t="shared" si="57"/>
        <v>107.28377500000001</v>
      </c>
      <c r="W526" s="215">
        <v>45400</v>
      </c>
      <c r="X526">
        <v>7431</v>
      </c>
      <c r="Y526" s="104">
        <v>12000</v>
      </c>
      <c r="Z526" s="114">
        <f>AH524/Y526%</f>
        <v>97.433333333333337</v>
      </c>
      <c r="AB526" s="215">
        <v>45400</v>
      </c>
      <c r="AC526">
        <v>1038</v>
      </c>
      <c r="AD526" s="104">
        <v>12000</v>
      </c>
      <c r="AE526" s="114">
        <f t="shared" si="56"/>
        <v>8.65</v>
      </c>
      <c r="AG526" s="215">
        <v>45400</v>
      </c>
      <c r="AH526">
        <v>8029</v>
      </c>
      <c r="AI526" s="104">
        <v>12000</v>
      </c>
      <c r="AJ526" s="46">
        <f t="shared" si="55"/>
        <v>66.908333333333331</v>
      </c>
      <c r="AL526" s="222">
        <v>45364</v>
      </c>
      <c r="AM526" s="101" t="s">
        <v>189</v>
      </c>
      <c r="AN526" s="101">
        <v>170155</v>
      </c>
      <c r="AP526" s="222">
        <v>45364</v>
      </c>
      <c r="AQ526" s="101" t="s">
        <v>189</v>
      </c>
      <c r="AR526" s="101">
        <v>26865193</v>
      </c>
      <c r="AT526" s="222">
        <v>45364</v>
      </c>
      <c r="AU526" s="101" t="s">
        <v>204</v>
      </c>
      <c r="AV526" s="101">
        <v>115422</v>
      </c>
    </row>
    <row r="527" spans="1:48" hidden="1" x14ac:dyDescent="0.25">
      <c r="A527" s="215">
        <v>45401</v>
      </c>
      <c r="B527" s="101">
        <v>14708848</v>
      </c>
      <c r="C527" s="101">
        <v>293767</v>
      </c>
      <c r="D527" s="101">
        <v>15002615</v>
      </c>
      <c r="E527" s="101">
        <v>98.04</v>
      </c>
      <c r="F527" s="212">
        <f t="shared" si="54"/>
        <v>15.002615</v>
      </c>
      <c r="H527" s="215">
        <v>45401</v>
      </c>
      <c r="I527" s="101">
        <v>2318472</v>
      </c>
      <c r="J527" s="101">
        <v>109</v>
      </c>
      <c r="K527" s="101">
        <v>2318581</v>
      </c>
      <c r="L527" s="101">
        <v>100</v>
      </c>
      <c r="M527" s="114">
        <f t="shared" si="53"/>
        <v>2.318581</v>
      </c>
      <c r="O527" s="215">
        <v>45401</v>
      </c>
      <c r="P527" s="101">
        <v>77188724</v>
      </c>
      <c r="Q527" s="101">
        <v>42406977</v>
      </c>
      <c r="R527" s="101">
        <v>119595701</v>
      </c>
      <c r="S527" s="101">
        <v>64.540000000000006</v>
      </c>
      <c r="T527" s="212">
        <f t="shared" si="57"/>
        <v>119.59570100000001</v>
      </c>
      <c r="W527" s="215">
        <v>45401</v>
      </c>
      <c r="X527">
        <v>9146</v>
      </c>
      <c r="Y527" s="104">
        <v>12000</v>
      </c>
      <c r="Z527" s="114">
        <f t="shared" ref="Z527:Z563" si="58">AH525/Y527%</f>
        <v>96.091666666666669</v>
      </c>
      <c r="AB527" s="215">
        <v>45401</v>
      </c>
      <c r="AC527">
        <v>1115</v>
      </c>
      <c r="AD527" s="104">
        <v>12000</v>
      </c>
      <c r="AE527" s="114">
        <f t="shared" si="56"/>
        <v>9.2916666666666661</v>
      </c>
      <c r="AG527" s="215">
        <v>45401</v>
      </c>
      <c r="AH527">
        <v>9679</v>
      </c>
      <c r="AI527" s="104">
        <v>12000</v>
      </c>
      <c r="AJ527" s="46">
        <f t="shared" si="55"/>
        <v>80.658333333333331</v>
      </c>
      <c r="AL527" s="222">
        <v>45364</v>
      </c>
      <c r="AM527" s="101" t="s">
        <v>197</v>
      </c>
      <c r="AN527" s="101">
        <v>27715</v>
      </c>
      <c r="AP527" s="222">
        <v>45364</v>
      </c>
      <c r="AQ527" s="101" t="s">
        <v>191</v>
      </c>
      <c r="AR527" s="101">
        <v>1756420</v>
      </c>
      <c r="AT527" s="222">
        <v>45364</v>
      </c>
      <c r="AU527" s="101" t="s">
        <v>193</v>
      </c>
      <c r="AV527" s="101">
        <v>93404</v>
      </c>
    </row>
    <row r="528" spans="1:48" hidden="1" x14ac:dyDescent="0.25">
      <c r="A528" s="215">
        <v>45402</v>
      </c>
      <c r="B528" s="101">
        <v>15205445</v>
      </c>
      <c r="C528" s="101">
        <v>351172</v>
      </c>
      <c r="D528" s="101">
        <v>15556617</v>
      </c>
      <c r="E528" s="101">
        <v>97.74</v>
      </c>
      <c r="F528" s="212">
        <f t="shared" si="54"/>
        <v>15.556616999999999</v>
      </c>
      <c r="H528" s="215">
        <v>45402</v>
      </c>
      <c r="I528" s="101">
        <v>2268841</v>
      </c>
      <c r="J528" s="101">
        <v>68</v>
      </c>
      <c r="K528" s="101">
        <v>2268909</v>
      </c>
      <c r="L528" s="101">
        <v>100</v>
      </c>
      <c r="M528" s="114">
        <f t="shared" si="53"/>
        <v>2.2689089999999998</v>
      </c>
      <c r="O528" s="215">
        <v>45402</v>
      </c>
      <c r="P528" s="101">
        <v>73197485</v>
      </c>
      <c r="Q528" s="101">
        <v>38643656</v>
      </c>
      <c r="R528" s="101">
        <v>111841141</v>
      </c>
      <c r="S528" s="101">
        <v>65.45</v>
      </c>
      <c r="T528" s="212">
        <f t="shared" si="57"/>
        <v>111.84114099999999</v>
      </c>
      <c r="W528" s="215">
        <v>45402</v>
      </c>
      <c r="X528">
        <v>8692</v>
      </c>
      <c r="Y528" s="104">
        <v>12000</v>
      </c>
      <c r="Z528" s="114">
        <f t="shared" si="58"/>
        <v>66.908333333333331</v>
      </c>
      <c r="AB528" s="215">
        <v>45402</v>
      </c>
      <c r="AC528">
        <v>1132</v>
      </c>
      <c r="AD528" s="104">
        <v>12000</v>
      </c>
      <c r="AE528" s="114">
        <f t="shared" si="56"/>
        <v>9.4333333333333336</v>
      </c>
      <c r="AG528" s="215">
        <v>45402</v>
      </c>
      <c r="AH528">
        <v>9309</v>
      </c>
      <c r="AI528" s="104">
        <v>12000</v>
      </c>
      <c r="AJ528" s="46">
        <f t="shared" si="55"/>
        <v>77.575000000000003</v>
      </c>
      <c r="AL528" s="222">
        <v>45364</v>
      </c>
      <c r="AM528" s="101" t="s">
        <v>192</v>
      </c>
      <c r="AN528" s="101">
        <v>22006</v>
      </c>
      <c r="AP528" s="222">
        <v>45364</v>
      </c>
      <c r="AQ528" s="101" t="s">
        <v>194</v>
      </c>
      <c r="AR528" s="101">
        <v>1039106</v>
      </c>
      <c r="AT528" s="222">
        <v>45364</v>
      </c>
      <c r="AU528" s="101" t="s">
        <v>190</v>
      </c>
      <c r="AV528" s="101">
        <v>2014</v>
      </c>
    </row>
    <row r="529" spans="1:48" hidden="1" x14ac:dyDescent="0.25">
      <c r="A529" s="215">
        <v>45403</v>
      </c>
      <c r="B529" s="101">
        <v>14826300</v>
      </c>
      <c r="C529" s="101">
        <v>314997</v>
      </c>
      <c r="D529" s="101">
        <v>15141297</v>
      </c>
      <c r="E529" s="101">
        <v>97.92</v>
      </c>
      <c r="F529" s="212">
        <f t="shared" si="54"/>
        <v>15.141297</v>
      </c>
      <c r="H529" s="215">
        <v>45403</v>
      </c>
      <c r="I529" s="101">
        <v>2075220</v>
      </c>
      <c r="J529" s="101">
        <v>73</v>
      </c>
      <c r="K529" s="101">
        <v>2075293</v>
      </c>
      <c r="L529" s="101">
        <v>100</v>
      </c>
      <c r="M529" s="114">
        <f t="shared" ref="M529:M597" si="59">K529/1000000</f>
        <v>2.0752929999999998</v>
      </c>
      <c r="O529" s="215">
        <v>45403</v>
      </c>
      <c r="P529" s="101">
        <v>57506035</v>
      </c>
      <c r="Q529" s="101">
        <v>26737260</v>
      </c>
      <c r="R529" s="101">
        <v>84243295</v>
      </c>
      <c r="S529" s="101">
        <v>68.260000000000005</v>
      </c>
      <c r="T529" s="212">
        <f t="shared" si="57"/>
        <v>84.243295000000003</v>
      </c>
      <c r="W529" s="215">
        <v>45403</v>
      </c>
      <c r="X529">
        <v>5260</v>
      </c>
      <c r="Y529" s="104">
        <v>12000</v>
      </c>
      <c r="Z529" s="114">
        <f t="shared" si="58"/>
        <v>80.658333333333331</v>
      </c>
      <c r="AB529" s="215">
        <v>45403</v>
      </c>
      <c r="AC529">
        <v>927</v>
      </c>
      <c r="AD529" s="104">
        <v>12000</v>
      </c>
      <c r="AE529" s="114">
        <f t="shared" si="56"/>
        <v>7.7249999999999996</v>
      </c>
      <c r="AG529" s="215">
        <v>45403</v>
      </c>
      <c r="AH529">
        <v>5707</v>
      </c>
      <c r="AI529" s="104">
        <v>12000</v>
      </c>
      <c r="AJ529" s="46">
        <f t="shared" si="55"/>
        <v>47.55833333333333</v>
      </c>
      <c r="AL529" s="222">
        <v>45364</v>
      </c>
      <c r="AM529" s="101" t="s">
        <v>194</v>
      </c>
      <c r="AN529" s="101">
        <v>15796</v>
      </c>
      <c r="AP529" s="222">
        <v>45364</v>
      </c>
      <c r="AQ529" s="101" t="s">
        <v>206</v>
      </c>
      <c r="AR529" s="101">
        <v>177855</v>
      </c>
    </row>
    <row r="530" spans="1:48" hidden="1" x14ac:dyDescent="0.25">
      <c r="A530" s="215">
        <v>45404</v>
      </c>
      <c r="B530" s="101">
        <v>14297734</v>
      </c>
      <c r="C530" s="101">
        <v>271420</v>
      </c>
      <c r="D530" s="101">
        <v>14569154</v>
      </c>
      <c r="E530" s="101">
        <v>98.14</v>
      </c>
      <c r="F530" s="212">
        <f t="shared" si="54"/>
        <v>14.569153999999999</v>
      </c>
      <c r="H530" s="215">
        <v>45404</v>
      </c>
      <c r="I530" s="101">
        <v>2025601</v>
      </c>
      <c r="J530" s="101">
        <v>393</v>
      </c>
      <c r="K530" s="101">
        <v>2025994</v>
      </c>
      <c r="L530" s="101">
        <v>99.98</v>
      </c>
      <c r="M530" s="114">
        <f t="shared" si="59"/>
        <v>2.0259939999999999</v>
      </c>
      <c r="O530" s="215">
        <v>45404</v>
      </c>
      <c r="P530" s="101">
        <v>73267981</v>
      </c>
      <c r="Q530" s="101">
        <v>41284884</v>
      </c>
      <c r="R530" s="101">
        <v>114552865</v>
      </c>
      <c r="S530" s="101">
        <v>63.96</v>
      </c>
      <c r="T530" s="212">
        <f t="shared" si="57"/>
        <v>114.552865</v>
      </c>
      <c r="W530" s="215">
        <v>45404</v>
      </c>
      <c r="X530">
        <v>9608</v>
      </c>
      <c r="Y530" s="104">
        <v>12000</v>
      </c>
      <c r="Z530" s="114">
        <f t="shared" si="58"/>
        <v>77.575000000000003</v>
      </c>
      <c r="AB530" s="215">
        <v>45404</v>
      </c>
      <c r="AC530">
        <v>1189</v>
      </c>
      <c r="AD530" s="104">
        <v>12000</v>
      </c>
      <c r="AE530" s="114">
        <f t="shared" si="56"/>
        <v>9.9083333333333332</v>
      </c>
      <c r="AG530" s="215">
        <v>45404</v>
      </c>
      <c r="AH530">
        <v>10192</v>
      </c>
      <c r="AI530" s="104">
        <v>12000</v>
      </c>
      <c r="AJ530" s="46">
        <f t="shared" si="55"/>
        <v>84.933333333333337</v>
      </c>
      <c r="AL530" s="222">
        <v>45364</v>
      </c>
      <c r="AM530" s="101" t="s">
        <v>191</v>
      </c>
      <c r="AN530" s="101">
        <v>13854</v>
      </c>
      <c r="AP530" s="222">
        <v>45364</v>
      </c>
      <c r="AQ530" s="101" t="s">
        <v>192</v>
      </c>
      <c r="AR530" s="101">
        <v>142404</v>
      </c>
    </row>
    <row r="531" spans="1:48" hidden="1" x14ac:dyDescent="0.25">
      <c r="A531" s="215">
        <v>45405</v>
      </c>
      <c r="B531" s="101">
        <v>15247777</v>
      </c>
      <c r="C531" s="101">
        <v>333758</v>
      </c>
      <c r="D531" s="101">
        <v>15581535</v>
      </c>
      <c r="E531" s="101">
        <v>97.86</v>
      </c>
      <c r="F531" s="212">
        <f t="shared" si="54"/>
        <v>15.581535000000001</v>
      </c>
      <c r="H531" s="215">
        <v>45405</v>
      </c>
      <c r="I531" s="101">
        <v>3282905</v>
      </c>
      <c r="J531" s="101">
        <v>144</v>
      </c>
      <c r="K531" s="101">
        <v>3283049</v>
      </c>
      <c r="L531" s="101">
        <v>100</v>
      </c>
      <c r="M531" s="114">
        <f t="shared" si="59"/>
        <v>3.2830490000000001</v>
      </c>
      <c r="O531" s="215">
        <v>45405</v>
      </c>
      <c r="P531" s="101">
        <v>64147971</v>
      </c>
      <c r="Q531" s="101">
        <v>35204094</v>
      </c>
      <c r="R531" s="101">
        <v>99352065</v>
      </c>
      <c r="S531" s="101">
        <v>64.569999999999993</v>
      </c>
      <c r="T531" s="212">
        <f t="shared" si="57"/>
        <v>99.352064999999996</v>
      </c>
      <c r="W531" s="215">
        <v>45405</v>
      </c>
      <c r="X531">
        <v>8695</v>
      </c>
      <c r="Y531" s="104">
        <v>12000</v>
      </c>
      <c r="Z531" s="114">
        <f t="shared" si="58"/>
        <v>47.55833333333333</v>
      </c>
      <c r="AB531" s="215">
        <v>45405</v>
      </c>
      <c r="AC531">
        <v>1066</v>
      </c>
      <c r="AD531" s="104">
        <v>12000</v>
      </c>
      <c r="AE531" s="114">
        <f t="shared" si="56"/>
        <v>8.8833333333333329</v>
      </c>
      <c r="AG531" s="215">
        <v>45405</v>
      </c>
      <c r="AH531">
        <v>9461</v>
      </c>
      <c r="AI531" s="104">
        <v>12000</v>
      </c>
      <c r="AJ531" s="46">
        <f t="shared" si="55"/>
        <v>78.841666666666669</v>
      </c>
      <c r="AL531" s="222">
        <v>45368</v>
      </c>
      <c r="AM531" s="101" t="s">
        <v>189</v>
      </c>
      <c r="AN531" s="101">
        <v>161985</v>
      </c>
      <c r="AP531" s="222">
        <v>45368</v>
      </c>
      <c r="AQ531" s="101" t="s">
        <v>189</v>
      </c>
      <c r="AR531" s="101">
        <v>9577773</v>
      </c>
    </row>
    <row r="532" spans="1:48" hidden="1" x14ac:dyDescent="0.25">
      <c r="A532" s="215">
        <v>45406</v>
      </c>
      <c r="B532" s="101">
        <v>14957104</v>
      </c>
      <c r="C532" s="101">
        <v>342625</v>
      </c>
      <c r="D532" s="101">
        <v>15299729</v>
      </c>
      <c r="E532" s="101">
        <v>97.76</v>
      </c>
      <c r="F532" s="212">
        <f t="shared" si="54"/>
        <v>15.299728999999999</v>
      </c>
      <c r="H532" s="215">
        <v>45406</v>
      </c>
      <c r="I532" s="101">
        <v>2707213</v>
      </c>
      <c r="J532" s="101">
        <v>138</v>
      </c>
      <c r="K532" s="101">
        <v>2707351</v>
      </c>
      <c r="L532" s="101">
        <v>99.99</v>
      </c>
      <c r="M532" s="114">
        <f t="shared" si="59"/>
        <v>2.7073510000000001</v>
      </c>
      <c r="O532" s="215">
        <v>45406</v>
      </c>
      <c r="P532" s="101">
        <v>70593936</v>
      </c>
      <c r="Q532" s="101">
        <v>37520569</v>
      </c>
      <c r="R532" s="101">
        <v>108114505</v>
      </c>
      <c r="S532" s="101">
        <v>65.3</v>
      </c>
      <c r="T532" s="212">
        <f t="shared" si="57"/>
        <v>108.11450499999999</v>
      </c>
      <c r="W532" s="215">
        <v>45406</v>
      </c>
      <c r="X532">
        <v>8503</v>
      </c>
      <c r="Y532" s="104">
        <v>12000</v>
      </c>
      <c r="Z532" s="114">
        <f t="shared" si="58"/>
        <v>84.933333333333337</v>
      </c>
      <c r="AB532" s="215">
        <v>45406</v>
      </c>
      <c r="AC532">
        <v>1130</v>
      </c>
      <c r="AD532" s="104">
        <v>12000</v>
      </c>
      <c r="AE532" s="114">
        <f t="shared" si="56"/>
        <v>9.4166666666666661</v>
      </c>
      <c r="AG532" s="215">
        <v>45406</v>
      </c>
      <c r="AH532">
        <v>9185</v>
      </c>
      <c r="AI532" s="104">
        <v>12000</v>
      </c>
      <c r="AJ532" s="46">
        <f t="shared" si="55"/>
        <v>76.541666666666671</v>
      </c>
      <c r="AL532" s="222">
        <v>45368</v>
      </c>
      <c r="AM532" s="101" t="s">
        <v>192</v>
      </c>
      <c r="AN532" s="101">
        <v>19373</v>
      </c>
      <c r="AP532" s="222">
        <v>45368</v>
      </c>
      <c r="AQ532" s="101" t="s">
        <v>194</v>
      </c>
      <c r="AR532" s="101">
        <v>786311</v>
      </c>
      <c r="AT532" s="222">
        <v>45368</v>
      </c>
      <c r="AU532" s="101" t="s">
        <v>190</v>
      </c>
      <c r="AV532" s="101">
        <v>2686038</v>
      </c>
    </row>
    <row r="533" spans="1:48" hidden="1" x14ac:dyDescent="0.25">
      <c r="A533" s="215">
        <v>45407</v>
      </c>
      <c r="B533" s="101">
        <v>14754341</v>
      </c>
      <c r="C533" s="101">
        <v>339234</v>
      </c>
      <c r="D533" s="101">
        <v>15093575</v>
      </c>
      <c r="E533" s="101">
        <v>97.75</v>
      </c>
      <c r="F533" s="212">
        <f t="shared" si="54"/>
        <v>15.093575</v>
      </c>
      <c r="H533" s="215">
        <v>45407</v>
      </c>
      <c r="I533" s="101">
        <v>2068715</v>
      </c>
      <c r="J533" s="101">
        <v>74</v>
      </c>
      <c r="K533" s="101">
        <v>2068789</v>
      </c>
      <c r="L533" s="101">
        <v>100</v>
      </c>
      <c r="M533" s="114">
        <f t="shared" si="59"/>
        <v>2.0687890000000002</v>
      </c>
      <c r="O533" s="215">
        <v>45407</v>
      </c>
      <c r="P533" s="101">
        <v>71282082</v>
      </c>
      <c r="Q533" s="101">
        <v>36400193</v>
      </c>
      <c r="R533" s="101">
        <v>107682275</v>
      </c>
      <c r="S533" s="101">
        <v>66.2</v>
      </c>
      <c r="T533" s="212">
        <f t="shared" si="57"/>
        <v>107.682275</v>
      </c>
      <c r="W533" s="215">
        <v>45407</v>
      </c>
      <c r="X533">
        <v>11000</v>
      </c>
      <c r="Y533" s="104">
        <v>12000</v>
      </c>
      <c r="Z533" s="114">
        <f t="shared" si="58"/>
        <v>78.841666666666669</v>
      </c>
      <c r="AB533" s="215">
        <v>45407</v>
      </c>
      <c r="AC533">
        <v>1212</v>
      </c>
      <c r="AD533" s="104">
        <v>12000</v>
      </c>
      <c r="AE533" s="114">
        <f t="shared" si="56"/>
        <v>10.1</v>
      </c>
      <c r="AG533" s="215">
        <v>45407</v>
      </c>
      <c r="AH533">
        <v>11546</v>
      </c>
      <c r="AI533" s="104">
        <v>12000</v>
      </c>
      <c r="AJ533" s="46">
        <f t="shared" si="55"/>
        <v>96.216666666666669</v>
      </c>
      <c r="AL533" s="222">
        <v>45368</v>
      </c>
      <c r="AM533" s="101" t="s">
        <v>195</v>
      </c>
      <c r="AN533" s="101">
        <v>14437</v>
      </c>
      <c r="AP533" s="222">
        <v>45368</v>
      </c>
      <c r="AQ533" s="101" t="s">
        <v>191</v>
      </c>
      <c r="AR533" s="101">
        <v>718159</v>
      </c>
      <c r="AT533" s="222">
        <v>45368</v>
      </c>
      <c r="AU533" s="101" t="s">
        <v>193</v>
      </c>
      <c r="AV533" s="101">
        <v>116994</v>
      </c>
    </row>
    <row r="534" spans="1:48" hidden="1" x14ac:dyDescent="0.25">
      <c r="A534" s="215">
        <v>45408</v>
      </c>
      <c r="B534" s="101">
        <v>15433122</v>
      </c>
      <c r="C534" s="101">
        <v>346153</v>
      </c>
      <c r="D534" s="101">
        <v>15779275</v>
      </c>
      <c r="E534" s="101">
        <v>97.81</v>
      </c>
      <c r="F534" s="212">
        <f t="shared" si="54"/>
        <v>15.779275</v>
      </c>
      <c r="H534" s="215">
        <v>45408</v>
      </c>
      <c r="I534" s="101">
        <v>4170559</v>
      </c>
      <c r="J534" s="101">
        <v>119</v>
      </c>
      <c r="K534" s="101">
        <v>4170678</v>
      </c>
      <c r="L534" s="101">
        <v>100</v>
      </c>
      <c r="M534" s="114">
        <f t="shared" si="59"/>
        <v>4.1706779999999997</v>
      </c>
      <c r="O534" s="215">
        <v>45408</v>
      </c>
      <c r="P534" s="101">
        <v>73328794</v>
      </c>
      <c r="Q534" s="101">
        <v>34908774</v>
      </c>
      <c r="R534" s="101">
        <v>108237568</v>
      </c>
      <c r="S534" s="101">
        <v>67.75</v>
      </c>
      <c r="T534" s="212">
        <f t="shared" si="57"/>
        <v>108.237568</v>
      </c>
      <c r="W534" s="215">
        <v>45408</v>
      </c>
      <c r="X534">
        <v>11000</v>
      </c>
      <c r="Y534" s="104">
        <v>12000</v>
      </c>
      <c r="Z534" s="114">
        <f t="shared" si="58"/>
        <v>76.541666666666671</v>
      </c>
      <c r="AB534" s="215">
        <v>45408</v>
      </c>
      <c r="AC534">
        <v>1242</v>
      </c>
      <c r="AD534" s="104">
        <v>12000</v>
      </c>
      <c r="AE534" s="114">
        <f t="shared" si="56"/>
        <v>10.35</v>
      </c>
      <c r="AG534" s="215">
        <v>45408</v>
      </c>
      <c r="AH534">
        <v>11610</v>
      </c>
      <c r="AI534" s="104">
        <v>12000</v>
      </c>
      <c r="AJ534" s="46">
        <f t="shared" si="55"/>
        <v>96.75</v>
      </c>
      <c r="AL534" s="222">
        <v>45368</v>
      </c>
      <c r="AM534" s="101" t="s">
        <v>197</v>
      </c>
      <c r="AN534" s="101">
        <v>13282</v>
      </c>
      <c r="AP534" s="222">
        <v>45368</v>
      </c>
      <c r="AQ534" s="101" t="s">
        <v>205</v>
      </c>
      <c r="AR534" s="101">
        <v>82907</v>
      </c>
      <c r="AT534" s="222">
        <v>45368</v>
      </c>
      <c r="AU534" s="101" t="s">
        <v>204</v>
      </c>
      <c r="AV534" s="101">
        <v>24869</v>
      </c>
    </row>
    <row r="535" spans="1:48" hidden="1" x14ac:dyDescent="0.25">
      <c r="A535" s="215">
        <v>45409</v>
      </c>
      <c r="B535" s="101">
        <v>15802163</v>
      </c>
      <c r="C535" s="101">
        <v>345081</v>
      </c>
      <c r="D535" s="101">
        <v>16147244</v>
      </c>
      <c r="E535" s="101">
        <v>97.86</v>
      </c>
      <c r="F535" s="212">
        <f t="shared" si="54"/>
        <v>16.147244000000001</v>
      </c>
      <c r="H535" s="215">
        <v>45409</v>
      </c>
      <c r="I535" s="101">
        <v>2107982</v>
      </c>
      <c r="J535" s="101">
        <v>82</v>
      </c>
      <c r="K535" s="101">
        <v>2108064</v>
      </c>
      <c r="L535" s="101">
        <v>100</v>
      </c>
      <c r="M535" s="114">
        <f t="shared" si="59"/>
        <v>2.1080640000000002</v>
      </c>
      <c r="O535" s="215">
        <v>45409</v>
      </c>
      <c r="P535" s="101">
        <v>73758896</v>
      </c>
      <c r="Q535" s="101">
        <v>34150177</v>
      </c>
      <c r="R535" s="101">
        <v>107909073</v>
      </c>
      <c r="S535" s="101">
        <v>68.349999999999994</v>
      </c>
      <c r="T535" s="212">
        <f t="shared" si="57"/>
        <v>107.90907300000001</v>
      </c>
      <c r="W535" s="215">
        <v>45409</v>
      </c>
      <c r="X535">
        <v>7319</v>
      </c>
      <c r="Y535" s="104">
        <v>12000</v>
      </c>
      <c r="Z535" s="114">
        <f t="shared" si="58"/>
        <v>96.216666666666669</v>
      </c>
      <c r="AB535" s="215">
        <v>45409</v>
      </c>
      <c r="AC535">
        <v>1149</v>
      </c>
      <c r="AD535" s="104">
        <v>12000</v>
      </c>
      <c r="AE535" s="114">
        <f t="shared" si="56"/>
        <v>9.5749999999999993</v>
      </c>
      <c r="AG535" s="215">
        <v>45409</v>
      </c>
      <c r="AH535">
        <v>7924</v>
      </c>
      <c r="AI535" s="104">
        <v>12000</v>
      </c>
      <c r="AJ535" s="46">
        <f t="shared" si="55"/>
        <v>66.033333333333331</v>
      </c>
      <c r="AL535" s="222">
        <v>45368</v>
      </c>
      <c r="AM535" s="101" t="s">
        <v>194</v>
      </c>
      <c r="AN535" s="101">
        <v>10976</v>
      </c>
      <c r="AP535" s="222">
        <v>45368</v>
      </c>
      <c r="AQ535" s="101" t="s">
        <v>195</v>
      </c>
      <c r="AR535" s="101">
        <v>56625</v>
      </c>
    </row>
    <row r="536" spans="1:48" hidden="1" x14ac:dyDescent="0.25">
      <c r="A536" s="215">
        <v>45410</v>
      </c>
      <c r="B536" s="101">
        <v>15691111</v>
      </c>
      <c r="C536" s="101">
        <v>297197</v>
      </c>
      <c r="D536" s="101">
        <v>15988308</v>
      </c>
      <c r="E536" s="101">
        <v>98.14</v>
      </c>
      <c r="F536" s="212">
        <f t="shared" si="54"/>
        <v>15.988308</v>
      </c>
      <c r="H536" s="215">
        <v>45410</v>
      </c>
      <c r="I536" s="101">
        <v>1892338</v>
      </c>
      <c r="J536" s="101">
        <v>60</v>
      </c>
      <c r="K536" s="101">
        <v>1892398</v>
      </c>
      <c r="L536" s="101">
        <v>100</v>
      </c>
      <c r="M536" s="114">
        <f t="shared" si="59"/>
        <v>1.892398</v>
      </c>
      <c r="O536" s="215">
        <v>45410</v>
      </c>
      <c r="P536" s="101">
        <v>53635202</v>
      </c>
      <c r="Q536" s="101">
        <v>19314038</v>
      </c>
      <c r="R536" s="101">
        <v>72949240</v>
      </c>
      <c r="S536" s="101">
        <v>73.52</v>
      </c>
      <c r="T536" s="212">
        <f t="shared" si="57"/>
        <v>72.949240000000003</v>
      </c>
      <c r="W536" s="215">
        <v>45410</v>
      </c>
      <c r="X536">
        <v>5533</v>
      </c>
      <c r="Y536" s="104">
        <v>12000</v>
      </c>
      <c r="Z536" s="114">
        <f t="shared" si="58"/>
        <v>96.75</v>
      </c>
      <c r="AB536" s="215">
        <v>45410</v>
      </c>
      <c r="AC536">
        <v>1072</v>
      </c>
      <c r="AD536" s="104">
        <v>12000</v>
      </c>
      <c r="AE536" s="114">
        <f t="shared" si="56"/>
        <v>8.9333333333333336</v>
      </c>
      <c r="AG536" s="215">
        <v>45410</v>
      </c>
      <c r="AH536">
        <v>5990</v>
      </c>
      <c r="AI536" s="104">
        <v>12000</v>
      </c>
      <c r="AJ536" s="46">
        <f t="shared" si="55"/>
        <v>49.916666666666664</v>
      </c>
      <c r="AL536" s="222">
        <v>45369</v>
      </c>
      <c r="AM536" s="101" t="s">
        <v>189</v>
      </c>
      <c r="AN536" s="101">
        <v>141719</v>
      </c>
      <c r="AP536" s="222">
        <v>45369</v>
      </c>
      <c r="AQ536" s="101" t="s">
        <v>189</v>
      </c>
      <c r="AR536" s="101">
        <v>23599873</v>
      </c>
    </row>
    <row r="537" spans="1:48" hidden="1" x14ac:dyDescent="0.25">
      <c r="A537" s="215">
        <v>45411</v>
      </c>
      <c r="B537" s="101">
        <v>18578062</v>
      </c>
      <c r="C537" s="101">
        <v>429024</v>
      </c>
      <c r="D537" s="101">
        <v>19007086</v>
      </c>
      <c r="E537" s="101">
        <v>97.74</v>
      </c>
      <c r="F537" s="212">
        <f t="shared" si="54"/>
        <v>19.007086000000001</v>
      </c>
      <c r="H537" s="215">
        <v>45411</v>
      </c>
      <c r="I537" s="101">
        <v>1967435</v>
      </c>
      <c r="J537" s="101">
        <v>67</v>
      </c>
      <c r="K537" s="101">
        <v>1967502</v>
      </c>
      <c r="L537" s="101">
        <v>100</v>
      </c>
      <c r="M537" s="114">
        <f t="shared" si="59"/>
        <v>1.9675020000000001</v>
      </c>
      <c r="O537" s="215">
        <v>45411</v>
      </c>
      <c r="P537">
        <v>72108754</v>
      </c>
      <c r="Q537">
        <v>40219142</v>
      </c>
      <c r="R537">
        <v>112327896</v>
      </c>
      <c r="S537">
        <v>64.19</v>
      </c>
      <c r="T537" s="212">
        <f t="shared" si="57"/>
        <v>112.327896</v>
      </c>
      <c r="W537" s="215">
        <v>45411</v>
      </c>
      <c r="X537">
        <v>11000</v>
      </c>
      <c r="Y537" s="104">
        <v>12000</v>
      </c>
      <c r="Z537" s="114">
        <f t="shared" si="58"/>
        <v>66.033333333333331</v>
      </c>
      <c r="AB537" s="215">
        <v>45411</v>
      </c>
      <c r="AC537">
        <v>1216</v>
      </c>
      <c r="AD537" s="104">
        <v>12000</v>
      </c>
      <c r="AE537" s="114">
        <f t="shared" si="56"/>
        <v>10.133333333333333</v>
      </c>
      <c r="AG537" s="215">
        <v>45411</v>
      </c>
      <c r="AH537">
        <v>11677</v>
      </c>
      <c r="AI537" s="104">
        <v>12000</v>
      </c>
      <c r="AJ537" s="46">
        <f t="shared" si="55"/>
        <v>97.308333333333337</v>
      </c>
      <c r="AL537" s="222">
        <v>45369</v>
      </c>
      <c r="AM537" s="101" t="s">
        <v>195</v>
      </c>
      <c r="AN537" s="101">
        <v>16297</v>
      </c>
      <c r="AP537" s="222">
        <v>45369</v>
      </c>
      <c r="AQ537" s="101" t="s">
        <v>191</v>
      </c>
      <c r="AR537" s="101">
        <v>1644789</v>
      </c>
      <c r="AT537" s="222">
        <v>45369</v>
      </c>
      <c r="AU537" s="101" t="s">
        <v>190</v>
      </c>
      <c r="AV537" s="101">
        <v>187973</v>
      </c>
    </row>
    <row r="538" spans="1:48" hidden="1" x14ac:dyDescent="0.25">
      <c r="A538" s="215">
        <v>45412</v>
      </c>
      <c r="B538" s="101">
        <v>16161585</v>
      </c>
      <c r="C538" s="101">
        <v>338434</v>
      </c>
      <c r="D538" s="101">
        <v>16500019</v>
      </c>
      <c r="E538" s="101">
        <v>97.95</v>
      </c>
      <c r="F538" s="212">
        <f t="shared" si="54"/>
        <v>16.500019000000002</v>
      </c>
      <c r="H538" s="215">
        <v>45412</v>
      </c>
      <c r="I538" s="101">
        <v>2743764</v>
      </c>
      <c r="J538" s="101">
        <v>3001</v>
      </c>
      <c r="K538" s="101">
        <v>2746765</v>
      </c>
      <c r="L538" s="101">
        <v>99.89</v>
      </c>
      <c r="M538" s="114">
        <f t="shared" si="59"/>
        <v>2.7467649999999999</v>
      </c>
      <c r="O538" s="215">
        <v>45412</v>
      </c>
      <c r="P538" s="101">
        <v>66083811</v>
      </c>
      <c r="Q538" s="101">
        <v>28601512</v>
      </c>
      <c r="R538" s="101">
        <v>94685323</v>
      </c>
      <c r="S538" s="101">
        <v>69.790000000000006</v>
      </c>
      <c r="T538" s="212">
        <f t="shared" si="57"/>
        <v>94.685322999999997</v>
      </c>
      <c r="W538" s="215">
        <v>45412</v>
      </c>
      <c r="X538">
        <v>10325</v>
      </c>
      <c r="Y538" s="104">
        <v>12000</v>
      </c>
      <c r="Z538" s="114">
        <f t="shared" si="58"/>
        <v>49.916666666666664</v>
      </c>
      <c r="AB538" s="215">
        <v>45412</v>
      </c>
      <c r="AC538">
        <v>1675</v>
      </c>
      <c r="AD538" s="104">
        <v>12000</v>
      </c>
      <c r="AE538" s="114">
        <f t="shared" si="56"/>
        <v>13.958333333333334</v>
      </c>
      <c r="AG538" s="215">
        <v>45412</v>
      </c>
      <c r="AH538">
        <v>11583</v>
      </c>
      <c r="AI538" s="104">
        <v>12000</v>
      </c>
      <c r="AJ538" s="46">
        <f t="shared" si="55"/>
        <v>96.525000000000006</v>
      </c>
      <c r="AL538" s="222">
        <v>45383</v>
      </c>
      <c r="AM538" s="101" t="s">
        <v>189</v>
      </c>
      <c r="AN538" s="101">
        <v>167694</v>
      </c>
      <c r="AP538" s="222">
        <v>45383</v>
      </c>
      <c r="AQ538" s="101" t="s">
        <v>189</v>
      </c>
      <c r="AR538" s="101">
        <v>23785279</v>
      </c>
      <c r="AT538" s="222">
        <v>45383</v>
      </c>
      <c r="AU538" s="101" t="s">
        <v>193</v>
      </c>
      <c r="AV538" s="101">
        <v>520</v>
      </c>
    </row>
    <row r="539" spans="1:48" hidden="1" x14ac:dyDescent="0.25">
      <c r="A539" s="215">
        <v>45413</v>
      </c>
      <c r="B539" s="101">
        <v>17140310</v>
      </c>
      <c r="C539" s="101">
        <v>348342</v>
      </c>
      <c r="D539" s="101">
        <v>17488652</v>
      </c>
      <c r="E539" s="101">
        <v>98.01</v>
      </c>
      <c r="F539" s="212">
        <f t="shared" si="54"/>
        <v>17.488651999999998</v>
      </c>
      <c r="H539" s="215">
        <v>45413</v>
      </c>
      <c r="I539" s="101">
        <v>2284591</v>
      </c>
      <c r="J539" s="101">
        <v>102</v>
      </c>
      <c r="K539" s="101">
        <v>2284693</v>
      </c>
      <c r="L539" s="101">
        <v>100</v>
      </c>
      <c r="M539" s="114">
        <f t="shared" si="59"/>
        <v>2.2846929999999999</v>
      </c>
      <c r="O539" s="215">
        <v>45413</v>
      </c>
      <c r="P539" s="101">
        <v>66468388</v>
      </c>
      <c r="Q539" s="101">
        <v>30874630</v>
      </c>
      <c r="R539" s="101">
        <v>97343018</v>
      </c>
      <c r="S539" s="101">
        <v>68.28</v>
      </c>
      <c r="T539" s="212">
        <f t="shared" si="57"/>
        <v>97.343018000000001</v>
      </c>
      <c r="W539" s="215">
        <v>45413</v>
      </c>
      <c r="X539">
        <v>10756</v>
      </c>
      <c r="Y539" s="104">
        <v>12000</v>
      </c>
      <c r="Z539" s="114">
        <f t="shared" si="58"/>
        <v>97.308333333333337</v>
      </c>
      <c r="AB539" s="215">
        <v>45413</v>
      </c>
      <c r="AC539">
        <v>1058</v>
      </c>
      <c r="AD539" s="104">
        <v>12000</v>
      </c>
      <c r="AE539" s="114">
        <f t="shared" si="56"/>
        <v>8.8166666666666664</v>
      </c>
      <c r="AG539" s="215">
        <v>45413</v>
      </c>
      <c r="AH539">
        <v>11249</v>
      </c>
      <c r="AI539" s="104">
        <v>12000</v>
      </c>
      <c r="AJ539" s="46">
        <f t="shared" si="55"/>
        <v>93.74166666666666</v>
      </c>
      <c r="AL539" s="222">
        <v>45383</v>
      </c>
      <c r="AM539" s="101" t="s">
        <v>192</v>
      </c>
      <c r="AN539" s="101">
        <v>23284</v>
      </c>
      <c r="AP539" s="222">
        <v>45383</v>
      </c>
      <c r="AQ539" s="101" t="s">
        <v>191</v>
      </c>
      <c r="AR539" s="101">
        <v>1117271</v>
      </c>
      <c r="AT539" s="222">
        <v>45383</v>
      </c>
      <c r="AU539" s="101" t="s">
        <v>190</v>
      </c>
      <c r="AV539" s="101">
        <v>23</v>
      </c>
    </row>
    <row r="540" spans="1:48" hidden="1" x14ac:dyDescent="0.25">
      <c r="A540" s="215">
        <v>45414</v>
      </c>
      <c r="B540" s="101">
        <v>16107258</v>
      </c>
      <c r="C540" s="101">
        <v>346648</v>
      </c>
      <c r="D540" s="101">
        <v>16453906</v>
      </c>
      <c r="E540" s="101">
        <v>97.89</v>
      </c>
      <c r="F540" s="212">
        <f t="shared" si="54"/>
        <v>16.453906</v>
      </c>
      <c r="H540" s="215">
        <v>45414</v>
      </c>
      <c r="I540" s="101">
        <v>2244679</v>
      </c>
      <c r="J540" s="101">
        <v>2071</v>
      </c>
      <c r="K540" s="101">
        <v>2246750</v>
      </c>
      <c r="L540" s="101">
        <v>99.91</v>
      </c>
      <c r="M540" s="114">
        <f t="shared" si="59"/>
        <v>2.24675</v>
      </c>
      <c r="O540" s="215">
        <v>45414</v>
      </c>
      <c r="P540" s="101">
        <v>67166090</v>
      </c>
      <c r="Q540" s="101">
        <v>33645185</v>
      </c>
      <c r="R540" s="101">
        <v>100811275</v>
      </c>
      <c r="S540" s="101">
        <v>66.63</v>
      </c>
      <c r="T540" s="212">
        <f t="shared" si="57"/>
        <v>100.81127499999999</v>
      </c>
      <c r="W540" s="215">
        <v>45414</v>
      </c>
      <c r="X540">
        <v>10994</v>
      </c>
      <c r="Y540" s="104">
        <v>12000</v>
      </c>
      <c r="Z540" s="114">
        <f t="shared" si="58"/>
        <v>96.525000000000006</v>
      </c>
      <c r="AB540" s="215">
        <v>45414</v>
      </c>
      <c r="AC540">
        <v>1258</v>
      </c>
      <c r="AD540" s="104">
        <v>12000</v>
      </c>
      <c r="AE540" s="114">
        <f t="shared" si="56"/>
        <v>10.483333333333333</v>
      </c>
      <c r="AG540" s="215">
        <v>45414</v>
      </c>
      <c r="AH540">
        <v>11594</v>
      </c>
      <c r="AI540" s="104">
        <v>12000</v>
      </c>
      <c r="AJ540" s="46">
        <f t="shared" si="55"/>
        <v>96.61666666666666</v>
      </c>
      <c r="AL540" s="222">
        <v>45383</v>
      </c>
      <c r="AM540" s="101" t="s">
        <v>197</v>
      </c>
      <c r="AN540" s="101">
        <v>12228</v>
      </c>
      <c r="AP540" s="222">
        <v>45383</v>
      </c>
      <c r="AQ540" s="101" t="s">
        <v>194</v>
      </c>
      <c r="AR540" s="101">
        <v>1051296</v>
      </c>
    </row>
    <row r="541" spans="1:48" hidden="1" x14ac:dyDescent="0.25">
      <c r="A541" s="215">
        <v>45415</v>
      </c>
      <c r="B541" s="101">
        <v>16942350</v>
      </c>
      <c r="C541" s="101">
        <v>347540</v>
      </c>
      <c r="D541" s="101">
        <v>17289890</v>
      </c>
      <c r="E541" s="101">
        <v>97.99</v>
      </c>
      <c r="F541" s="212">
        <f t="shared" si="54"/>
        <v>17.28989</v>
      </c>
      <c r="H541" s="215">
        <v>45415</v>
      </c>
      <c r="I541" s="101">
        <v>2135539</v>
      </c>
      <c r="J541" s="101">
        <v>1023</v>
      </c>
      <c r="K541" s="101">
        <v>2136562</v>
      </c>
      <c r="L541" s="101">
        <v>99.95</v>
      </c>
      <c r="M541" s="114">
        <f t="shared" si="59"/>
        <v>2.1365620000000001</v>
      </c>
      <c r="O541" s="215">
        <v>45415</v>
      </c>
      <c r="P541" s="101">
        <v>69419759</v>
      </c>
      <c r="Q541" s="101">
        <v>26984292</v>
      </c>
      <c r="R541" s="101">
        <v>96404051</v>
      </c>
      <c r="S541" s="101">
        <v>72.010000000000005</v>
      </c>
      <c r="T541" s="212">
        <f t="shared" si="57"/>
        <v>96.404050999999995</v>
      </c>
      <c r="W541" s="215">
        <v>45415</v>
      </c>
      <c r="X541">
        <v>10107</v>
      </c>
      <c r="Y541" s="104">
        <v>12000</v>
      </c>
      <c r="Z541" s="114">
        <f t="shared" si="58"/>
        <v>93.74166666666666</v>
      </c>
      <c r="AB541" s="215">
        <v>45415</v>
      </c>
      <c r="AC541">
        <v>1249</v>
      </c>
      <c r="AD541" s="104">
        <v>12000</v>
      </c>
      <c r="AE541" s="114">
        <f t="shared" si="56"/>
        <v>10.408333333333333</v>
      </c>
      <c r="AG541" s="215">
        <v>45415</v>
      </c>
      <c r="AH541">
        <v>10690</v>
      </c>
      <c r="AI541" s="104">
        <v>12000</v>
      </c>
      <c r="AJ541" s="46">
        <f t="shared" si="55"/>
        <v>89.083333333333329</v>
      </c>
      <c r="AL541" s="222">
        <v>45383</v>
      </c>
      <c r="AM541" s="101" t="s">
        <v>191</v>
      </c>
      <c r="AN541" s="101">
        <v>10591</v>
      </c>
      <c r="AP541" s="222">
        <v>45383</v>
      </c>
      <c r="AQ541" s="101" t="s">
        <v>192</v>
      </c>
      <c r="AR541" s="101">
        <v>493508</v>
      </c>
    </row>
    <row r="542" spans="1:48" hidden="1" x14ac:dyDescent="0.25">
      <c r="A542" s="215">
        <v>45416</v>
      </c>
      <c r="B542" s="101">
        <v>17046680</v>
      </c>
      <c r="C542" s="101">
        <v>360648</v>
      </c>
      <c r="D542" s="101">
        <v>17407328</v>
      </c>
      <c r="E542" s="101">
        <v>97.93</v>
      </c>
      <c r="F542" s="212">
        <f t="shared" ref="F542" si="60">D542/1000000</f>
        <v>17.407328</v>
      </c>
      <c r="H542" s="215">
        <v>45416</v>
      </c>
      <c r="I542" s="101">
        <v>1595180</v>
      </c>
      <c r="J542" s="101">
        <v>3923</v>
      </c>
      <c r="K542" s="101">
        <v>1599103</v>
      </c>
      <c r="L542" s="101">
        <v>99.75</v>
      </c>
      <c r="M542" s="114">
        <f t="shared" si="59"/>
        <v>1.5991029999999999</v>
      </c>
      <c r="O542" s="215">
        <v>45416</v>
      </c>
      <c r="P542" s="101">
        <v>71205184</v>
      </c>
      <c r="Q542" s="101">
        <v>31062103</v>
      </c>
      <c r="R542" s="101">
        <v>102267287</v>
      </c>
      <c r="S542" s="101">
        <v>69.63</v>
      </c>
      <c r="T542" s="212">
        <f t="shared" si="57"/>
        <v>102.267287</v>
      </c>
      <c r="W542" s="215">
        <v>45416</v>
      </c>
      <c r="X542">
        <v>8016</v>
      </c>
      <c r="Y542" s="104">
        <v>12000</v>
      </c>
      <c r="Z542" s="114">
        <f t="shared" si="58"/>
        <v>96.61666666666666</v>
      </c>
      <c r="AB542" s="215">
        <v>45416</v>
      </c>
      <c r="AC542">
        <v>1055</v>
      </c>
      <c r="AD542" s="104">
        <v>12000</v>
      </c>
      <c r="AE542" s="114">
        <f t="shared" si="56"/>
        <v>8.7916666666666661</v>
      </c>
      <c r="AG542" s="215">
        <v>45416</v>
      </c>
      <c r="AH542">
        <v>8958</v>
      </c>
      <c r="AI542" s="104">
        <v>12000</v>
      </c>
      <c r="AJ542" s="46">
        <f t="shared" si="55"/>
        <v>74.650000000000006</v>
      </c>
      <c r="AL542" s="222">
        <v>45383</v>
      </c>
      <c r="AM542" s="101" t="s">
        <v>194</v>
      </c>
      <c r="AN542" s="101">
        <v>9011</v>
      </c>
      <c r="AP542" s="222">
        <v>45383</v>
      </c>
      <c r="AQ542" s="101" t="s">
        <v>199</v>
      </c>
      <c r="AR542" s="101">
        <v>118771</v>
      </c>
    </row>
    <row r="543" spans="1:48" hidden="1" x14ac:dyDescent="0.25">
      <c r="A543" s="215">
        <v>45417</v>
      </c>
      <c r="B543" s="101">
        <v>17222635</v>
      </c>
      <c r="C543" s="101">
        <v>320115</v>
      </c>
      <c r="D543" s="101">
        <v>17542750</v>
      </c>
      <c r="E543" s="101">
        <v>98.18</v>
      </c>
      <c r="F543" s="212">
        <f t="shared" si="54"/>
        <v>17.542750000000002</v>
      </c>
      <c r="H543" s="215">
        <v>45417</v>
      </c>
      <c r="I543" s="101">
        <v>1348237</v>
      </c>
      <c r="J543" s="101">
        <v>48555</v>
      </c>
      <c r="K543" s="101">
        <v>1396792</v>
      </c>
      <c r="L543" s="101">
        <v>96.52</v>
      </c>
      <c r="M543" s="114">
        <f t="shared" si="59"/>
        <v>1.396792</v>
      </c>
      <c r="O543" s="215">
        <v>45417</v>
      </c>
      <c r="P543" s="101">
        <v>56536260</v>
      </c>
      <c r="Q543" s="101">
        <v>20948301</v>
      </c>
      <c r="R543" s="101">
        <v>77484561</v>
      </c>
      <c r="S543" s="101">
        <v>72.959999999999994</v>
      </c>
      <c r="T543" s="212">
        <f t="shared" si="57"/>
        <v>77.484560999999999</v>
      </c>
      <c r="W543" s="215">
        <v>45417</v>
      </c>
      <c r="X543">
        <v>5801</v>
      </c>
      <c r="Y543" s="104">
        <v>12000</v>
      </c>
      <c r="Z543" s="114">
        <f t="shared" si="58"/>
        <v>89.083333333333329</v>
      </c>
      <c r="AB543" s="215">
        <v>45417</v>
      </c>
      <c r="AC543">
        <v>934</v>
      </c>
      <c r="AD543" s="104">
        <v>12000</v>
      </c>
      <c r="AE543" s="114">
        <f t="shared" si="56"/>
        <v>7.7833333333333332</v>
      </c>
      <c r="AG543" s="215">
        <v>45417</v>
      </c>
      <c r="AH543">
        <v>6295</v>
      </c>
      <c r="AI543" s="104">
        <v>12000</v>
      </c>
      <c r="AJ543" s="46">
        <f t="shared" si="55"/>
        <v>52.458333333333336</v>
      </c>
    </row>
    <row r="544" spans="1:48" hidden="1" x14ac:dyDescent="0.25">
      <c r="A544" s="215">
        <v>45418</v>
      </c>
      <c r="B544" s="101">
        <v>17522458</v>
      </c>
      <c r="C544" s="101">
        <v>289866</v>
      </c>
      <c r="D544" s="101">
        <v>17812324</v>
      </c>
      <c r="E544" s="101">
        <v>98.37</v>
      </c>
      <c r="F544" s="212">
        <f t="shared" si="54"/>
        <v>17.812324</v>
      </c>
      <c r="H544" s="215">
        <v>45418</v>
      </c>
      <c r="I544" s="101">
        <v>1136967</v>
      </c>
      <c r="J544" s="101">
        <v>105164</v>
      </c>
      <c r="K544" s="101">
        <v>1242131</v>
      </c>
      <c r="L544" s="101">
        <v>91.53</v>
      </c>
      <c r="M544" s="114">
        <f t="shared" si="59"/>
        <v>1.2421310000000001</v>
      </c>
      <c r="O544" s="215">
        <v>45418</v>
      </c>
      <c r="P544" s="101">
        <v>69603498</v>
      </c>
      <c r="Q544" s="101">
        <v>32952640</v>
      </c>
      <c r="R544" s="101">
        <v>102556138</v>
      </c>
      <c r="S544" s="101">
        <v>67.87</v>
      </c>
      <c r="T544" s="212">
        <f t="shared" si="57"/>
        <v>102.556138</v>
      </c>
      <c r="W544" s="215">
        <v>45418</v>
      </c>
      <c r="X544">
        <v>6713</v>
      </c>
      <c r="Y544" s="104">
        <v>12000</v>
      </c>
      <c r="Z544" s="114">
        <f t="shared" si="58"/>
        <v>74.650000000000006</v>
      </c>
      <c r="AB544" s="215">
        <v>45418</v>
      </c>
      <c r="AC544">
        <v>1098</v>
      </c>
      <c r="AD544" s="104">
        <v>12000</v>
      </c>
      <c r="AE544" s="114">
        <f t="shared" si="56"/>
        <v>9.15</v>
      </c>
      <c r="AG544" s="215">
        <v>45418</v>
      </c>
      <c r="AH544">
        <v>7360</v>
      </c>
      <c r="AI544" s="104">
        <v>12000</v>
      </c>
      <c r="AJ544" s="46">
        <f t="shared" si="55"/>
        <v>61.333333333333336</v>
      </c>
      <c r="AL544" s="222">
        <v>45384</v>
      </c>
      <c r="AM544" s="101" t="s">
        <v>189</v>
      </c>
      <c r="AN544" s="101">
        <v>170420</v>
      </c>
      <c r="AP544" s="222">
        <v>45384</v>
      </c>
      <c r="AQ544" s="101" t="s">
        <v>189</v>
      </c>
      <c r="AR544" s="101">
        <v>26596573</v>
      </c>
      <c r="AT544" s="222">
        <v>45384</v>
      </c>
      <c r="AU544" t="s">
        <v>252</v>
      </c>
      <c r="AV544">
        <v>100</v>
      </c>
    </row>
    <row r="545" spans="1:48" hidden="1" x14ac:dyDescent="0.25">
      <c r="A545" s="215">
        <v>45419</v>
      </c>
      <c r="B545" s="101">
        <v>17214795</v>
      </c>
      <c r="C545" s="101">
        <v>355118</v>
      </c>
      <c r="D545" s="101">
        <v>17569913</v>
      </c>
      <c r="E545" s="101">
        <v>97.98</v>
      </c>
      <c r="F545" s="212">
        <f t="shared" si="54"/>
        <v>17.569913</v>
      </c>
      <c r="H545" s="215">
        <v>45419</v>
      </c>
      <c r="I545" s="101">
        <v>1238903</v>
      </c>
      <c r="J545" s="101">
        <v>92037</v>
      </c>
      <c r="K545" s="101">
        <v>1330940</v>
      </c>
      <c r="L545" s="101">
        <v>93.08</v>
      </c>
      <c r="M545" s="114">
        <f t="shared" si="59"/>
        <v>1.33094</v>
      </c>
      <c r="O545" s="215">
        <v>45419</v>
      </c>
      <c r="P545" s="101">
        <v>64054240</v>
      </c>
      <c r="Q545" s="101">
        <v>31832293</v>
      </c>
      <c r="R545" s="101">
        <v>95886533</v>
      </c>
      <c r="S545" s="101">
        <v>66.8</v>
      </c>
      <c r="T545" s="212">
        <f t="shared" si="57"/>
        <v>95.886533</v>
      </c>
      <c r="W545" s="215">
        <v>45419</v>
      </c>
      <c r="X545">
        <v>9129</v>
      </c>
      <c r="Y545" s="104">
        <v>12000</v>
      </c>
      <c r="Z545" s="114">
        <f t="shared" si="58"/>
        <v>52.458333333333336</v>
      </c>
      <c r="AB545" s="215">
        <v>45419</v>
      </c>
      <c r="AC545">
        <v>1052</v>
      </c>
      <c r="AD545" s="104">
        <v>12000</v>
      </c>
      <c r="AE545" s="114">
        <f t="shared" si="56"/>
        <v>8.7666666666666675</v>
      </c>
      <c r="AG545" s="215">
        <v>45419</v>
      </c>
      <c r="AH545">
        <v>9931</v>
      </c>
      <c r="AI545" s="104">
        <v>12000</v>
      </c>
      <c r="AJ545" s="46">
        <f t="shared" si="55"/>
        <v>82.75833333333334</v>
      </c>
      <c r="AL545" s="222">
        <v>45384</v>
      </c>
      <c r="AM545" s="101" t="s">
        <v>192</v>
      </c>
      <c r="AN545" s="101">
        <v>25636</v>
      </c>
      <c r="AP545" s="222">
        <v>45384</v>
      </c>
      <c r="AQ545" s="101" t="s">
        <v>191</v>
      </c>
      <c r="AR545" s="101">
        <v>1483575</v>
      </c>
    </row>
    <row r="546" spans="1:48" hidden="1" x14ac:dyDescent="0.25">
      <c r="A546" s="215">
        <v>45420</v>
      </c>
      <c r="F546" s="212">
        <f t="shared" si="54"/>
        <v>0</v>
      </c>
      <c r="H546" s="215">
        <v>45420</v>
      </c>
      <c r="M546" s="114">
        <f t="shared" si="59"/>
        <v>0</v>
      </c>
      <c r="O546" s="215">
        <v>45420</v>
      </c>
      <c r="T546" s="212">
        <f t="shared" si="57"/>
        <v>0</v>
      </c>
      <c r="W546" s="215">
        <v>45420</v>
      </c>
      <c r="Z546" s="114" t="e">
        <f t="shared" si="58"/>
        <v>#DIV/0!</v>
      </c>
      <c r="AB546" s="215">
        <v>45420</v>
      </c>
      <c r="AD546" s="104">
        <v>12000</v>
      </c>
      <c r="AE546" s="114">
        <f t="shared" si="56"/>
        <v>0</v>
      </c>
      <c r="AG546" s="215">
        <v>45420</v>
      </c>
      <c r="AI546" s="104">
        <v>12000</v>
      </c>
      <c r="AJ546" s="46">
        <f t="shared" si="55"/>
        <v>0</v>
      </c>
      <c r="AL546" s="222">
        <v>45384</v>
      </c>
      <c r="AM546" s="101" t="s">
        <v>197</v>
      </c>
      <c r="AN546" s="101">
        <v>17039</v>
      </c>
      <c r="AP546" s="222">
        <v>45384</v>
      </c>
      <c r="AQ546" s="101" t="s">
        <v>194</v>
      </c>
      <c r="AR546" s="101">
        <v>1181606</v>
      </c>
    </row>
    <row r="547" spans="1:48" hidden="1" x14ac:dyDescent="0.25">
      <c r="A547" s="215">
        <v>45421</v>
      </c>
      <c r="F547" s="212">
        <f t="shared" ref="F547:F611" si="61">D547/1000000</f>
        <v>0</v>
      </c>
      <c r="H547" s="215">
        <v>45421</v>
      </c>
      <c r="M547" s="114">
        <f t="shared" si="59"/>
        <v>0</v>
      </c>
      <c r="O547" s="215">
        <v>45421</v>
      </c>
      <c r="T547" s="212">
        <f t="shared" si="57"/>
        <v>0</v>
      </c>
      <c r="W547" s="215">
        <v>45421</v>
      </c>
      <c r="Z547" s="114" t="e">
        <f t="shared" si="58"/>
        <v>#DIV/0!</v>
      </c>
      <c r="AB547" s="215">
        <v>45421</v>
      </c>
      <c r="AD547" s="104">
        <v>12000</v>
      </c>
      <c r="AE547" s="114">
        <f t="shared" si="56"/>
        <v>0</v>
      </c>
      <c r="AG547" s="215">
        <v>45421</v>
      </c>
      <c r="AI547" s="104">
        <v>12000</v>
      </c>
      <c r="AJ547" s="46">
        <f t="shared" ref="AJ547:AJ571" si="62">AH547/AI547%</f>
        <v>0</v>
      </c>
      <c r="AL547" s="222">
        <v>45384</v>
      </c>
      <c r="AM547" s="101" t="s">
        <v>191</v>
      </c>
      <c r="AN547" s="101">
        <v>11980</v>
      </c>
      <c r="AP547" s="222">
        <v>45384</v>
      </c>
      <c r="AQ547" s="101" t="s">
        <v>192</v>
      </c>
      <c r="AR547" s="101">
        <v>882182</v>
      </c>
    </row>
    <row r="548" spans="1:48" hidden="1" x14ac:dyDescent="0.25">
      <c r="A548" s="215">
        <v>45422</v>
      </c>
      <c r="F548" s="212">
        <f t="shared" si="61"/>
        <v>0</v>
      </c>
      <c r="H548" s="215">
        <v>45422</v>
      </c>
      <c r="M548" s="114">
        <f t="shared" si="59"/>
        <v>0</v>
      </c>
      <c r="O548" s="215">
        <v>45422</v>
      </c>
      <c r="T548" s="212">
        <f t="shared" si="57"/>
        <v>0</v>
      </c>
      <c r="W548" s="215">
        <v>45422</v>
      </c>
      <c r="Z548" s="114" t="e">
        <f t="shared" si="58"/>
        <v>#DIV/0!</v>
      </c>
      <c r="AB548" s="215">
        <v>45422</v>
      </c>
      <c r="AD548" s="104">
        <v>12000</v>
      </c>
      <c r="AE548" s="114">
        <f t="shared" si="56"/>
        <v>0</v>
      </c>
      <c r="AG548" s="215">
        <v>45422</v>
      </c>
      <c r="AI548" s="104">
        <v>12000</v>
      </c>
      <c r="AJ548" s="46">
        <f t="shared" si="62"/>
        <v>0</v>
      </c>
      <c r="AL548" s="222">
        <v>45384</v>
      </c>
      <c r="AM548" s="101" t="s">
        <v>194</v>
      </c>
      <c r="AN548" s="101">
        <v>9773</v>
      </c>
      <c r="AP548" s="222">
        <v>45384</v>
      </c>
      <c r="AQ548" s="101" t="s">
        <v>206</v>
      </c>
      <c r="AR548" s="101">
        <v>158688</v>
      </c>
    </row>
    <row r="549" spans="1:48" hidden="1" x14ac:dyDescent="0.25">
      <c r="A549" s="215">
        <v>45423</v>
      </c>
      <c r="F549" s="212">
        <f t="shared" si="61"/>
        <v>0</v>
      </c>
      <c r="H549" s="215">
        <v>45423</v>
      </c>
      <c r="M549" s="114">
        <f t="shared" si="59"/>
        <v>0</v>
      </c>
      <c r="O549" s="215">
        <v>45423</v>
      </c>
      <c r="T549" s="212">
        <f t="shared" si="57"/>
        <v>0</v>
      </c>
      <c r="W549" s="215">
        <v>45423</v>
      </c>
      <c r="Z549" s="114" t="e">
        <f t="shared" si="58"/>
        <v>#DIV/0!</v>
      </c>
      <c r="AB549" s="215">
        <v>45423</v>
      </c>
      <c r="AD549" s="104">
        <v>12000</v>
      </c>
      <c r="AE549" s="114">
        <f t="shared" ref="AE549:AE571" si="63">AC549/AD549%</f>
        <v>0</v>
      </c>
      <c r="AG549" s="215">
        <v>45423</v>
      </c>
      <c r="AI549" s="104">
        <v>12000</v>
      </c>
      <c r="AJ549" s="46">
        <f t="shared" si="62"/>
        <v>0</v>
      </c>
    </row>
    <row r="550" spans="1:48" hidden="1" x14ac:dyDescent="0.25">
      <c r="A550" s="215">
        <v>45424</v>
      </c>
      <c r="F550" s="212">
        <f t="shared" si="61"/>
        <v>0</v>
      </c>
      <c r="H550" s="215">
        <v>45424</v>
      </c>
      <c r="M550" s="114">
        <f t="shared" si="59"/>
        <v>0</v>
      </c>
      <c r="O550" s="215">
        <v>45424</v>
      </c>
      <c r="T550" s="212">
        <f t="shared" si="57"/>
        <v>0</v>
      </c>
      <c r="W550" s="215">
        <v>45424</v>
      </c>
      <c r="X550">
        <v>10735</v>
      </c>
      <c r="Y550" s="104">
        <v>12000</v>
      </c>
      <c r="Z550" s="114">
        <f t="shared" si="58"/>
        <v>0</v>
      </c>
      <c r="AB550" s="215">
        <v>45424</v>
      </c>
      <c r="AC550">
        <v>2471</v>
      </c>
      <c r="AD550" s="104">
        <v>12000</v>
      </c>
      <c r="AE550" s="114">
        <f t="shared" si="63"/>
        <v>20.591666666666665</v>
      </c>
      <c r="AG550" s="215">
        <v>45424</v>
      </c>
      <c r="AH550">
        <v>12000</v>
      </c>
      <c r="AI550" s="104">
        <v>12000</v>
      </c>
      <c r="AJ550" s="46">
        <f t="shared" si="62"/>
        <v>100</v>
      </c>
      <c r="AL550" s="222">
        <v>45385</v>
      </c>
      <c r="AM550" s="101" t="s">
        <v>189</v>
      </c>
      <c r="AN550" s="101">
        <v>176794</v>
      </c>
      <c r="AP550" s="222">
        <v>45385</v>
      </c>
      <c r="AQ550" s="101" t="s">
        <v>189</v>
      </c>
      <c r="AR550" s="101">
        <v>36485959</v>
      </c>
      <c r="AT550" s="222">
        <v>45385</v>
      </c>
      <c r="AU550" s="101" t="s">
        <v>190</v>
      </c>
      <c r="AV550" s="101">
        <v>28</v>
      </c>
    </row>
    <row r="551" spans="1:48" hidden="1" x14ac:dyDescent="0.25">
      <c r="A551" s="215">
        <v>45425</v>
      </c>
      <c r="F551" s="212">
        <f t="shared" si="61"/>
        <v>0</v>
      </c>
      <c r="H551" s="215">
        <v>45425</v>
      </c>
      <c r="I551" s="101"/>
      <c r="J551" s="101"/>
      <c r="K551" s="101"/>
      <c r="L551" s="101"/>
      <c r="M551" s="114">
        <f t="shared" si="59"/>
        <v>0</v>
      </c>
      <c r="O551" s="215">
        <v>45425</v>
      </c>
      <c r="T551" s="212">
        <f t="shared" si="57"/>
        <v>0</v>
      </c>
      <c r="W551" s="215">
        <v>45425</v>
      </c>
      <c r="X551">
        <v>11000</v>
      </c>
      <c r="Y551" s="104">
        <v>12000</v>
      </c>
      <c r="Z551" s="114">
        <f t="shared" si="58"/>
        <v>0</v>
      </c>
      <c r="AB551" s="215">
        <v>45425</v>
      </c>
      <c r="AC551">
        <v>1805</v>
      </c>
      <c r="AD551" s="104">
        <v>12000</v>
      </c>
      <c r="AE551" s="114">
        <f t="shared" si="63"/>
        <v>15.041666666666666</v>
      </c>
      <c r="AG551" s="215">
        <v>45425</v>
      </c>
      <c r="AH551">
        <v>12000</v>
      </c>
      <c r="AI551" s="104">
        <v>12000</v>
      </c>
      <c r="AJ551" s="46">
        <f t="shared" si="62"/>
        <v>100</v>
      </c>
      <c r="AL551" s="222">
        <v>45385</v>
      </c>
      <c r="AM551" s="101" t="s">
        <v>192</v>
      </c>
      <c r="AN551" s="101">
        <v>26702</v>
      </c>
      <c r="AP551" s="222">
        <v>45385</v>
      </c>
      <c r="AQ551" s="101" t="s">
        <v>191</v>
      </c>
      <c r="AR551" s="101">
        <v>1390180</v>
      </c>
    </row>
    <row r="552" spans="1:48" hidden="1" x14ac:dyDescent="0.25">
      <c r="A552" s="215">
        <v>45426</v>
      </c>
      <c r="B552" s="101">
        <v>18787414</v>
      </c>
      <c r="C552" s="101">
        <v>405607</v>
      </c>
      <c r="D552" s="101">
        <v>19193021</v>
      </c>
      <c r="E552" s="101">
        <v>97.89</v>
      </c>
      <c r="F552" s="212">
        <f t="shared" si="61"/>
        <v>19.193021000000002</v>
      </c>
      <c r="H552" s="215">
        <v>45426</v>
      </c>
      <c r="I552" s="101">
        <v>8049884</v>
      </c>
      <c r="J552" s="101">
        <v>114247</v>
      </c>
      <c r="K552" s="101">
        <v>8164131</v>
      </c>
      <c r="L552" s="101">
        <v>98.6</v>
      </c>
      <c r="M552" s="114">
        <f t="shared" si="59"/>
        <v>8.1641309999999994</v>
      </c>
      <c r="O552" s="215">
        <v>45426</v>
      </c>
      <c r="P552" s="101">
        <v>79157787</v>
      </c>
      <c r="Q552" s="101">
        <v>31195714</v>
      </c>
      <c r="R552" s="101">
        <v>110353501</v>
      </c>
      <c r="S552" s="101">
        <v>71.73</v>
      </c>
      <c r="T552" s="212">
        <f t="shared" si="57"/>
        <v>110.35350099999999</v>
      </c>
      <c r="W552" s="215">
        <v>45426</v>
      </c>
      <c r="X552">
        <v>9987</v>
      </c>
      <c r="Y552" s="104">
        <v>12000</v>
      </c>
      <c r="Z552" s="114">
        <f t="shared" si="58"/>
        <v>100</v>
      </c>
      <c r="AB552" s="215">
        <v>45426</v>
      </c>
      <c r="AC552">
        <v>2472</v>
      </c>
      <c r="AD552" s="104">
        <v>12000</v>
      </c>
      <c r="AE552" s="114">
        <f t="shared" si="63"/>
        <v>20.6</v>
      </c>
      <c r="AG552" s="215">
        <v>45426</v>
      </c>
      <c r="AH552">
        <v>11196</v>
      </c>
      <c r="AI552" s="104">
        <v>12000</v>
      </c>
      <c r="AJ552" s="46">
        <f t="shared" si="62"/>
        <v>93.3</v>
      </c>
    </row>
    <row r="553" spans="1:48" hidden="1" x14ac:dyDescent="0.25">
      <c r="A553" s="215">
        <v>45427</v>
      </c>
      <c r="B553" s="101">
        <v>17424073</v>
      </c>
      <c r="C553" s="101">
        <v>539451</v>
      </c>
      <c r="D553" s="101">
        <v>17963524</v>
      </c>
      <c r="E553" s="101">
        <v>97</v>
      </c>
      <c r="F553" s="212">
        <f t="shared" si="61"/>
        <v>17.963524</v>
      </c>
      <c r="H553" s="215">
        <v>45427</v>
      </c>
      <c r="I553" s="101">
        <v>3124046</v>
      </c>
      <c r="J553" s="101">
        <v>74006</v>
      </c>
      <c r="K553" s="101">
        <v>3198052</v>
      </c>
      <c r="L553" s="101">
        <v>97.69</v>
      </c>
      <c r="M553" s="114">
        <f t="shared" si="59"/>
        <v>3.1980520000000001</v>
      </c>
      <c r="O553" s="215">
        <v>45427</v>
      </c>
      <c r="P553" s="101">
        <v>75232659</v>
      </c>
      <c r="Q553" s="101">
        <v>31659820</v>
      </c>
      <c r="R553" s="101">
        <v>106892479</v>
      </c>
      <c r="S553" s="101">
        <v>70.38</v>
      </c>
      <c r="T553" s="212">
        <f t="shared" si="57"/>
        <v>106.89247899999999</v>
      </c>
      <c r="W553" s="215">
        <v>45427</v>
      </c>
      <c r="X553">
        <v>10129</v>
      </c>
      <c r="Y553" s="104">
        <v>12000</v>
      </c>
      <c r="Z553" s="114">
        <f t="shared" si="58"/>
        <v>100</v>
      </c>
      <c r="AB553" s="215">
        <v>45427</v>
      </c>
      <c r="AC553">
        <v>2991</v>
      </c>
      <c r="AD553" s="104">
        <v>12000</v>
      </c>
      <c r="AE553" s="114">
        <f t="shared" si="63"/>
        <v>24.925000000000001</v>
      </c>
      <c r="AG553" s="215">
        <v>45427</v>
      </c>
      <c r="AH553">
        <v>11532</v>
      </c>
      <c r="AI553" s="104">
        <v>12000</v>
      </c>
      <c r="AJ553" s="46">
        <f t="shared" si="62"/>
        <v>96.1</v>
      </c>
      <c r="AL553" s="222">
        <v>45413</v>
      </c>
      <c r="AM553" s="101" t="s">
        <v>189</v>
      </c>
      <c r="AN553" s="101">
        <v>239324</v>
      </c>
      <c r="AP553" s="222">
        <v>45413</v>
      </c>
      <c r="AQ553" s="101" t="s">
        <v>189</v>
      </c>
      <c r="AR553" s="101">
        <v>26738057</v>
      </c>
      <c r="AT553" s="222">
        <v>45413</v>
      </c>
      <c r="AU553" s="101" t="s">
        <v>193</v>
      </c>
      <c r="AV553" s="101">
        <v>76</v>
      </c>
    </row>
    <row r="554" spans="1:48" hidden="1" x14ac:dyDescent="0.25">
      <c r="A554" s="215">
        <v>45428</v>
      </c>
      <c r="B554" s="101">
        <v>19749645</v>
      </c>
      <c r="C554" s="101">
        <v>350871</v>
      </c>
      <c r="D554" s="101">
        <v>20100516</v>
      </c>
      <c r="E554" s="101">
        <v>98.25</v>
      </c>
      <c r="F554" s="212">
        <f t="shared" si="61"/>
        <v>20.100515999999999</v>
      </c>
      <c r="H554" s="215">
        <v>45428</v>
      </c>
      <c r="I554" s="101">
        <v>7268995</v>
      </c>
      <c r="J554" s="101">
        <v>45908</v>
      </c>
      <c r="K554" s="101">
        <v>7314903</v>
      </c>
      <c r="L554" s="101">
        <v>99.37</v>
      </c>
      <c r="M554" s="114">
        <f t="shared" si="59"/>
        <v>7.3149030000000002</v>
      </c>
      <c r="O554" s="215">
        <v>45428</v>
      </c>
      <c r="P554" s="101">
        <v>86523874</v>
      </c>
      <c r="Q554" s="101">
        <v>39937458</v>
      </c>
      <c r="R554" s="101">
        <v>126461332</v>
      </c>
      <c r="S554" s="101">
        <v>68.42</v>
      </c>
      <c r="T554" s="212">
        <f t="shared" si="57"/>
        <v>126.461332</v>
      </c>
      <c r="W554" s="215">
        <v>45428</v>
      </c>
      <c r="X554">
        <v>11000</v>
      </c>
      <c r="Y554" s="104">
        <v>12000</v>
      </c>
      <c r="Z554" s="114">
        <f t="shared" si="58"/>
        <v>93.3</v>
      </c>
      <c r="AB554" s="215">
        <v>45428</v>
      </c>
      <c r="AC554">
        <v>1248</v>
      </c>
      <c r="AD554" s="104">
        <v>12000</v>
      </c>
      <c r="AE554" s="114">
        <f t="shared" si="63"/>
        <v>10.4</v>
      </c>
      <c r="AG554" s="215">
        <v>45428</v>
      </c>
      <c r="AH554">
        <v>11605</v>
      </c>
      <c r="AI554" s="104">
        <v>12000</v>
      </c>
      <c r="AJ554" s="46">
        <f t="shared" si="62"/>
        <v>96.708333333333329</v>
      </c>
      <c r="AL554" s="222">
        <v>45413</v>
      </c>
      <c r="AM554" s="101" t="s">
        <v>192</v>
      </c>
      <c r="AN554" s="101">
        <v>27651</v>
      </c>
      <c r="AP554" s="222">
        <v>45413</v>
      </c>
      <c r="AQ554" s="101" t="s">
        <v>191</v>
      </c>
      <c r="AR554" s="101">
        <v>1888549</v>
      </c>
      <c r="AT554" s="222">
        <v>45413</v>
      </c>
      <c r="AU554" s="101" t="s">
        <v>190</v>
      </c>
      <c r="AV554" s="101">
        <v>26</v>
      </c>
    </row>
    <row r="555" spans="1:48" hidden="1" x14ac:dyDescent="0.25">
      <c r="A555" s="215">
        <v>45429</v>
      </c>
      <c r="B555" s="101">
        <v>19293558</v>
      </c>
      <c r="C555" s="101">
        <v>392036</v>
      </c>
      <c r="D555" s="101">
        <v>19685594</v>
      </c>
      <c r="E555" s="101">
        <v>98.01</v>
      </c>
      <c r="F555" s="212">
        <f t="shared" si="61"/>
        <v>19.685593999999998</v>
      </c>
      <c r="H555" s="215">
        <v>45429</v>
      </c>
      <c r="I555" s="101">
        <v>4718555</v>
      </c>
      <c r="J555" s="101">
        <v>68899</v>
      </c>
      <c r="K555" s="101">
        <v>4787454</v>
      </c>
      <c r="L555" s="101">
        <v>98.56</v>
      </c>
      <c r="M555" s="114">
        <f t="shared" si="59"/>
        <v>4.7874540000000003</v>
      </c>
      <c r="O555" s="215">
        <v>45429</v>
      </c>
      <c r="P555" s="101">
        <v>79351321</v>
      </c>
      <c r="Q555" s="101">
        <v>28453976</v>
      </c>
      <c r="R555" s="101">
        <v>107805297</v>
      </c>
      <c r="S555" s="101">
        <v>73.61</v>
      </c>
      <c r="T555" s="212">
        <f t="shared" si="57"/>
        <v>107.805297</v>
      </c>
      <c r="W555" s="215">
        <v>45429</v>
      </c>
      <c r="X555">
        <v>10228</v>
      </c>
      <c r="Y555" s="104">
        <v>12000</v>
      </c>
      <c r="Z555" s="114">
        <f t="shared" si="58"/>
        <v>96.1</v>
      </c>
      <c r="AB555" s="215">
        <v>45429</v>
      </c>
      <c r="AC555">
        <v>1167</v>
      </c>
      <c r="AD555" s="104">
        <v>12000</v>
      </c>
      <c r="AE555" s="114">
        <f t="shared" si="63"/>
        <v>9.7249999999999996</v>
      </c>
      <c r="AG555" s="215">
        <v>45429</v>
      </c>
      <c r="AH555">
        <v>10879</v>
      </c>
      <c r="AI555" s="104">
        <v>12000</v>
      </c>
      <c r="AJ555" s="46">
        <f t="shared" si="62"/>
        <v>90.658333333333331</v>
      </c>
      <c r="AL555" s="222">
        <v>45413</v>
      </c>
      <c r="AM555" s="101" t="s">
        <v>197</v>
      </c>
      <c r="AN555" s="101">
        <v>24567</v>
      </c>
      <c r="AP555" s="222">
        <v>45413</v>
      </c>
      <c r="AQ555" s="101" t="s">
        <v>194</v>
      </c>
      <c r="AR555" s="101">
        <v>1032686</v>
      </c>
    </row>
    <row r="556" spans="1:48" hidden="1" x14ac:dyDescent="0.25">
      <c r="A556" s="215">
        <v>45430</v>
      </c>
      <c r="B556" s="101">
        <v>18644526</v>
      </c>
      <c r="C556" s="101">
        <v>348282</v>
      </c>
      <c r="D556" s="101">
        <v>18992808</v>
      </c>
      <c r="E556" s="101">
        <v>98.17</v>
      </c>
      <c r="F556" s="212">
        <f t="shared" si="61"/>
        <v>18.992808</v>
      </c>
      <c r="H556" s="215">
        <v>45430</v>
      </c>
      <c r="I556" s="101">
        <v>2808101</v>
      </c>
      <c r="J556" s="101">
        <v>126844</v>
      </c>
      <c r="K556" s="101">
        <v>2934945</v>
      </c>
      <c r="L556" s="101">
        <v>95.68</v>
      </c>
      <c r="M556" s="114">
        <f t="shared" si="59"/>
        <v>2.9349449999999999</v>
      </c>
      <c r="O556" s="215">
        <v>45430</v>
      </c>
      <c r="P556" s="101">
        <v>74557036</v>
      </c>
      <c r="Q556" s="101">
        <v>27884396</v>
      </c>
      <c r="R556" s="101">
        <v>102441432</v>
      </c>
      <c r="S556" s="101">
        <v>72.78</v>
      </c>
      <c r="T556" s="212">
        <f t="shared" si="57"/>
        <v>102.44143200000001</v>
      </c>
      <c r="W556" s="215">
        <v>45430</v>
      </c>
      <c r="X556">
        <v>10417</v>
      </c>
      <c r="Y556" s="104">
        <v>12000</v>
      </c>
      <c r="Z556" s="114">
        <f t="shared" si="58"/>
        <v>96.708333333333329</v>
      </c>
      <c r="AB556" s="215">
        <v>45430</v>
      </c>
      <c r="AC556">
        <v>1129</v>
      </c>
      <c r="AD556" s="104">
        <v>12000</v>
      </c>
      <c r="AE556" s="114">
        <f t="shared" si="63"/>
        <v>9.4083333333333332</v>
      </c>
      <c r="AG556" s="215">
        <v>45430</v>
      </c>
      <c r="AH556">
        <v>11571</v>
      </c>
      <c r="AI556" s="104">
        <v>12000</v>
      </c>
      <c r="AJ556" s="46">
        <f t="shared" si="62"/>
        <v>96.424999999999997</v>
      </c>
      <c r="AL556" s="222">
        <v>45413</v>
      </c>
      <c r="AM556" s="101" t="s">
        <v>191</v>
      </c>
      <c r="AN556" s="101">
        <v>19298</v>
      </c>
      <c r="AP556" s="222">
        <v>45413</v>
      </c>
      <c r="AQ556" s="101" t="s">
        <v>192</v>
      </c>
      <c r="AR556" s="101">
        <v>552532</v>
      </c>
    </row>
    <row r="557" spans="1:48" hidden="1" x14ac:dyDescent="0.25">
      <c r="A557" s="215">
        <v>45431</v>
      </c>
      <c r="B557" s="101">
        <v>18513624</v>
      </c>
      <c r="C557" s="101">
        <v>328696</v>
      </c>
      <c r="D557" s="101">
        <v>18842320</v>
      </c>
      <c r="E557" s="101">
        <v>98.26</v>
      </c>
      <c r="F557" s="212">
        <f t="shared" si="61"/>
        <v>18.842320000000001</v>
      </c>
      <c r="H557" s="215">
        <v>45431</v>
      </c>
      <c r="I557" s="101">
        <v>956793</v>
      </c>
      <c r="J557" s="101">
        <v>147569</v>
      </c>
      <c r="K557" s="101">
        <v>1104362</v>
      </c>
      <c r="L557" s="101">
        <v>86.64</v>
      </c>
      <c r="M557" s="114">
        <f t="shared" si="59"/>
        <v>1.1043620000000001</v>
      </c>
      <c r="O557" s="215">
        <v>45431</v>
      </c>
      <c r="P557" s="101">
        <v>59131700</v>
      </c>
      <c r="Q557" s="101">
        <v>18478638</v>
      </c>
      <c r="R557" s="101">
        <v>77610338</v>
      </c>
      <c r="S557" s="101">
        <v>76.19</v>
      </c>
      <c r="T557" s="212">
        <f t="shared" si="57"/>
        <v>77.610337999999999</v>
      </c>
      <c r="W557" s="215">
        <v>45431</v>
      </c>
      <c r="X557">
        <v>6490</v>
      </c>
      <c r="Y557" s="104">
        <v>12000</v>
      </c>
      <c r="Z557" s="114">
        <f t="shared" si="58"/>
        <v>90.658333333333331</v>
      </c>
      <c r="AB557" s="215">
        <v>45431</v>
      </c>
      <c r="AC557">
        <v>919</v>
      </c>
      <c r="AD557" s="104">
        <v>12000</v>
      </c>
      <c r="AE557" s="114">
        <f t="shared" si="63"/>
        <v>7.6583333333333332</v>
      </c>
      <c r="AG557" s="215">
        <v>45431</v>
      </c>
      <c r="AH557">
        <v>7179</v>
      </c>
      <c r="AI557" s="104">
        <v>12000</v>
      </c>
      <c r="AJ557" s="46">
        <f t="shared" si="62"/>
        <v>59.825000000000003</v>
      </c>
      <c r="AL557" s="222">
        <v>45413</v>
      </c>
      <c r="AM557" s="101" t="s">
        <v>194</v>
      </c>
      <c r="AN557" s="101">
        <v>14802</v>
      </c>
      <c r="AP557" s="222">
        <v>45413</v>
      </c>
      <c r="AQ557" s="101" t="s">
        <v>206</v>
      </c>
      <c r="AR557" s="101">
        <v>134912</v>
      </c>
    </row>
    <row r="558" spans="1:48" hidden="1" x14ac:dyDescent="0.25">
      <c r="A558" s="215">
        <v>45432</v>
      </c>
      <c r="B558" s="101">
        <v>19179714</v>
      </c>
      <c r="C558" s="101">
        <v>314894</v>
      </c>
      <c r="D558" s="101">
        <v>19494608</v>
      </c>
      <c r="E558" s="101">
        <v>98.38</v>
      </c>
      <c r="F558" s="212">
        <f t="shared" si="61"/>
        <v>19.494607999999999</v>
      </c>
      <c r="H558" s="215">
        <v>45432</v>
      </c>
      <c r="I558" s="101">
        <v>1359830</v>
      </c>
      <c r="J558" s="101">
        <v>15435</v>
      </c>
      <c r="K558" s="101">
        <v>1375265</v>
      </c>
      <c r="L558" s="101">
        <v>98.88</v>
      </c>
      <c r="M558" s="114">
        <f t="shared" si="59"/>
        <v>1.375265</v>
      </c>
      <c r="O558" s="215">
        <v>45432</v>
      </c>
      <c r="P558" s="101">
        <v>66687156</v>
      </c>
      <c r="Q558" s="101">
        <v>26440131</v>
      </c>
      <c r="R558" s="101">
        <v>93127287</v>
      </c>
      <c r="S558" s="101">
        <v>71.61</v>
      </c>
      <c r="T558" s="212">
        <f t="shared" si="57"/>
        <v>93.127286999999995</v>
      </c>
      <c r="W558" s="215">
        <v>45432</v>
      </c>
      <c r="X558">
        <v>7810</v>
      </c>
      <c r="Y558" s="104">
        <v>12000</v>
      </c>
      <c r="Z558" s="114">
        <f t="shared" si="58"/>
        <v>96.424999999999997</v>
      </c>
      <c r="AB558" s="215">
        <v>45432</v>
      </c>
      <c r="AC558">
        <v>946</v>
      </c>
      <c r="AD558" s="104">
        <v>12000</v>
      </c>
      <c r="AE558" s="114">
        <f t="shared" si="63"/>
        <v>7.8833333333333337</v>
      </c>
      <c r="AG558" s="215">
        <v>45432</v>
      </c>
      <c r="AH558">
        <v>8367</v>
      </c>
      <c r="AI558" s="104">
        <v>12000</v>
      </c>
      <c r="AJ558" s="46">
        <f t="shared" si="62"/>
        <v>69.724999999999994</v>
      </c>
    </row>
    <row r="559" spans="1:48" hidden="1" x14ac:dyDescent="0.25">
      <c r="A559" s="215">
        <v>45433</v>
      </c>
      <c r="B559" s="101">
        <v>20151127</v>
      </c>
      <c r="C559" s="101">
        <v>367768</v>
      </c>
      <c r="D559" s="101">
        <v>20518895</v>
      </c>
      <c r="E559" s="101">
        <v>98.21</v>
      </c>
      <c r="F559" s="212">
        <f t="shared" si="61"/>
        <v>20.518895000000001</v>
      </c>
      <c r="H559" s="215">
        <v>45433</v>
      </c>
      <c r="I559" s="101">
        <v>8034121</v>
      </c>
      <c r="J559" s="101">
        <v>121514</v>
      </c>
      <c r="K559" s="101">
        <v>8155635</v>
      </c>
      <c r="L559" s="101">
        <v>98.51</v>
      </c>
      <c r="M559" s="114">
        <f t="shared" si="59"/>
        <v>8.1556350000000002</v>
      </c>
      <c r="O559" s="215">
        <v>45433</v>
      </c>
      <c r="P559" s="101">
        <v>79320237</v>
      </c>
      <c r="Q559" s="101">
        <v>30829986</v>
      </c>
      <c r="R559" s="101">
        <v>110150223</v>
      </c>
      <c r="S559" s="101">
        <v>72.010000000000005</v>
      </c>
      <c r="T559" s="212">
        <f t="shared" si="57"/>
        <v>110.150223</v>
      </c>
      <c r="W559" s="215">
        <v>45433</v>
      </c>
      <c r="X559">
        <v>11000</v>
      </c>
      <c r="Y559" s="104">
        <v>12000</v>
      </c>
      <c r="Z559" s="114">
        <f t="shared" si="58"/>
        <v>59.825000000000003</v>
      </c>
      <c r="AB559" s="215">
        <v>45433</v>
      </c>
      <c r="AC559">
        <v>1022</v>
      </c>
      <c r="AD559" s="104">
        <v>12000</v>
      </c>
      <c r="AE559" s="114">
        <f t="shared" si="63"/>
        <v>8.5166666666666675</v>
      </c>
      <c r="AG559" s="215">
        <v>45433</v>
      </c>
      <c r="AH559">
        <v>11629</v>
      </c>
      <c r="AI559" s="104">
        <v>12000</v>
      </c>
      <c r="AJ559" s="46">
        <f t="shared" si="62"/>
        <v>96.908333333333331</v>
      </c>
      <c r="AL559" s="222">
        <v>45414</v>
      </c>
      <c r="AM559" s="101" t="s">
        <v>189</v>
      </c>
      <c r="AN559" s="101">
        <v>239467</v>
      </c>
      <c r="AP559" s="222">
        <v>45414</v>
      </c>
      <c r="AQ559" s="101" t="s">
        <v>189</v>
      </c>
      <c r="AR559" s="101">
        <v>27961965</v>
      </c>
      <c r="AT559" s="222">
        <v>45414</v>
      </c>
      <c r="AU559" s="101" t="s">
        <v>193</v>
      </c>
      <c r="AV559" s="101">
        <v>1970</v>
      </c>
    </row>
    <row r="560" spans="1:48" hidden="1" x14ac:dyDescent="0.25">
      <c r="A560" s="215">
        <v>45434</v>
      </c>
      <c r="B560" s="101">
        <v>20671361</v>
      </c>
      <c r="C560" s="101">
        <v>535834</v>
      </c>
      <c r="D560" s="101">
        <v>21207195</v>
      </c>
      <c r="E560" s="101">
        <v>97.47</v>
      </c>
      <c r="F560" s="212">
        <f t="shared" si="61"/>
        <v>21.207194999999999</v>
      </c>
      <c r="H560" s="215">
        <v>45434</v>
      </c>
      <c r="I560" s="101">
        <v>6020614</v>
      </c>
      <c r="J560" s="101">
        <v>130111</v>
      </c>
      <c r="K560" s="101">
        <v>6150725</v>
      </c>
      <c r="L560" s="101">
        <v>97.88</v>
      </c>
      <c r="M560" s="114">
        <f t="shared" si="59"/>
        <v>6.1507250000000004</v>
      </c>
      <c r="O560" s="215">
        <v>45434</v>
      </c>
      <c r="P560" s="101">
        <v>79401786</v>
      </c>
      <c r="Q560" s="101">
        <v>29994574</v>
      </c>
      <c r="R560" s="101">
        <v>109396360</v>
      </c>
      <c r="S560" s="101">
        <v>72.58</v>
      </c>
      <c r="T560" s="212">
        <f t="shared" si="57"/>
        <v>109.39636</v>
      </c>
      <c r="W560" s="215">
        <v>45434</v>
      </c>
      <c r="X560">
        <v>11000</v>
      </c>
      <c r="Y560" s="104">
        <v>12000</v>
      </c>
      <c r="Z560" s="114">
        <f t="shared" si="58"/>
        <v>69.724999999999994</v>
      </c>
      <c r="AB560" s="215">
        <v>45434</v>
      </c>
      <c r="AC560">
        <v>1401</v>
      </c>
      <c r="AD560" s="104">
        <v>12000</v>
      </c>
      <c r="AE560" s="114">
        <f t="shared" si="63"/>
        <v>11.675000000000001</v>
      </c>
      <c r="AG560" s="215">
        <v>45434</v>
      </c>
      <c r="AH560">
        <v>11534</v>
      </c>
      <c r="AI560" s="104">
        <v>12000</v>
      </c>
      <c r="AJ560" s="46">
        <f t="shared" si="62"/>
        <v>96.11666666666666</v>
      </c>
      <c r="AL560" s="222">
        <v>45414</v>
      </c>
      <c r="AM560" s="101" t="s">
        <v>192</v>
      </c>
      <c r="AN560" s="101">
        <v>27091</v>
      </c>
      <c r="AP560" s="222">
        <v>45414</v>
      </c>
      <c r="AQ560" s="101" t="s">
        <v>191</v>
      </c>
      <c r="AR560" s="101">
        <v>3015087</v>
      </c>
      <c r="AT560" s="222">
        <v>45414</v>
      </c>
      <c r="AU560" s="101" t="s">
        <v>190</v>
      </c>
      <c r="AV560" s="101">
        <v>101</v>
      </c>
    </row>
    <row r="561" spans="1:48" hidden="1" x14ac:dyDescent="0.25">
      <c r="A561" s="215">
        <v>45435</v>
      </c>
      <c r="B561" s="101">
        <v>19419367</v>
      </c>
      <c r="C561" s="101">
        <v>654305</v>
      </c>
      <c r="D561" s="101">
        <v>20073672</v>
      </c>
      <c r="E561" s="101">
        <v>96.74</v>
      </c>
      <c r="F561" s="212">
        <f t="shared" si="61"/>
        <v>20.073671999999998</v>
      </c>
      <c r="H561" s="215">
        <v>45435</v>
      </c>
      <c r="I561" s="101">
        <v>1316782</v>
      </c>
      <c r="J561" s="101">
        <v>59691</v>
      </c>
      <c r="K561" s="101">
        <v>1376473</v>
      </c>
      <c r="L561" s="101">
        <v>95.66</v>
      </c>
      <c r="M561" s="114">
        <f t="shared" si="59"/>
        <v>1.3764730000000001</v>
      </c>
      <c r="O561" s="215">
        <v>45435</v>
      </c>
      <c r="P561" s="101">
        <v>68288604</v>
      </c>
      <c r="Q561" s="101">
        <v>31004675</v>
      </c>
      <c r="R561" s="101">
        <v>99293279</v>
      </c>
      <c r="S561" s="101">
        <v>68.77</v>
      </c>
      <c r="T561" s="212">
        <f t="shared" si="57"/>
        <v>99.293278999999998</v>
      </c>
      <c r="W561" s="224">
        <v>45435</v>
      </c>
      <c r="X561">
        <v>7163</v>
      </c>
      <c r="Y561" s="192">
        <v>12000</v>
      </c>
      <c r="Z561" s="114">
        <f t="shared" si="58"/>
        <v>96.908333333333331</v>
      </c>
      <c r="AB561" s="215">
        <v>45435</v>
      </c>
      <c r="AC561">
        <v>1083</v>
      </c>
      <c r="AD561" s="104">
        <v>12000</v>
      </c>
      <c r="AE561" s="114">
        <f t="shared" si="63"/>
        <v>9.0250000000000004</v>
      </c>
      <c r="AG561" s="215">
        <v>45435</v>
      </c>
      <c r="AH561">
        <v>7737</v>
      </c>
      <c r="AI561" s="104">
        <v>12000</v>
      </c>
      <c r="AJ561" s="46">
        <f t="shared" si="62"/>
        <v>64.474999999999994</v>
      </c>
      <c r="AL561" s="222">
        <v>45414</v>
      </c>
      <c r="AM561" s="101" t="s">
        <v>197</v>
      </c>
      <c r="AN561" s="101">
        <v>22552</v>
      </c>
      <c r="AP561" s="222">
        <v>45414</v>
      </c>
      <c r="AQ561" s="101" t="s">
        <v>194</v>
      </c>
      <c r="AR561" s="101">
        <v>1034166</v>
      </c>
    </row>
    <row r="562" spans="1:48" ht="15.75" hidden="1" x14ac:dyDescent="0.25">
      <c r="A562" s="215">
        <v>45436</v>
      </c>
      <c r="B562" s="101">
        <v>19590263</v>
      </c>
      <c r="C562" s="101">
        <v>455827</v>
      </c>
      <c r="D562" s="101">
        <v>20046090</v>
      </c>
      <c r="E562" s="101">
        <v>97.73</v>
      </c>
      <c r="F562" s="212">
        <f t="shared" si="61"/>
        <v>20.04609</v>
      </c>
      <c r="H562" s="215">
        <v>45436</v>
      </c>
      <c r="I562" s="101">
        <v>2073096</v>
      </c>
      <c r="J562" s="101">
        <v>33929</v>
      </c>
      <c r="K562" s="101">
        <v>2107025</v>
      </c>
      <c r="L562" s="101">
        <v>98.39</v>
      </c>
      <c r="M562" s="114">
        <f t="shared" si="59"/>
        <v>2.1070250000000001</v>
      </c>
      <c r="O562" s="215">
        <v>45436</v>
      </c>
      <c r="P562" s="101">
        <v>73340153</v>
      </c>
      <c r="Q562" s="101">
        <v>25580913</v>
      </c>
      <c r="R562" s="101">
        <v>98921066</v>
      </c>
      <c r="S562" s="325">
        <v>74.14</v>
      </c>
      <c r="T562" s="212">
        <f t="shared" si="57"/>
        <v>98.921065999999996</v>
      </c>
      <c r="W562" s="215">
        <v>45436</v>
      </c>
      <c r="X562" s="1">
        <v>11000</v>
      </c>
      <c r="Y562" s="104">
        <v>12000</v>
      </c>
      <c r="Z562" s="114">
        <f t="shared" si="58"/>
        <v>96.11666666666666</v>
      </c>
      <c r="AB562" s="224">
        <v>45436</v>
      </c>
      <c r="AC562">
        <v>1166</v>
      </c>
      <c r="AD562" s="192">
        <v>12000</v>
      </c>
      <c r="AE562" s="114">
        <f t="shared" si="63"/>
        <v>9.7166666666666668</v>
      </c>
      <c r="AG562" s="224">
        <v>45436</v>
      </c>
      <c r="AH562">
        <v>11700</v>
      </c>
      <c r="AI562" s="192">
        <v>12000</v>
      </c>
      <c r="AJ562" s="46">
        <f t="shared" si="62"/>
        <v>97.5</v>
      </c>
      <c r="AL562" s="222">
        <v>45414</v>
      </c>
      <c r="AM562" s="101" t="s">
        <v>191</v>
      </c>
      <c r="AN562" s="101">
        <v>20459</v>
      </c>
      <c r="AP562" s="222">
        <v>45414</v>
      </c>
      <c r="AQ562" s="101" t="s">
        <v>192</v>
      </c>
      <c r="AR562" s="101">
        <v>972304</v>
      </c>
    </row>
    <row r="563" spans="1:48" ht="15.75" hidden="1" x14ac:dyDescent="0.25">
      <c r="A563" s="215">
        <v>45437</v>
      </c>
      <c r="B563" s="101">
        <v>19768001</v>
      </c>
      <c r="C563" s="101">
        <v>432200</v>
      </c>
      <c r="D563" s="101">
        <v>20200201</v>
      </c>
      <c r="E563" s="101">
        <v>97.86</v>
      </c>
      <c r="F563" s="212">
        <f t="shared" si="61"/>
        <v>20.200201</v>
      </c>
      <c r="H563" s="215">
        <v>45437</v>
      </c>
      <c r="I563" s="101">
        <v>2164620</v>
      </c>
      <c r="J563" s="101">
        <v>14940</v>
      </c>
      <c r="K563" s="101">
        <v>2179560</v>
      </c>
      <c r="L563" s="101">
        <v>99.31</v>
      </c>
      <c r="M563" s="114">
        <f t="shared" si="59"/>
        <v>2.1795599999999999</v>
      </c>
      <c r="O563" s="215">
        <v>45437</v>
      </c>
      <c r="P563" s="101">
        <v>62460217</v>
      </c>
      <c r="Q563" s="101">
        <v>25047003</v>
      </c>
      <c r="R563" s="101">
        <v>87507220</v>
      </c>
      <c r="S563" s="325">
        <v>71.38</v>
      </c>
      <c r="T563" s="212">
        <f t="shared" si="57"/>
        <v>87.507220000000004</v>
      </c>
      <c r="W563" s="215">
        <v>45437</v>
      </c>
      <c r="X563" s="1">
        <v>6060</v>
      </c>
      <c r="Y563" s="104">
        <v>12000</v>
      </c>
      <c r="Z563" s="114">
        <f t="shared" si="58"/>
        <v>64.474999999999994</v>
      </c>
      <c r="AB563" s="215">
        <v>45437</v>
      </c>
      <c r="AC563" s="1">
        <v>1091</v>
      </c>
      <c r="AD563" s="104">
        <v>12000</v>
      </c>
      <c r="AE563" s="114">
        <f t="shared" si="63"/>
        <v>9.0916666666666668</v>
      </c>
      <c r="AG563" s="215">
        <v>45437</v>
      </c>
      <c r="AH563" s="1">
        <v>6733</v>
      </c>
      <c r="AI563" s="104">
        <v>12000</v>
      </c>
      <c r="AJ563" s="46">
        <f t="shared" si="62"/>
        <v>56.108333333333334</v>
      </c>
      <c r="AL563" s="222">
        <v>45414</v>
      </c>
      <c r="AM563" s="101" t="s">
        <v>194</v>
      </c>
      <c r="AN563" s="101">
        <v>13108</v>
      </c>
      <c r="AP563" s="222">
        <v>45414</v>
      </c>
      <c r="AQ563" s="101" t="s">
        <v>206</v>
      </c>
      <c r="AR563" s="101">
        <v>130175</v>
      </c>
    </row>
    <row r="564" spans="1:48" hidden="1" x14ac:dyDescent="0.25">
      <c r="A564" s="215">
        <v>45438</v>
      </c>
      <c r="B564" s="101">
        <v>20226911</v>
      </c>
      <c r="C564" s="101">
        <v>390435</v>
      </c>
      <c r="D564" s="101">
        <v>20617346</v>
      </c>
      <c r="E564" s="101">
        <v>98.11</v>
      </c>
      <c r="F564" s="212">
        <f t="shared" si="61"/>
        <v>20.617346000000001</v>
      </c>
      <c r="H564" s="215">
        <v>45438</v>
      </c>
      <c r="I564" s="101">
        <v>965812</v>
      </c>
      <c r="J564" s="101">
        <v>17529</v>
      </c>
      <c r="K564" s="101">
        <v>983341</v>
      </c>
      <c r="L564" s="101">
        <v>98.22</v>
      </c>
      <c r="M564" s="114">
        <f t="shared" si="59"/>
        <v>0.98334100000000002</v>
      </c>
      <c r="O564" s="215">
        <v>45438</v>
      </c>
      <c r="P564" s="101">
        <v>47473171</v>
      </c>
      <c r="Q564" s="101">
        <v>10908674</v>
      </c>
      <c r="R564" s="101">
        <v>58381845</v>
      </c>
      <c r="S564" s="101">
        <v>81.31</v>
      </c>
      <c r="T564" s="212">
        <f t="shared" si="57"/>
        <v>58.381844999999998</v>
      </c>
      <c r="W564" s="215">
        <v>45438</v>
      </c>
      <c r="X564" s="1">
        <v>4911</v>
      </c>
      <c r="Y564" s="104">
        <v>12000</v>
      </c>
      <c r="Z564" s="114">
        <f>X564/Y564%</f>
        <v>40.924999999999997</v>
      </c>
      <c r="AB564" s="215">
        <v>45438</v>
      </c>
      <c r="AC564" s="1">
        <v>936</v>
      </c>
      <c r="AD564" s="104">
        <v>12000</v>
      </c>
      <c r="AE564" s="114">
        <f t="shared" si="63"/>
        <v>7.8</v>
      </c>
      <c r="AG564" s="215">
        <v>45438</v>
      </c>
      <c r="AH564" s="1">
        <v>5713</v>
      </c>
      <c r="AI564" s="104">
        <v>12000</v>
      </c>
      <c r="AJ564" s="46">
        <f t="shared" si="62"/>
        <v>47.608333333333334</v>
      </c>
    </row>
    <row r="565" spans="1:48" hidden="1" x14ac:dyDescent="0.25">
      <c r="A565" s="215">
        <v>45439</v>
      </c>
      <c r="B565" s="101">
        <v>17864862</v>
      </c>
      <c r="C565" s="101">
        <v>414151</v>
      </c>
      <c r="D565" s="101">
        <v>18279013</v>
      </c>
      <c r="E565" s="101">
        <v>97.73</v>
      </c>
      <c r="F565" s="212">
        <f t="shared" si="61"/>
        <v>18.279012999999999</v>
      </c>
      <c r="H565" s="215">
        <v>45439</v>
      </c>
      <c r="I565" s="101">
        <v>2854102</v>
      </c>
      <c r="J565" s="101">
        <v>35795</v>
      </c>
      <c r="K565" s="101">
        <v>2889897</v>
      </c>
      <c r="L565" s="101">
        <v>98.76</v>
      </c>
      <c r="M565" s="114">
        <f t="shared" si="59"/>
        <v>2.8898969999999999</v>
      </c>
      <c r="O565" s="215">
        <v>45439</v>
      </c>
      <c r="P565" s="101">
        <v>64901633</v>
      </c>
      <c r="Q565" s="101">
        <v>24551860</v>
      </c>
      <c r="R565" s="101">
        <v>89453493</v>
      </c>
      <c r="S565" s="101">
        <v>72.55</v>
      </c>
      <c r="T565" s="212">
        <f t="shared" si="57"/>
        <v>89.453492999999995</v>
      </c>
      <c r="W565" s="215">
        <v>45439</v>
      </c>
      <c r="X565" s="1">
        <v>8666</v>
      </c>
      <c r="Y565" s="104">
        <v>12000</v>
      </c>
      <c r="Z565" s="114">
        <f>X565/Y565%</f>
        <v>72.216666666666669</v>
      </c>
      <c r="AB565" s="215">
        <v>45439</v>
      </c>
      <c r="AC565" s="1">
        <v>1262</v>
      </c>
      <c r="AD565" s="104">
        <v>12000</v>
      </c>
      <c r="AE565" s="114">
        <f t="shared" si="63"/>
        <v>10.516666666666667</v>
      </c>
      <c r="AG565" s="215">
        <v>45439</v>
      </c>
      <c r="AH565" s="1">
        <v>9573</v>
      </c>
      <c r="AI565" s="104">
        <v>12000</v>
      </c>
      <c r="AJ565" s="46">
        <f t="shared" si="62"/>
        <v>79.775000000000006</v>
      </c>
      <c r="AL565" s="222">
        <v>45417</v>
      </c>
      <c r="AM565" s="101" t="s">
        <v>189</v>
      </c>
      <c r="AN565" s="101">
        <v>229550</v>
      </c>
      <c r="AP565" s="222">
        <v>45417</v>
      </c>
      <c r="AQ565" s="101" t="s">
        <v>189</v>
      </c>
      <c r="AR565" s="101">
        <v>18710837</v>
      </c>
      <c r="AT565" s="222">
        <v>45417</v>
      </c>
      <c r="AU565" s="101" t="s">
        <v>190</v>
      </c>
      <c r="AV565" s="101">
        <v>37197</v>
      </c>
    </row>
    <row r="566" spans="1:48" hidden="1" x14ac:dyDescent="0.25">
      <c r="A566" s="215">
        <v>45440</v>
      </c>
      <c r="B566" s="101">
        <v>19139704</v>
      </c>
      <c r="C566" s="101">
        <v>378564</v>
      </c>
      <c r="D566" s="101">
        <v>19518268</v>
      </c>
      <c r="E566" s="101">
        <v>98.06</v>
      </c>
      <c r="F566" s="212">
        <f t="shared" si="61"/>
        <v>19.518267999999999</v>
      </c>
      <c r="H566" s="215">
        <v>45440</v>
      </c>
      <c r="I566" s="101">
        <v>2796052</v>
      </c>
      <c r="J566" s="101">
        <v>46995</v>
      </c>
      <c r="K566" s="101">
        <v>2843047</v>
      </c>
      <c r="L566" s="101">
        <v>98.35</v>
      </c>
      <c r="M566" s="114">
        <f t="shared" si="59"/>
        <v>2.8430469999999999</v>
      </c>
      <c r="O566" s="215">
        <v>45440</v>
      </c>
      <c r="P566" s="101">
        <v>55876970</v>
      </c>
      <c r="Q566" s="101">
        <v>17800590</v>
      </c>
      <c r="R566" s="101">
        <v>73677560</v>
      </c>
      <c r="S566" s="101">
        <v>75.84</v>
      </c>
      <c r="T566" s="212">
        <f t="shared" si="57"/>
        <v>73.67756</v>
      </c>
      <c r="W566" s="215">
        <v>45440</v>
      </c>
      <c r="X566" s="1">
        <v>10032</v>
      </c>
      <c r="Y566" s="104">
        <v>12000</v>
      </c>
      <c r="Z566" s="114">
        <f>X566/Y566%</f>
        <v>83.6</v>
      </c>
      <c r="AB566" s="215">
        <v>45440</v>
      </c>
      <c r="AC566" s="1">
        <v>1073</v>
      </c>
      <c r="AD566" s="104">
        <v>12000</v>
      </c>
      <c r="AE566" s="114">
        <f t="shared" si="63"/>
        <v>8.9416666666666664</v>
      </c>
      <c r="AG566" s="215">
        <v>45440</v>
      </c>
      <c r="AH566" s="1">
        <v>10582</v>
      </c>
      <c r="AI566" s="104">
        <v>12000</v>
      </c>
      <c r="AJ566" s="46">
        <f t="shared" si="62"/>
        <v>88.183333333333337</v>
      </c>
      <c r="AL566" s="222">
        <v>45417</v>
      </c>
      <c r="AM566" s="101" t="s">
        <v>192</v>
      </c>
      <c r="AN566" s="101">
        <v>24900</v>
      </c>
      <c r="AP566" s="222">
        <v>45417</v>
      </c>
      <c r="AQ566" s="101" t="s">
        <v>194</v>
      </c>
      <c r="AR566" s="101">
        <v>942512</v>
      </c>
      <c r="AT566" s="222">
        <v>45417</v>
      </c>
      <c r="AU566" s="101" t="s">
        <v>193</v>
      </c>
      <c r="AV566" s="101">
        <v>11358</v>
      </c>
    </row>
    <row r="567" spans="1:48" hidden="1" x14ac:dyDescent="0.25">
      <c r="A567" s="215">
        <v>45441</v>
      </c>
      <c r="B567" s="101">
        <v>19141931</v>
      </c>
      <c r="C567" s="101">
        <v>353157</v>
      </c>
      <c r="D567" s="101">
        <v>19495088</v>
      </c>
      <c r="E567" s="101">
        <v>98.19</v>
      </c>
      <c r="F567" s="212">
        <f t="shared" si="61"/>
        <v>19.495087999999999</v>
      </c>
      <c r="H567" s="215">
        <v>45441</v>
      </c>
      <c r="I567" s="101">
        <v>2043643</v>
      </c>
      <c r="J567" s="101">
        <v>28014</v>
      </c>
      <c r="K567" s="101">
        <v>2071657</v>
      </c>
      <c r="L567" s="101">
        <v>98.65</v>
      </c>
      <c r="M567" s="114">
        <f t="shared" si="59"/>
        <v>2.0716570000000001</v>
      </c>
      <c r="O567" s="215">
        <v>45441</v>
      </c>
      <c r="P567" s="101">
        <v>59762955</v>
      </c>
      <c r="Q567" s="101">
        <v>21899779</v>
      </c>
      <c r="R567" s="101">
        <v>81662734</v>
      </c>
      <c r="S567" s="101">
        <v>73.180000000000007</v>
      </c>
      <c r="T567" s="212">
        <f t="shared" si="57"/>
        <v>81.662734</v>
      </c>
      <c r="W567" s="215">
        <v>45441</v>
      </c>
      <c r="X567" s="1">
        <v>9856</v>
      </c>
      <c r="Y567" s="104">
        <v>12000</v>
      </c>
      <c r="Z567" s="114">
        <f t="shared" ref="Z567:Z579" si="64">X567/Y567%</f>
        <v>82.13333333333334</v>
      </c>
      <c r="AB567" s="215">
        <v>45441</v>
      </c>
      <c r="AC567" s="1">
        <v>975</v>
      </c>
      <c r="AD567" s="104">
        <v>12000</v>
      </c>
      <c r="AE567" s="114">
        <f t="shared" si="63"/>
        <v>8.125</v>
      </c>
      <c r="AG567" s="215">
        <v>45441</v>
      </c>
      <c r="AH567" s="1">
        <v>10417</v>
      </c>
      <c r="AI567" s="104">
        <v>12000</v>
      </c>
      <c r="AJ567" s="46">
        <f t="shared" si="62"/>
        <v>86.808333333333337</v>
      </c>
      <c r="AL567" s="222">
        <v>45417</v>
      </c>
      <c r="AM567" s="101" t="s">
        <v>191</v>
      </c>
      <c r="AN567" s="101">
        <v>18553</v>
      </c>
      <c r="AP567" s="222">
        <v>45417</v>
      </c>
      <c r="AQ567" s="101" t="s">
        <v>191</v>
      </c>
      <c r="AR567" s="101">
        <v>777979</v>
      </c>
    </row>
    <row r="568" spans="1:48" hidden="1" x14ac:dyDescent="0.25">
      <c r="A568" s="215">
        <v>45442</v>
      </c>
      <c r="B568" s="101">
        <v>19644467</v>
      </c>
      <c r="C568" s="101">
        <v>394663</v>
      </c>
      <c r="D568" s="101">
        <v>20039130</v>
      </c>
      <c r="E568" s="101">
        <v>98.03</v>
      </c>
      <c r="F568" s="212">
        <f t="shared" si="61"/>
        <v>20.03913</v>
      </c>
      <c r="H568" s="215">
        <v>45442</v>
      </c>
      <c r="I568" s="101">
        <v>1647299</v>
      </c>
      <c r="J568" s="101">
        <v>28523</v>
      </c>
      <c r="K568" s="101">
        <v>1675822</v>
      </c>
      <c r="L568" s="101">
        <v>98.3</v>
      </c>
      <c r="M568" s="114">
        <f t="shared" si="59"/>
        <v>1.6758219999999999</v>
      </c>
      <c r="O568" s="215">
        <v>45442</v>
      </c>
      <c r="P568" s="101">
        <v>61257567</v>
      </c>
      <c r="Q568" s="101">
        <v>24863905</v>
      </c>
      <c r="R568" s="101">
        <v>86121472</v>
      </c>
      <c r="S568" s="101">
        <v>71.13</v>
      </c>
      <c r="T568" s="212">
        <f t="shared" ref="T568:T632" si="65">R568/1000000</f>
        <v>86.121471999999997</v>
      </c>
      <c r="W568" s="215">
        <v>45442</v>
      </c>
      <c r="X568" s="1">
        <v>10885</v>
      </c>
      <c r="Y568" s="104">
        <v>12000</v>
      </c>
      <c r="Z568" s="114">
        <f t="shared" si="64"/>
        <v>90.708333333333329</v>
      </c>
      <c r="AB568" s="215">
        <v>45442</v>
      </c>
      <c r="AC568" s="1">
        <v>1115</v>
      </c>
      <c r="AD568" s="104">
        <v>12000</v>
      </c>
      <c r="AE568" s="114">
        <f t="shared" si="63"/>
        <v>9.2916666666666661</v>
      </c>
      <c r="AG568" s="215">
        <v>45442</v>
      </c>
      <c r="AH568" s="1">
        <v>11567</v>
      </c>
      <c r="AI568" s="104">
        <v>12000</v>
      </c>
      <c r="AJ568" s="46">
        <f t="shared" si="62"/>
        <v>96.391666666666666</v>
      </c>
      <c r="AL568" s="222">
        <v>45417</v>
      </c>
      <c r="AM568" s="101" t="s">
        <v>197</v>
      </c>
      <c r="AN568" s="101">
        <v>15075</v>
      </c>
      <c r="AP568" s="222">
        <v>45417</v>
      </c>
      <c r="AQ568" s="101" t="s">
        <v>192</v>
      </c>
      <c r="AR568" s="101">
        <v>142378</v>
      </c>
    </row>
    <row r="569" spans="1:48" hidden="1" x14ac:dyDescent="0.25">
      <c r="A569" s="215">
        <v>45443</v>
      </c>
      <c r="B569" s="101">
        <v>20930033</v>
      </c>
      <c r="C569" s="101">
        <v>359164</v>
      </c>
      <c r="D569" s="101">
        <v>21289197</v>
      </c>
      <c r="E569" s="101">
        <v>98.31</v>
      </c>
      <c r="F569" s="212">
        <f t="shared" si="61"/>
        <v>21.289197000000001</v>
      </c>
      <c r="H569" s="215">
        <v>45443</v>
      </c>
      <c r="I569" s="101">
        <v>2018169</v>
      </c>
      <c r="J569" s="101">
        <v>33785</v>
      </c>
      <c r="K569" s="101">
        <v>2051954</v>
      </c>
      <c r="L569" s="101">
        <v>98.35</v>
      </c>
      <c r="M569" s="114">
        <f t="shared" si="59"/>
        <v>2.0519539999999998</v>
      </c>
      <c r="O569" s="215">
        <v>45443</v>
      </c>
      <c r="P569" s="101">
        <v>61866154</v>
      </c>
      <c r="Q569" s="101">
        <v>22174080</v>
      </c>
      <c r="R569" s="101">
        <v>84040234</v>
      </c>
      <c r="S569" s="101">
        <v>73.61</v>
      </c>
      <c r="T569" s="212">
        <f t="shared" si="65"/>
        <v>84.040233999999998</v>
      </c>
      <c r="W569" s="215">
        <v>45443</v>
      </c>
      <c r="X569" s="1">
        <v>11000</v>
      </c>
      <c r="Y569" s="104">
        <v>12000</v>
      </c>
      <c r="Z569" s="114">
        <f t="shared" si="64"/>
        <v>91.666666666666671</v>
      </c>
      <c r="AB569" s="215">
        <v>45443</v>
      </c>
      <c r="AC569" s="1">
        <v>1187</v>
      </c>
      <c r="AD569" s="104">
        <v>12000</v>
      </c>
      <c r="AE569" s="114">
        <f t="shared" si="63"/>
        <v>9.8916666666666675</v>
      </c>
      <c r="AG569" s="215">
        <v>45443</v>
      </c>
      <c r="AH569" s="1">
        <v>11685</v>
      </c>
      <c r="AI569" s="104">
        <v>12000</v>
      </c>
      <c r="AJ569" s="46">
        <f t="shared" si="62"/>
        <v>97.375</v>
      </c>
      <c r="AL569" s="222">
        <v>45417</v>
      </c>
      <c r="AM569" s="101" t="s">
        <v>194</v>
      </c>
      <c r="AN569" s="101">
        <v>12328</v>
      </c>
      <c r="AP569" s="222">
        <v>45417</v>
      </c>
      <c r="AQ569" s="101" t="s">
        <v>208</v>
      </c>
      <c r="AR569" s="101">
        <v>77489</v>
      </c>
    </row>
    <row r="570" spans="1:48" hidden="1" x14ac:dyDescent="0.25">
      <c r="A570" s="215">
        <v>45444</v>
      </c>
      <c r="B570" s="101">
        <v>21044912</v>
      </c>
      <c r="C570" s="101">
        <v>388336</v>
      </c>
      <c r="D570" s="101">
        <v>21433248</v>
      </c>
      <c r="E570" s="101">
        <v>98.19</v>
      </c>
      <c r="F570" s="212">
        <f t="shared" si="61"/>
        <v>21.433247999999999</v>
      </c>
      <c r="H570" s="215">
        <v>45444</v>
      </c>
      <c r="I570" s="101">
        <v>1435431</v>
      </c>
      <c r="J570" s="101">
        <v>28844</v>
      </c>
      <c r="K570" s="101">
        <v>1464275</v>
      </c>
      <c r="L570" s="101">
        <v>98.03</v>
      </c>
      <c r="M570" s="114">
        <f t="shared" si="59"/>
        <v>1.464275</v>
      </c>
      <c r="O570" s="215">
        <v>45444</v>
      </c>
      <c r="P570" s="101">
        <v>62969956</v>
      </c>
      <c r="Q570" s="101">
        <v>27628201</v>
      </c>
      <c r="R570" s="101">
        <v>90598157</v>
      </c>
      <c r="S570" s="101">
        <v>69.5</v>
      </c>
      <c r="T570" s="212">
        <f t="shared" si="65"/>
        <v>90.598157</v>
      </c>
      <c r="W570" s="215">
        <v>45444</v>
      </c>
      <c r="X570" s="1">
        <v>7678</v>
      </c>
      <c r="Y570" s="104">
        <v>12000</v>
      </c>
      <c r="Z570" s="114">
        <f t="shared" si="64"/>
        <v>63.983333333333334</v>
      </c>
      <c r="AB570" s="215">
        <v>45444</v>
      </c>
      <c r="AC570" s="1">
        <v>1078</v>
      </c>
      <c r="AD570" s="104">
        <v>12000</v>
      </c>
      <c r="AE570" s="114">
        <f t="shared" si="63"/>
        <v>8.9833333333333325</v>
      </c>
      <c r="AG570" s="215">
        <v>45444</v>
      </c>
      <c r="AH570" s="1">
        <v>8312</v>
      </c>
      <c r="AI570" s="104">
        <v>12000</v>
      </c>
      <c r="AJ570" s="46">
        <f t="shared" si="62"/>
        <v>69.266666666666666</v>
      </c>
    </row>
    <row r="571" spans="1:48" hidden="1" x14ac:dyDescent="0.25">
      <c r="A571" s="215">
        <v>45445</v>
      </c>
      <c r="B571" s="173">
        <v>21030419</v>
      </c>
      <c r="C571" s="173">
        <v>325726</v>
      </c>
      <c r="D571" s="173">
        <v>21356145</v>
      </c>
      <c r="E571" s="173">
        <v>98.47</v>
      </c>
      <c r="F571" s="212">
        <f t="shared" si="61"/>
        <v>21.356145000000001</v>
      </c>
      <c r="H571" s="215">
        <v>45445</v>
      </c>
      <c r="I571" s="173">
        <v>1060049</v>
      </c>
      <c r="J571" s="173">
        <v>28295</v>
      </c>
      <c r="K571" s="173">
        <v>1088344</v>
      </c>
      <c r="L571" s="173">
        <v>97.4</v>
      </c>
      <c r="M571" s="114">
        <f t="shared" si="59"/>
        <v>1.088344</v>
      </c>
      <c r="O571" s="215">
        <v>45445</v>
      </c>
      <c r="P571" s="173">
        <v>45266818</v>
      </c>
      <c r="Q571" s="173">
        <v>15788198</v>
      </c>
      <c r="R571" s="173">
        <v>61055016</v>
      </c>
      <c r="S571" s="173">
        <v>74.14</v>
      </c>
      <c r="T571" s="212">
        <f t="shared" si="65"/>
        <v>61.055016000000002</v>
      </c>
      <c r="W571" s="215">
        <v>45445</v>
      </c>
      <c r="X571" s="1">
        <v>5687</v>
      </c>
      <c r="Y571" s="104">
        <v>12000</v>
      </c>
      <c r="Z571" s="114">
        <f t="shared" si="64"/>
        <v>47.391666666666666</v>
      </c>
      <c r="AB571" s="215">
        <v>45445</v>
      </c>
      <c r="AC571" s="1">
        <v>914</v>
      </c>
      <c r="AD571" s="104">
        <v>12000</v>
      </c>
      <c r="AE571" s="114">
        <f t="shared" si="63"/>
        <v>7.6166666666666663</v>
      </c>
      <c r="AG571" s="215">
        <v>45445</v>
      </c>
      <c r="AH571" s="1">
        <v>6138</v>
      </c>
      <c r="AI571" s="104">
        <v>12000</v>
      </c>
      <c r="AJ571" s="46">
        <f t="shared" si="62"/>
        <v>51.15</v>
      </c>
      <c r="AL571" s="222">
        <v>45418</v>
      </c>
      <c r="AM571" s="101" t="s">
        <v>189</v>
      </c>
      <c r="AN571" s="101">
        <v>209010</v>
      </c>
      <c r="AP571" s="222">
        <v>45418</v>
      </c>
      <c r="AQ571" s="101" t="s">
        <v>189</v>
      </c>
      <c r="AR571" s="101">
        <v>28569544</v>
      </c>
      <c r="AT571" s="222">
        <v>45418</v>
      </c>
      <c r="AU571" s="101" t="s">
        <v>190</v>
      </c>
      <c r="AV571" s="101">
        <v>88831</v>
      </c>
    </row>
    <row r="572" spans="1:48" hidden="1" x14ac:dyDescent="0.25">
      <c r="A572" s="215">
        <v>45446</v>
      </c>
      <c r="B572" s="48">
        <v>20774762</v>
      </c>
      <c r="C572" s="48">
        <v>319076</v>
      </c>
      <c r="D572" s="48">
        <v>21093838</v>
      </c>
      <c r="E572" s="48">
        <v>98.49</v>
      </c>
      <c r="F572" s="212">
        <f t="shared" si="61"/>
        <v>21.093838000000002</v>
      </c>
      <c r="H572" s="215">
        <v>45446</v>
      </c>
      <c r="I572" s="48">
        <v>8736742</v>
      </c>
      <c r="J572" s="48">
        <v>37278</v>
      </c>
      <c r="K572" s="48">
        <v>8774020</v>
      </c>
      <c r="L572" s="48">
        <v>99.58</v>
      </c>
      <c r="M572" s="114">
        <f t="shared" si="59"/>
        <v>8.7740200000000002</v>
      </c>
      <c r="O572" s="215">
        <v>45446</v>
      </c>
      <c r="P572" s="48">
        <v>83840459</v>
      </c>
      <c r="Q572" s="48">
        <v>32542319</v>
      </c>
      <c r="R572" s="48">
        <v>116382778</v>
      </c>
      <c r="S572" s="48">
        <v>72.040000000000006</v>
      </c>
      <c r="T572" s="212">
        <f t="shared" si="65"/>
        <v>116.382778</v>
      </c>
      <c r="W572" s="215">
        <v>45446</v>
      </c>
      <c r="X572" s="1">
        <v>11000</v>
      </c>
      <c r="Y572" s="104">
        <v>12000</v>
      </c>
      <c r="Z572" s="114">
        <f t="shared" si="64"/>
        <v>91.666666666666671</v>
      </c>
      <c r="AB572" s="215">
        <v>45446</v>
      </c>
      <c r="AC572" s="1">
        <v>1745</v>
      </c>
      <c r="AD572" s="104">
        <v>12000</v>
      </c>
      <c r="AE572" s="114">
        <f t="shared" ref="AE572:AE579" si="66">AC572/AD572%</f>
        <v>14.541666666666666</v>
      </c>
      <c r="AG572" s="215">
        <v>45446</v>
      </c>
      <c r="AH572" s="1">
        <v>11806</v>
      </c>
      <c r="AI572" s="104">
        <v>12000</v>
      </c>
      <c r="AJ572" s="46">
        <f t="shared" ref="AJ572:AJ578" si="67">AH572/AI572%</f>
        <v>98.38333333333334</v>
      </c>
      <c r="AL572" s="222">
        <v>45418</v>
      </c>
      <c r="AM572" s="101" t="s">
        <v>191</v>
      </c>
      <c r="AN572" s="101">
        <v>21042</v>
      </c>
      <c r="AP572" s="222">
        <v>45418</v>
      </c>
      <c r="AQ572" s="101" t="s">
        <v>191</v>
      </c>
      <c r="AR572" s="101">
        <v>1690115</v>
      </c>
      <c r="AT572" s="222">
        <v>45418</v>
      </c>
      <c r="AU572" s="101" t="s">
        <v>193</v>
      </c>
      <c r="AV572" s="101">
        <v>16333</v>
      </c>
    </row>
    <row r="573" spans="1:48" hidden="1" x14ac:dyDescent="0.25">
      <c r="A573" s="215">
        <v>45447</v>
      </c>
      <c r="B573" s="101">
        <v>21197280</v>
      </c>
      <c r="C573" s="101">
        <v>383781</v>
      </c>
      <c r="D573" s="101">
        <v>21581061</v>
      </c>
      <c r="E573" s="101">
        <v>98.22</v>
      </c>
      <c r="F573" s="212">
        <f t="shared" si="61"/>
        <v>21.581060999999998</v>
      </c>
      <c r="H573" s="215">
        <v>45447</v>
      </c>
      <c r="I573" s="101">
        <v>6131130</v>
      </c>
      <c r="J573" s="101">
        <v>50998</v>
      </c>
      <c r="K573" s="101">
        <v>6182128</v>
      </c>
      <c r="L573" s="101">
        <v>99.18</v>
      </c>
      <c r="M573" s="114">
        <f t="shared" si="59"/>
        <v>6.1821279999999996</v>
      </c>
      <c r="O573" s="215">
        <v>45447</v>
      </c>
      <c r="P573" s="101">
        <v>68316191</v>
      </c>
      <c r="Q573" s="101">
        <v>21852685</v>
      </c>
      <c r="R573" s="101">
        <v>90168876</v>
      </c>
      <c r="S573" s="101">
        <v>75.760000000000005</v>
      </c>
      <c r="T573" s="212">
        <f t="shared" si="65"/>
        <v>90.168875999999997</v>
      </c>
      <c r="W573" s="215">
        <v>45447</v>
      </c>
      <c r="X573" s="1">
        <v>11000</v>
      </c>
      <c r="Y573" s="104">
        <v>12000</v>
      </c>
      <c r="Z573" s="114">
        <f t="shared" si="64"/>
        <v>91.666666666666671</v>
      </c>
      <c r="AB573" s="215">
        <v>45447</v>
      </c>
      <c r="AC573" s="1">
        <v>1109</v>
      </c>
      <c r="AD573" s="104">
        <v>12000</v>
      </c>
      <c r="AE573" s="114">
        <f t="shared" si="66"/>
        <v>9.2416666666666671</v>
      </c>
      <c r="AG573" s="215">
        <v>45447</v>
      </c>
      <c r="AH573" s="1">
        <v>11578</v>
      </c>
      <c r="AI573" s="104">
        <v>12000</v>
      </c>
      <c r="AJ573" s="46">
        <f t="shared" si="67"/>
        <v>96.483333333333334</v>
      </c>
      <c r="AL573" s="222">
        <v>45418</v>
      </c>
      <c r="AM573" s="101" t="s">
        <v>192</v>
      </c>
      <c r="AN573" s="101">
        <v>20943</v>
      </c>
      <c r="AP573" s="222">
        <v>45418</v>
      </c>
      <c r="AQ573" s="101" t="s">
        <v>194</v>
      </c>
      <c r="AR573" s="101">
        <v>1134894</v>
      </c>
    </row>
    <row r="574" spans="1:48" hidden="1" x14ac:dyDescent="0.25">
      <c r="A574" s="215">
        <v>45448</v>
      </c>
      <c r="B574" s="101">
        <v>20681177</v>
      </c>
      <c r="C574" s="101">
        <v>376898</v>
      </c>
      <c r="D574" s="101">
        <v>21058075</v>
      </c>
      <c r="E574" s="101">
        <v>98.21</v>
      </c>
      <c r="F574" s="212">
        <f t="shared" si="61"/>
        <v>21.058074999999999</v>
      </c>
      <c r="H574" s="215">
        <v>45448</v>
      </c>
      <c r="I574" s="101">
        <v>1814347</v>
      </c>
      <c r="J574" s="101">
        <v>20632</v>
      </c>
      <c r="K574" s="101">
        <v>1834979</v>
      </c>
      <c r="L574" s="101">
        <v>98.88</v>
      </c>
      <c r="M574" s="114">
        <f t="shared" si="59"/>
        <v>1.8349789999999999</v>
      </c>
      <c r="O574" s="215">
        <v>45448</v>
      </c>
      <c r="P574" s="101">
        <v>63076497</v>
      </c>
      <c r="Q574" s="101">
        <v>33276449</v>
      </c>
      <c r="R574" s="101">
        <v>96352946</v>
      </c>
      <c r="S574" s="101">
        <v>65.459999999999994</v>
      </c>
      <c r="T574" s="212">
        <f t="shared" si="65"/>
        <v>96.352946000000003</v>
      </c>
      <c r="W574" s="215">
        <v>45448</v>
      </c>
      <c r="X574" s="1">
        <v>11000</v>
      </c>
      <c r="Y574" s="104">
        <v>12000</v>
      </c>
      <c r="Z574" s="114">
        <f t="shared" si="64"/>
        <v>91.666666666666671</v>
      </c>
      <c r="AB574" s="215">
        <v>45448</v>
      </c>
      <c r="AC574" s="1">
        <v>1176</v>
      </c>
      <c r="AD574" s="104">
        <v>12000</v>
      </c>
      <c r="AE574" s="114">
        <f t="shared" si="66"/>
        <v>9.8000000000000007</v>
      </c>
      <c r="AG574" s="215">
        <v>45448</v>
      </c>
      <c r="AH574" s="1">
        <v>11502</v>
      </c>
      <c r="AI574" s="104">
        <v>12000</v>
      </c>
      <c r="AJ574" s="46">
        <f t="shared" si="67"/>
        <v>95.85</v>
      </c>
      <c r="AL574" s="222">
        <v>45418</v>
      </c>
      <c r="AM574" s="101" t="s">
        <v>194</v>
      </c>
      <c r="AN574" s="101">
        <v>10115</v>
      </c>
      <c r="AP574" s="222">
        <v>45418</v>
      </c>
      <c r="AQ574" s="101" t="s">
        <v>192</v>
      </c>
      <c r="AR574" s="101">
        <v>901912</v>
      </c>
    </row>
    <row r="575" spans="1:48" hidden="1" x14ac:dyDescent="0.25">
      <c r="A575" s="215">
        <v>45449</v>
      </c>
      <c r="B575" s="101">
        <v>21011306</v>
      </c>
      <c r="C575" s="101">
        <v>377221</v>
      </c>
      <c r="D575" s="101">
        <v>21388527</v>
      </c>
      <c r="E575" s="101">
        <v>98.24</v>
      </c>
      <c r="F575" s="212">
        <f t="shared" si="61"/>
        <v>21.388527</v>
      </c>
      <c r="H575" s="215">
        <v>45449</v>
      </c>
      <c r="I575" s="101">
        <v>2521960</v>
      </c>
      <c r="J575" s="101">
        <v>25081</v>
      </c>
      <c r="K575" s="101">
        <v>2547041</v>
      </c>
      <c r="L575" s="101">
        <v>99.02</v>
      </c>
      <c r="M575" s="114">
        <f t="shared" si="59"/>
        <v>2.5470410000000001</v>
      </c>
      <c r="O575" s="215">
        <v>45449</v>
      </c>
      <c r="P575" s="101">
        <v>66189961</v>
      </c>
      <c r="Q575" s="101">
        <v>35619576</v>
      </c>
      <c r="R575" s="101">
        <v>101809537</v>
      </c>
      <c r="S575" s="101">
        <v>65.010000000000005</v>
      </c>
      <c r="T575" s="212">
        <f t="shared" si="65"/>
        <v>101.80953700000001</v>
      </c>
      <c r="W575" s="215">
        <v>45449</v>
      </c>
      <c r="X575" s="1">
        <v>11000</v>
      </c>
      <c r="Y575" s="104">
        <v>12000</v>
      </c>
      <c r="Z575" s="114">
        <f t="shared" si="64"/>
        <v>91.666666666666671</v>
      </c>
      <c r="AB575" s="215">
        <v>45449</v>
      </c>
      <c r="AC575" s="1">
        <v>1247</v>
      </c>
      <c r="AD575" s="104">
        <v>12000</v>
      </c>
      <c r="AE575" s="114">
        <f t="shared" si="66"/>
        <v>10.391666666666667</v>
      </c>
      <c r="AG575" s="215">
        <v>45449</v>
      </c>
      <c r="AH575" s="1">
        <v>12000</v>
      </c>
      <c r="AI575" s="104">
        <v>12000</v>
      </c>
      <c r="AJ575" s="46">
        <f t="shared" si="67"/>
        <v>100</v>
      </c>
      <c r="AL575" s="222">
        <v>45418</v>
      </c>
      <c r="AM575" s="101" t="s">
        <v>195</v>
      </c>
      <c r="AN575" s="101">
        <v>7777</v>
      </c>
      <c r="AP575" s="222">
        <v>45418</v>
      </c>
      <c r="AQ575" s="101" t="s">
        <v>208</v>
      </c>
      <c r="AR575" s="101">
        <v>148288</v>
      </c>
    </row>
    <row r="576" spans="1:48" hidden="1" x14ac:dyDescent="0.25">
      <c r="A576" s="215">
        <v>45450</v>
      </c>
      <c r="B576" s="101">
        <v>20478004</v>
      </c>
      <c r="C576" s="101">
        <v>387385</v>
      </c>
      <c r="D576" s="101">
        <v>20865389</v>
      </c>
      <c r="E576" s="101">
        <v>98.14</v>
      </c>
      <c r="F576" s="212">
        <f t="shared" si="61"/>
        <v>20.865389</v>
      </c>
      <c r="H576" s="215">
        <v>45450</v>
      </c>
      <c r="I576" s="101">
        <v>5802260</v>
      </c>
      <c r="J576" s="101">
        <v>62478</v>
      </c>
      <c r="K576" s="101">
        <v>5864738</v>
      </c>
      <c r="L576" s="101">
        <v>98.93</v>
      </c>
      <c r="M576" s="114">
        <f t="shared" si="59"/>
        <v>5.864738</v>
      </c>
      <c r="O576" s="215">
        <v>45450</v>
      </c>
      <c r="P576" s="101">
        <v>73282552</v>
      </c>
      <c r="Q576" s="101">
        <v>23604390</v>
      </c>
      <c r="R576" s="101">
        <v>96886942</v>
      </c>
      <c r="S576" s="101">
        <v>75.64</v>
      </c>
      <c r="T576" s="212">
        <f t="shared" si="65"/>
        <v>96.886942000000005</v>
      </c>
      <c r="W576" s="215">
        <v>45450</v>
      </c>
      <c r="X576" s="1">
        <v>11000</v>
      </c>
      <c r="Y576" s="104">
        <v>12000</v>
      </c>
      <c r="Z576" s="114">
        <f t="shared" si="64"/>
        <v>91.666666666666671</v>
      </c>
      <c r="AB576" s="215">
        <v>45450</v>
      </c>
      <c r="AC576" s="1">
        <v>2514</v>
      </c>
      <c r="AD576" s="104">
        <v>12000</v>
      </c>
      <c r="AE576" s="114">
        <f t="shared" si="66"/>
        <v>20.95</v>
      </c>
      <c r="AG576" s="215">
        <v>45450</v>
      </c>
      <c r="AH576" s="1">
        <v>12000</v>
      </c>
      <c r="AI576" s="104">
        <v>12000</v>
      </c>
      <c r="AJ576" s="46">
        <f t="shared" si="67"/>
        <v>100</v>
      </c>
    </row>
    <row r="577" spans="1:49" hidden="1" x14ac:dyDescent="0.25">
      <c r="A577" s="215">
        <v>45451</v>
      </c>
      <c r="B577" s="173">
        <v>20551820</v>
      </c>
      <c r="C577" s="173">
        <v>362256</v>
      </c>
      <c r="D577" s="173">
        <v>20914076</v>
      </c>
      <c r="E577" s="173">
        <v>98.27</v>
      </c>
      <c r="F577" s="212">
        <f t="shared" si="61"/>
        <v>20.914076000000001</v>
      </c>
      <c r="H577" s="215">
        <v>45451</v>
      </c>
      <c r="I577" s="101">
        <v>6252387</v>
      </c>
      <c r="J577" s="101">
        <v>26916</v>
      </c>
      <c r="K577" s="101">
        <v>6279303</v>
      </c>
      <c r="L577" s="101">
        <v>99.57</v>
      </c>
      <c r="M577" s="114">
        <f t="shared" si="59"/>
        <v>6.2793029999999996</v>
      </c>
      <c r="O577" s="215">
        <v>45451</v>
      </c>
      <c r="P577" s="101">
        <v>77775256</v>
      </c>
      <c r="Q577" s="101">
        <v>38296932</v>
      </c>
      <c r="R577" s="101">
        <v>116072188</v>
      </c>
      <c r="S577" s="101">
        <v>67.010000000000005</v>
      </c>
      <c r="T577" s="212">
        <f t="shared" si="65"/>
        <v>116.072188</v>
      </c>
      <c r="W577" s="215">
        <v>45451</v>
      </c>
      <c r="X577" s="104">
        <v>11000</v>
      </c>
      <c r="Y577" s="104">
        <v>12000</v>
      </c>
      <c r="Z577" s="114">
        <f t="shared" si="64"/>
        <v>91.666666666666671</v>
      </c>
      <c r="AB577" s="215">
        <v>45451</v>
      </c>
      <c r="AC577" s="104">
        <v>1028</v>
      </c>
      <c r="AD577" s="104">
        <v>12000</v>
      </c>
      <c r="AE577" s="114">
        <f t="shared" si="66"/>
        <v>8.5666666666666664</v>
      </c>
      <c r="AG577" s="215">
        <v>45451</v>
      </c>
      <c r="AH577" s="104">
        <v>11540</v>
      </c>
      <c r="AI577" s="104">
        <v>12000</v>
      </c>
      <c r="AJ577" s="46">
        <f t="shared" si="67"/>
        <v>96.166666666666671</v>
      </c>
      <c r="AL577" s="222">
        <v>45419</v>
      </c>
      <c r="AM577" s="101" t="s">
        <v>189</v>
      </c>
      <c r="AN577" s="101">
        <v>248404</v>
      </c>
      <c r="AP577" s="222">
        <v>45419</v>
      </c>
      <c r="AQ577" s="101" t="s">
        <v>189</v>
      </c>
      <c r="AR577" s="101">
        <v>26959493</v>
      </c>
      <c r="AT577" s="222">
        <v>45419</v>
      </c>
      <c r="AU577" s="101" t="s">
        <v>190</v>
      </c>
      <c r="AV577" s="101">
        <v>74973</v>
      </c>
    </row>
    <row r="578" spans="1:49" hidden="1" x14ac:dyDescent="0.25">
      <c r="A578" s="215">
        <v>45452</v>
      </c>
      <c r="B578" s="104">
        <v>21386506</v>
      </c>
      <c r="C578" s="104">
        <v>370177</v>
      </c>
      <c r="D578" s="104">
        <v>21756683</v>
      </c>
      <c r="E578" s="104">
        <v>98.3</v>
      </c>
      <c r="F578" s="212">
        <f t="shared" si="61"/>
        <v>21.756682999999999</v>
      </c>
      <c r="H578" s="215">
        <v>45452</v>
      </c>
      <c r="I578" s="173">
        <v>1373109</v>
      </c>
      <c r="J578" s="173">
        <v>26993</v>
      </c>
      <c r="K578" s="173">
        <v>1400102</v>
      </c>
      <c r="L578" s="173">
        <v>98.07</v>
      </c>
      <c r="M578" s="114">
        <f t="shared" si="59"/>
        <v>1.400102</v>
      </c>
      <c r="O578" s="224">
        <v>45452</v>
      </c>
      <c r="P578" s="173">
        <v>43502545</v>
      </c>
      <c r="Q578" s="173">
        <v>14187325</v>
      </c>
      <c r="R578" s="173">
        <v>57689870</v>
      </c>
      <c r="S578" s="173">
        <v>75.41</v>
      </c>
      <c r="T578" s="212">
        <f t="shared" si="65"/>
        <v>57.689869999999999</v>
      </c>
      <c r="W578" s="215">
        <v>45452</v>
      </c>
      <c r="X578" s="104">
        <v>6051</v>
      </c>
      <c r="Y578" s="104">
        <v>12000</v>
      </c>
      <c r="Z578" s="114">
        <f t="shared" si="64"/>
        <v>50.424999999999997</v>
      </c>
      <c r="AB578" s="215">
        <v>45452</v>
      </c>
      <c r="AC578" s="104">
        <v>1067</v>
      </c>
      <c r="AD578" s="104">
        <v>12000</v>
      </c>
      <c r="AE578" s="114">
        <f t="shared" si="66"/>
        <v>8.8916666666666675</v>
      </c>
      <c r="AG578" s="215">
        <v>45452</v>
      </c>
      <c r="AH578" s="104">
        <v>6525</v>
      </c>
      <c r="AI578" s="104">
        <v>12000</v>
      </c>
      <c r="AJ578" s="46">
        <f t="shared" si="67"/>
        <v>54.375</v>
      </c>
      <c r="AL578" s="222">
        <v>45419</v>
      </c>
      <c r="AM578" s="101" t="s">
        <v>192</v>
      </c>
      <c r="AN578" s="101">
        <v>31055</v>
      </c>
      <c r="AP578" s="222">
        <v>45419</v>
      </c>
      <c r="AQ578" s="101" t="s">
        <v>191</v>
      </c>
      <c r="AR578" s="101">
        <v>2124409</v>
      </c>
      <c r="AT578" s="222">
        <v>45419</v>
      </c>
      <c r="AU578" s="101" t="s">
        <v>193</v>
      </c>
      <c r="AV578" s="101">
        <v>17064</v>
      </c>
    </row>
    <row r="579" spans="1:49" hidden="1" x14ac:dyDescent="0.25">
      <c r="A579" s="215">
        <v>45453</v>
      </c>
      <c r="B579" s="48">
        <v>22031509</v>
      </c>
      <c r="C579" s="48">
        <v>313817</v>
      </c>
      <c r="D579" s="48">
        <v>22345326</v>
      </c>
      <c r="E579" s="48">
        <v>98.56</v>
      </c>
      <c r="F579" s="212">
        <f t="shared" si="61"/>
        <v>22.345326</v>
      </c>
      <c r="H579" s="215">
        <v>45453</v>
      </c>
      <c r="I579" s="48">
        <v>2575754</v>
      </c>
      <c r="J579" s="48">
        <v>39625</v>
      </c>
      <c r="K579" s="48">
        <v>2615379</v>
      </c>
      <c r="L579" s="48">
        <v>98.48</v>
      </c>
      <c r="M579" s="114">
        <f t="shared" si="59"/>
        <v>2.6153789999999999</v>
      </c>
      <c r="O579" s="215">
        <v>45453</v>
      </c>
      <c r="P579" s="48">
        <v>61053341</v>
      </c>
      <c r="Q579" s="48">
        <v>26838977</v>
      </c>
      <c r="R579" s="48">
        <v>87892318</v>
      </c>
      <c r="S579" s="104">
        <v>69.459999999999994</v>
      </c>
      <c r="T579" s="212">
        <f t="shared" si="65"/>
        <v>87.892318000000003</v>
      </c>
      <c r="W579" s="215">
        <v>45453</v>
      </c>
      <c r="X579" s="104">
        <v>11000</v>
      </c>
      <c r="Y579" s="104">
        <v>12000</v>
      </c>
      <c r="Z579" s="114">
        <f t="shared" si="64"/>
        <v>91.666666666666671</v>
      </c>
      <c r="AB579" s="215">
        <v>45453</v>
      </c>
      <c r="AC579" s="104">
        <v>984</v>
      </c>
      <c r="AD579" s="104">
        <v>12000</v>
      </c>
      <c r="AE579" s="114">
        <f t="shared" si="66"/>
        <v>8.1999999999999993</v>
      </c>
      <c r="AG579" s="215">
        <v>45453</v>
      </c>
      <c r="AH579" s="104">
        <v>11696</v>
      </c>
      <c r="AI579" s="104">
        <v>12000</v>
      </c>
      <c r="AJ579" s="46">
        <f t="shared" ref="AJ579" si="68">AH579/AI579%</f>
        <v>97.466666666666669</v>
      </c>
      <c r="AL579" s="222">
        <v>45419</v>
      </c>
      <c r="AM579" s="101" t="s">
        <v>191</v>
      </c>
      <c r="AN579" s="101">
        <v>22528</v>
      </c>
      <c r="AP579" s="222">
        <v>45419</v>
      </c>
      <c r="AQ579" s="101" t="s">
        <v>194</v>
      </c>
      <c r="AR579" s="101">
        <v>1126907</v>
      </c>
    </row>
    <row r="580" spans="1:49" hidden="1" x14ac:dyDescent="0.25">
      <c r="A580" s="215">
        <v>45454</v>
      </c>
      <c r="B580" s="48">
        <v>20956801</v>
      </c>
      <c r="C580" s="48">
        <v>399098</v>
      </c>
      <c r="D580" s="48">
        <v>21355899</v>
      </c>
      <c r="E580" s="48">
        <v>98.13</v>
      </c>
      <c r="F580" s="212">
        <f t="shared" si="61"/>
        <v>21.355899000000001</v>
      </c>
      <c r="H580" s="215">
        <v>45454</v>
      </c>
      <c r="I580" s="48">
        <v>1497422</v>
      </c>
      <c r="J580" s="48">
        <v>33492</v>
      </c>
      <c r="K580" s="48">
        <v>1530914</v>
      </c>
      <c r="L580" s="48">
        <v>97.81</v>
      </c>
      <c r="M580" s="114">
        <f t="shared" si="59"/>
        <v>1.5309140000000001</v>
      </c>
      <c r="O580" s="215">
        <v>45454</v>
      </c>
      <c r="P580" s="48">
        <v>55315885</v>
      </c>
      <c r="Q580" s="48">
        <v>19121294</v>
      </c>
      <c r="R580" s="48">
        <v>74437179</v>
      </c>
      <c r="S580" s="48">
        <v>74.31</v>
      </c>
      <c r="T580" s="212">
        <f t="shared" si="65"/>
        <v>74.437179</v>
      </c>
      <c r="W580" s="215">
        <v>45454</v>
      </c>
      <c r="X580" s="104">
        <v>11000</v>
      </c>
      <c r="Y580" s="104">
        <v>12000</v>
      </c>
      <c r="Z580" s="114">
        <f t="shared" ref="Z580:Z641" si="69">X580/Y580%</f>
        <v>91.666666666666671</v>
      </c>
      <c r="AB580" s="215">
        <v>45454</v>
      </c>
      <c r="AC580" s="104">
        <v>988</v>
      </c>
      <c r="AD580" s="104">
        <v>12000</v>
      </c>
      <c r="AE580" s="114">
        <f t="shared" ref="AE580:AE641" si="70">AC580/AD580%</f>
        <v>8.2333333333333325</v>
      </c>
      <c r="AG580" s="215">
        <v>45454</v>
      </c>
      <c r="AH580" s="104">
        <v>11669</v>
      </c>
      <c r="AI580" s="104">
        <v>12000</v>
      </c>
      <c r="AJ580" s="46">
        <f t="shared" ref="AJ580:AJ641" si="71">AH580/AI580%</f>
        <v>97.24166666666666</v>
      </c>
      <c r="AL580" s="222">
        <v>45419</v>
      </c>
      <c r="AM580" s="101" t="s">
        <v>197</v>
      </c>
      <c r="AN580" s="101">
        <v>15744</v>
      </c>
      <c r="AP580" s="222">
        <v>45419</v>
      </c>
      <c r="AQ580" s="101" t="s">
        <v>192</v>
      </c>
      <c r="AR580" s="101">
        <v>948396</v>
      </c>
    </row>
    <row r="581" spans="1:49" hidden="1" x14ac:dyDescent="0.25">
      <c r="A581" s="215">
        <v>45455</v>
      </c>
      <c r="B581" s="48">
        <v>20507334</v>
      </c>
      <c r="C581" s="48">
        <v>374719</v>
      </c>
      <c r="D581" s="48">
        <v>20882053</v>
      </c>
      <c r="E581" s="48">
        <v>98.21</v>
      </c>
      <c r="F581" s="212">
        <f t="shared" si="61"/>
        <v>20.882052999999999</v>
      </c>
      <c r="H581" s="215">
        <v>45455</v>
      </c>
      <c r="I581" s="48">
        <v>5607127</v>
      </c>
      <c r="J581" s="48">
        <v>51286</v>
      </c>
      <c r="K581" s="48">
        <v>5658413</v>
      </c>
      <c r="L581" s="48">
        <v>99.09</v>
      </c>
      <c r="M581" s="114">
        <f t="shared" si="59"/>
        <v>5.6584130000000004</v>
      </c>
      <c r="O581" s="215">
        <v>45455</v>
      </c>
      <c r="P581" s="48">
        <v>70305189</v>
      </c>
      <c r="Q581" s="48">
        <v>28740890</v>
      </c>
      <c r="R581" s="48">
        <v>99046079</v>
      </c>
      <c r="S581" s="48">
        <v>70.98</v>
      </c>
      <c r="T581" s="212">
        <f t="shared" si="65"/>
        <v>99.046079000000006</v>
      </c>
      <c r="W581" s="215">
        <v>45455</v>
      </c>
      <c r="X581" s="104">
        <v>11000</v>
      </c>
      <c r="Y581" s="104">
        <v>12000</v>
      </c>
      <c r="Z581" s="114">
        <f t="shared" si="69"/>
        <v>91.666666666666671</v>
      </c>
      <c r="AB581" s="215">
        <v>45455</v>
      </c>
      <c r="AC581" s="104">
        <v>1197</v>
      </c>
      <c r="AD581" s="104">
        <v>12000</v>
      </c>
      <c r="AE581" s="114">
        <f t="shared" si="70"/>
        <v>9.9749999999999996</v>
      </c>
      <c r="AG581" s="215">
        <v>45455</v>
      </c>
      <c r="AH581" s="104">
        <v>12000</v>
      </c>
      <c r="AI581" s="104">
        <v>12000</v>
      </c>
      <c r="AJ581" s="46">
        <f t="shared" si="71"/>
        <v>100</v>
      </c>
      <c r="AL581" s="222">
        <v>45419</v>
      </c>
      <c r="AM581" s="101" t="s">
        <v>194</v>
      </c>
      <c r="AN581" s="101">
        <v>13585</v>
      </c>
      <c r="AP581" s="222">
        <v>45419</v>
      </c>
      <c r="AQ581" s="101" t="s">
        <v>208</v>
      </c>
      <c r="AR581" s="101">
        <v>136914</v>
      </c>
    </row>
    <row r="582" spans="1:49" hidden="1" x14ac:dyDescent="0.25">
      <c r="A582" s="215">
        <v>45456</v>
      </c>
      <c r="B582" s="48">
        <v>21563865</v>
      </c>
      <c r="C582" s="48">
        <v>381823</v>
      </c>
      <c r="D582" s="48">
        <v>21945688</v>
      </c>
      <c r="E582" s="48">
        <v>98.26</v>
      </c>
      <c r="F582" s="212">
        <f t="shared" si="61"/>
        <v>21.945688000000001</v>
      </c>
      <c r="H582" s="215">
        <v>45456</v>
      </c>
      <c r="I582" s="48">
        <v>6838688</v>
      </c>
      <c r="J582" s="48">
        <v>23023</v>
      </c>
      <c r="K582" s="48">
        <v>6861711</v>
      </c>
      <c r="L582" s="48">
        <v>99.66</v>
      </c>
      <c r="M582" s="114">
        <f t="shared" si="59"/>
        <v>6.8617109999999997</v>
      </c>
      <c r="O582" s="215">
        <v>45456</v>
      </c>
      <c r="P582" s="48">
        <v>77948170</v>
      </c>
      <c r="Q582" s="48">
        <v>39237800</v>
      </c>
      <c r="R582" s="48">
        <v>117185970</v>
      </c>
      <c r="S582" s="48">
        <v>66.52</v>
      </c>
      <c r="T582" s="212">
        <f t="shared" si="65"/>
        <v>117.18597</v>
      </c>
      <c r="W582" s="215">
        <v>45456</v>
      </c>
      <c r="X582" s="104">
        <v>11000</v>
      </c>
      <c r="Y582" s="104">
        <v>12000</v>
      </c>
      <c r="Z582" s="114">
        <f t="shared" ref="Z582:Z590" si="72">X582/Y582%</f>
        <v>91.666666666666671</v>
      </c>
      <c r="AB582" s="215">
        <v>45456</v>
      </c>
      <c r="AC582" s="104">
        <v>1151</v>
      </c>
      <c r="AD582" s="104">
        <v>12000</v>
      </c>
      <c r="AE582" s="114">
        <f t="shared" ref="AE582:AE590" si="73">AC582/AD582%</f>
        <v>9.5916666666666668</v>
      </c>
      <c r="AG582" s="215">
        <v>45456</v>
      </c>
      <c r="AH582" s="104">
        <v>12000</v>
      </c>
      <c r="AI582" s="104">
        <v>12000</v>
      </c>
      <c r="AJ582" s="46">
        <f t="shared" ref="AJ582:AJ590" si="74">AH582/AI582%</f>
        <v>100</v>
      </c>
      <c r="AW582" s="231"/>
    </row>
    <row r="583" spans="1:49" hidden="1" x14ac:dyDescent="0.25">
      <c r="A583" s="215">
        <v>45457</v>
      </c>
      <c r="B583" s="48">
        <v>20689891</v>
      </c>
      <c r="C583" s="48">
        <v>370652</v>
      </c>
      <c r="D583" s="48">
        <v>21060543</v>
      </c>
      <c r="E583" s="48">
        <v>98.24</v>
      </c>
      <c r="F583" s="212">
        <f t="shared" si="61"/>
        <v>21.060542999999999</v>
      </c>
      <c r="H583" s="215">
        <v>45457</v>
      </c>
      <c r="I583" s="48">
        <v>3171172</v>
      </c>
      <c r="J583" s="48">
        <v>41222</v>
      </c>
      <c r="K583" s="48">
        <v>3212394</v>
      </c>
      <c r="L583" s="48">
        <v>98.72</v>
      </c>
      <c r="M583" s="114">
        <f t="shared" si="59"/>
        <v>3.2123940000000002</v>
      </c>
      <c r="O583" s="215">
        <v>45457</v>
      </c>
      <c r="P583" s="48">
        <v>65012270</v>
      </c>
      <c r="Q583" s="48">
        <v>28468155</v>
      </c>
      <c r="R583" s="48">
        <v>93480425</v>
      </c>
      <c r="S583" s="48">
        <v>69.55</v>
      </c>
      <c r="T583" s="212">
        <f t="shared" si="65"/>
        <v>93.480424999999997</v>
      </c>
      <c r="W583" s="215">
        <v>45457</v>
      </c>
      <c r="X583" s="104">
        <v>11000</v>
      </c>
      <c r="Y583" s="104">
        <v>12000</v>
      </c>
      <c r="Z583" s="114">
        <f t="shared" si="69"/>
        <v>91.666666666666671</v>
      </c>
      <c r="AB583" s="215">
        <v>45457</v>
      </c>
      <c r="AC583" s="104">
        <v>1086</v>
      </c>
      <c r="AD583" s="104">
        <v>12000</v>
      </c>
      <c r="AE583" s="114">
        <f t="shared" si="70"/>
        <v>9.0500000000000007</v>
      </c>
      <c r="AG583" s="215">
        <v>45457</v>
      </c>
      <c r="AH583" s="104">
        <v>11614</v>
      </c>
      <c r="AI583" s="104">
        <v>12000</v>
      </c>
      <c r="AJ583" s="46">
        <f t="shared" si="71"/>
        <v>96.783333333333331</v>
      </c>
      <c r="AL583" s="222">
        <v>45428</v>
      </c>
      <c r="AM583" s="101" t="s">
        <v>189</v>
      </c>
      <c r="AN583" s="101">
        <v>231282</v>
      </c>
      <c r="AP583" s="222">
        <v>45428</v>
      </c>
      <c r="AQ583" s="101" t="s">
        <v>189</v>
      </c>
      <c r="AR583" s="101">
        <v>34784116</v>
      </c>
      <c r="AT583" s="222">
        <v>45428</v>
      </c>
      <c r="AU583" s="101" t="s">
        <v>190</v>
      </c>
      <c r="AV583" s="101">
        <v>36275</v>
      </c>
      <c r="AW583" s="231"/>
    </row>
    <row r="584" spans="1:49" hidden="1" x14ac:dyDescent="0.25">
      <c r="A584" s="215">
        <v>45458</v>
      </c>
      <c r="B584" s="48">
        <v>19697316</v>
      </c>
      <c r="C584" s="48">
        <v>353955</v>
      </c>
      <c r="D584" s="48">
        <v>20051271</v>
      </c>
      <c r="E584" s="48">
        <v>98.23</v>
      </c>
      <c r="F584" s="212">
        <f t="shared" si="61"/>
        <v>20.051271</v>
      </c>
      <c r="H584" s="215">
        <v>45458</v>
      </c>
      <c r="I584" s="48">
        <v>2108931</v>
      </c>
      <c r="J584" s="48">
        <v>24962</v>
      </c>
      <c r="K584" s="48">
        <v>2133893</v>
      </c>
      <c r="L584" s="48">
        <v>98.83</v>
      </c>
      <c r="M584" s="114">
        <f t="shared" si="59"/>
        <v>2.133893</v>
      </c>
      <c r="O584" s="215">
        <v>45458</v>
      </c>
      <c r="P584" s="48">
        <v>64728141</v>
      </c>
      <c r="Q584" s="48">
        <v>32719773</v>
      </c>
      <c r="R584" s="48">
        <v>97447914</v>
      </c>
      <c r="S584" s="48">
        <v>66.42</v>
      </c>
      <c r="T584" s="212">
        <f t="shared" si="65"/>
        <v>97.447913999999997</v>
      </c>
      <c r="W584" s="215">
        <v>45458</v>
      </c>
      <c r="X584" s="104">
        <v>10600</v>
      </c>
      <c r="Y584" s="104">
        <v>12000</v>
      </c>
      <c r="Z584" s="114">
        <f t="shared" si="72"/>
        <v>88.333333333333329</v>
      </c>
      <c r="AB584" s="215">
        <v>45458</v>
      </c>
      <c r="AC584" s="104">
        <v>1400</v>
      </c>
      <c r="AD584" s="104">
        <v>12000</v>
      </c>
      <c r="AE584" s="114">
        <f t="shared" si="73"/>
        <v>11.666666666666666</v>
      </c>
      <c r="AG584" s="215">
        <v>45458</v>
      </c>
      <c r="AH584" s="104">
        <v>12000</v>
      </c>
      <c r="AI584" s="104">
        <v>12000</v>
      </c>
      <c r="AJ584" s="46">
        <f t="shared" si="74"/>
        <v>100</v>
      </c>
      <c r="AL584" s="222">
        <v>45428</v>
      </c>
      <c r="AM584" s="101" t="s">
        <v>192</v>
      </c>
      <c r="AN584" s="101">
        <v>37568</v>
      </c>
      <c r="AP584" s="222">
        <v>45428</v>
      </c>
      <c r="AQ584" s="101" t="s">
        <v>191</v>
      </c>
      <c r="AR584" s="101">
        <v>2240879</v>
      </c>
      <c r="AT584" s="222">
        <v>45428</v>
      </c>
      <c r="AU584" s="101" t="s">
        <v>193</v>
      </c>
      <c r="AV584" s="101">
        <v>9085</v>
      </c>
    </row>
    <row r="585" spans="1:49" hidden="1" x14ac:dyDescent="0.25">
      <c r="A585" s="215">
        <v>45459</v>
      </c>
      <c r="B585" s="331">
        <v>21314745</v>
      </c>
      <c r="C585" s="331">
        <v>317836</v>
      </c>
      <c r="D585" s="331">
        <v>21632581</v>
      </c>
      <c r="E585" s="331">
        <v>98.53</v>
      </c>
      <c r="F585" s="212">
        <f t="shared" si="61"/>
        <v>21.632580999999998</v>
      </c>
      <c r="H585" s="215">
        <v>45459</v>
      </c>
      <c r="I585" s="331">
        <v>1264682</v>
      </c>
      <c r="J585" s="331">
        <v>16493</v>
      </c>
      <c r="K585" s="331">
        <v>1281175</v>
      </c>
      <c r="L585" s="331">
        <v>98.71</v>
      </c>
      <c r="M585" s="114">
        <f t="shared" si="59"/>
        <v>1.281175</v>
      </c>
      <c r="O585" s="215">
        <v>45459</v>
      </c>
      <c r="P585" s="331">
        <v>41045224</v>
      </c>
      <c r="Q585" s="331">
        <v>10038595</v>
      </c>
      <c r="R585" s="331">
        <v>51083819</v>
      </c>
      <c r="S585" s="331">
        <v>80.349999999999994</v>
      </c>
      <c r="T585" s="212">
        <f t="shared" si="65"/>
        <v>51.083818999999998</v>
      </c>
      <c r="W585" s="215">
        <v>45459</v>
      </c>
      <c r="X585" s="104">
        <v>4203</v>
      </c>
      <c r="Y585" s="104">
        <v>12000</v>
      </c>
      <c r="Z585" s="114">
        <f t="shared" si="69"/>
        <v>35.024999999999999</v>
      </c>
      <c r="AB585" s="215">
        <v>45459</v>
      </c>
      <c r="AC585" s="104">
        <v>748</v>
      </c>
      <c r="AD585" s="104">
        <v>12000</v>
      </c>
      <c r="AE585" s="114">
        <f t="shared" si="70"/>
        <v>6.2333333333333334</v>
      </c>
      <c r="AG585" s="215">
        <v>45459</v>
      </c>
      <c r="AH585" s="104">
        <v>4305</v>
      </c>
      <c r="AI585" s="104">
        <v>12000</v>
      </c>
      <c r="AJ585" s="46">
        <f t="shared" si="71"/>
        <v>35.875</v>
      </c>
      <c r="AL585" s="222">
        <v>45428</v>
      </c>
      <c r="AM585" s="101" t="s">
        <v>191</v>
      </c>
      <c r="AN585" s="101">
        <v>22931</v>
      </c>
      <c r="AP585" s="222">
        <v>45428</v>
      </c>
      <c r="AQ585" s="101" t="s">
        <v>194</v>
      </c>
      <c r="AR585" s="101">
        <v>926876</v>
      </c>
    </row>
    <row r="586" spans="1:49" hidden="1" x14ac:dyDescent="0.25">
      <c r="A586" s="215">
        <v>45460</v>
      </c>
      <c r="B586" s="331">
        <v>20806906</v>
      </c>
      <c r="C586" s="331">
        <v>344047</v>
      </c>
      <c r="D586" s="331">
        <v>21150953</v>
      </c>
      <c r="E586" s="331">
        <v>98.37</v>
      </c>
      <c r="F586" s="212">
        <f t="shared" si="61"/>
        <v>21.150953000000001</v>
      </c>
      <c r="H586" s="215">
        <v>45460</v>
      </c>
      <c r="I586" s="331">
        <v>2051428</v>
      </c>
      <c r="J586" s="331">
        <v>29581</v>
      </c>
      <c r="K586" s="331">
        <v>2081009</v>
      </c>
      <c r="L586" s="331">
        <v>98.57</v>
      </c>
      <c r="M586" s="114">
        <f t="shared" si="59"/>
        <v>2.0810089999999999</v>
      </c>
      <c r="O586" s="215">
        <v>45460</v>
      </c>
      <c r="P586" s="331">
        <v>56286473</v>
      </c>
      <c r="Q586" s="331">
        <v>19560483</v>
      </c>
      <c r="R586" s="331">
        <v>75846956</v>
      </c>
      <c r="S586" s="331">
        <v>74.209999999999994</v>
      </c>
      <c r="T586" s="212">
        <f t="shared" si="65"/>
        <v>75.846956000000006</v>
      </c>
      <c r="W586" s="215">
        <v>45460</v>
      </c>
      <c r="X586" s="104">
        <v>11000</v>
      </c>
      <c r="Y586" s="104">
        <v>12000</v>
      </c>
      <c r="Z586" s="114">
        <f t="shared" si="72"/>
        <v>91.666666666666671</v>
      </c>
      <c r="AB586" s="215">
        <v>45460</v>
      </c>
      <c r="AC586" s="104">
        <v>840</v>
      </c>
      <c r="AD586" s="104">
        <v>12000</v>
      </c>
      <c r="AE586" s="114">
        <f t="shared" si="73"/>
        <v>7</v>
      </c>
      <c r="AG586" s="215">
        <v>45460</v>
      </c>
      <c r="AH586" s="104">
        <v>11622</v>
      </c>
      <c r="AI586" s="104">
        <v>12000</v>
      </c>
      <c r="AJ586" s="46">
        <f t="shared" si="74"/>
        <v>96.85</v>
      </c>
      <c r="AL586" s="222">
        <v>45428</v>
      </c>
      <c r="AM586" s="101" t="s">
        <v>197</v>
      </c>
      <c r="AN586" s="101">
        <v>22424</v>
      </c>
      <c r="AP586" s="222">
        <v>45428</v>
      </c>
      <c r="AQ586" s="101" t="s">
        <v>192</v>
      </c>
      <c r="AR586" s="101">
        <v>720198</v>
      </c>
    </row>
    <row r="587" spans="1:49" ht="15.75" hidden="1" x14ac:dyDescent="0.25">
      <c r="A587" s="215">
        <v>45461</v>
      </c>
      <c r="B587" s="331">
        <v>20137945</v>
      </c>
      <c r="C587" s="331">
        <v>347337</v>
      </c>
      <c r="D587" s="331">
        <v>20485282</v>
      </c>
      <c r="E587" s="331">
        <v>98.3</v>
      </c>
      <c r="F587" s="212">
        <f t="shared" si="61"/>
        <v>20.485282000000002</v>
      </c>
      <c r="H587" s="215">
        <v>45461</v>
      </c>
      <c r="I587" s="331">
        <v>5619128</v>
      </c>
      <c r="J587" s="331">
        <v>35011</v>
      </c>
      <c r="K587" s="331">
        <v>5654139</v>
      </c>
      <c r="L587" s="331">
        <v>99.38</v>
      </c>
      <c r="M587" s="114">
        <f t="shared" si="59"/>
        <v>5.6541389999999998</v>
      </c>
      <c r="O587" s="215">
        <v>45461</v>
      </c>
      <c r="P587" s="331">
        <v>71248488</v>
      </c>
      <c r="Q587" s="331">
        <v>29873187</v>
      </c>
      <c r="R587" s="331">
        <v>101121675</v>
      </c>
      <c r="S587" s="325">
        <v>70.459999999999994</v>
      </c>
      <c r="T587" s="212">
        <f t="shared" si="65"/>
        <v>101.121675</v>
      </c>
      <c r="W587" s="215">
        <v>45461</v>
      </c>
      <c r="X587" s="104">
        <v>11000</v>
      </c>
      <c r="Y587" s="104">
        <v>12000</v>
      </c>
      <c r="Z587" s="114">
        <f t="shared" si="69"/>
        <v>91.666666666666671</v>
      </c>
      <c r="AB587" s="215">
        <v>45461</v>
      </c>
      <c r="AC587" s="104">
        <v>1454</v>
      </c>
      <c r="AD587" s="104">
        <v>12000</v>
      </c>
      <c r="AE587" s="114">
        <f t="shared" si="70"/>
        <v>12.116666666666667</v>
      </c>
      <c r="AG587" s="215">
        <v>45461</v>
      </c>
      <c r="AH587" s="104">
        <v>11941</v>
      </c>
      <c r="AI587" s="104">
        <v>12000</v>
      </c>
      <c r="AJ587" s="46">
        <f t="shared" si="71"/>
        <v>99.50833333333334</v>
      </c>
      <c r="AL587" s="222">
        <v>45428</v>
      </c>
      <c r="AM587" s="101" t="s">
        <v>194</v>
      </c>
      <c r="AN587" s="101">
        <v>12287</v>
      </c>
      <c r="AP587" s="222">
        <v>45428</v>
      </c>
      <c r="AQ587" s="101" t="s">
        <v>206</v>
      </c>
      <c r="AR587" s="101">
        <v>324568</v>
      </c>
    </row>
    <row r="588" spans="1:49" ht="15.75" hidden="1" x14ac:dyDescent="0.25">
      <c r="A588" s="215">
        <v>45462</v>
      </c>
      <c r="B588" s="331">
        <v>20155920</v>
      </c>
      <c r="C588" s="331">
        <v>398578</v>
      </c>
      <c r="D588" s="331">
        <v>20554498</v>
      </c>
      <c r="E588" s="331">
        <v>98.06</v>
      </c>
      <c r="F588" s="212">
        <f t="shared" si="61"/>
        <v>20.554497999999999</v>
      </c>
      <c r="H588" s="215">
        <v>45462</v>
      </c>
      <c r="I588" s="331">
        <v>8336582</v>
      </c>
      <c r="J588" s="331">
        <v>60125</v>
      </c>
      <c r="K588" s="331">
        <v>8396707</v>
      </c>
      <c r="L588" s="331">
        <v>99.28</v>
      </c>
      <c r="M588" s="114">
        <f t="shared" si="59"/>
        <v>8.3967069999999993</v>
      </c>
      <c r="O588" s="215">
        <v>45462</v>
      </c>
      <c r="P588" s="331">
        <v>78493532</v>
      </c>
      <c r="Q588" s="331">
        <v>35948221</v>
      </c>
      <c r="R588" s="331">
        <v>114441753</v>
      </c>
      <c r="S588" s="325">
        <v>68.59</v>
      </c>
      <c r="T588" s="212">
        <f t="shared" si="65"/>
        <v>114.44175300000001</v>
      </c>
      <c r="W588" s="215">
        <v>45462</v>
      </c>
      <c r="X588" s="104">
        <v>11000</v>
      </c>
      <c r="Y588" s="104">
        <v>12000</v>
      </c>
      <c r="Z588" s="114">
        <f t="shared" si="72"/>
        <v>91.666666666666671</v>
      </c>
      <c r="AB588" s="215">
        <v>45462</v>
      </c>
      <c r="AC588" s="104">
        <v>1128</v>
      </c>
      <c r="AD588" s="104">
        <v>12000</v>
      </c>
      <c r="AE588" s="114">
        <f t="shared" si="73"/>
        <v>9.4</v>
      </c>
      <c r="AG588" s="215">
        <v>45462</v>
      </c>
      <c r="AH588" s="104">
        <v>11524</v>
      </c>
      <c r="AI588" s="104">
        <v>12000</v>
      </c>
      <c r="AJ588" s="71">
        <f t="shared" si="74"/>
        <v>96.033333333333331</v>
      </c>
    </row>
    <row r="589" spans="1:49" ht="15.75" hidden="1" x14ac:dyDescent="0.25">
      <c r="A589" s="215">
        <v>45463</v>
      </c>
      <c r="B589" s="331">
        <v>20352572</v>
      </c>
      <c r="C589" s="331">
        <v>373832</v>
      </c>
      <c r="D589" s="331">
        <v>20726404</v>
      </c>
      <c r="E589" s="331">
        <v>98.2</v>
      </c>
      <c r="F589" s="212">
        <f t="shared" si="61"/>
        <v>20.726403999999999</v>
      </c>
      <c r="H589" s="215">
        <v>45463</v>
      </c>
      <c r="I589" s="331">
        <v>2856464</v>
      </c>
      <c r="J589" s="331">
        <v>32534</v>
      </c>
      <c r="K589" s="331">
        <v>2888998</v>
      </c>
      <c r="L589" s="331">
        <v>98.87</v>
      </c>
      <c r="M589" s="114">
        <f t="shared" si="59"/>
        <v>2.888998</v>
      </c>
      <c r="O589" s="215">
        <v>45463</v>
      </c>
      <c r="P589" s="331">
        <v>62030777</v>
      </c>
      <c r="Q589" s="331">
        <v>31455775</v>
      </c>
      <c r="R589" s="331">
        <v>93486552</v>
      </c>
      <c r="S589" s="325">
        <v>66.349999999999994</v>
      </c>
      <c r="T589" s="212">
        <f t="shared" si="65"/>
        <v>93.486552000000003</v>
      </c>
      <c r="W589" s="215">
        <v>45463</v>
      </c>
      <c r="X589" s="104">
        <v>11000</v>
      </c>
      <c r="Y589" s="104">
        <v>12000</v>
      </c>
      <c r="Z589" s="114">
        <f t="shared" si="69"/>
        <v>91.666666666666671</v>
      </c>
      <c r="AB589" s="215">
        <v>45463</v>
      </c>
      <c r="AC589" s="104">
        <v>1014</v>
      </c>
      <c r="AD589" s="104">
        <v>12000</v>
      </c>
      <c r="AE589" s="114">
        <f t="shared" si="70"/>
        <v>8.4499999999999993</v>
      </c>
      <c r="AG589" s="215">
        <v>45463</v>
      </c>
      <c r="AH589" s="104">
        <v>11539</v>
      </c>
      <c r="AI589" s="104">
        <v>12000</v>
      </c>
      <c r="AJ589" s="71">
        <f t="shared" si="71"/>
        <v>96.158333333333331</v>
      </c>
    </row>
    <row r="590" spans="1:49" ht="15.75" hidden="1" x14ac:dyDescent="0.25">
      <c r="A590" s="215">
        <v>45464</v>
      </c>
      <c r="B590" s="331">
        <v>21013227</v>
      </c>
      <c r="C590" s="331">
        <v>320532</v>
      </c>
      <c r="D590" s="331">
        <v>21333759</v>
      </c>
      <c r="E590" s="331">
        <v>98.5</v>
      </c>
      <c r="F590" s="212">
        <f t="shared" si="61"/>
        <v>21.333759000000001</v>
      </c>
      <c r="H590" s="215">
        <v>45464</v>
      </c>
      <c r="I590" s="331">
        <v>2513494</v>
      </c>
      <c r="J590" s="331">
        <v>980</v>
      </c>
      <c r="K590" s="331">
        <v>2514474</v>
      </c>
      <c r="L590" s="331">
        <v>99.96</v>
      </c>
      <c r="M590" s="114">
        <f t="shared" si="59"/>
        <v>2.5144739999999999</v>
      </c>
      <c r="O590" s="215">
        <v>45464</v>
      </c>
      <c r="P590" s="331">
        <v>64123519</v>
      </c>
      <c r="Q590" s="331">
        <v>20967616</v>
      </c>
      <c r="R590" s="331">
        <v>85091135</v>
      </c>
      <c r="S590" s="325">
        <v>75.36</v>
      </c>
      <c r="T590" s="212">
        <f t="shared" si="65"/>
        <v>85.091134999999994</v>
      </c>
      <c r="W590" s="215">
        <v>45464</v>
      </c>
      <c r="X590" s="104">
        <v>11000</v>
      </c>
      <c r="Y590" s="104">
        <v>12000</v>
      </c>
      <c r="Z590" s="114">
        <f t="shared" si="72"/>
        <v>91.666666666666671</v>
      </c>
      <c r="AB590" s="215">
        <v>45464</v>
      </c>
      <c r="AC590" s="104">
        <v>1034</v>
      </c>
      <c r="AD590" s="104">
        <v>12000</v>
      </c>
      <c r="AE590" s="114">
        <f t="shared" si="73"/>
        <v>8.6166666666666671</v>
      </c>
      <c r="AG590" s="215">
        <v>45464</v>
      </c>
      <c r="AH590" s="104">
        <v>11782</v>
      </c>
      <c r="AI590" s="104">
        <v>12000</v>
      </c>
      <c r="AJ590" s="71">
        <f t="shared" si="74"/>
        <v>98.183333333333337</v>
      </c>
      <c r="AL590" s="258">
        <v>45465</v>
      </c>
      <c r="AM590" s="1" t="s">
        <v>189</v>
      </c>
      <c r="AN590" s="1">
        <v>212787</v>
      </c>
      <c r="AQ590" s="1" t="s">
        <v>189</v>
      </c>
      <c r="AR590" s="1">
        <v>24012007</v>
      </c>
      <c r="AU590" s="328" t="s">
        <v>193</v>
      </c>
      <c r="AV590" s="328">
        <v>2032</v>
      </c>
    </row>
    <row r="591" spans="1:49" ht="15.75" hidden="1" x14ac:dyDescent="0.25">
      <c r="A591" s="215">
        <v>45465</v>
      </c>
      <c r="B591" s="331">
        <v>21087043</v>
      </c>
      <c r="C591" s="331">
        <v>315191</v>
      </c>
      <c r="D591" s="331">
        <v>21402234</v>
      </c>
      <c r="E591" s="331">
        <v>98.53</v>
      </c>
      <c r="F591" s="212">
        <f t="shared" si="61"/>
        <v>21.402234</v>
      </c>
      <c r="H591" s="215">
        <v>45465</v>
      </c>
      <c r="I591" s="331">
        <v>2695010</v>
      </c>
      <c r="J591" s="331">
        <v>2096</v>
      </c>
      <c r="K591" s="331">
        <v>2697106</v>
      </c>
      <c r="L591" s="331">
        <v>99.92</v>
      </c>
      <c r="M591" s="114">
        <f t="shared" si="59"/>
        <v>2.6971059999999998</v>
      </c>
      <c r="O591" s="215">
        <v>45465</v>
      </c>
      <c r="P591" s="331">
        <v>60160549</v>
      </c>
      <c r="Q591" s="331">
        <v>27718249</v>
      </c>
      <c r="R591" s="331">
        <v>87878798</v>
      </c>
      <c r="S591" s="325">
        <v>68.459999999999994</v>
      </c>
      <c r="T591" s="212">
        <f t="shared" si="65"/>
        <v>87.878798000000003</v>
      </c>
      <c r="W591" s="215">
        <v>45465</v>
      </c>
      <c r="X591" s="104">
        <v>10713</v>
      </c>
      <c r="Y591" s="104">
        <v>12000</v>
      </c>
      <c r="Z591" s="114">
        <f t="shared" si="69"/>
        <v>89.275000000000006</v>
      </c>
      <c r="AB591" s="215">
        <v>45465</v>
      </c>
      <c r="AC591" s="104">
        <v>1090</v>
      </c>
      <c r="AD591" s="104">
        <v>12000</v>
      </c>
      <c r="AE591" s="114">
        <f t="shared" si="70"/>
        <v>9.0833333333333339</v>
      </c>
      <c r="AG591" s="215">
        <v>45465</v>
      </c>
      <c r="AH591" s="104">
        <v>11247</v>
      </c>
      <c r="AI591" s="104">
        <v>12000</v>
      </c>
      <c r="AJ591" s="71">
        <f t="shared" si="71"/>
        <v>93.724999999999994</v>
      </c>
      <c r="AL591" s="258">
        <v>45465</v>
      </c>
      <c r="AM591" s="1" t="s">
        <v>192</v>
      </c>
      <c r="AN591" s="1">
        <v>29915</v>
      </c>
      <c r="AQ591" s="1" t="s">
        <v>191</v>
      </c>
      <c r="AR591" s="1">
        <v>2072738</v>
      </c>
      <c r="AU591" s="328" t="s">
        <v>190</v>
      </c>
      <c r="AV591" s="328">
        <v>64</v>
      </c>
    </row>
    <row r="592" spans="1:49" ht="15.75" hidden="1" x14ac:dyDescent="0.25">
      <c r="A592" s="215">
        <v>45466</v>
      </c>
      <c r="B592" s="101">
        <v>22335051</v>
      </c>
      <c r="C592" s="101">
        <v>297786</v>
      </c>
      <c r="D592" s="101">
        <v>22632837</v>
      </c>
      <c r="E592" s="101">
        <v>98.68</v>
      </c>
      <c r="F592" s="212">
        <f t="shared" si="61"/>
        <v>22.632836999999999</v>
      </c>
      <c r="H592" s="215">
        <v>45466</v>
      </c>
      <c r="I592" s="101">
        <v>1671259</v>
      </c>
      <c r="J592" s="101">
        <v>67</v>
      </c>
      <c r="K592" s="101">
        <v>1671326</v>
      </c>
      <c r="L592" s="101">
        <v>100</v>
      </c>
      <c r="M592" s="114">
        <f t="shared" si="59"/>
        <v>1.6713260000000001</v>
      </c>
      <c r="O592" s="215">
        <v>45466</v>
      </c>
      <c r="P592" s="101">
        <v>42049669</v>
      </c>
      <c r="Q592" s="101">
        <v>12283540</v>
      </c>
      <c r="R592" s="101">
        <v>54333209</v>
      </c>
      <c r="S592" s="101">
        <v>77.39</v>
      </c>
      <c r="T592" s="212">
        <f t="shared" si="65"/>
        <v>54.333208999999997</v>
      </c>
      <c r="W592" s="215">
        <v>45466</v>
      </c>
      <c r="X592" s="48">
        <v>3985</v>
      </c>
      <c r="Y592" s="104">
        <v>12000</v>
      </c>
      <c r="Z592" s="114">
        <f t="shared" si="69"/>
        <v>33.208333333333336</v>
      </c>
      <c r="AB592" s="215">
        <v>45466</v>
      </c>
      <c r="AC592" s="48">
        <v>872</v>
      </c>
      <c r="AD592" s="104">
        <v>12000</v>
      </c>
      <c r="AE592" s="114">
        <f t="shared" si="70"/>
        <v>7.2666666666666666</v>
      </c>
      <c r="AG592" s="215">
        <v>45466</v>
      </c>
      <c r="AH592" s="48">
        <v>4514</v>
      </c>
      <c r="AI592" s="104">
        <v>12000</v>
      </c>
      <c r="AJ592" s="71">
        <f t="shared" si="71"/>
        <v>37.616666666666667</v>
      </c>
      <c r="AL592" s="258">
        <v>45465</v>
      </c>
      <c r="AM592" s="1" t="s">
        <v>197</v>
      </c>
      <c r="AN592" s="1">
        <v>20122</v>
      </c>
      <c r="AQ592" s="1" t="s">
        <v>194</v>
      </c>
      <c r="AR592" s="1">
        <v>910204</v>
      </c>
      <c r="AU592" s="328" t="s">
        <v>189</v>
      </c>
      <c r="AV592" s="328">
        <v>1</v>
      </c>
    </row>
    <row r="593" spans="1:48" hidden="1" x14ac:dyDescent="0.25">
      <c r="A593" s="215">
        <v>45467</v>
      </c>
      <c r="B593" s="101">
        <v>22984859</v>
      </c>
      <c r="C593" s="101">
        <v>279057</v>
      </c>
      <c r="D593" s="101">
        <v>23263916</v>
      </c>
      <c r="E593" s="101">
        <v>98.8</v>
      </c>
      <c r="F593" s="212">
        <f t="shared" si="61"/>
        <v>23.263915999999998</v>
      </c>
      <c r="H593" s="215">
        <v>45467</v>
      </c>
      <c r="I593" s="101">
        <v>2523107</v>
      </c>
      <c r="J593" s="101">
        <v>3915</v>
      </c>
      <c r="K593" s="101">
        <v>2527022</v>
      </c>
      <c r="L593" s="101">
        <v>99.85</v>
      </c>
      <c r="M593" s="114">
        <f t="shared" si="59"/>
        <v>2.5270220000000001</v>
      </c>
      <c r="O593" s="215">
        <v>45467</v>
      </c>
      <c r="P593" s="101">
        <v>60645787</v>
      </c>
      <c r="Q593" s="101">
        <v>21728797</v>
      </c>
      <c r="R593" s="101">
        <v>82374584</v>
      </c>
      <c r="S593" s="101">
        <v>73.62</v>
      </c>
      <c r="T593" s="212">
        <f t="shared" si="65"/>
        <v>82.374583999999999</v>
      </c>
      <c r="W593" s="215">
        <v>45467</v>
      </c>
      <c r="X593" s="48">
        <v>11551</v>
      </c>
      <c r="Y593" s="104">
        <v>12000</v>
      </c>
      <c r="Z593" s="114">
        <f t="shared" si="69"/>
        <v>96.25833333333334</v>
      </c>
      <c r="AB593" s="215">
        <v>45467</v>
      </c>
      <c r="AC593" s="48">
        <v>1256</v>
      </c>
      <c r="AD593" s="104">
        <v>12000</v>
      </c>
      <c r="AE593" s="114">
        <f t="shared" si="70"/>
        <v>10.466666666666667</v>
      </c>
      <c r="AG593" s="215">
        <v>45467</v>
      </c>
      <c r="AH593" s="48">
        <v>11549</v>
      </c>
      <c r="AI593" s="104">
        <v>12000</v>
      </c>
      <c r="AJ593" s="71">
        <f t="shared" si="71"/>
        <v>96.24166666666666</v>
      </c>
      <c r="AL593" s="258">
        <v>45465</v>
      </c>
      <c r="AM593" s="1" t="s">
        <v>191</v>
      </c>
      <c r="AN593" s="1">
        <v>17817</v>
      </c>
      <c r="AQ593" s="1" t="s">
        <v>206</v>
      </c>
      <c r="AR593" s="1">
        <v>155516</v>
      </c>
    </row>
    <row r="594" spans="1:48" hidden="1" x14ac:dyDescent="0.25">
      <c r="A594" s="215">
        <v>45468</v>
      </c>
      <c r="B594" s="101">
        <v>22203333</v>
      </c>
      <c r="C594" s="101">
        <v>323923</v>
      </c>
      <c r="D594" s="101">
        <v>22527256</v>
      </c>
      <c r="E594" s="101">
        <v>98.56</v>
      </c>
      <c r="F594" s="212">
        <f t="shared" si="61"/>
        <v>22.527256000000001</v>
      </c>
      <c r="H594" s="215">
        <v>45468</v>
      </c>
      <c r="I594" s="101">
        <v>2938960</v>
      </c>
      <c r="J594" s="101">
        <v>16020</v>
      </c>
      <c r="K594" s="101">
        <v>2954980</v>
      </c>
      <c r="L594" s="101">
        <v>99.46</v>
      </c>
      <c r="M594" s="114">
        <f t="shared" si="59"/>
        <v>2.9549799999999999</v>
      </c>
      <c r="O594" s="215">
        <v>45468</v>
      </c>
      <c r="P594" s="101">
        <v>57214418</v>
      </c>
      <c r="Q594" s="101">
        <v>22435880</v>
      </c>
      <c r="R594" s="101">
        <v>79650298</v>
      </c>
      <c r="S594" s="101">
        <v>71.83</v>
      </c>
      <c r="T594" s="212">
        <f t="shared" si="65"/>
        <v>79.650298000000006</v>
      </c>
      <c r="W594" s="215">
        <v>45468</v>
      </c>
      <c r="X594" s="48">
        <v>10097</v>
      </c>
      <c r="Y594" s="104">
        <v>12000</v>
      </c>
      <c r="Z594" s="114">
        <f t="shared" si="69"/>
        <v>84.141666666666666</v>
      </c>
      <c r="AB594" s="215">
        <v>45468</v>
      </c>
      <c r="AC594" s="48">
        <v>958</v>
      </c>
      <c r="AD594" s="104">
        <v>12000</v>
      </c>
      <c r="AE594" s="114">
        <f t="shared" si="70"/>
        <v>7.9833333333333334</v>
      </c>
      <c r="AG594" s="215">
        <v>45468</v>
      </c>
      <c r="AH594" s="48">
        <v>10350</v>
      </c>
      <c r="AI594" s="104">
        <v>12000</v>
      </c>
      <c r="AJ594" s="71">
        <f t="shared" si="71"/>
        <v>86.25</v>
      </c>
      <c r="AL594" s="258">
        <v>45465</v>
      </c>
      <c r="AM594" s="1" t="s">
        <v>194</v>
      </c>
      <c r="AN594" s="1">
        <v>13539</v>
      </c>
      <c r="AQ594" s="1" t="s">
        <v>199</v>
      </c>
      <c r="AR594" s="1">
        <v>143151</v>
      </c>
    </row>
    <row r="595" spans="1:48" hidden="1" x14ac:dyDescent="0.25">
      <c r="A595" s="215">
        <v>45469</v>
      </c>
      <c r="B595" s="101">
        <v>21662564</v>
      </c>
      <c r="C595" s="101">
        <v>333542</v>
      </c>
      <c r="D595" s="101">
        <v>21996106</v>
      </c>
      <c r="E595" s="101">
        <v>98.48</v>
      </c>
      <c r="F595" s="212">
        <f t="shared" si="61"/>
        <v>21.996106000000001</v>
      </c>
      <c r="H595" s="215">
        <v>45469</v>
      </c>
      <c r="I595" s="101">
        <v>1570519</v>
      </c>
      <c r="J595" s="101">
        <v>27223</v>
      </c>
      <c r="K595" s="101">
        <v>1597742</v>
      </c>
      <c r="L595" s="101">
        <v>98.3</v>
      </c>
      <c r="M595" s="114">
        <f t="shared" si="59"/>
        <v>1.597742</v>
      </c>
      <c r="O595" s="215">
        <v>45469</v>
      </c>
      <c r="P595" s="101">
        <v>59943698</v>
      </c>
      <c r="Q595" s="101">
        <v>29122816</v>
      </c>
      <c r="R595" s="101">
        <v>89066514</v>
      </c>
      <c r="S595" s="101">
        <v>67.3</v>
      </c>
      <c r="T595" s="212">
        <f t="shared" si="65"/>
        <v>89.066513999999998</v>
      </c>
      <c r="W595" s="215">
        <v>45469</v>
      </c>
      <c r="X595" s="48">
        <v>8451</v>
      </c>
      <c r="Y595" s="104">
        <v>12000</v>
      </c>
      <c r="Z595" s="114">
        <f t="shared" si="69"/>
        <v>70.424999999999997</v>
      </c>
      <c r="AB595" s="215">
        <v>45469</v>
      </c>
      <c r="AC595" s="48">
        <v>947</v>
      </c>
      <c r="AD595" s="104">
        <v>12000</v>
      </c>
      <c r="AE595" s="114">
        <f t="shared" si="70"/>
        <v>7.8916666666666666</v>
      </c>
      <c r="AG595" s="215">
        <v>45469</v>
      </c>
      <c r="AH595" s="48">
        <v>8978</v>
      </c>
      <c r="AI595" s="104">
        <v>12000</v>
      </c>
      <c r="AJ595" s="71">
        <f t="shared" si="71"/>
        <v>74.816666666666663</v>
      </c>
    </row>
    <row r="596" spans="1:48" hidden="1" x14ac:dyDescent="0.25">
      <c r="A596" s="215">
        <v>45470</v>
      </c>
      <c r="B596" s="101">
        <v>20692389</v>
      </c>
      <c r="C596" s="101">
        <v>342273</v>
      </c>
      <c r="D596" s="101">
        <v>21034662</v>
      </c>
      <c r="E596" s="101">
        <v>98.37</v>
      </c>
      <c r="F596" s="212">
        <f t="shared" si="61"/>
        <v>21.034662000000001</v>
      </c>
      <c r="H596" s="215">
        <v>45470</v>
      </c>
      <c r="I596" s="101">
        <v>5075141</v>
      </c>
      <c r="J596" s="101">
        <v>30746</v>
      </c>
      <c r="K596" s="101">
        <v>5105887</v>
      </c>
      <c r="L596" s="101">
        <v>99.4</v>
      </c>
      <c r="M596" s="114">
        <f t="shared" si="59"/>
        <v>5.1058870000000001</v>
      </c>
      <c r="O596" s="215">
        <v>45470</v>
      </c>
      <c r="P596" s="101">
        <v>65012464</v>
      </c>
      <c r="Q596" s="101">
        <v>30614206</v>
      </c>
      <c r="R596" s="101">
        <v>95626670</v>
      </c>
      <c r="S596" s="101">
        <v>67.989999999999995</v>
      </c>
      <c r="T596" s="212">
        <f t="shared" si="65"/>
        <v>95.626670000000004</v>
      </c>
      <c r="W596" s="215">
        <v>45470</v>
      </c>
      <c r="X596" s="48">
        <v>11000</v>
      </c>
      <c r="Y596" s="104">
        <v>12000</v>
      </c>
      <c r="Z596" s="114">
        <f t="shared" si="69"/>
        <v>91.666666666666671</v>
      </c>
      <c r="AB596" s="215">
        <v>45470</v>
      </c>
      <c r="AC596" s="48">
        <v>2823</v>
      </c>
      <c r="AD596" s="104">
        <v>12000</v>
      </c>
      <c r="AE596" s="114">
        <f t="shared" si="70"/>
        <v>23.524999999999999</v>
      </c>
      <c r="AG596" s="215">
        <v>45470</v>
      </c>
      <c r="AH596" s="48">
        <v>12000</v>
      </c>
      <c r="AI596" s="104">
        <v>12000</v>
      </c>
      <c r="AJ596" s="71">
        <f t="shared" si="71"/>
        <v>100</v>
      </c>
      <c r="AL596" s="327">
        <v>45466</v>
      </c>
      <c r="AM596" s="104" t="s">
        <v>189</v>
      </c>
      <c r="AN596" s="103">
        <v>208316</v>
      </c>
      <c r="AP596" s="327">
        <v>45466</v>
      </c>
      <c r="AQ596" s="104" t="s">
        <v>189</v>
      </c>
      <c r="AR596" s="103">
        <v>9978420</v>
      </c>
      <c r="AT596" s="327">
        <v>45466</v>
      </c>
      <c r="AU596" s="104" t="s">
        <v>193</v>
      </c>
      <c r="AV596" s="103">
        <v>58</v>
      </c>
    </row>
    <row r="597" spans="1:48" hidden="1" x14ac:dyDescent="0.25">
      <c r="A597" s="215">
        <v>45471</v>
      </c>
      <c r="B597" s="101">
        <v>21603043</v>
      </c>
      <c r="C597" s="101">
        <v>324386</v>
      </c>
      <c r="D597" s="101">
        <v>21927429</v>
      </c>
      <c r="E597" s="101">
        <v>98.52</v>
      </c>
      <c r="F597" s="212">
        <f t="shared" si="61"/>
        <v>21.927429</v>
      </c>
      <c r="H597" s="215">
        <v>45471</v>
      </c>
      <c r="I597" s="101">
        <v>7328550</v>
      </c>
      <c r="J597" s="101">
        <v>36492</v>
      </c>
      <c r="K597" s="101">
        <v>7365042</v>
      </c>
      <c r="L597" s="101">
        <v>99.5</v>
      </c>
      <c r="M597" s="114">
        <f t="shared" si="59"/>
        <v>7.3650419999999999</v>
      </c>
      <c r="O597" s="215">
        <v>45471</v>
      </c>
      <c r="P597" s="101">
        <v>76533836</v>
      </c>
      <c r="Q597" s="101">
        <v>30533323</v>
      </c>
      <c r="R597" s="101">
        <v>107067159</v>
      </c>
      <c r="S597" s="101">
        <v>71.48</v>
      </c>
      <c r="T597" s="212">
        <f t="shared" si="65"/>
        <v>107.067159</v>
      </c>
      <c r="W597" s="215">
        <v>45471</v>
      </c>
      <c r="X597" s="48">
        <v>10857</v>
      </c>
      <c r="Y597" s="104">
        <v>12000</v>
      </c>
      <c r="Z597" s="114">
        <f t="shared" si="69"/>
        <v>90.474999999999994</v>
      </c>
      <c r="AB597" s="216">
        <v>45471</v>
      </c>
      <c r="AC597" s="1">
        <v>1143</v>
      </c>
      <c r="AD597" s="104">
        <v>12000</v>
      </c>
      <c r="AE597" s="114">
        <f t="shared" si="70"/>
        <v>9.5250000000000004</v>
      </c>
      <c r="AG597" s="215">
        <v>45471</v>
      </c>
      <c r="AH597" s="48">
        <v>12000</v>
      </c>
      <c r="AI597" s="104">
        <v>12000</v>
      </c>
      <c r="AJ597" s="71">
        <f t="shared" si="71"/>
        <v>100</v>
      </c>
      <c r="AL597" s="327">
        <v>45466</v>
      </c>
      <c r="AM597" s="104" t="s">
        <v>192</v>
      </c>
      <c r="AN597" s="103">
        <v>28097</v>
      </c>
      <c r="AP597" s="327">
        <v>45466</v>
      </c>
      <c r="AQ597" s="104" t="s">
        <v>191</v>
      </c>
      <c r="AR597" s="103">
        <v>1248150</v>
      </c>
      <c r="AT597" s="327">
        <v>45466</v>
      </c>
      <c r="AU597" s="104" t="s">
        <v>190</v>
      </c>
      <c r="AV597" s="103">
        <v>9</v>
      </c>
    </row>
    <row r="598" spans="1:48" hidden="1" x14ac:dyDescent="0.25">
      <c r="A598" s="215">
        <v>45472</v>
      </c>
      <c r="B598" s="101">
        <v>20535576</v>
      </c>
      <c r="C598" s="101">
        <v>366959</v>
      </c>
      <c r="D598" s="101">
        <v>20902535</v>
      </c>
      <c r="E598" s="101">
        <v>98.24</v>
      </c>
      <c r="F598" s="212">
        <f t="shared" si="61"/>
        <v>20.902535</v>
      </c>
      <c r="H598" s="215">
        <v>45472</v>
      </c>
      <c r="I598" s="101">
        <v>2336747</v>
      </c>
      <c r="J598" s="101">
        <v>33050</v>
      </c>
      <c r="K598" s="101">
        <v>2369797</v>
      </c>
      <c r="L598" s="101">
        <v>98.61</v>
      </c>
      <c r="M598" s="114">
        <f t="shared" ref="M598:M641" si="75">K598/1000000</f>
        <v>2.3697970000000002</v>
      </c>
      <c r="O598" s="215">
        <v>45472</v>
      </c>
      <c r="P598" s="101">
        <v>65703083</v>
      </c>
      <c r="Q598" s="101">
        <v>38168401</v>
      </c>
      <c r="R598" s="101">
        <v>103871484</v>
      </c>
      <c r="S598" s="101">
        <v>63.25</v>
      </c>
      <c r="T598" s="212">
        <f t="shared" si="65"/>
        <v>103.871484</v>
      </c>
      <c r="W598" s="215">
        <v>45472</v>
      </c>
      <c r="X598" s="48">
        <v>11000</v>
      </c>
      <c r="Y598" s="104">
        <v>12000</v>
      </c>
      <c r="Z598" s="114">
        <f t="shared" si="69"/>
        <v>91.666666666666671</v>
      </c>
      <c r="AB598" s="216">
        <v>45472</v>
      </c>
      <c r="AC598" s="1">
        <v>1011</v>
      </c>
      <c r="AD598" s="104">
        <v>12000</v>
      </c>
      <c r="AE598" s="114">
        <f t="shared" si="70"/>
        <v>8.4250000000000007</v>
      </c>
      <c r="AG598" s="215">
        <v>45472</v>
      </c>
      <c r="AH598" s="48">
        <v>11626</v>
      </c>
      <c r="AI598" s="104">
        <v>12000</v>
      </c>
      <c r="AJ598" s="71">
        <f t="shared" si="71"/>
        <v>96.88333333333334</v>
      </c>
      <c r="AL598" s="327">
        <v>45466</v>
      </c>
      <c r="AM598" s="104" t="s">
        <v>191</v>
      </c>
      <c r="AN598" s="103">
        <v>15599</v>
      </c>
      <c r="AP598" s="327">
        <v>45466</v>
      </c>
      <c r="AQ598" s="104" t="s">
        <v>194</v>
      </c>
      <c r="AR598" s="103">
        <v>776006</v>
      </c>
    </row>
    <row r="599" spans="1:48" hidden="1" x14ac:dyDescent="0.25">
      <c r="A599" s="215">
        <v>45473</v>
      </c>
      <c r="B599" s="101">
        <v>21238184</v>
      </c>
      <c r="C599" s="101">
        <v>312631</v>
      </c>
      <c r="D599" s="101">
        <v>21550815</v>
      </c>
      <c r="E599" s="101">
        <v>98.55</v>
      </c>
      <c r="F599" s="212">
        <f t="shared" si="61"/>
        <v>21.550815</v>
      </c>
      <c r="H599" s="215">
        <v>45473</v>
      </c>
      <c r="I599" s="101">
        <v>1497614</v>
      </c>
      <c r="J599" s="101">
        <v>27080</v>
      </c>
      <c r="K599" s="101">
        <v>1524694</v>
      </c>
      <c r="L599" s="101">
        <v>98.22</v>
      </c>
      <c r="M599" s="114">
        <f t="shared" si="75"/>
        <v>1.524694</v>
      </c>
      <c r="O599" s="215">
        <v>45473</v>
      </c>
      <c r="P599" s="101">
        <v>46282433</v>
      </c>
      <c r="Q599" s="101">
        <v>15595018</v>
      </c>
      <c r="R599" s="101">
        <v>61877451</v>
      </c>
      <c r="S599" s="101">
        <v>74.8</v>
      </c>
      <c r="T599" s="212">
        <f t="shared" si="65"/>
        <v>61.877451000000001</v>
      </c>
      <c r="W599" s="215">
        <v>45473</v>
      </c>
      <c r="X599" s="48">
        <v>5535</v>
      </c>
      <c r="Y599" s="104">
        <v>12000</v>
      </c>
      <c r="Z599" s="114">
        <f t="shared" si="69"/>
        <v>46.125</v>
      </c>
      <c r="AB599" s="216">
        <v>45473</v>
      </c>
      <c r="AC599">
        <v>877</v>
      </c>
      <c r="AD599" s="104">
        <v>12000</v>
      </c>
      <c r="AE599" s="114">
        <f t="shared" si="70"/>
        <v>7.3083333333333336</v>
      </c>
      <c r="AG599" s="215">
        <v>45473</v>
      </c>
      <c r="AH599" s="57">
        <v>6001</v>
      </c>
      <c r="AI599" s="104">
        <v>12000</v>
      </c>
      <c r="AJ599" s="71">
        <f t="shared" si="71"/>
        <v>50.008333333333333</v>
      </c>
      <c r="AL599" s="327">
        <v>45466</v>
      </c>
      <c r="AM599" s="104" t="s">
        <v>197</v>
      </c>
      <c r="AN599" s="103">
        <v>14315</v>
      </c>
      <c r="AP599" s="327">
        <v>45466</v>
      </c>
      <c r="AQ599" s="104" t="s">
        <v>199</v>
      </c>
      <c r="AR599" s="103">
        <v>57340</v>
      </c>
    </row>
    <row r="600" spans="1:48" hidden="1" x14ac:dyDescent="0.25">
      <c r="A600" s="215">
        <v>45474</v>
      </c>
      <c r="B600" s="101">
        <v>21615411</v>
      </c>
      <c r="C600" s="101">
        <v>281000</v>
      </c>
      <c r="D600" s="101">
        <v>21896411</v>
      </c>
      <c r="E600" s="101">
        <v>98.72</v>
      </c>
      <c r="F600" s="212">
        <f t="shared" si="61"/>
        <v>21.896411000000001</v>
      </c>
      <c r="H600" s="215">
        <v>45474</v>
      </c>
      <c r="I600" s="101">
        <v>5434166</v>
      </c>
      <c r="J600" s="101">
        <v>55777</v>
      </c>
      <c r="K600" s="101">
        <v>5489943</v>
      </c>
      <c r="L600" s="101">
        <v>98.98</v>
      </c>
      <c r="M600" s="114">
        <f t="shared" si="75"/>
        <v>5.4899430000000002</v>
      </c>
      <c r="O600" s="215">
        <v>45474</v>
      </c>
      <c r="P600" s="101">
        <v>66091156</v>
      </c>
      <c r="Q600" s="101">
        <v>23807021</v>
      </c>
      <c r="R600" s="101">
        <v>89898177</v>
      </c>
      <c r="S600" s="101">
        <v>73.52</v>
      </c>
      <c r="T600" s="212">
        <f t="shared" si="65"/>
        <v>89.898177000000004</v>
      </c>
      <c r="W600" s="215">
        <v>45474</v>
      </c>
      <c r="X600" s="48">
        <v>11000</v>
      </c>
      <c r="Y600" s="104">
        <v>12000</v>
      </c>
      <c r="Z600" s="114">
        <f t="shared" si="69"/>
        <v>91.666666666666671</v>
      </c>
      <c r="AB600" s="216">
        <v>45474</v>
      </c>
      <c r="AC600">
        <v>1230</v>
      </c>
      <c r="AD600" s="104">
        <v>12000</v>
      </c>
      <c r="AE600" s="114">
        <f t="shared" si="70"/>
        <v>10.25</v>
      </c>
      <c r="AG600" s="215">
        <v>45474</v>
      </c>
      <c r="AH600" s="57">
        <v>11553</v>
      </c>
      <c r="AI600" s="104">
        <v>12000</v>
      </c>
      <c r="AJ600" s="71">
        <f t="shared" si="71"/>
        <v>96.275000000000006</v>
      </c>
      <c r="AL600" s="327">
        <v>45466</v>
      </c>
      <c r="AM600" s="104" t="s">
        <v>194</v>
      </c>
      <c r="AN600" s="103">
        <v>12593</v>
      </c>
      <c r="AP600" s="327">
        <v>45466</v>
      </c>
      <c r="AQ600" s="104" t="s">
        <v>206</v>
      </c>
      <c r="AR600" s="103">
        <v>36719</v>
      </c>
    </row>
    <row r="601" spans="1:48" hidden="1" x14ac:dyDescent="0.25">
      <c r="A601" s="215">
        <v>45475</v>
      </c>
      <c r="B601" s="101">
        <v>21047207</v>
      </c>
      <c r="C601" s="101">
        <v>337060</v>
      </c>
      <c r="D601" s="101">
        <v>21384267</v>
      </c>
      <c r="E601" s="101">
        <v>98.42</v>
      </c>
      <c r="F601" s="212">
        <f t="shared" si="61"/>
        <v>21.384267000000001</v>
      </c>
      <c r="H601" s="215">
        <v>45475</v>
      </c>
      <c r="I601" s="101">
        <v>6861032</v>
      </c>
      <c r="J601" s="101">
        <v>30403</v>
      </c>
      <c r="K601" s="101">
        <v>6891435</v>
      </c>
      <c r="L601" s="101">
        <v>99.56</v>
      </c>
      <c r="M601" s="114">
        <f t="shared" si="75"/>
        <v>6.8914350000000004</v>
      </c>
      <c r="O601" s="215">
        <v>45475</v>
      </c>
      <c r="P601" s="101">
        <v>67793435</v>
      </c>
      <c r="Q601" s="101">
        <v>23830908</v>
      </c>
      <c r="R601" s="101">
        <v>91624343</v>
      </c>
      <c r="S601" s="101">
        <v>73.989999999999995</v>
      </c>
      <c r="T601" s="212">
        <f t="shared" si="65"/>
        <v>91.624342999999996</v>
      </c>
      <c r="W601" s="215">
        <v>45475</v>
      </c>
      <c r="X601">
        <v>11000</v>
      </c>
      <c r="Y601" s="104">
        <v>12000</v>
      </c>
      <c r="Z601" s="114">
        <f t="shared" si="69"/>
        <v>91.666666666666671</v>
      </c>
      <c r="AB601" s="216">
        <v>45475</v>
      </c>
      <c r="AC601">
        <v>2080</v>
      </c>
      <c r="AD601" s="104">
        <v>12000</v>
      </c>
      <c r="AE601" s="114">
        <f t="shared" si="70"/>
        <v>17.333333333333332</v>
      </c>
      <c r="AG601" s="215">
        <v>45475</v>
      </c>
      <c r="AH601">
        <v>11600</v>
      </c>
      <c r="AI601" s="104">
        <v>12000</v>
      </c>
      <c r="AJ601" s="71">
        <f t="shared" si="71"/>
        <v>96.666666666666671</v>
      </c>
    </row>
    <row r="602" spans="1:48" hidden="1" x14ac:dyDescent="0.25">
      <c r="A602" s="215">
        <v>45476</v>
      </c>
      <c r="B602" s="101">
        <v>20327632</v>
      </c>
      <c r="C602" s="101">
        <v>333797</v>
      </c>
      <c r="D602" s="101">
        <v>20661429</v>
      </c>
      <c r="E602" s="101">
        <v>98.38</v>
      </c>
      <c r="F602" s="212">
        <f t="shared" si="61"/>
        <v>20.661428999999998</v>
      </c>
      <c r="H602" s="215">
        <v>45476</v>
      </c>
      <c r="I602" s="101">
        <v>3349974</v>
      </c>
      <c r="J602" s="101">
        <v>1339</v>
      </c>
      <c r="K602" s="101">
        <v>3351313</v>
      </c>
      <c r="L602" s="101">
        <v>99.96</v>
      </c>
      <c r="M602" s="114">
        <f t="shared" si="75"/>
        <v>3.3513130000000002</v>
      </c>
      <c r="O602" s="215">
        <v>45476</v>
      </c>
      <c r="P602" s="101">
        <v>58948007</v>
      </c>
      <c r="Q602" s="101">
        <v>24156244</v>
      </c>
      <c r="R602" s="101">
        <v>83104251</v>
      </c>
      <c r="S602" s="101">
        <v>70.930000000000007</v>
      </c>
      <c r="T602" s="212">
        <f t="shared" si="65"/>
        <v>83.104251000000005</v>
      </c>
      <c r="W602" s="215">
        <v>45476</v>
      </c>
      <c r="X602">
        <v>9352</v>
      </c>
      <c r="Y602" s="192">
        <v>12000</v>
      </c>
      <c r="Z602" s="225">
        <f t="shared" si="69"/>
        <v>77.933333333333337</v>
      </c>
      <c r="AB602" s="216">
        <v>45476</v>
      </c>
      <c r="AC602">
        <v>904</v>
      </c>
      <c r="AD602" s="192">
        <v>12000</v>
      </c>
      <c r="AE602" s="225">
        <f t="shared" si="70"/>
        <v>7.5333333333333332</v>
      </c>
      <c r="AG602" s="215">
        <v>45476</v>
      </c>
      <c r="AH602">
        <v>9865</v>
      </c>
      <c r="AI602" s="192">
        <v>12000</v>
      </c>
      <c r="AJ602" s="208">
        <f t="shared" si="71"/>
        <v>82.208333333333329</v>
      </c>
      <c r="AL602" s="222">
        <v>45467</v>
      </c>
      <c r="AM602" s="101" t="s">
        <v>189</v>
      </c>
      <c r="AN602" s="101">
        <v>197971</v>
      </c>
      <c r="AP602" s="222">
        <v>45467</v>
      </c>
      <c r="AQ602" s="101" t="s">
        <v>189</v>
      </c>
      <c r="AR602" s="101">
        <v>18339808</v>
      </c>
      <c r="AT602" s="222">
        <v>45467</v>
      </c>
      <c r="AU602" s="101" t="s">
        <v>190</v>
      </c>
      <c r="AV602" s="101">
        <v>3318</v>
      </c>
    </row>
    <row r="603" spans="1:48" hidden="1" x14ac:dyDescent="0.25">
      <c r="A603" s="215">
        <v>45477</v>
      </c>
      <c r="B603" s="101">
        <v>20765753</v>
      </c>
      <c r="C603" s="101">
        <v>307940</v>
      </c>
      <c r="D603" s="101">
        <v>21073693</v>
      </c>
      <c r="E603" s="101">
        <v>98.54</v>
      </c>
      <c r="F603" s="212">
        <f t="shared" si="61"/>
        <v>21.073692999999999</v>
      </c>
      <c r="H603" s="215">
        <v>45477</v>
      </c>
      <c r="I603" s="101">
        <v>2287933</v>
      </c>
      <c r="J603" s="101">
        <v>347</v>
      </c>
      <c r="K603" s="101">
        <v>2288280</v>
      </c>
      <c r="L603" s="101">
        <v>99.98</v>
      </c>
      <c r="M603" s="114">
        <f t="shared" si="75"/>
        <v>2.2882799999999999</v>
      </c>
      <c r="O603" s="215">
        <v>45477</v>
      </c>
      <c r="P603" s="101">
        <v>65303787</v>
      </c>
      <c r="Q603" s="101">
        <v>28967572</v>
      </c>
      <c r="R603" s="101">
        <v>94271359</v>
      </c>
      <c r="S603" s="101">
        <v>69.27</v>
      </c>
      <c r="T603" s="212">
        <f t="shared" si="65"/>
        <v>94.271359000000004</v>
      </c>
      <c r="W603" s="215">
        <v>45477</v>
      </c>
      <c r="X603" s="48">
        <v>10385</v>
      </c>
      <c r="Y603" s="104">
        <v>12000</v>
      </c>
      <c r="Z603" s="114">
        <f t="shared" si="69"/>
        <v>86.541666666666671</v>
      </c>
      <c r="AB603" s="216">
        <v>45477</v>
      </c>
      <c r="AC603" s="48">
        <v>940</v>
      </c>
      <c r="AD603" s="104">
        <v>12000</v>
      </c>
      <c r="AE603" s="114">
        <f t="shared" si="70"/>
        <v>7.833333333333333</v>
      </c>
      <c r="AG603" s="215">
        <v>45477</v>
      </c>
      <c r="AH603" s="48">
        <v>10944</v>
      </c>
      <c r="AI603" s="104">
        <v>12000</v>
      </c>
      <c r="AJ603" s="71">
        <f t="shared" si="71"/>
        <v>91.2</v>
      </c>
      <c r="AL603" s="222">
        <v>45467</v>
      </c>
      <c r="AM603" s="101" t="s">
        <v>192</v>
      </c>
      <c r="AN603" s="101">
        <v>21781</v>
      </c>
      <c r="AP603" s="222">
        <v>45467</v>
      </c>
      <c r="AQ603" s="101" t="s">
        <v>191</v>
      </c>
      <c r="AR603" s="101">
        <v>1889845</v>
      </c>
      <c r="AT603" s="222">
        <v>45467</v>
      </c>
      <c r="AU603" s="101" t="s">
        <v>193</v>
      </c>
      <c r="AV603" s="101">
        <v>597</v>
      </c>
    </row>
    <row r="604" spans="1:48" hidden="1" x14ac:dyDescent="0.25">
      <c r="A604" s="215">
        <v>45478</v>
      </c>
      <c r="B604" s="101">
        <v>20497174</v>
      </c>
      <c r="C604" s="101">
        <v>318565</v>
      </c>
      <c r="D604" s="101">
        <v>20815739</v>
      </c>
      <c r="E604" s="101">
        <v>98.47</v>
      </c>
      <c r="F604" s="212">
        <f t="shared" si="61"/>
        <v>20.815739000000001</v>
      </c>
      <c r="H604" s="215">
        <v>45478</v>
      </c>
      <c r="I604" s="101">
        <v>5803214</v>
      </c>
      <c r="J604" s="101">
        <v>6341</v>
      </c>
      <c r="K604" s="101">
        <v>5809555</v>
      </c>
      <c r="L604" s="101">
        <v>99.89</v>
      </c>
      <c r="M604" s="114">
        <f t="shared" si="75"/>
        <v>5.8095549999999996</v>
      </c>
      <c r="O604" s="215">
        <v>45478</v>
      </c>
      <c r="P604" s="101">
        <v>74965336</v>
      </c>
      <c r="Q604" s="101">
        <v>29266799</v>
      </c>
      <c r="R604" s="101">
        <v>104232135</v>
      </c>
      <c r="S604" s="101">
        <v>71.92</v>
      </c>
      <c r="T604" s="212">
        <f t="shared" si="65"/>
        <v>104.232135</v>
      </c>
      <c r="W604" s="215">
        <v>45478</v>
      </c>
      <c r="X604" s="48">
        <v>11000</v>
      </c>
      <c r="Y604" s="104">
        <v>12000</v>
      </c>
      <c r="Z604" s="114">
        <f t="shared" si="69"/>
        <v>91.666666666666671</v>
      </c>
      <c r="AB604" s="215">
        <v>45478</v>
      </c>
      <c r="AC604" s="48">
        <v>1489</v>
      </c>
      <c r="AD604" s="104">
        <v>12000</v>
      </c>
      <c r="AE604" s="114">
        <f t="shared" si="70"/>
        <v>12.408333333333333</v>
      </c>
      <c r="AG604" s="215">
        <v>45478</v>
      </c>
      <c r="AH604" s="48">
        <v>12000</v>
      </c>
      <c r="AI604" s="104">
        <v>12000</v>
      </c>
      <c r="AJ604" s="71">
        <f t="shared" si="71"/>
        <v>100</v>
      </c>
      <c r="AL604" s="222">
        <v>45467</v>
      </c>
      <c r="AM604" s="101" t="s">
        <v>191</v>
      </c>
      <c r="AN604" s="101">
        <v>16900</v>
      </c>
      <c r="AP604" s="222">
        <v>45467</v>
      </c>
      <c r="AQ604" s="101" t="s">
        <v>194</v>
      </c>
      <c r="AR604" s="101">
        <v>898988</v>
      </c>
    </row>
    <row r="605" spans="1:48" hidden="1" x14ac:dyDescent="0.25">
      <c r="A605" s="215">
        <v>45479</v>
      </c>
      <c r="B605" s="101">
        <v>20374649</v>
      </c>
      <c r="C605" s="101">
        <v>319741</v>
      </c>
      <c r="D605" s="101">
        <v>20694390</v>
      </c>
      <c r="E605" s="101">
        <v>98.45</v>
      </c>
      <c r="F605" s="212">
        <f t="shared" si="61"/>
        <v>20.694389999999999</v>
      </c>
      <c r="H605" s="215">
        <v>45479</v>
      </c>
      <c r="I605" s="101">
        <v>6866083</v>
      </c>
      <c r="J605" s="101">
        <v>66359</v>
      </c>
      <c r="K605" s="101">
        <v>6932442</v>
      </c>
      <c r="L605" s="101">
        <v>99.04</v>
      </c>
      <c r="M605" s="114">
        <f t="shared" si="75"/>
        <v>6.932442</v>
      </c>
      <c r="O605" s="215">
        <v>45479</v>
      </c>
      <c r="P605" s="101">
        <v>76307919</v>
      </c>
      <c r="Q605" s="101">
        <v>34157289</v>
      </c>
      <c r="R605" s="101">
        <v>110465208</v>
      </c>
      <c r="S605" s="101">
        <v>69.08</v>
      </c>
      <c r="T605" s="212">
        <f t="shared" si="65"/>
        <v>110.465208</v>
      </c>
      <c r="W605" s="215">
        <v>45479</v>
      </c>
      <c r="X605" s="48">
        <v>11000</v>
      </c>
      <c r="Y605" s="104">
        <v>12000</v>
      </c>
      <c r="Z605" s="114">
        <f t="shared" si="69"/>
        <v>91.666666666666671</v>
      </c>
      <c r="AB605" s="215">
        <v>45479</v>
      </c>
      <c r="AC605" s="48">
        <v>914</v>
      </c>
      <c r="AD605" s="104">
        <v>12000</v>
      </c>
      <c r="AE605" s="114">
        <f t="shared" si="70"/>
        <v>7.6166666666666663</v>
      </c>
      <c r="AG605" s="215">
        <v>45479</v>
      </c>
      <c r="AH605" s="48">
        <v>11589</v>
      </c>
      <c r="AI605" s="104">
        <v>12000</v>
      </c>
      <c r="AJ605" s="71">
        <f t="shared" si="71"/>
        <v>96.575000000000003</v>
      </c>
      <c r="AL605" s="222">
        <v>45467</v>
      </c>
      <c r="AM605" s="101" t="s">
        <v>197</v>
      </c>
      <c r="AN605" s="101">
        <v>11765</v>
      </c>
      <c r="AP605" s="222">
        <v>45467</v>
      </c>
      <c r="AQ605" s="101" t="s">
        <v>199</v>
      </c>
      <c r="AR605" s="101">
        <v>131975</v>
      </c>
    </row>
    <row r="606" spans="1:48" hidden="1" x14ac:dyDescent="0.25">
      <c r="A606" s="215">
        <v>45480</v>
      </c>
      <c r="B606" s="101">
        <v>20690938</v>
      </c>
      <c r="C606" s="101">
        <v>310314</v>
      </c>
      <c r="D606" s="101">
        <v>21001252</v>
      </c>
      <c r="E606" s="101">
        <v>98.52</v>
      </c>
      <c r="F606" s="212">
        <f t="shared" si="61"/>
        <v>21.001252000000001</v>
      </c>
      <c r="H606" s="215">
        <v>45480</v>
      </c>
      <c r="I606" s="101">
        <v>1574101</v>
      </c>
      <c r="J606" s="101">
        <v>34826</v>
      </c>
      <c r="K606" s="101">
        <v>1608927</v>
      </c>
      <c r="L606" s="101">
        <v>97.84</v>
      </c>
      <c r="M606" s="114">
        <f t="shared" si="75"/>
        <v>1.608927</v>
      </c>
      <c r="O606" s="215">
        <v>45480</v>
      </c>
      <c r="P606" s="101">
        <v>45439620</v>
      </c>
      <c r="Q606" s="101">
        <v>15126057</v>
      </c>
      <c r="R606" s="101">
        <v>60565677</v>
      </c>
      <c r="S606" s="101">
        <v>75.03</v>
      </c>
      <c r="T606" s="212">
        <f t="shared" si="65"/>
        <v>60.565677000000001</v>
      </c>
      <c r="W606" s="215">
        <v>45480</v>
      </c>
      <c r="X606" s="48">
        <v>7597</v>
      </c>
      <c r="Y606" s="104">
        <v>12000</v>
      </c>
      <c r="Z606" s="114">
        <f t="shared" si="69"/>
        <v>63.30833333333333</v>
      </c>
      <c r="AB606" s="215">
        <v>45480</v>
      </c>
      <c r="AC606" s="48">
        <v>885</v>
      </c>
      <c r="AD606" s="104">
        <v>12000</v>
      </c>
      <c r="AE606" s="114">
        <f t="shared" si="70"/>
        <v>7.375</v>
      </c>
      <c r="AG606" s="215">
        <v>45480</v>
      </c>
      <c r="AH606" s="48">
        <v>8098</v>
      </c>
      <c r="AI606" s="104">
        <v>12000</v>
      </c>
      <c r="AJ606" s="71">
        <f t="shared" si="71"/>
        <v>67.483333333333334</v>
      </c>
      <c r="AL606" s="222">
        <v>45467</v>
      </c>
      <c r="AM606" s="101" t="s">
        <v>194</v>
      </c>
      <c r="AN606" s="101">
        <v>10025</v>
      </c>
      <c r="AP606" s="222">
        <v>45467</v>
      </c>
      <c r="AQ606" s="101" t="s">
        <v>206</v>
      </c>
      <c r="AR606" s="101">
        <v>124348</v>
      </c>
    </row>
    <row r="607" spans="1:48" hidden="1" x14ac:dyDescent="0.25">
      <c r="A607" s="215">
        <v>45481</v>
      </c>
      <c r="B607" s="101">
        <v>23776258</v>
      </c>
      <c r="C607" s="101">
        <v>282612</v>
      </c>
      <c r="D607" s="101">
        <v>24058870</v>
      </c>
      <c r="E607" s="101">
        <v>98.83</v>
      </c>
      <c r="F607" s="212">
        <f t="shared" si="61"/>
        <v>24.058869999999999</v>
      </c>
      <c r="H607" s="215">
        <v>45481</v>
      </c>
      <c r="I607" s="101">
        <v>2227492</v>
      </c>
      <c r="J607" s="101">
        <v>10231</v>
      </c>
      <c r="K607" s="101">
        <v>2237723</v>
      </c>
      <c r="L607" s="101">
        <v>99.54</v>
      </c>
      <c r="M607" s="114">
        <f t="shared" si="75"/>
        <v>2.2377229999999999</v>
      </c>
      <c r="O607" s="215">
        <v>45481</v>
      </c>
      <c r="P607" s="101">
        <v>62567788</v>
      </c>
      <c r="Q607" s="101">
        <v>20280492</v>
      </c>
      <c r="R607" s="101">
        <v>82848280</v>
      </c>
      <c r="S607" s="101">
        <v>75.52</v>
      </c>
      <c r="T607" s="212">
        <f t="shared" si="65"/>
        <v>82.848280000000003</v>
      </c>
      <c r="W607" s="215">
        <v>45481</v>
      </c>
      <c r="X607" s="48">
        <v>11257</v>
      </c>
      <c r="Y607" s="104">
        <v>12000</v>
      </c>
      <c r="Z607" s="114">
        <f t="shared" si="69"/>
        <v>93.808333333333337</v>
      </c>
      <c r="AB607" s="215">
        <v>45481</v>
      </c>
      <c r="AC607" s="48">
        <v>949</v>
      </c>
      <c r="AD607" s="104">
        <v>12000</v>
      </c>
      <c r="AE607" s="114">
        <f t="shared" si="70"/>
        <v>7.9083333333333332</v>
      </c>
      <c r="AG607" s="215">
        <v>45481</v>
      </c>
      <c r="AH607" s="48">
        <v>11843</v>
      </c>
      <c r="AI607" s="104">
        <v>12000</v>
      </c>
      <c r="AJ607" s="71">
        <f t="shared" si="71"/>
        <v>98.691666666666663</v>
      </c>
    </row>
    <row r="608" spans="1:48" hidden="1" x14ac:dyDescent="0.25">
      <c r="A608" s="215">
        <v>45482</v>
      </c>
      <c r="B608" s="101">
        <v>22522660</v>
      </c>
      <c r="C608" s="101">
        <v>349066</v>
      </c>
      <c r="D608" s="101">
        <v>22871726</v>
      </c>
      <c r="E608" s="101">
        <v>98.47</v>
      </c>
      <c r="F608" s="212">
        <f t="shared" si="61"/>
        <v>22.871725999999999</v>
      </c>
      <c r="H608" s="215">
        <v>45482</v>
      </c>
      <c r="I608" s="101">
        <v>1670356</v>
      </c>
      <c r="J608" s="101">
        <v>3841</v>
      </c>
      <c r="K608" s="101">
        <v>1674197</v>
      </c>
      <c r="L608" s="101">
        <v>99.77</v>
      </c>
      <c r="M608" s="114">
        <f t="shared" si="75"/>
        <v>1.6741969999999999</v>
      </c>
      <c r="O608" s="215">
        <v>45482</v>
      </c>
      <c r="P608" s="101">
        <v>54928408</v>
      </c>
      <c r="Q608" s="101">
        <v>21155537</v>
      </c>
      <c r="R608" s="101">
        <v>76083945</v>
      </c>
      <c r="S608" s="101">
        <v>72.19</v>
      </c>
      <c r="T608" s="212">
        <f t="shared" si="65"/>
        <v>76.083945</v>
      </c>
      <c r="W608" s="215">
        <v>45482</v>
      </c>
      <c r="X608" s="48">
        <v>11567</v>
      </c>
      <c r="Y608" s="104">
        <v>12000</v>
      </c>
      <c r="Z608" s="114">
        <f t="shared" si="69"/>
        <v>96.391666666666666</v>
      </c>
      <c r="AB608" s="215">
        <v>45482</v>
      </c>
      <c r="AC608" s="48">
        <v>1023</v>
      </c>
      <c r="AD608" s="104">
        <v>12000</v>
      </c>
      <c r="AE608" s="114">
        <f t="shared" si="70"/>
        <v>8.5250000000000004</v>
      </c>
      <c r="AG608" s="215">
        <v>45482</v>
      </c>
      <c r="AH608" s="48">
        <v>11838</v>
      </c>
      <c r="AI608" s="104">
        <v>12000</v>
      </c>
      <c r="AJ608" s="71">
        <f t="shared" si="71"/>
        <v>98.65</v>
      </c>
      <c r="AL608" s="222">
        <v>45468</v>
      </c>
      <c r="AM608" s="101" t="s">
        <v>189</v>
      </c>
      <c r="AN608" s="101">
        <v>223745</v>
      </c>
      <c r="AP608" s="222">
        <v>45468</v>
      </c>
      <c r="AQ608" s="101" t="s">
        <v>189</v>
      </c>
      <c r="AR608" s="101">
        <v>18655896</v>
      </c>
      <c r="AT608" s="222">
        <v>45468</v>
      </c>
      <c r="AU608" s="101" t="s">
        <v>193</v>
      </c>
      <c r="AV608" s="101">
        <v>13014</v>
      </c>
    </row>
    <row r="609" spans="1:48" hidden="1" x14ac:dyDescent="0.25">
      <c r="A609" s="215">
        <v>45483</v>
      </c>
      <c r="B609" s="173">
        <v>21521270</v>
      </c>
      <c r="C609" s="173">
        <v>337568</v>
      </c>
      <c r="D609" s="173">
        <v>21858838</v>
      </c>
      <c r="E609" s="173">
        <v>98.46</v>
      </c>
      <c r="F609" s="212">
        <f t="shared" si="61"/>
        <v>21.858837999999999</v>
      </c>
      <c r="H609" s="215">
        <v>45483</v>
      </c>
      <c r="I609" s="173">
        <v>6377624</v>
      </c>
      <c r="J609" s="173">
        <v>3490</v>
      </c>
      <c r="K609" s="173">
        <v>6381114</v>
      </c>
      <c r="L609" s="173">
        <v>99.95</v>
      </c>
      <c r="M609" s="114">
        <f t="shared" si="75"/>
        <v>6.3811140000000002</v>
      </c>
      <c r="O609" s="215">
        <v>45483</v>
      </c>
      <c r="P609" s="173">
        <v>76781037</v>
      </c>
      <c r="Q609" s="173">
        <v>34706684</v>
      </c>
      <c r="R609" s="173">
        <v>111487721</v>
      </c>
      <c r="S609" s="173">
        <v>68.87</v>
      </c>
      <c r="T609" s="212">
        <f t="shared" si="65"/>
        <v>111.48772099999999</v>
      </c>
      <c r="W609" s="215">
        <v>45483</v>
      </c>
      <c r="X609" s="48">
        <v>11000</v>
      </c>
      <c r="Y609" s="104">
        <v>12000</v>
      </c>
      <c r="Z609" s="114">
        <f t="shared" si="69"/>
        <v>91.666666666666671</v>
      </c>
      <c r="AB609" s="215">
        <v>45483</v>
      </c>
      <c r="AC609" s="48">
        <v>1795</v>
      </c>
      <c r="AD609" s="104">
        <v>12000</v>
      </c>
      <c r="AE609" s="114">
        <f t="shared" si="70"/>
        <v>14.958333333333334</v>
      </c>
      <c r="AG609" s="215">
        <v>45483</v>
      </c>
      <c r="AH609" s="48">
        <v>11797</v>
      </c>
      <c r="AI609" s="104">
        <v>12000</v>
      </c>
      <c r="AJ609" s="71">
        <f t="shared" si="71"/>
        <v>98.308333333333337</v>
      </c>
      <c r="AL609" s="222">
        <v>45468</v>
      </c>
      <c r="AM609" s="101" t="s">
        <v>192</v>
      </c>
      <c r="AN609" s="101">
        <v>31113</v>
      </c>
      <c r="AP609" s="222">
        <v>45468</v>
      </c>
      <c r="AQ609" s="101" t="s">
        <v>191</v>
      </c>
      <c r="AR609" s="101">
        <v>2154145</v>
      </c>
      <c r="AT609" s="222">
        <v>45468</v>
      </c>
      <c r="AU609" s="101" t="s">
        <v>190</v>
      </c>
      <c r="AV609" s="101">
        <v>3006</v>
      </c>
    </row>
    <row r="610" spans="1:48" hidden="1" x14ac:dyDescent="0.25">
      <c r="A610" s="215">
        <v>45484</v>
      </c>
      <c r="B610" s="48">
        <v>21791085</v>
      </c>
      <c r="C610" s="48">
        <v>320701</v>
      </c>
      <c r="D610" s="48">
        <v>22111786</v>
      </c>
      <c r="E610" s="48">
        <v>98.55</v>
      </c>
      <c r="F610" s="212">
        <f t="shared" si="61"/>
        <v>22.111785999999999</v>
      </c>
      <c r="H610" s="215">
        <v>45484</v>
      </c>
      <c r="I610" s="48">
        <v>6223152</v>
      </c>
      <c r="J610" s="48">
        <v>18377</v>
      </c>
      <c r="K610" s="48">
        <v>6241529</v>
      </c>
      <c r="L610" s="48">
        <v>99.71</v>
      </c>
      <c r="M610" s="114">
        <f t="shared" si="75"/>
        <v>6.2415289999999999</v>
      </c>
      <c r="O610" s="215">
        <v>45484</v>
      </c>
      <c r="P610" s="48">
        <v>77998719</v>
      </c>
      <c r="Q610" s="48">
        <v>33609936</v>
      </c>
      <c r="R610" s="48">
        <v>111608655</v>
      </c>
      <c r="S610" s="48">
        <v>69.89</v>
      </c>
      <c r="T610" s="212">
        <f t="shared" si="65"/>
        <v>111.608655</v>
      </c>
      <c r="W610" s="215">
        <v>45484</v>
      </c>
      <c r="X610" s="48">
        <v>11000</v>
      </c>
      <c r="Y610" s="104">
        <v>12000</v>
      </c>
      <c r="Z610" s="114">
        <f t="shared" si="69"/>
        <v>91.666666666666671</v>
      </c>
      <c r="AB610" s="215">
        <v>45484</v>
      </c>
      <c r="AC610" s="48">
        <v>999</v>
      </c>
      <c r="AD610" s="104">
        <v>12000</v>
      </c>
      <c r="AE610" s="114">
        <f t="shared" si="70"/>
        <v>8.3249999999999993</v>
      </c>
      <c r="AG610" s="215">
        <v>45484</v>
      </c>
      <c r="AH610" s="48">
        <v>11584</v>
      </c>
      <c r="AI610" s="104">
        <v>12000</v>
      </c>
      <c r="AJ610" s="71">
        <f t="shared" si="71"/>
        <v>96.533333333333331</v>
      </c>
      <c r="AL610" s="222">
        <v>45468</v>
      </c>
      <c r="AM610" s="101" t="s">
        <v>191</v>
      </c>
      <c r="AN610" s="101">
        <v>19838</v>
      </c>
      <c r="AP610" s="222">
        <v>45468</v>
      </c>
      <c r="AQ610" s="101" t="s">
        <v>194</v>
      </c>
      <c r="AR610" s="101">
        <v>884138</v>
      </c>
    </row>
    <row r="611" spans="1:48" hidden="1" x14ac:dyDescent="0.25">
      <c r="A611" s="215">
        <v>45485</v>
      </c>
      <c r="B611" s="101">
        <v>21805245</v>
      </c>
      <c r="C611" s="101">
        <v>242581</v>
      </c>
      <c r="D611" s="101">
        <v>22047826</v>
      </c>
      <c r="E611" s="101">
        <v>98.9</v>
      </c>
      <c r="F611" s="212">
        <f t="shared" si="61"/>
        <v>22.047826000000001</v>
      </c>
      <c r="H611" s="215">
        <v>45485</v>
      </c>
      <c r="I611" s="101">
        <v>2332426</v>
      </c>
      <c r="J611" s="101">
        <v>2105</v>
      </c>
      <c r="K611" s="101">
        <v>2334531</v>
      </c>
      <c r="L611" s="101">
        <v>99.91</v>
      </c>
      <c r="M611" s="114">
        <f t="shared" si="75"/>
        <v>2.3345310000000001</v>
      </c>
      <c r="O611" s="215">
        <v>45485</v>
      </c>
      <c r="P611" s="101">
        <v>63941988</v>
      </c>
      <c r="Q611" s="101">
        <v>22430472</v>
      </c>
      <c r="R611" s="101">
        <v>86372460</v>
      </c>
      <c r="S611" s="101">
        <v>74.03</v>
      </c>
      <c r="T611" s="212">
        <f t="shared" si="65"/>
        <v>86.372460000000004</v>
      </c>
      <c r="W611" s="215">
        <v>45485</v>
      </c>
      <c r="X611" s="48">
        <v>11000</v>
      </c>
      <c r="Y611" s="104">
        <v>12000</v>
      </c>
      <c r="Z611" s="114">
        <f t="shared" si="69"/>
        <v>91.666666666666671</v>
      </c>
      <c r="AB611" s="215">
        <v>45485</v>
      </c>
      <c r="AC611" s="48">
        <v>941</v>
      </c>
      <c r="AD611" s="104">
        <v>12000</v>
      </c>
      <c r="AE611" s="114">
        <f t="shared" si="70"/>
        <v>7.8416666666666668</v>
      </c>
      <c r="AG611" s="215">
        <v>45485</v>
      </c>
      <c r="AH611" s="48">
        <v>11612</v>
      </c>
      <c r="AI611" s="104">
        <v>12000</v>
      </c>
      <c r="AJ611" s="71">
        <f t="shared" si="71"/>
        <v>96.766666666666666</v>
      </c>
      <c r="AL611" s="222">
        <v>45468</v>
      </c>
      <c r="AM611" s="101" t="s">
        <v>197</v>
      </c>
      <c r="AN611" s="101">
        <v>14910</v>
      </c>
      <c r="AP611" s="222">
        <v>45468</v>
      </c>
      <c r="AQ611" s="101" t="s">
        <v>199</v>
      </c>
      <c r="AR611" s="101">
        <v>156118</v>
      </c>
    </row>
    <row r="612" spans="1:48" hidden="1" x14ac:dyDescent="0.25">
      <c r="A612" s="215">
        <v>45486</v>
      </c>
      <c r="B612" s="101">
        <v>21189601</v>
      </c>
      <c r="C612" s="101">
        <v>318963</v>
      </c>
      <c r="D612" s="101">
        <v>21508564</v>
      </c>
      <c r="E612" s="101">
        <v>98.52</v>
      </c>
      <c r="F612" s="212">
        <f t="shared" ref="F612:F641" si="76">D612/1000000</f>
        <v>21.508564</v>
      </c>
      <c r="H612" s="215">
        <v>45486</v>
      </c>
      <c r="I612" s="101">
        <v>1878731</v>
      </c>
      <c r="J612" s="101">
        <v>931</v>
      </c>
      <c r="K612" s="101">
        <v>1879662</v>
      </c>
      <c r="L612" s="101">
        <v>99.95</v>
      </c>
      <c r="M612" s="114">
        <f t="shared" si="75"/>
        <v>1.8796619999999999</v>
      </c>
      <c r="O612" s="215">
        <v>45486</v>
      </c>
      <c r="P612" s="101">
        <v>67260547</v>
      </c>
      <c r="Q612" s="101">
        <v>30875051</v>
      </c>
      <c r="R612" s="101">
        <v>98135598</v>
      </c>
      <c r="S612" s="101">
        <v>68.540000000000006</v>
      </c>
      <c r="T612" s="212">
        <f t="shared" si="65"/>
        <v>98.135598000000002</v>
      </c>
      <c r="W612" s="215">
        <v>45486</v>
      </c>
      <c r="X612" s="48">
        <v>11000</v>
      </c>
      <c r="Y612" s="104">
        <v>12000</v>
      </c>
      <c r="Z612" s="114">
        <f t="shared" si="69"/>
        <v>91.666666666666671</v>
      </c>
      <c r="AB612" s="215">
        <v>45486</v>
      </c>
      <c r="AC612" s="48">
        <v>1032</v>
      </c>
      <c r="AD612" s="104">
        <v>12000</v>
      </c>
      <c r="AE612" s="114">
        <f t="shared" si="70"/>
        <v>8.6</v>
      </c>
      <c r="AG612" s="215">
        <v>45486</v>
      </c>
      <c r="AH612" s="48">
        <v>11573</v>
      </c>
      <c r="AI612" s="104">
        <v>12000</v>
      </c>
      <c r="AJ612" s="71">
        <f t="shared" si="71"/>
        <v>96.441666666666663</v>
      </c>
      <c r="AL612" s="222">
        <v>45468</v>
      </c>
      <c r="AM612" s="101" t="s">
        <v>194</v>
      </c>
      <c r="AN612" s="101">
        <v>12677</v>
      </c>
      <c r="AP612" s="222">
        <v>45468</v>
      </c>
      <c r="AQ612" s="101" t="s">
        <v>206</v>
      </c>
      <c r="AR612" s="101">
        <v>155011</v>
      </c>
    </row>
    <row r="613" spans="1:48" hidden="1" x14ac:dyDescent="0.25">
      <c r="A613" s="215">
        <v>45487</v>
      </c>
      <c r="B613" s="101">
        <v>20815673</v>
      </c>
      <c r="C613" s="101">
        <v>293196</v>
      </c>
      <c r="D613" s="101">
        <v>21108869</v>
      </c>
      <c r="E613" s="101">
        <v>98.61</v>
      </c>
      <c r="F613" s="212">
        <f t="shared" si="76"/>
        <v>21.108868999999999</v>
      </c>
      <c r="H613" s="215">
        <v>45487</v>
      </c>
      <c r="I613" s="101">
        <v>1836078</v>
      </c>
      <c r="J613" s="101">
        <v>1430</v>
      </c>
      <c r="K613" s="101">
        <v>1837508</v>
      </c>
      <c r="L613" s="101">
        <v>99.92</v>
      </c>
      <c r="M613" s="114">
        <f t="shared" si="75"/>
        <v>1.8375079999999999</v>
      </c>
      <c r="O613" s="215">
        <v>45487</v>
      </c>
      <c r="P613" s="101">
        <v>50443094</v>
      </c>
      <c r="Q613" s="101">
        <v>18994935</v>
      </c>
      <c r="R613" s="101">
        <v>69438029</v>
      </c>
      <c r="S613" s="101">
        <v>72.64</v>
      </c>
      <c r="T613" s="212">
        <f t="shared" si="65"/>
        <v>69.438029</v>
      </c>
      <c r="W613" s="215">
        <v>45487</v>
      </c>
      <c r="X613" s="48">
        <v>5443</v>
      </c>
      <c r="Y613" s="104">
        <v>12000</v>
      </c>
      <c r="Z613" s="114">
        <f t="shared" si="69"/>
        <v>45.358333333333334</v>
      </c>
      <c r="AB613" s="215">
        <v>45487</v>
      </c>
      <c r="AC613" s="48">
        <v>777</v>
      </c>
      <c r="AD613" s="104">
        <v>12000</v>
      </c>
      <c r="AE613" s="114">
        <f t="shared" si="70"/>
        <v>6.4749999999999996</v>
      </c>
      <c r="AG613" s="215">
        <v>45487</v>
      </c>
      <c r="AH613" s="48">
        <v>5868</v>
      </c>
      <c r="AI613" s="104">
        <v>12000</v>
      </c>
      <c r="AJ613" s="71">
        <f t="shared" si="71"/>
        <v>48.9</v>
      </c>
    </row>
    <row r="614" spans="1:48" hidden="1" x14ac:dyDescent="0.25">
      <c r="A614" s="215">
        <v>45488</v>
      </c>
      <c r="B614" s="101">
        <v>22229217</v>
      </c>
      <c r="C614" s="101">
        <v>261896</v>
      </c>
      <c r="D614" s="101">
        <v>22491113</v>
      </c>
      <c r="E614" s="101">
        <v>98.84</v>
      </c>
      <c r="F614" s="212">
        <f t="shared" si="76"/>
        <v>22.491112999999999</v>
      </c>
      <c r="H614" s="215">
        <v>45488</v>
      </c>
      <c r="I614" s="101">
        <v>2891036</v>
      </c>
      <c r="J614" s="101">
        <v>804</v>
      </c>
      <c r="K614" s="101">
        <v>2891840</v>
      </c>
      <c r="L614" s="101">
        <v>99.97</v>
      </c>
      <c r="M614" s="114">
        <f t="shared" si="75"/>
        <v>2.8918400000000002</v>
      </c>
      <c r="O614" s="215">
        <v>45488</v>
      </c>
      <c r="P614" s="101">
        <v>70350401</v>
      </c>
      <c r="Q614" s="101">
        <v>29802364</v>
      </c>
      <c r="R614" s="101">
        <v>100152765</v>
      </c>
      <c r="S614" s="101">
        <v>70.239999999999995</v>
      </c>
      <c r="T614" s="212">
        <f t="shared" si="65"/>
        <v>100.152765</v>
      </c>
      <c r="W614" s="215">
        <v>45488</v>
      </c>
      <c r="X614" s="48">
        <v>11000</v>
      </c>
      <c r="Y614" s="104">
        <v>12000</v>
      </c>
      <c r="Z614" s="114">
        <f t="shared" si="69"/>
        <v>91.666666666666671</v>
      </c>
      <c r="AB614" s="215">
        <v>45488</v>
      </c>
      <c r="AC614" s="48">
        <v>1156</v>
      </c>
      <c r="AD614" s="104">
        <v>12000</v>
      </c>
      <c r="AE614" s="114">
        <f t="shared" si="70"/>
        <v>9.6333333333333329</v>
      </c>
      <c r="AG614" s="215">
        <v>45488</v>
      </c>
      <c r="AH614" s="48">
        <v>11629</v>
      </c>
      <c r="AI614" s="104">
        <v>12000</v>
      </c>
      <c r="AJ614" s="71">
        <f t="shared" si="71"/>
        <v>96.908333333333331</v>
      </c>
      <c r="AL614" s="222">
        <v>45469</v>
      </c>
      <c r="AM614" s="101" t="s">
        <v>189</v>
      </c>
      <c r="AN614" s="101">
        <v>229831</v>
      </c>
      <c r="AP614" s="222">
        <v>45469</v>
      </c>
      <c r="AQ614" s="101" t="s">
        <v>189</v>
      </c>
      <c r="AR614" s="101">
        <v>25252190</v>
      </c>
      <c r="AT614" s="222">
        <v>45469</v>
      </c>
      <c r="AU614" s="101" t="s">
        <v>193</v>
      </c>
      <c r="AV614" s="101">
        <v>26701</v>
      </c>
    </row>
    <row r="615" spans="1:48" hidden="1" x14ac:dyDescent="0.25">
      <c r="A615" s="215">
        <v>45489</v>
      </c>
      <c r="B615" s="101">
        <v>22210341</v>
      </c>
      <c r="C615" s="101">
        <v>315573</v>
      </c>
      <c r="D615" s="101">
        <v>22525914</v>
      </c>
      <c r="E615" s="101">
        <v>98.6</v>
      </c>
      <c r="F615" s="212">
        <f t="shared" si="76"/>
        <v>22.525914</v>
      </c>
      <c r="H615" s="215">
        <v>45489</v>
      </c>
      <c r="I615" s="101">
        <v>7530508</v>
      </c>
      <c r="J615" s="101">
        <v>4853</v>
      </c>
      <c r="K615" s="101">
        <v>7535361</v>
      </c>
      <c r="L615" s="101">
        <v>99.94</v>
      </c>
      <c r="M615" s="114">
        <f t="shared" si="75"/>
        <v>7.535361</v>
      </c>
      <c r="O615" s="215">
        <v>45489</v>
      </c>
      <c r="P615" s="101">
        <v>73070060</v>
      </c>
      <c r="Q615" s="101">
        <v>23963482</v>
      </c>
      <c r="R615" s="101">
        <v>97033542</v>
      </c>
      <c r="S615" s="101">
        <v>75.3</v>
      </c>
      <c r="T615" s="212">
        <f t="shared" si="65"/>
        <v>97.033541999999997</v>
      </c>
      <c r="W615" s="215">
        <v>45489</v>
      </c>
      <c r="X615" s="48">
        <v>10928</v>
      </c>
      <c r="Y615" s="104">
        <v>12000</v>
      </c>
      <c r="Z615" s="114">
        <f t="shared" si="69"/>
        <v>91.066666666666663</v>
      </c>
      <c r="AB615" s="215">
        <v>45489</v>
      </c>
      <c r="AC615" s="48">
        <v>960</v>
      </c>
      <c r="AD615" s="104">
        <v>12000</v>
      </c>
      <c r="AE615" s="114">
        <f t="shared" si="70"/>
        <v>8</v>
      </c>
      <c r="AG615" s="215">
        <v>45489</v>
      </c>
      <c r="AH615" s="48">
        <v>11488</v>
      </c>
      <c r="AI615" s="104">
        <v>12000</v>
      </c>
      <c r="AJ615" s="71">
        <f t="shared" si="71"/>
        <v>95.733333333333334</v>
      </c>
      <c r="AL615" s="222">
        <v>45469</v>
      </c>
      <c r="AM615" s="101" t="s">
        <v>192</v>
      </c>
      <c r="AN615" s="101">
        <v>30454</v>
      </c>
      <c r="AP615" s="222">
        <v>45469</v>
      </c>
      <c r="AQ615" s="101" t="s">
        <v>191</v>
      </c>
      <c r="AR615" s="101">
        <v>2217880</v>
      </c>
      <c r="AT615" s="222">
        <v>45469</v>
      </c>
      <c r="AU615" s="101" t="s">
        <v>190</v>
      </c>
      <c r="AV615" s="101">
        <v>522</v>
      </c>
    </row>
    <row r="616" spans="1:48" hidden="1" x14ac:dyDescent="0.25">
      <c r="A616" s="215">
        <v>45490</v>
      </c>
      <c r="B616" s="101">
        <v>21635035</v>
      </c>
      <c r="C616" s="101">
        <v>304355</v>
      </c>
      <c r="D616" s="101">
        <v>21939390</v>
      </c>
      <c r="E616" s="101">
        <v>98.61</v>
      </c>
      <c r="F616" s="212">
        <f t="shared" si="76"/>
        <v>21.93939</v>
      </c>
      <c r="H616" s="215">
        <v>45490</v>
      </c>
      <c r="I616" s="101">
        <v>8009460</v>
      </c>
      <c r="J616" s="101">
        <v>1645</v>
      </c>
      <c r="K616" s="101">
        <v>8011105</v>
      </c>
      <c r="L616" s="101">
        <v>99.98</v>
      </c>
      <c r="M616" s="114">
        <f t="shared" si="75"/>
        <v>8.0111050000000006</v>
      </c>
      <c r="O616" s="215">
        <v>45490</v>
      </c>
      <c r="P616" s="101">
        <v>75233453</v>
      </c>
      <c r="Q616" s="101">
        <v>32552064</v>
      </c>
      <c r="R616" s="101">
        <v>107785517</v>
      </c>
      <c r="S616" s="101">
        <v>69.8</v>
      </c>
      <c r="T616" s="212">
        <f t="shared" si="65"/>
        <v>107.785517</v>
      </c>
      <c r="W616" s="215">
        <v>45490</v>
      </c>
      <c r="X616" s="48">
        <v>11000</v>
      </c>
      <c r="Y616" s="104">
        <v>12000</v>
      </c>
      <c r="Z616" s="114">
        <f t="shared" si="69"/>
        <v>91.666666666666671</v>
      </c>
      <c r="AB616" s="215">
        <v>45490</v>
      </c>
      <c r="AC616" s="48">
        <v>996</v>
      </c>
      <c r="AD616" s="104">
        <v>12000</v>
      </c>
      <c r="AE616" s="114">
        <f t="shared" si="70"/>
        <v>8.3000000000000007</v>
      </c>
      <c r="AG616" s="215">
        <v>45490</v>
      </c>
      <c r="AH616" s="48">
        <v>11585</v>
      </c>
      <c r="AI616" s="104">
        <v>12000</v>
      </c>
      <c r="AJ616" s="71">
        <f t="shared" si="71"/>
        <v>96.541666666666671</v>
      </c>
      <c r="AL616" s="222">
        <v>45469</v>
      </c>
      <c r="AM616" s="101" t="s">
        <v>191</v>
      </c>
      <c r="AN616" s="101">
        <v>19782</v>
      </c>
      <c r="AP616" s="222">
        <v>45469</v>
      </c>
      <c r="AQ616" s="101" t="s">
        <v>194</v>
      </c>
      <c r="AR616" s="101">
        <v>891498</v>
      </c>
    </row>
    <row r="617" spans="1:48" hidden="1" x14ac:dyDescent="0.25">
      <c r="A617" s="215">
        <v>45491</v>
      </c>
      <c r="B617" s="101">
        <v>22339119</v>
      </c>
      <c r="C617" s="101">
        <v>327337</v>
      </c>
      <c r="D617" s="101">
        <v>22666456</v>
      </c>
      <c r="E617" s="101">
        <v>98.56</v>
      </c>
      <c r="F617" s="212">
        <f t="shared" si="76"/>
        <v>22.666456</v>
      </c>
      <c r="H617" s="215">
        <v>45491</v>
      </c>
      <c r="I617" s="101">
        <v>2614032</v>
      </c>
      <c r="J617" s="101">
        <v>477</v>
      </c>
      <c r="K617" s="101">
        <v>2614509</v>
      </c>
      <c r="L617" s="101">
        <v>99.98</v>
      </c>
      <c r="M617" s="114">
        <f t="shared" si="75"/>
        <v>2.614509</v>
      </c>
      <c r="O617" s="215">
        <v>45491</v>
      </c>
      <c r="P617" s="101">
        <v>62935723</v>
      </c>
      <c r="Q617" s="101">
        <v>24995780</v>
      </c>
      <c r="R617" s="101">
        <v>87931503</v>
      </c>
      <c r="S617" s="101">
        <v>71.569999999999993</v>
      </c>
      <c r="T617" s="212">
        <f t="shared" si="65"/>
        <v>87.931503000000006</v>
      </c>
      <c r="W617" s="215">
        <v>45491</v>
      </c>
      <c r="X617" s="48">
        <v>9080</v>
      </c>
      <c r="Y617" s="104">
        <v>12000</v>
      </c>
      <c r="Z617" s="114">
        <f t="shared" si="69"/>
        <v>75.666666666666671</v>
      </c>
      <c r="AB617" s="215">
        <v>45491</v>
      </c>
      <c r="AC617" s="48">
        <v>1405</v>
      </c>
      <c r="AD617" s="104">
        <v>12000</v>
      </c>
      <c r="AE617" s="114">
        <f t="shared" si="70"/>
        <v>11.708333333333334</v>
      </c>
      <c r="AG617" s="215">
        <v>45491</v>
      </c>
      <c r="AH617" s="48">
        <v>10103</v>
      </c>
      <c r="AI617" s="104">
        <v>12000</v>
      </c>
      <c r="AJ617" s="71">
        <f t="shared" si="71"/>
        <v>84.191666666666663</v>
      </c>
      <c r="AL617" s="222">
        <v>45469</v>
      </c>
      <c r="AM617" s="101" t="s">
        <v>197</v>
      </c>
      <c r="AN617" s="101">
        <v>18460</v>
      </c>
      <c r="AP617" s="222">
        <v>45469</v>
      </c>
      <c r="AQ617" s="101" t="s">
        <v>206</v>
      </c>
      <c r="AR617" s="101">
        <v>156571</v>
      </c>
    </row>
    <row r="618" spans="1:48" hidden="1" x14ac:dyDescent="0.25">
      <c r="A618" s="215">
        <v>45492</v>
      </c>
      <c r="B618" s="101">
        <v>22026582</v>
      </c>
      <c r="C618" s="101">
        <v>315160</v>
      </c>
      <c r="D618" s="101">
        <v>22341742</v>
      </c>
      <c r="E618" s="101">
        <v>98.59</v>
      </c>
      <c r="F618" s="212">
        <f t="shared" si="76"/>
        <v>22.341742</v>
      </c>
      <c r="H618" s="215">
        <v>45492</v>
      </c>
      <c r="I618" s="101">
        <v>2368985</v>
      </c>
      <c r="J618" s="101">
        <v>667</v>
      </c>
      <c r="K618" s="101">
        <v>2369652</v>
      </c>
      <c r="L618" s="101">
        <v>99.97</v>
      </c>
      <c r="M618" s="114">
        <f t="shared" si="75"/>
        <v>2.3696519999999999</v>
      </c>
      <c r="O618" s="215">
        <v>45492</v>
      </c>
      <c r="P618" s="101">
        <v>62359317</v>
      </c>
      <c r="Q618" s="101">
        <v>24840904</v>
      </c>
      <c r="R618" s="101">
        <v>87200221</v>
      </c>
      <c r="S618" s="101">
        <v>71.510000000000005</v>
      </c>
      <c r="T618" s="212">
        <f t="shared" si="65"/>
        <v>87.200220999999999</v>
      </c>
      <c r="W618" s="215">
        <v>45492</v>
      </c>
      <c r="X618" s="48">
        <v>7664</v>
      </c>
      <c r="Y618" s="104">
        <v>12000</v>
      </c>
      <c r="Z618" s="114">
        <f t="shared" si="69"/>
        <v>63.866666666666667</v>
      </c>
      <c r="AB618" s="215">
        <v>45492</v>
      </c>
      <c r="AC618" s="48">
        <v>939</v>
      </c>
      <c r="AD618" s="104">
        <v>12000</v>
      </c>
      <c r="AE618" s="114">
        <f t="shared" si="70"/>
        <v>7.8250000000000002</v>
      </c>
      <c r="AG618" s="215">
        <v>45492</v>
      </c>
      <c r="AH618" s="48">
        <v>8069</v>
      </c>
      <c r="AI618" s="104">
        <v>12000</v>
      </c>
      <c r="AJ618" s="71">
        <f t="shared" si="71"/>
        <v>67.24166666666666</v>
      </c>
      <c r="AL618" s="222">
        <v>45469</v>
      </c>
      <c r="AM618" s="101" t="s">
        <v>194</v>
      </c>
      <c r="AN618" s="101">
        <v>13722</v>
      </c>
      <c r="AP618" s="222">
        <v>45469</v>
      </c>
      <c r="AQ618" s="101" t="s">
        <v>199</v>
      </c>
      <c r="AR618" s="101">
        <v>155475</v>
      </c>
    </row>
    <row r="619" spans="1:48" hidden="1" x14ac:dyDescent="0.25">
      <c r="A619" s="215">
        <v>45493</v>
      </c>
      <c r="B619" s="101">
        <v>21637169</v>
      </c>
      <c r="C619" s="101">
        <v>305507</v>
      </c>
      <c r="D619" s="101">
        <v>21942676</v>
      </c>
      <c r="E619" s="101">
        <v>98.61</v>
      </c>
      <c r="F619" s="212">
        <f t="shared" si="76"/>
        <v>21.942675999999999</v>
      </c>
      <c r="H619" s="215">
        <v>45493</v>
      </c>
      <c r="I619" s="101">
        <v>3005615</v>
      </c>
      <c r="J619" s="101">
        <v>783</v>
      </c>
      <c r="K619" s="101">
        <v>3006398</v>
      </c>
      <c r="L619" s="101">
        <v>99.97</v>
      </c>
      <c r="M619" s="114">
        <f t="shared" si="75"/>
        <v>3.0063979999999999</v>
      </c>
      <c r="O619" s="215">
        <v>45493</v>
      </c>
      <c r="P619" s="101">
        <v>66863299</v>
      </c>
      <c r="Q619" s="101">
        <v>34267516</v>
      </c>
      <c r="R619" s="101">
        <v>101130815</v>
      </c>
      <c r="S619" s="101">
        <v>66.12</v>
      </c>
      <c r="T619" s="212">
        <f t="shared" si="65"/>
        <v>101.130815</v>
      </c>
      <c r="W619" s="215">
        <v>45493</v>
      </c>
      <c r="X619" s="48">
        <v>11000</v>
      </c>
      <c r="Y619" s="104">
        <v>12000</v>
      </c>
      <c r="Z619" s="114">
        <f t="shared" si="69"/>
        <v>91.666666666666671</v>
      </c>
      <c r="AB619" s="215">
        <v>45493</v>
      </c>
      <c r="AC619" s="48">
        <v>1000</v>
      </c>
      <c r="AD619" s="104">
        <v>12000</v>
      </c>
      <c r="AE619" s="114">
        <f t="shared" si="70"/>
        <v>8.3333333333333339</v>
      </c>
      <c r="AG619" s="215">
        <v>45493</v>
      </c>
      <c r="AH619" s="48">
        <v>11713</v>
      </c>
      <c r="AI619" s="104">
        <v>12000</v>
      </c>
      <c r="AJ619" s="71">
        <f t="shared" si="71"/>
        <v>97.608333333333334</v>
      </c>
    </row>
    <row r="620" spans="1:48" hidden="1" x14ac:dyDescent="0.25">
      <c r="A620" s="215">
        <v>45494</v>
      </c>
      <c r="B620" s="101">
        <v>21796864</v>
      </c>
      <c r="C620" s="101">
        <v>319688</v>
      </c>
      <c r="D620" s="101">
        <v>22116552</v>
      </c>
      <c r="E620" s="101">
        <v>98.55</v>
      </c>
      <c r="F620" s="212">
        <f t="shared" si="76"/>
        <v>22.116551999999999</v>
      </c>
      <c r="H620" s="215">
        <v>45494</v>
      </c>
      <c r="I620" s="101">
        <v>2154749</v>
      </c>
      <c r="J620" s="101">
        <v>226</v>
      </c>
      <c r="K620" s="101">
        <v>2154975</v>
      </c>
      <c r="L620" s="101">
        <v>99.99</v>
      </c>
      <c r="M620" s="114">
        <f t="shared" si="75"/>
        <v>2.1549749999999999</v>
      </c>
      <c r="O620" s="215">
        <v>45494</v>
      </c>
      <c r="P620" s="101">
        <v>48413710</v>
      </c>
      <c r="Q620" s="101">
        <v>18733868</v>
      </c>
      <c r="R620" s="101">
        <v>67147578</v>
      </c>
      <c r="S620" s="101">
        <v>72.099999999999994</v>
      </c>
      <c r="T620" s="212">
        <f t="shared" si="65"/>
        <v>67.147577999999996</v>
      </c>
      <c r="W620" s="215">
        <v>45494</v>
      </c>
      <c r="X620" s="48">
        <v>5859</v>
      </c>
      <c r="Y620" s="104">
        <v>12000</v>
      </c>
      <c r="Z620" s="114">
        <f t="shared" si="69"/>
        <v>48.825000000000003</v>
      </c>
      <c r="AB620" s="215">
        <v>45494</v>
      </c>
      <c r="AC620" s="48">
        <v>902</v>
      </c>
      <c r="AD620" s="104">
        <v>12000</v>
      </c>
      <c r="AE620" s="114">
        <f t="shared" si="70"/>
        <v>7.5166666666666666</v>
      </c>
      <c r="AG620" s="215">
        <v>45494</v>
      </c>
      <c r="AH620" s="48">
        <v>6345</v>
      </c>
      <c r="AI620" s="104">
        <v>12000</v>
      </c>
      <c r="AJ620" s="71">
        <f t="shared" si="71"/>
        <v>52.875</v>
      </c>
      <c r="AL620" s="222">
        <v>45470</v>
      </c>
      <c r="AM620" s="101" t="s">
        <v>189</v>
      </c>
      <c r="AN620" s="101">
        <v>234034</v>
      </c>
      <c r="AP620" s="222">
        <v>45470</v>
      </c>
      <c r="AQ620" s="101" t="s">
        <v>189</v>
      </c>
      <c r="AR620" s="101">
        <v>26230441</v>
      </c>
      <c r="AT620" s="222">
        <v>45470</v>
      </c>
      <c r="AU620" s="101" t="s">
        <v>193</v>
      </c>
      <c r="AV620" s="101">
        <v>30465</v>
      </c>
    </row>
    <row r="621" spans="1:48" hidden="1" x14ac:dyDescent="0.25">
      <c r="A621" s="215">
        <v>45495</v>
      </c>
      <c r="B621" s="101">
        <v>22363928</v>
      </c>
      <c r="C621" s="101">
        <v>307417</v>
      </c>
      <c r="D621" s="101">
        <v>22671345</v>
      </c>
      <c r="E621" s="101">
        <v>98.64</v>
      </c>
      <c r="F621" s="212">
        <f t="shared" si="76"/>
        <v>22.671344999999999</v>
      </c>
      <c r="H621" s="215">
        <v>45495</v>
      </c>
      <c r="I621" s="101">
        <v>6478325</v>
      </c>
      <c r="J621" s="101">
        <v>5636</v>
      </c>
      <c r="K621" s="101">
        <v>6483961</v>
      </c>
      <c r="L621" s="101">
        <v>99.91</v>
      </c>
      <c r="M621" s="114">
        <f t="shared" si="75"/>
        <v>6.4839609999999999</v>
      </c>
      <c r="O621" s="215">
        <v>45495</v>
      </c>
      <c r="P621" s="101">
        <v>75578771</v>
      </c>
      <c r="Q621" s="101">
        <v>31481974</v>
      </c>
      <c r="R621" s="101">
        <v>107060745</v>
      </c>
      <c r="S621" s="101">
        <v>70.59</v>
      </c>
      <c r="T621" s="212">
        <f t="shared" si="65"/>
        <v>107.060745</v>
      </c>
      <c r="W621" s="215">
        <v>45495</v>
      </c>
      <c r="X621" s="48">
        <v>10584</v>
      </c>
      <c r="Y621" s="104">
        <v>12000</v>
      </c>
      <c r="Z621" s="114">
        <f t="shared" si="69"/>
        <v>88.2</v>
      </c>
      <c r="AB621" s="215">
        <v>45495</v>
      </c>
      <c r="AC621" s="48">
        <v>1416</v>
      </c>
      <c r="AD621" s="104">
        <v>12000</v>
      </c>
      <c r="AE621" s="114">
        <f t="shared" si="70"/>
        <v>11.8</v>
      </c>
      <c r="AG621" s="215">
        <v>45495</v>
      </c>
      <c r="AH621" s="48">
        <v>11861</v>
      </c>
      <c r="AI621" s="104">
        <v>12000</v>
      </c>
      <c r="AJ621" s="71">
        <f t="shared" si="71"/>
        <v>98.841666666666669</v>
      </c>
      <c r="AL621" s="222">
        <v>45470</v>
      </c>
      <c r="AM621" s="101" t="s">
        <v>192</v>
      </c>
      <c r="AN621" s="101">
        <v>37948</v>
      </c>
      <c r="AP621" s="222">
        <v>45470</v>
      </c>
      <c r="AQ621" s="101" t="s">
        <v>191</v>
      </c>
      <c r="AR621" s="101">
        <v>2517970</v>
      </c>
      <c r="AT621" s="222">
        <v>45470</v>
      </c>
      <c r="AU621" s="101" t="s">
        <v>190</v>
      </c>
      <c r="AV621" s="101">
        <v>279</v>
      </c>
    </row>
    <row r="622" spans="1:48" hidden="1" x14ac:dyDescent="0.25">
      <c r="A622" s="215">
        <v>45496</v>
      </c>
      <c r="B622" s="101">
        <v>22206595</v>
      </c>
      <c r="C622" s="101">
        <v>338836</v>
      </c>
      <c r="D622" s="101">
        <v>22545431</v>
      </c>
      <c r="E622" s="101">
        <v>98.5</v>
      </c>
      <c r="F622" s="212">
        <f t="shared" si="76"/>
        <v>22.545431000000001</v>
      </c>
      <c r="H622" s="215">
        <v>45496</v>
      </c>
      <c r="I622" s="101">
        <v>9008819</v>
      </c>
      <c r="J622" s="101">
        <v>1395</v>
      </c>
      <c r="K622" s="101">
        <v>9010214</v>
      </c>
      <c r="L622" s="101">
        <v>99.98</v>
      </c>
      <c r="M622" s="114">
        <f t="shared" si="75"/>
        <v>9.0102139999999995</v>
      </c>
      <c r="O622" s="215">
        <v>45496</v>
      </c>
      <c r="P622" s="101">
        <v>78940765</v>
      </c>
      <c r="Q622" s="101">
        <v>28265968</v>
      </c>
      <c r="R622" s="101">
        <v>107206733</v>
      </c>
      <c r="S622" s="101">
        <v>73.63</v>
      </c>
      <c r="T622" s="212">
        <f t="shared" si="65"/>
        <v>107.206733</v>
      </c>
      <c r="W622" s="215">
        <v>45496</v>
      </c>
      <c r="X622" s="48">
        <v>11000</v>
      </c>
      <c r="Y622" s="104">
        <v>12000</v>
      </c>
      <c r="Z622" s="114">
        <f t="shared" si="69"/>
        <v>91.666666666666671</v>
      </c>
      <c r="AB622" s="215">
        <v>45496</v>
      </c>
      <c r="AC622" s="48">
        <v>1047</v>
      </c>
      <c r="AD622" s="104">
        <v>12000</v>
      </c>
      <c r="AE622" s="114">
        <f t="shared" si="70"/>
        <v>8.7249999999999996</v>
      </c>
      <c r="AG622" s="215">
        <v>45496</v>
      </c>
      <c r="AH622" s="48">
        <v>11628</v>
      </c>
      <c r="AI622" s="104">
        <v>12000</v>
      </c>
      <c r="AJ622" s="71">
        <f t="shared" si="71"/>
        <v>96.9</v>
      </c>
      <c r="AL622" s="222">
        <v>45470</v>
      </c>
      <c r="AM622" s="101" t="s">
        <v>191</v>
      </c>
      <c r="AN622" s="101">
        <v>17696</v>
      </c>
      <c r="AP622" s="222">
        <v>45470</v>
      </c>
      <c r="AQ622" s="101" t="s">
        <v>194</v>
      </c>
      <c r="AR622" s="101">
        <v>892650</v>
      </c>
    </row>
    <row r="623" spans="1:48" hidden="1" x14ac:dyDescent="0.25">
      <c r="A623" s="215">
        <v>45497</v>
      </c>
      <c r="B623" s="101">
        <v>21453748</v>
      </c>
      <c r="C623" s="101">
        <v>336741</v>
      </c>
      <c r="D623" s="101">
        <v>21790489</v>
      </c>
      <c r="E623" s="101">
        <v>98.45</v>
      </c>
      <c r="F623" s="212">
        <f t="shared" si="76"/>
        <v>21.790489000000001</v>
      </c>
      <c r="H623" s="215">
        <v>45497</v>
      </c>
      <c r="I623" s="101">
        <v>4370022</v>
      </c>
      <c r="J623" s="101">
        <v>5512</v>
      </c>
      <c r="K623" s="101">
        <v>4375534</v>
      </c>
      <c r="L623" s="101">
        <v>99.87</v>
      </c>
      <c r="M623" s="114">
        <f t="shared" si="75"/>
        <v>4.375534</v>
      </c>
      <c r="O623" s="215">
        <v>45497</v>
      </c>
      <c r="P623" s="101">
        <v>68343712</v>
      </c>
      <c r="Q623" s="101">
        <v>31743683</v>
      </c>
      <c r="R623" s="101">
        <v>100087395</v>
      </c>
      <c r="S623" s="101">
        <v>68.28</v>
      </c>
      <c r="T623" s="212">
        <f t="shared" si="65"/>
        <v>100.087395</v>
      </c>
      <c r="W623" s="215">
        <v>45497</v>
      </c>
      <c r="X623" s="48">
        <v>11000</v>
      </c>
      <c r="Y623" s="104">
        <v>12000</v>
      </c>
      <c r="Z623" s="114">
        <f t="shared" si="69"/>
        <v>91.666666666666671</v>
      </c>
      <c r="AB623" s="215">
        <v>45497</v>
      </c>
      <c r="AC623" s="48">
        <v>1024</v>
      </c>
      <c r="AD623" s="104">
        <v>12000</v>
      </c>
      <c r="AE623" s="114">
        <f t="shared" si="70"/>
        <v>8.5333333333333332</v>
      </c>
      <c r="AG623" s="215">
        <v>45497</v>
      </c>
      <c r="AH623" s="48">
        <v>11608</v>
      </c>
      <c r="AI623" s="104">
        <v>12000</v>
      </c>
      <c r="AJ623" s="71">
        <f t="shared" si="71"/>
        <v>96.733333333333334</v>
      </c>
      <c r="AL623" s="222">
        <v>45470</v>
      </c>
      <c r="AM623" s="101" t="s">
        <v>197</v>
      </c>
      <c r="AN623" s="101">
        <v>16736</v>
      </c>
      <c r="AP623" s="222">
        <v>45470</v>
      </c>
      <c r="AQ623" s="101" t="s">
        <v>206</v>
      </c>
      <c r="AR623" s="101">
        <v>221459</v>
      </c>
    </row>
    <row r="624" spans="1:48" hidden="1" x14ac:dyDescent="0.25">
      <c r="A624" s="215">
        <v>45498</v>
      </c>
      <c r="B624" s="101">
        <v>22284502</v>
      </c>
      <c r="C624" s="101">
        <v>313325</v>
      </c>
      <c r="D624" s="101">
        <v>22597827</v>
      </c>
      <c r="E624" s="101">
        <v>98.61</v>
      </c>
      <c r="F624" s="212">
        <f t="shared" si="76"/>
        <v>22.597826999999999</v>
      </c>
      <c r="H624" s="215">
        <v>45498</v>
      </c>
      <c r="I624" s="101">
        <v>2009601</v>
      </c>
      <c r="J624" s="101">
        <v>1286</v>
      </c>
      <c r="K624" s="101">
        <v>2010887</v>
      </c>
      <c r="L624" s="101">
        <v>99.94</v>
      </c>
      <c r="M624" s="114">
        <f t="shared" si="75"/>
        <v>2.0108869999999999</v>
      </c>
      <c r="O624" s="215">
        <v>45498</v>
      </c>
      <c r="P624" s="101">
        <v>66052396</v>
      </c>
      <c r="Q624" s="101">
        <v>33002569</v>
      </c>
      <c r="R624" s="101">
        <v>99054965</v>
      </c>
      <c r="S624" s="101">
        <v>66.680000000000007</v>
      </c>
      <c r="T624" s="212">
        <f t="shared" si="65"/>
        <v>99.054964999999996</v>
      </c>
      <c r="W624" s="215">
        <v>45498</v>
      </c>
      <c r="X624" s="48">
        <v>11000</v>
      </c>
      <c r="Y624" s="104">
        <v>12000</v>
      </c>
      <c r="Z624" s="114">
        <f t="shared" si="69"/>
        <v>91.666666666666671</v>
      </c>
      <c r="AB624" s="215">
        <v>45498</v>
      </c>
      <c r="AC624" s="48">
        <v>895</v>
      </c>
      <c r="AD624" s="104">
        <v>12000</v>
      </c>
      <c r="AE624" s="114">
        <f t="shared" si="70"/>
        <v>7.458333333333333</v>
      </c>
      <c r="AG624" s="215">
        <v>45498</v>
      </c>
      <c r="AH624" s="48">
        <v>11535</v>
      </c>
      <c r="AI624" s="104">
        <v>12000</v>
      </c>
      <c r="AJ624" s="71">
        <f t="shared" si="71"/>
        <v>96.125</v>
      </c>
      <c r="AL624" s="222">
        <v>45470</v>
      </c>
      <c r="AM624" s="101" t="s">
        <v>194</v>
      </c>
      <c r="AN624" s="101">
        <v>13071</v>
      </c>
      <c r="AP624" s="222">
        <v>45470</v>
      </c>
      <c r="AQ624" s="101" t="s">
        <v>192</v>
      </c>
      <c r="AR624" s="101">
        <v>191739</v>
      </c>
    </row>
    <row r="625" spans="1:48" hidden="1" x14ac:dyDescent="0.25">
      <c r="A625" s="215">
        <v>45499</v>
      </c>
      <c r="B625" s="101">
        <v>22359671</v>
      </c>
      <c r="C625" s="101">
        <v>337629</v>
      </c>
      <c r="D625" s="101">
        <v>22697300</v>
      </c>
      <c r="E625" s="101">
        <v>98.51</v>
      </c>
      <c r="F625" s="212">
        <f t="shared" si="76"/>
        <v>22.697299999999998</v>
      </c>
      <c r="H625" s="215">
        <v>45499</v>
      </c>
      <c r="I625" s="101">
        <v>2176903</v>
      </c>
      <c r="J625" s="101">
        <v>2964</v>
      </c>
      <c r="K625" s="101">
        <v>2179867</v>
      </c>
      <c r="L625" s="101">
        <v>99.86</v>
      </c>
      <c r="M625" s="114">
        <f t="shared" si="75"/>
        <v>2.1798670000000002</v>
      </c>
      <c r="O625" s="215">
        <v>45499</v>
      </c>
      <c r="P625" s="101">
        <v>65225791</v>
      </c>
      <c r="Q625" s="101">
        <v>26153885</v>
      </c>
      <c r="R625" s="101">
        <v>91379676</v>
      </c>
      <c r="S625" s="101">
        <v>71.38</v>
      </c>
      <c r="T625" s="212">
        <f t="shared" si="65"/>
        <v>91.379676000000003</v>
      </c>
      <c r="W625" s="215">
        <v>45499</v>
      </c>
      <c r="X625">
        <v>11000</v>
      </c>
      <c r="Y625" s="104">
        <v>12000</v>
      </c>
      <c r="Z625" s="114">
        <f t="shared" si="69"/>
        <v>91.666666666666671</v>
      </c>
      <c r="AB625" s="215">
        <v>45499</v>
      </c>
      <c r="AC625">
        <v>1372</v>
      </c>
      <c r="AD625" s="104">
        <v>12000</v>
      </c>
      <c r="AE625" s="114">
        <f t="shared" si="70"/>
        <v>11.433333333333334</v>
      </c>
      <c r="AG625" s="215">
        <v>45499</v>
      </c>
      <c r="AH625" s="177">
        <v>12000</v>
      </c>
      <c r="AI625" s="104">
        <v>12000</v>
      </c>
      <c r="AJ625" s="71">
        <f t="shared" si="71"/>
        <v>100</v>
      </c>
    </row>
    <row r="626" spans="1:48" hidden="1" x14ac:dyDescent="0.25">
      <c r="A626" s="215">
        <v>45500</v>
      </c>
      <c r="B626" s="101">
        <v>21635077</v>
      </c>
      <c r="C626" s="101">
        <v>324157</v>
      </c>
      <c r="D626" s="101">
        <v>21959234</v>
      </c>
      <c r="E626" s="101">
        <v>98.52</v>
      </c>
      <c r="F626" s="212">
        <f t="shared" si="76"/>
        <v>21.959233999999999</v>
      </c>
      <c r="H626" s="215">
        <v>45500</v>
      </c>
      <c r="I626" s="101">
        <v>2139564</v>
      </c>
      <c r="J626" s="101">
        <v>496</v>
      </c>
      <c r="K626" s="101">
        <v>2140060</v>
      </c>
      <c r="L626" s="101">
        <v>99.98</v>
      </c>
      <c r="M626" s="114">
        <f t="shared" si="75"/>
        <v>2.1400600000000001</v>
      </c>
      <c r="O626" s="215">
        <v>45500</v>
      </c>
      <c r="P626" s="101">
        <v>70358113</v>
      </c>
      <c r="Q626" s="101">
        <v>35158482</v>
      </c>
      <c r="R626" s="101">
        <v>105516595</v>
      </c>
      <c r="S626" s="101">
        <v>66.680000000000007</v>
      </c>
      <c r="T626" s="212">
        <f t="shared" si="65"/>
        <v>105.516595</v>
      </c>
      <c r="W626" s="215">
        <v>45500</v>
      </c>
      <c r="X626">
        <v>9110</v>
      </c>
      <c r="Y626" s="104">
        <v>12000</v>
      </c>
      <c r="Z626" s="114">
        <f t="shared" si="69"/>
        <v>75.916666666666671</v>
      </c>
      <c r="AB626" s="215">
        <v>45500</v>
      </c>
      <c r="AC626">
        <v>1031</v>
      </c>
      <c r="AD626" s="104">
        <v>12000</v>
      </c>
      <c r="AE626" s="114">
        <f t="shared" si="70"/>
        <v>8.5916666666666668</v>
      </c>
      <c r="AG626" s="215">
        <v>45500</v>
      </c>
      <c r="AH626">
        <v>10056</v>
      </c>
      <c r="AI626" s="104">
        <v>12000</v>
      </c>
      <c r="AJ626" s="71">
        <f t="shared" si="71"/>
        <v>83.8</v>
      </c>
      <c r="AL626" s="222">
        <v>45472</v>
      </c>
      <c r="AM626" s="101" t="s">
        <v>189</v>
      </c>
      <c r="AN626" s="101">
        <v>247406</v>
      </c>
      <c r="AP626" s="222">
        <v>45472</v>
      </c>
      <c r="AQ626" s="101" t="s">
        <v>189</v>
      </c>
      <c r="AR626" s="101">
        <v>32099730</v>
      </c>
      <c r="AT626" s="222">
        <v>45472</v>
      </c>
      <c r="AU626" s="101" t="s">
        <v>190</v>
      </c>
      <c r="AV626" s="101">
        <v>19660</v>
      </c>
    </row>
    <row r="627" spans="1:48" hidden="1" x14ac:dyDescent="0.25">
      <c r="A627" s="215">
        <v>45501</v>
      </c>
      <c r="B627" s="101">
        <v>22048733</v>
      </c>
      <c r="C627" s="101">
        <v>312727</v>
      </c>
      <c r="D627" s="101">
        <v>22361460</v>
      </c>
      <c r="E627" s="101">
        <v>98.6</v>
      </c>
      <c r="F627" s="212">
        <f t="shared" si="76"/>
        <v>22.361460000000001</v>
      </c>
      <c r="H627" s="215">
        <v>45501</v>
      </c>
      <c r="I627" s="101">
        <v>1972555</v>
      </c>
      <c r="J627" s="101">
        <v>545</v>
      </c>
      <c r="K627" s="101">
        <v>1973100</v>
      </c>
      <c r="L627" s="101">
        <v>99.97</v>
      </c>
      <c r="M627" s="114">
        <f t="shared" si="75"/>
        <v>1.9731000000000001</v>
      </c>
      <c r="O627" s="215">
        <v>45501</v>
      </c>
      <c r="P627" s="101">
        <v>44547704</v>
      </c>
      <c r="Q627" s="101">
        <v>14713035</v>
      </c>
      <c r="R627" s="101">
        <v>59260739</v>
      </c>
      <c r="S627" s="101">
        <v>75.17</v>
      </c>
      <c r="T627" s="212">
        <f t="shared" si="65"/>
        <v>59.260739000000001</v>
      </c>
      <c r="W627" s="215">
        <v>45501</v>
      </c>
      <c r="X627">
        <v>5309</v>
      </c>
      <c r="Y627" s="104">
        <v>12000</v>
      </c>
      <c r="Z627" s="114">
        <f t="shared" si="69"/>
        <v>44.241666666666667</v>
      </c>
      <c r="AB627" s="215">
        <v>45501</v>
      </c>
      <c r="AC627">
        <v>879</v>
      </c>
      <c r="AD627" s="104">
        <v>12000</v>
      </c>
      <c r="AE627" s="114">
        <f t="shared" si="70"/>
        <v>7.3250000000000002</v>
      </c>
      <c r="AG627" s="215">
        <v>45501</v>
      </c>
      <c r="AH627">
        <v>5697</v>
      </c>
      <c r="AI627" s="104">
        <v>12000</v>
      </c>
      <c r="AJ627" s="71">
        <f t="shared" si="71"/>
        <v>47.475000000000001</v>
      </c>
      <c r="AL627" s="222">
        <v>45472</v>
      </c>
      <c r="AM627" s="101" t="s">
        <v>192</v>
      </c>
      <c r="AN627" s="101">
        <v>39624</v>
      </c>
      <c r="AP627" s="222">
        <v>45472</v>
      </c>
      <c r="AQ627" s="101" t="s">
        <v>191</v>
      </c>
      <c r="AR627" s="101">
        <v>3786992</v>
      </c>
      <c r="AT627" s="222">
        <v>45472</v>
      </c>
      <c r="AU627" s="101" t="s">
        <v>193</v>
      </c>
      <c r="AV627" s="101">
        <v>13389</v>
      </c>
    </row>
    <row r="628" spans="1:48" hidden="1" x14ac:dyDescent="0.25">
      <c r="A628" s="215">
        <v>45502</v>
      </c>
      <c r="B628" s="101">
        <v>20259119</v>
      </c>
      <c r="C628" s="101">
        <v>303000</v>
      </c>
      <c r="D628" s="101">
        <v>20562119</v>
      </c>
      <c r="E628" s="101">
        <v>98.53</v>
      </c>
      <c r="F628" s="212">
        <f t="shared" si="76"/>
        <v>20.562118999999999</v>
      </c>
      <c r="H628" s="215">
        <v>45502</v>
      </c>
      <c r="I628" s="101">
        <v>2166802</v>
      </c>
      <c r="J628" s="101">
        <v>396</v>
      </c>
      <c r="K628" s="101">
        <v>2167198</v>
      </c>
      <c r="L628" s="101">
        <v>99.98</v>
      </c>
      <c r="M628" s="114">
        <f t="shared" si="75"/>
        <v>2.167198</v>
      </c>
      <c r="O628" s="215">
        <v>45502</v>
      </c>
      <c r="P628" s="101">
        <v>61835665</v>
      </c>
      <c r="Q628" s="101">
        <v>29265813</v>
      </c>
      <c r="R628" s="101">
        <v>91101478</v>
      </c>
      <c r="S628" s="101">
        <v>67.88</v>
      </c>
      <c r="T628" s="212">
        <f t="shared" si="65"/>
        <v>91.101478</v>
      </c>
      <c r="W628" s="215">
        <v>45502</v>
      </c>
      <c r="X628">
        <v>9309</v>
      </c>
      <c r="Y628" s="104">
        <v>12000</v>
      </c>
      <c r="Z628" s="114">
        <f t="shared" si="69"/>
        <v>77.575000000000003</v>
      </c>
      <c r="AB628" s="215">
        <v>45502</v>
      </c>
      <c r="AC628">
        <v>1054</v>
      </c>
      <c r="AD628" s="104">
        <v>12000</v>
      </c>
      <c r="AE628" s="114">
        <f t="shared" si="70"/>
        <v>8.7833333333333332</v>
      </c>
      <c r="AG628" s="215">
        <v>45502</v>
      </c>
      <c r="AH628">
        <v>9968</v>
      </c>
      <c r="AI628" s="104">
        <v>12000</v>
      </c>
      <c r="AJ628" s="71">
        <f t="shared" si="71"/>
        <v>83.066666666666663</v>
      </c>
    </row>
    <row r="629" spans="1:48" hidden="1" x14ac:dyDescent="0.25">
      <c r="A629" s="215">
        <v>45503</v>
      </c>
      <c r="B629" s="101">
        <v>23669520</v>
      </c>
      <c r="C629" s="101">
        <v>458101</v>
      </c>
      <c r="D629" s="101">
        <v>24127621</v>
      </c>
      <c r="E629" s="101">
        <v>98.1</v>
      </c>
      <c r="F629" s="212">
        <f t="shared" si="76"/>
        <v>24.127621000000001</v>
      </c>
      <c r="H629" s="215">
        <v>45503</v>
      </c>
      <c r="I629" s="101">
        <v>2088637</v>
      </c>
      <c r="J629" s="101">
        <v>1513</v>
      </c>
      <c r="K629" s="101">
        <v>2090150</v>
      </c>
      <c r="L629" s="101">
        <v>99.93</v>
      </c>
      <c r="M629" s="114">
        <f t="shared" si="75"/>
        <v>2.09015</v>
      </c>
      <c r="O629" s="215">
        <v>45503</v>
      </c>
      <c r="P629" s="101">
        <v>63327004</v>
      </c>
      <c r="Q629" s="101">
        <v>25329217</v>
      </c>
      <c r="R629" s="101">
        <v>88656221</v>
      </c>
      <c r="S629" s="101">
        <v>71.430000000000007</v>
      </c>
      <c r="T629" s="212">
        <f t="shared" si="65"/>
        <v>88.656221000000002</v>
      </c>
      <c r="W629" s="215">
        <v>45503</v>
      </c>
      <c r="X629">
        <v>9819</v>
      </c>
      <c r="Y629" s="104">
        <v>12000</v>
      </c>
      <c r="Z629" s="114">
        <f t="shared" si="69"/>
        <v>81.825000000000003</v>
      </c>
      <c r="AB629" s="215">
        <v>45503</v>
      </c>
      <c r="AC629">
        <v>1176</v>
      </c>
      <c r="AD629" s="104">
        <v>12000</v>
      </c>
      <c r="AE629" s="114">
        <f t="shared" si="70"/>
        <v>9.8000000000000007</v>
      </c>
      <c r="AG629" s="215">
        <v>45503</v>
      </c>
      <c r="AH629">
        <v>10421</v>
      </c>
      <c r="AI629" s="104">
        <v>12000</v>
      </c>
      <c r="AJ629" s="71">
        <f t="shared" si="71"/>
        <v>86.841666666666669</v>
      </c>
    </row>
    <row r="630" spans="1:48" hidden="1" x14ac:dyDescent="0.25">
      <c r="A630" s="215">
        <v>45504</v>
      </c>
      <c r="B630" s="101">
        <v>21873133</v>
      </c>
      <c r="C630" s="101">
        <v>343245</v>
      </c>
      <c r="D630" s="101">
        <v>22216378</v>
      </c>
      <c r="E630" s="101">
        <v>98.45</v>
      </c>
      <c r="F630" s="212">
        <f t="shared" si="76"/>
        <v>22.216377999999999</v>
      </c>
      <c r="H630" s="215">
        <v>45504</v>
      </c>
      <c r="I630" s="101">
        <v>1939816</v>
      </c>
      <c r="J630" s="101">
        <v>2228</v>
      </c>
      <c r="K630" s="101">
        <v>1942044</v>
      </c>
      <c r="L630" s="101">
        <v>99.89</v>
      </c>
      <c r="M630" s="114">
        <f t="shared" si="75"/>
        <v>1.9420440000000001</v>
      </c>
      <c r="O630" s="215">
        <v>45504</v>
      </c>
      <c r="P630" s="101">
        <v>67353628</v>
      </c>
      <c r="Q630" s="101">
        <v>31225768</v>
      </c>
      <c r="R630" s="101">
        <v>98579396</v>
      </c>
      <c r="S630" s="101">
        <v>68.319999999999993</v>
      </c>
      <c r="T630" s="212">
        <f t="shared" si="65"/>
        <v>98.579396000000003</v>
      </c>
      <c r="W630" s="215">
        <v>45504</v>
      </c>
      <c r="X630">
        <v>11000</v>
      </c>
      <c r="Y630" s="104">
        <v>12000</v>
      </c>
      <c r="Z630" s="114">
        <f t="shared" si="69"/>
        <v>91.666666666666671</v>
      </c>
      <c r="AB630" s="215">
        <v>45504</v>
      </c>
      <c r="AC630">
        <v>1563</v>
      </c>
      <c r="AD630" s="104">
        <v>12000</v>
      </c>
      <c r="AE630" s="114">
        <f t="shared" si="70"/>
        <v>13.025</v>
      </c>
      <c r="AG630" s="215">
        <v>45504</v>
      </c>
      <c r="AH630">
        <v>12000</v>
      </c>
      <c r="AI630" s="104">
        <v>12000</v>
      </c>
      <c r="AJ630" s="71">
        <f t="shared" si="71"/>
        <v>100</v>
      </c>
      <c r="AL630" s="222">
        <v>45505</v>
      </c>
      <c r="AM630" s="101" t="s">
        <v>189</v>
      </c>
      <c r="AN630" s="101">
        <v>222544</v>
      </c>
      <c r="AP630" s="222">
        <v>45505</v>
      </c>
      <c r="AQ630" s="101" t="s">
        <v>189</v>
      </c>
      <c r="AR630" s="101">
        <v>21503077</v>
      </c>
    </row>
    <row r="631" spans="1:48" hidden="1" x14ac:dyDescent="0.25">
      <c r="A631" s="215">
        <v>45505</v>
      </c>
      <c r="B631" s="101">
        <v>22023703</v>
      </c>
      <c r="C631" s="101">
        <v>328723</v>
      </c>
      <c r="D631" s="101">
        <v>22352426</v>
      </c>
      <c r="E631" s="101">
        <v>98.53</v>
      </c>
      <c r="F631" s="212">
        <f t="shared" si="76"/>
        <v>22.352426000000001</v>
      </c>
      <c r="H631" s="215">
        <v>45505</v>
      </c>
      <c r="I631" s="101">
        <v>1545409</v>
      </c>
      <c r="J631" s="101">
        <v>1371</v>
      </c>
      <c r="K631" s="101">
        <v>1546780</v>
      </c>
      <c r="L631" s="101">
        <v>99.91</v>
      </c>
      <c r="M631" s="114">
        <f t="shared" si="75"/>
        <v>1.54678</v>
      </c>
      <c r="O631" s="215">
        <v>45505</v>
      </c>
      <c r="P631" s="101">
        <v>65326023</v>
      </c>
      <c r="Q631" s="101">
        <v>24903695</v>
      </c>
      <c r="R631" s="101">
        <v>90229718</v>
      </c>
      <c r="S631" s="101">
        <v>72.400000000000006</v>
      </c>
      <c r="T631" s="212">
        <f t="shared" si="65"/>
        <v>90.229718000000005</v>
      </c>
      <c r="W631" s="215">
        <v>45505</v>
      </c>
      <c r="X631">
        <v>11000</v>
      </c>
      <c r="Y631" s="104">
        <v>12000</v>
      </c>
      <c r="Z631" s="114">
        <f t="shared" si="69"/>
        <v>91.666666666666671</v>
      </c>
      <c r="AB631" s="215">
        <v>45505</v>
      </c>
      <c r="AC631">
        <v>1184</v>
      </c>
      <c r="AD631" s="104">
        <v>12000</v>
      </c>
      <c r="AE631" s="114">
        <f t="shared" si="70"/>
        <v>9.8666666666666671</v>
      </c>
      <c r="AG631" s="215">
        <v>45505</v>
      </c>
      <c r="AH631">
        <v>11619</v>
      </c>
      <c r="AI631" s="104">
        <v>12000</v>
      </c>
      <c r="AJ631" s="71">
        <f t="shared" si="71"/>
        <v>96.825000000000003</v>
      </c>
      <c r="AL631" s="222">
        <v>45505</v>
      </c>
      <c r="AM631" s="101" t="s">
        <v>192</v>
      </c>
      <c r="AN631" s="101">
        <v>30786</v>
      </c>
      <c r="AP631" s="222">
        <v>45505</v>
      </c>
      <c r="AQ631" s="101" t="s">
        <v>191</v>
      </c>
      <c r="AR631" s="101">
        <v>1770232</v>
      </c>
      <c r="AT631" s="222">
        <v>45505</v>
      </c>
      <c r="AU631" s="101" t="s">
        <v>193</v>
      </c>
      <c r="AV631" s="101">
        <v>1093</v>
      </c>
    </row>
    <row r="632" spans="1:48" hidden="1" x14ac:dyDescent="0.25">
      <c r="A632" s="215">
        <v>45506</v>
      </c>
      <c r="B632" s="101">
        <v>21873133</v>
      </c>
      <c r="C632" s="101">
        <v>343245</v>
      </c>
      <c r="D632" s="101">
        <v>22216378</v>
      </c>
      <c r="E632" s="101">
        <v>98.45</v>
      </c>
      <c r="F632" s="212">
        <f t="shared" si="76"/>
        <v>22.216377999999999</v>
      </c>
      <c r="H632" s="215">
        <v>45506</v>
      </c>
      <c r="I632" s="101">
        <v>1939816</v>
      </c>
      <c r="J632" s="101">
        <v>2228</v>
      </c>
      <c r="K632" s="101">
        <v>1942044</v>
      </c>
      <c r="L632" s="101">
        <v>99.89</v>
      </c>
      <c r="M632" s="114">
        <f t="shared" si="75"/>
        <v>1.9420440000000001</v>
      </c>
      <c r="O632" s="215">
        <v>45506</v>
      </c>
      <c r="P632" s="101">
        <v>67353628</v>
      </c>
      <c r="Q632" s="101">
        <v>31225768</v>
      </c>
      <c r="R632" s="101">
        <v>98579396</v>
      </c>
      <c r="S632" s="101">
        <v>68.319999999999993</v>
      </c>
      <c r="T632" s="212">
        <f t="shared" si="65"/>
        <v>98.579396000000003</v>
      </c>
      <c r="W632" s="215">
        <v>45506</v>
      </c>
      <c r="X632">
        <v>8774</v>
      </c>
      <c r="Y632" s="104">
        <v>12000</v>
      </c>
      <c r="Z632" s="114">
        <f t="shared" si="69"/>
        <v>73.11666666666666</v>
      </c>
      <c r="AB632" s="215">
        <v>45506</v>
      </c>
      <c r="AC632">
        <v>1146</v>
      </c>
      <c r="AD632" s="104">
        <v>12000</v>
      </c>
      <c r="AE632" s="114">
        <f t="shared" si="70"/>
        <v>9.5500000000000007</v>
      </c>
      <c r="AG632" s="215">
        <v>45506</v>
      </c>
      <c r="AH632">
        <v>9920</v>
      </c>
      <c r="AI632" s="104">
        <v>12000</v>
      </c>
      <c r="AJ632" s="71">
        <f t="shared" si="71"/>
        <v>82.666666666666671</v>
      </c>
      <c r="AL632" s="222">
        <v>45505</v>
      </c>
      <c r="AM632" s="101" t="s">
        <v>191</v>
      </c>
      <c r="AN632" s="101">
        <v>21391</v>
      </c>
      <c r="AP632" s="222">
        <v>45505</v>
      </c>
      <c r="AQ632" s="101" t="s">
        <v>194</v>
      </c>
      <c r="AR632" s="101">
        <v>998206</v>
      </c>
      <c r="AT632" s="222">
        <v>45505</v>
      </c>
      <c r="AU632" s="101" t="s">
        <v>190</v>
      </c>
      <c r="AV632" s="101">
        <v>278</v>
      </c>
    </row>
    <row r="633" spans="1:48" hidden="1" x14ac:dyDescent="0.25">
      <c r="A633" s="215">
        <v>45507</v>
      </c>
      <c r="B633" s="101">
        <v>20632191</v>
      </c>
      <c r="C633" s="101">
        <v>319338</v>
      </c>
      <c r="D633" s="101">
        <v>20951529</v>
      </c>
      <c r="E633" s="101">
        <v>98.48</v>
      </c>
      <c r="F633" s="212">
        <f t="shared" si="76"/>
        <v>20.951529000000001</v>
      </c>
      <c r="H633" s="215">
        <v>45507</v>
      </c>
      <c r="I633" s="101">
        <v>1391517</v>
      </c>
      <c r="J633" s="101">
        <v>2196</v>
      </c>
      <c r="K633" s="101">
        <v>1393713</v>
      </c>
      <c r="L633" s="101">
        <v>99.84</v>
      </c>
      <c r="M633" s="114">
        <f t="shared" si="75"/>
        <v>1.393713</v>
      </c>
      <c r="O633" s="215">
        <v>45507</v>
      </c>
      <c r="P633" s="101">
        <v>61438548</v>
      </c>
      <c r="Q633" s="101">
        <v>30270054</v>
      </c>
      <c r="R633" s="101">
        <v>91708602</v>
      </c>
      <c r="S633" s="101">
        <v>66.989999999999995</v>
      </c>
      <c r="T633" s="212">
        <f t="shared" ref="T633:T641" si="77">R633/1000000</f>
        <v>91.708601999999999</v>
      </c>
      <c r="W633" s="215">
        <v>45507</v>
      </c>
      <c r="X633">
        <v>9258</v>
      </c>
      <c r="Y633" s="104">
        <v>12000</v>
      </c>
      <c r="Z633" s="114">
        <f t="shared" si="69"/>
        <v>77.150000000000006</v>
      </c>
      <c r="AB633" s="215">
        <v>45507</v>
      </c>
      <c r="AC633">
        <v>1032</v>
      </c>
      <c r="AD633" s="104">
        <v>12000</v>
      </c>
      <c r="AE633" s="114">
        <f t="shared" si="70"/>
        <v>8.6</v>
      </c>
      <c r="AG633" s="215">
        <v>45507</v>
      </c>
      <c r="AH633">
        <v>10263</v>
      </c>
      <c r="AI633" s="104">
        <v>12000</v>
      </c>
      <c r="AJ633" s="71">
        <f t="shared" si="71"/>
        <v>85.525000000000006</v>
      </c>
      <c r="AL633" s="222">
        <v>45505</v>
      </c>
      <c r="AM633" s="101" t="s">
        <v>197</v>
      </c>
      <c r="AN633" s="101">
        <v>13877</v>
      </c>
      <c r="AP633" s="222">
        <v>45505</v>
      </c>
      <c r="AQ633" s="101" t="s">
        <v>208</v>
      </c>
      <c r="AR633" s="101">
        <v>108730</v>
      </c>
    </row>
    <row r="634" spans="1:48" hidden="1" x14ac:dyDescent="0.25">
      <c r="A634" s="215">
        <v>45508</v>
      </c>
      <c r="B634" s="101">
        <v>21255108</v>
      </c>
      <c r="C634" s="101">
        <v>332567</v>
      </c>
      <c r="D634" s="101">
        <v>21587675</v>
      </c>
      <c r="E634" s="101">
        <v>98.46</v>
      </c>
      <c r="F634" s="212">
        <f t="shared" si="76"/>
        <v>21.587675000000001</v>
      </c>
      <c r="H634" s="215">
        <v>45508</v>
      </c>
      <c r="I634" s="101">
        <v>1496312</v>
      </c>
      <c r="J634" s="101">
        <v>578</v>
      </c>
      <c r="K634" s="101">
        <v>1496890</v>
      </c>
      <c r="L634" s="101">
        <v>99.96</v>
      </c>
      <c r="M634" s="114">
        <f t="shared" si="75"/>
        <v>1.4968900000000001</v>
      </c>
      <c r="O634" s="215">
        <v>45508</v>
      </c>
      <c r="P634" s="101">
        <v>40414721</v>
      </c>
      <c r="Q634" s="101">
        <v>11208803</v>
      </c>
      <c r="R634" s="101">
        <v>51623524</v>
      </c>
      <c r="S634" s="101">
        <v>78.290000000000006</v>
      </c>
      <c r="T634" s="212">
        <f t="shared" si="77"/>
        <v>51.623524000000003</v>
      </c>
      <c r="W634" s="215">
        <v>45508</v>
      </c>
      <c r="X634">
        <v>8022</v>
      </c>
      <c r="Y634" s="104">
        <v>12000</v>
      </c>
      <c r="Z634" s="114">
        <f t="shared" si="69"/>
        <v>66.849999999999994</v>
      </c>
      <c r="AB634" s="215">
        <v>45508</v>
      </c>
      <c r="AC634">
        <v>871</v>
      </c>
      <c r="AD634" s="104">
        <v>12000</v>
      </c>
      <c r="AE634" s="114">
        <f t="shared" si="70"/>
        <v>7.2583333333333337</v>
      </c>
      <c r="AG634" s="215">
        <v>45508</v>
      </c>
      <c r="AH634">
        <v>8517</v>
      </c>
      <c r="AI634" s="104">
        <v>12000</v>
      </c>
      <c r="AJ634" s="71">
        <f t="shared" si="71"/>
        <v>70.974999999999994</v>
      </c>
      <c r="AL634" s="222">
        <v>45506</v>
      </c>
      <c r="AM634" s="101" t="s">
        <v>194</v>
      </c>
      <c r="AN634" s="101">
        <v>13487</v>
      </c>
      <c r="AP634" s="222">
        <v>45506</v>
      </c>
      <c r="AQ634" s="101" t="s">
        <v>192</v>
      </c>
      <c r="AR634" s="101">
        <v>84082</v>
      </c>
    </row>
    <row r="635" spans="1:48" x14ac:dyDescent="0.25">
      <c r="A635" s="224">
        <v>45509</v>
      </c>
      <c r="B635" s="173">
        <v>21997240</v>
      </c>
      <c r="C635" s="173">
        <v>298289</v>
      </c>
      <c r="D635" s="173">
        <v>22295529</v>
      </c>
      <c r="E635" s="173">
        <v>98.66</v>
      </c>
      <c r="F635" s="223">
        <f t="shared" si="76"/>
        <v>22.295528999999998</v>
      </c>
      <c r="H635" s="224">
        <v>45509</v>
      </c>
      <c r="I635" s="173">
        <v>1990515</v>
      </c>
      <c r="J635" s="173">
        <v>301</v>
      </c>
      <c r="K635" s="173">
        <v>1990816</v>
      </c>
      <c r="L635" s="173">
        <v>99.98</v>
      </c>
      <c r="M635" s="225">
        <f t="shared" si="75"/>
        <v>1.9908159999999999</v>
      </c>
      <c r="O635" s="215">
        <v>45509</v>
      </c>
      <c r="P635" s="101">
        <v>64467941</v>
      </c>
      <c r="Q635" s="101">
        <v>27398552</v>
      </c>
      <c r="R635" s="101">
        <v>91866493</v>
      </c>
      <c r="S635" s="101">
        <v>70.180000000000007</v>
      </c>
      <c r="T635" s="212">
        <f t="shared" si="77"/>
        <v>91.866493000000006</v>
      </c>
      <c r="W635" s="215">
        <v>45509</v>
      </c>
      <c r="X635">
        <v>8600</v>
      </c>
      <c r="Y635" s="104">
        <v>12000</v>
      </c>
      <c r="Z635" s="114">
        <f t="shared" si="69"/>
        <v>71.666666666666671</v>
      </c>
      <c r="AB635" s="215">
        <v>45509</v>
      </c>
      <c r="AC635">
        <v>1051</v>
      </c>
      <c r="AD635" s="104">
        <v>12000</v>
      </c>
      <c r="AE635" s="114">
        <f t="shared" si="70"/>
        <v>8.7583333333333329</v>
      </c>
      <c r="AG635" s="215">
        <v>45509</v>
      </c>
      <c r="AH635">
        <v>9127</v>
      </c>
      <c r="AI635" s="104">
        <v>12000</v>
      </c>
      <c r="AJ635" s="71">
        <f t="shared" si="71"/>
        <v>76.058333333333337</v>
      </c>
    </row>
    <row r="636" spans="1:48" x14ac:dyDescent="0.25">
      <c r="A636" s="215">
        <v>45510</v>
      </c>
      <c r="B636" s="104">
        <v>21706805</v>
      </c>
      <c r="C636" s="104">
        <v>328007</v>
      </c>
      <c r="D636" s="104">
        <v>22034812</v>
      </c>
      <c r="E636" s="104">
        <v>98.51</v>
      </c>
      <c r="F636" s="212">
        <f t="shared" si="76"/>
        <v>22.034811999999999</v>
      </c>
      <c r="H636" s="215">
        <v>45510</v>
      </c>
      <c r="I636" s="104">
        <v>1536998</v>
      </c>
      <c r="J636" s="104">
        <v>321</v>
      </c>
      <c r="K636" s="104">
        <v>1537319</v>
      </c>
      <c r="L636" s="104">
        <v>99.98</v>
      </c>
      <c r="M636" s="114">
        <f t="shared" si="75"/>
        <v>1.5373190000000001</v>
      </c>
      <c r="O636" s="224">
        <v>45510</v>
      </c>
      <c r="P636" s="173">
        <v>64155070</v>
      </c>
      <c r="Q636" s="173">
        <v>26030820</v>
      </c>
      <c r="R636" s="173">
        <v>90185890</v>
      </c>
      <c r="S636" s="173">
        <v>71.14</v>
      </c>
      <c r="T636" s="223">
        <f t="shared" si="77"/>
        <v>90.185890000000001</v>
      </c>
      <c r="W636" s="215">
        <v>45510</v>
      </c>
      <c r="X636">
        <v>9477</v>
      </c>
      <c r="Y636" s="104">
        <v>12000</v>
      </c>
      <c r="Z636" s="114">
        <f t="shared" si="69"/>
        <v>78.974999999999994</v>
      </c>
      <c r="AB636" s="215">
        <v>45510</v>
      </c>
      <c r="AC636">
        <v>999</v>
      </c>
      <c r="AD636" s="104">
        <v>12000</v>
      </c>
      <c r="AE636" s="114">
        <f t="shared" si="70"/>
        <v>8.3249999999999993</v>
      </c>
      <c r="AG636" s="215">
        <v>45510</v>
      </c>
      <c r="AH636">
        <v>10107</v>
      </c>
      <c r="AI636" s="104">
        <v>12000</v>
      </c>
      <c r="AJ636" s="71">
        <f t="shared" si="71"/>
        <v>84.224999999999994</v>
      </c>
      <c r="AL636" s="222">
        <v>45508</v>
      </c>
      <c r="AM636" s="101" t="s">
        <v>189</v>
      </c>
      <c r="AN636" s="101">
        <v>209222</v>
      </c>
      <c r="AP636" s="222">
        <v>45508</v>
      </c>
      <c r="AQ636" s="101" t="s">
        <v>189</v>
      </c>
      <c r="AR636" s="101">
        <v>9179769</v>
      </c>
      <c r="AT636" s="222">
        <v>45508</v>
      </c>
      <c r="AU636" s="101" t="s">
        <v>193</v>
      </c>
      <c r="AV636" s="101">
        <v>496</v>
      </c>
    </row>
    <row r="637" spans="1:48" x14ac:dyDescent="0.25">
      <c r="A637" s="215">
        <v>45511</v>
      </c>
      <c r="B637" s="104">
        <v>21688056</v>
      </c>
      <c r="C637" s="104">
        <v>348885</v>
      </c>
      <c r="D637" s="104">
        <v>22036941</v>
      </c>
      <c r="E637" s="104">
        <v>98.42</v>
      </c>
      <c r="F637" s="212">
        <f t="shared" si="76"/>
        <v>22.036940999999999</v>
      </c>
      <c r="H637" s="215">
        <v>45511</v>
      </c>
      <c r="I637" s="104">
        <v>4933358</v>
      </c>
      <c r="J637" s="104">
        <v>2014</v>
      </c>
      <c r="K637" s="104">
        <v>4935372</v>
      </c>
      <c r="L637" s="104">
        <v>99.96</v>
      </c>
      <c r="M637" s="114">
        <f t="shared" si="75"/>
        <v>4.9353720000000001</v>
      </c>
      <c r="O637" s="215">
        <v>45511</v>
      </c>
      <c r="P637" s="104">
        <v>73384322</v>
      </c>
      <c r="Q637" s="104">
        <v>31886587</v>
      </c>
      <c r="R637" s="104">
        <v>105270909</v>
      </c>
      <c r="S637" s="104">
        <v>69.709999999999994</v>
      </c>
      <c r="T637" s="212">
        <f t="shared" si="77"/>
        <v>105.270909</v>
      </c>
      <c r="W637" s="215">
        <v>45511</v>
      </c>
      <c r="X637">
        <v>11000</v>
      </c>
      <c r="Y637" s="104">
        <v>12000</v>
      </c>
      <c r="Z637" s="114">
        <f t="shared" si="69"/>
        <v>91.666666666666671</v>
      </c>
      <c r="AB637" s="215">
        <v>45511</v>
      </c>
      <c r="AC637">
        <v>1020</v>
      </c>
      <c r="AD637" s="104">
        <v>12000</v>
      </c>
      <c r="AE637" s="114">
        <f t="shared" si="70"/>
        <v>8.5</v>
      </c>
      <c r="AG637" s="215">
        <v>45511</v>
      </c>
      <c r="AH637">
        <v>11530</v>
      </c>
      <c r="AI637" s="104">
        <v>12000</v>
      </c>
      <c r="AJ637" s="71">
        <f t="shared" si="71"/>
        <v>96.083333333333329</v>
      </c>
      <c r="AL637" s="222">
        <v>45508</v>
      </c>
      <c r="AM637" s="101" t="s">
        <v>192</v>
      </c>
      <c r="AN637" s="101">
        <v>29237</v>
      </c>
      <c r="AP637" s="222">
        <v>45508</v>
      </c>
      <c r="AQ637" s="101" t="s">
        <v>191</v>
      </c>
      <c r="AR637" s="101">
        <v>976612</v>
      </c>
      <c r="AT637" s="222">
        <v>45508</v>
      </c>
      <c r="AU637" s="101" t="s">
        <v>190</v>
      </c>
      <c r="AV637" s="101">
        <v>82</v>
      </c>
    </row>
    <row r="638" spans="1:48" x14ac:dyDescent="0.25">
      <c r="A638" s="215">
        <v>45512</v>
      </c>
      <c r="B638" s="104">
        <v>21702465</v>
      </c>
      <c r="C638" s="104">
        <v>336495</v>
      </c>
      <c r="D638" s="104">
        <v>22038960</v>
      </c>
      <c r="E638" s="104">
        <v>98.47</v>
      </c>
      <c r="F638" s="212">
        <f t="shared" si="76"/>
        <v>22.038959999999999</v>
      </c>
      <c r="H638" s="215">
        <v>45512</v>
      </c>
      <c r="I638" s="104">
        <v>7304758</v>
      </c>
      <c r="J638" s="104">
        <v>11099</v>
      </c>
      <c r="K638" s="104">
        <v>7315857</v>
      </c>
      <c r="L638" s="104">
        <v>99.85</v>
      </c>
      <c r="M638" s="114">
        <f t="shared" si="75"/>
        <v>7.3158570000000003</v>
      </c>
      <c r="O638" s="215">
        <v>45512</v>
      </c>
      <c r="P638" s="104">
        <v>82343836</v>
      </c>
      <c r="Q638" s="104">
        <v>34912144</v>
      </c>
      <c r="R638" s="104">
        <v>117255980</v>
      </c>
      <c r="S638" s="104">
        <v>70.23</v>
      </c>
      <c r="T638" s="212">
        <f t="shared" si="77"/>
        <v>117.25597999999999</v>
      </c>
      <c r="W638" s="215">
        <v>45512</v>
      </c>
      <c r="X638">
        <v>11000</v>
      </c>
      <c r="Y638" s="104">
        <v>12000</v>
      </c>
      <c r="Z638" s="114">
        <f t="shared" si="69"/>
        <v>91.666666666666671</v>
      </c>
      <c r="AB638" s="215">
        <v>45512</v>
      </c>
      <c r="AC638">
        <v>1531</v>
      </c>
      <c r="AD638" s="104">
        <v>12000</v>
      </c>
      <c r="AE638" s="114">
        <f t="shared" si="70"/>
        <v>12.758333333333333</v>
      </c>
      <c r="AG638" s="215">
        <v>45512</v>
      </c>
      <c r="AH638">
        <v>11610</v>
      </c>
      <c r="AI638" s="104">
        <v>12000</v>
      </c>
      <c r="AJ638" s="71">
        <f t="shared" si="71"/>
        <v>96.75</v>
      </c>
      <c r="AL638" s="222">
        <v>45508</v>
      </c>
      <c r="AM638" s="101" t="s">
        <v>197</v>
      </c>
      <c r="AN638" s="101">
        <v>29132</v>
      </c>
      <c r="AP638" s="222">
        <v>45508</v>
      </c>
      <c r="AQ638" s="101" t="s">
        <v>194</v>
      </c>
      <c r="AR638" s="101">
        <v>723967</v>
      </c>
    </row>
    <row r="639" spans="1:48" x14ac:dyDescent="0.25">
      <c r="A639" s="215">
        <v>45513</v>
      </c>
      <c r="B639" s="104">
        <v>22050514</v>
      </c>
      <c r="C639" s="104">
        <v>326589</v>
      </c>
      <c r="D639" s="104">
        <v>22377103</v>
      </c>
      <c r="E639" s="104">
        <v>98.54</v>
      </c>
      <c r="F639" s="212">
        <f t="shared" si="76"/>
        <v>22.377103000000002</v>
      </c>
      <c r="H639" s="215">
        <v>45513</v>
      </c>
      <c r="I639" s="104">
        <v>2030384</v>
      </c>
      <c r="J639" s="104">
        <v>1738</v>
      </c>
      <c r="K639" s="104">
        <v>2032122</v>
      </c>
      <c r="L639" s="104">
        <v>99.91</v>
      </c>
      <c r="M639" s="114">
        <f t="shared" si="75"/>
        <v>2.0321220000000002</v>
      </c>
      <c r="O639" s="215">
        <v>45513</v>
      </c>
      <c r="P639" s="104">
        <v>65711529</v>
      </c>
      <c r="Q639" s="104">
        <v>25955569</v>
      </c>
      <c r="R639" s="104">
        <v>91667098</v>
      </c>
      <c r="S639" s="104">
        <v>71.680000000000007</v>
      </c>
      <c r="T639" s="212">
        <f t="shared" si="77"/>
        <v>91.667097999999996</v>
      </c>
      <c r="W639" s="215">
        <v>45513</v>
      </c>
      <c r="X639">
        <v>10323</v>
      </c>
      <c r="Y639" s="104">
        <v>12000</v>
      </c>
      <c r="Z639" s="114">
        <f t="shared" si="69"/>
        <v>86.025000000000006</v>
      </c>
      <c r="AB639" s="215">
        <v>45513</v>
      </c>
      <c r="AC639">
        <v>984</v>
      </c>
      <c r="AD639" s="104">
        <v>12000</v>
      </c>
      <c r="AE639" s="114">
        <f t="shared" si="70"/>
        <v>8.1999999999999993</v>
      </c>
      <c r="AG639" s="215">
        <v>45513</v>
      </c>
      <c r="AH639">
        <v>10904</v>
      </c>
      <c r="AI639" s="104">
        <v>12000</v>
      </c>
      <c r="AJ639" s="71">
        <f t="shared" si="71"/>
        <v>90.86666666666666</v>
      </c>
      <c r="AL639" s="222">
        <v>45508</v>
      </c>
      <c r="AM639" s="101" t="s">
        <v>200</v>
      </c>
      <c r="AN639" s="101">
        <v>15003</v>
      </c>
      <c r="AP639" s="222">
        <v>45508</v>
      </c>
      <c r="AQ639" s="101" t="s">
        <v>192</v>
      </c>
      <c r="AR639" s="101">
        <v>58846</v>
      </c>
    </row>
    <row r="640" spans="1:48" x14ac:dyDescent="0.25">
      <c r="A640" s="215">
        <v>45514</v>
      </c>
      <c r="B640" s="104">
        <v>21399753</v>
      </c>
      <c r="C640" s="104">
        <v>381397</v>
      </c>
      <c r="D640" s="104">
        <v>21781150</v>
      </c>
      <c r="E640" s="104">
        <v>98.25</v>
      </c>
      <c r="F640" s="212">
        <f t="shared" si="76"/>
        <v>21.78115</v>
      </c>
      <c r="H640" s="215">
        <v>45514</v>
      </c>
      <c r="I640" s="104">
        <v>1899504</v>
      </c>
      <c r="J640" s="104">
        <v>372</v>
      </c>
      <c r="K640" s="104">
        <v>1899876</v>
      </c>
      <c r="L640" s="104">
        <v>99.98</v>
      </c>
      <c r="M640" s="114">
        <f t="shared" si="75"/>
        <v>1.8998759999999999</v>
      </c>
      <c r="O640" s="215">
        <v>45514</v>
      </c>
      <c r="P640" s="104">
        <v>65692028</v>
      </c>
      <c r="Q640" s="104">
        <v>31013892</v>
      </c>
      <c r="R640" s="104">
        <v>96705920</v>
      </c>
      <c r="S640" s="104">
        <v>67.930000000000007</v>
      </c>
      <c r="T640" s="212">
        <f t="shared" si="77"/>
        <v>96.705920000000006</v>
      </c>
      <c r="W640" s="215">
        <v>45514</v>
      </c>
      <c r="X640">
        <v>11000</v>
      </c>
      <c r="Y640" s="104">
        <v>12000</v>
      </c>
      <c r="Z640" s="114">
        <f t="shared" si="69"/>
        <v>91.666666666666671</v>
      </c>
      <c r="AB640" s="215">
        <v>45514</v>
      </c>
      <c r="AC640">
        <v>1091</v>
      </c>
      <c r="AD640" s="104">
        <v>12000</v>
      </c>
      <c r="AE640" s="114">
        <f t="shared" si="70"/>
        <v>9.0916666666666668</v>
      </c>
      <c r="AG640" s="215">
        <v>45514</v>
      </c>
      <c r="AH640">
        <v>11592</v>
      </c>
      <c r="AI640" s="104">
        <v>12000</v>
      </c>
      <c r="AJ640" s="71">
        <f t="shared" si="71"/>
        <v>96.6</v>
      </c>
      <c r="AL640" s="222">
        <v>45508</v>
      </c>
      <c r="AM640" s="101" t="s">
        <v>194</v>
      </c>
      <c r="AN640" s="101">
        <v>14968</v>
      </c>
      <c r="AP640" s="222">
        <v>45508</v>
      </c>
      <c r="AQ640" s="101" t="s">
        <v>203</v>
      </c>
      <c r="AR640" s="101">
        <v>47766</v>
      </c>
    </row>
    <row r="641" spans="1:48" x14ac:dyDescent="0.25">
      <c r="A641" s="215">
        <v>45515</v>
      </c>
      <c r="B641" s="48">
        <v>22094485</v>
      </c>
      <c r="C641" s="48">
        <v>371111</v>
      </c>
      <c r="D641" s="48">
        <v>22465596</v>
      </c>
      <c r="E641" s="48">
        <v>98.34</v>
      </c>
      <c r="F641" s="212">
        <f t="shared" si="76"/>
        <v>22.465596000000001</v>
      </c>
      <c r="H641" s="215">
        <v>45515</v>
      </c>
      <c r="I641" s="48">
        <v>1763340</v>
      </c>
      <c r="J641" s="48">
        <v>362</v>
      </c>
      <c r="K641" s="48">
        <v>1763702</v>
      </c>
      <c r="L641" s="48">
        <v>99.97</v>
      </c>
      <c r="M641" s="114">
        <f t="shared" si="75"/>
        <v>1.7637020000000001</v>
      </c>
      <c r="O641" s="215">
        <v>45515</v>
      </c>
      <c r="P641" s="48">
        <v>48888858</v>
      </c>
      <c r="Q641" s="48">
        <v>16847420</v>
      </c>
      <c r="R641" s="48">
        <v>65736278</v>
      </c>
      <c r="S641" s="48">
        <v>74.37</v>
      </c>
      <c r="T641" s="212">
        <f t="shared" si="77"/>
        <v>65.736277999999999</v>
      </c>
      <c r="W641" s="215">
        <v>45515</v>
      </c>
      <c r="X641">
        <v>5161</v>
      </c>
      <c r="Y641" s="104">
        <v>12000</v>
      </c>
      <c r="Z641" s="114">
        <f t="shared" si="69"/>
        <v>43.008333333333333</v>
      </c>
      <c r="AB641" s="215">
        <v>45515</v>
      </c>
      <c r="AC641">
        <v>894</v>
      </c>
      <c r="AD641" s="104">
        <v>12000</v>
      </c>
      <c r="AE641" s="114">
        <f t="shared" si="70"/>
        <v>7.45</v>
      </c>
      <c r="AG641" s="215">
        <v>45515</v>
      </c>
      <c r="AH641">
        <v>5610</v>
      </c>
      <c r="AI641" s="104">
        <v>12000</v>
      </c>
      <c r="AJ641" s="71">
        <f t="shared" si="71"/>
        <v>46.75</v>
      </c>
    </row>
    <row r="642" spans="1:48" x14ac:dyDescent="0.25">
      <c r="AL642" s="222">
        <v>45509</v>
      </c>
      <c r="AM642" s="101" t="s">
        <v>189</v>
      </c>
      <c r="AN642" s="101">
        <v>188638</v>
      </c>
      <c r="AP642" s="222">
        <v>45509</v>
      </c>
      <c r="AQ642" s="101" t="s">
        <v>189</v>
      </c>
      <c r="AR642" s="101">
        <v>23804710</v>
      </c>
      <c r="AT642" s="222">
        <v>45509</v>
      </c>
      <c r="AU642" s="101" t="s">
        <v>193</v>
      </c>
      <c r="AV642" s="101">
        <v>170</v>
      </c>
    </row>
    <row r="643" spans="1:48" x14ac:dyDescent="0.25">
      <c r="AL643" s="222">
        <v>45509</v>
      </c>
      <c r="AM643" s="101" t="s">
        <v>197</v>
      </c>
      <c r="AN643" s="101">
        <v>29156</v>
      </c>
      <c r="AP643" s="222">
        <v>45509</v>
      </c>
      <c r="AQ643" s="101" t="s">
        <v>191</v>
      </c>
      <c r="AR643" s="101">
        <v>1825217</v>
      </c>
      <c r="AT643" s="222">
        <v>45509</v>
      </c>
      <c r="AU643" s="101" t="s">
        <v>190</v>
      </c>
      <c r="AV643" s="101">
        <v>129</v>
      </c>
    </row>
    <row r="644" spans="1:48" x14ac:dyDescent="0.25">
      <c r="AL644" s="222">
        <v>45509</v>
      </c>
      <c r="AM644" s="101" t="s">
        <v>191</v>
      </c>
      <c r="AN644" s="101">
        <v>19882</v>
      </c>
      <c r="AP644" s="222">
        <v>45509</v>
      </c>
      <c r="AQ644" s="101" t="s">
        <v>194</v>
      </c>
      <c r="AR644" s="101">
        <v>1047200</v>
      </c>
    </row>
    <row r="645" spans="1:48" x14ac:dyDescent="0.25">
      <c r="AL645" s="222">
        <v>45509</v>
      </c>
      <c r="AM645" s="101" t="s">
        <v>192</v>
      </c>
      <c r="AN645" s="101">
        <v>17632</v>
      </c>
      <c r="AP645" s="222">
        <v>45509</v>
      </c>
      <c r="AQ645" s="101" t="s">
        <v>199</v>
      </c>
      <c r="AR645" s="101">
        <v>167157</v>
      </c>
    </row>
    <row r="646" spans="1:48" x14ac:dyDescent="0.25">
      <c r="AL646" s="222">
        <v>45509</v>
      </c>
      <c r="AM646" s="101" t="s">
        <v>194</v>
      </c>
      <c r="AN646" s="101">
        <v>14606</v>
      </c>
      <c r="AP646" s="222">
        <v>45509</v>
      </c>
      <c r="AQ646" s="101" t="s">
        <v>206</v>
      </c>
      <c r="AR646" s="101">
        <v>116732</v>
      </c>
    </row>
    <row r="648" spans="1:48" x14ac:dyDescent="0.25">
      <c r="AL648" s="222">
        <v>45510</v>
      </c>
      <c r="AM648" s="101" t="s">
        <v>189</v>
      </c>
      <c r="AN648" s="101">
        <v>223361</v>
      </c>
      <c r="AP648" s="222">
        <v>45510</v>
      </c>
      <c r="AQ648" s="101" t="s">
        <v>189</v>
      </c>
      <c r="AR648" s="101">
        <v>22086855</v>
      </c>
      <c r="AT648" s="222">
        <v>45510</v>
      </c>
      <c r="AU648" s="101" t="s">
        <v>193</v>
      </c>
      <c r="AV648" s="101">
        <v>209</v>
      </c>
    </row>
    <row r="649" spans="1:48" x14ac:dyDescent="0.25">
      <c r="AL649" s="222">
        <v>45510</v>
      </c>
      <c r="AM649" s="101" t="s">
        <v>192</v>
      </c>
      <c r="AN649" s="101">
        <v>29267</v>
      </c>
      <c r="AP649" s="222">
        <v>45510</v>
      </c>
      <c r="AQ649" s="101" t="s">
        <v>191</v>
      </c>
      <c r="AR649" s="101">
        <v>1981611</v>
      </c>
      <c r="AT649" s="222">
        <v>45510</v>
      </c>
      <c r="AU649" s="101" t="s">
        <v>190</v>
      </c>
      <c r="AV649" s="101">
        <v>112</v>
      </c>
    </row>
    <row r="650" spans="1:48" x14ac:dyDescent="0.25">
      <c r="AL650" s="222">
        <v>45510</v>
      </c>
      <c r="AM650" s="101" t="s">
        <v>191</v>
      </c>
      <c r="AN650" s="101">
        <v>18933</v>
      </c>
      <c r="AP650" s="222">
        <v>45510</v>
      </c>
      <c r="AQ650" s="101" t="s">
        <v>194</v>
      </c>
      <c r="AR650" s="101">
        <v>1066301</v>
      </c>
    </row>
    <row r="651" spans="1:48" x14ac:dyDescent="0.25">
      <c r="AL651" s="222">
        <v>45510</v>
      </c>
      <c r="AM651" s="101" t="s">
        <v>197</v>
      </c>
      <c r="AN651" s="101">
        <v>17963</v>
      </c>
      <c r="AP651" s="222">
        <v>45510</v>
      </c>
      <c r="AQ651" s="101" t="s">
        <v>199</v>
      </c>
      <c r="AR651" s="101">
        <v>174269</v>
      </c>
    </row>
    <row r="652" spans="1:48" x14ac:dyDescent="0.25">
      <c r="AL652" s="222">
        <v>45510</v>
      </c>
      <c r="AM652" s="101" t="s">
        <v>194</v>
      </c>
      <c r="AN652" s="101">
        <v>15155</v>
      </c>
      <c r="AP652" s="222">
        <v>45510</v>
      </c>
      <c r="AQ652" s="101" t="s">
        <v>192</v>
      </c>
      <c r="AR652" s="101">
        <v>149040</v>
      </c>
    </row>
    <row r="654" spans="1:48" x14ac:dyDescent="0.25">
      <c r="AL654" s="222">
        <v>45511</v>
      </c>
      <c r="AM654" s="101" t="s">
        <v>189</v>
      </c>
      <c r="AN654" s="101">
        <v>226808</v>
      </c>
      <c r="AP654" s="222">
        <v>45511</v>
      </c>
      <c r="AQ654" s="101" t="s">
        <v>189</v>
      </c>
      <c r="AR654" s="101">
        <v>28549577</v>
      </c>
      <c r="AT654" s="222">
        <v>45511</v>
      </c>
      <c r="AU654" s="101" t="s">
        <v>190</v>
      </c>
      <c r="AV654" s="101">
        <v>1796</v>
      </c>
    </row>
    <row r="655" spans="1:48" x14ac:dyDescent="0.25">
      <c r="AL655" s="222">
        <v>45511</v>
      </c>
      <c r="AM655" s="101" t="s">
        <v>192</v>
      </c>
      <c r="AN655" s="101">
        <v>31096</v>
      </c>
      <c r="AP655" s="222">
        <v>45511</v>
      </c>
      <c r="AQ655" s="101" t="s">
        <v>191</v>
      </c>
      <c r="AR655" s="101">
        <v>1348018</v>
      </c>
      <c r="AT655" s="222">
        <v>45511</v>
      </c>
      <c r="AU655" s="101" t="s">
        <v>193</v>
      </c>
      <c r="AV655" s="101">
        <v>218</v>
      </c>
    </row>
    <row r="656" spans="1:48" x14ac:dyDescent="0.25">
      <c r="AL656" s="222">
        <v>45511</v>
      </c>
      <c r="AM656" s="101" t="s">
        <v>197</v>
      </c>
      <c r="AN656" s="101">
        <v>25853</v>
      </c>
      <c r="AP656" s="222">
        <v>45511</v>
      </c>
      <c r="AQ656" s="101" t="s">
        <v>194</v>
      </c>
      <c r="AR656" s="101">
        <v>1023284</v>
      </c>
    </row>
    <row r="657" spans="38:48" x14ac:dyDescent="0.25">
      <c r="AL657" s="222">
        <v>45511</v>
      </c>
      <c r="AM657" s="101" t="s">
        <v>191</v>
      </c>
      <c r="AN657" s="101">
        <v>17990</v>
      </c>
      <c r="AP657" s="222">
        <v>45511</v>
      </c>
      <c r="AQ657" s="101" t="s">
        <v>206</v>
      </c>
      <c r="AR657" s="101">
        <v>214328</v>
      </c>
    </row>
    <row r="658" spans="38:48" x14ac:dyDescent="0.25">
      <c r="AL658" s="222">
        <v>45511</v>
      </c>
      <c r="AM658" s="101" t="s">
        <v>194</v>
      </c>
      <c r="AN658" s="101">
        <v>17092</v>
      </c>
      <c r="AP658" s="222">
        <v>45511</v>
      </c>
      <c r="AQ658" s="101" t="s">
        <v>199</v>
      </c>
      <c r="AR658" s="101">
        <v>142958</v>
      </c>
    </row>
    <row r="660" spans="38:48" x14ac:dyDescent="0.25">
      <c r="AL660" s="222">
        <v>45512</v>
      </c>
      <c r="AM660" s="101" t="s">
        <v>189</v>
      </c>
      <c r="AN660" s="101">
        <v>230636</v>
      </c>
      <c r="AP660" s="222">
        <v>45512</v>
      </c>
      <c r="AQ660" s="101" t="s">
        <v>189</v>
      </c>
      <c r="AR660" s="101">
        <v>31387629</v>
      </c>
      <c r="AT660" s="222">
        <v>45512</v>
      </c>
      <c r="AU660" s="101" t="s">
        <v>193</v>
      </c>
      <c r="AV660" s="101">
        <v>4144</v>
      </c>
    </row>
    <row r="661" spans="38:48" x14ac:dyDescent="0.25">
      <c r="AL661" s="222">
        <v>45512</v>
      </c>
      <c r="AM661" s="101" t="s">
        <v>192</v>
      </c>
      <c r="AN661" s="101">
        <v>34374</v>
      </c>
      <c r="AP661" s="222">
        <v>45512</v>
      </c>
      <c r="AQ661" s="101" t="s">
        <v>191</v>
      </c>
      <c r="AR661" s="101">
        <v>1465078</v>
      </c>
      <c r="AT661" s="222">
        <v>45512</v>
      </c>
      <c r="AU661" s="101" t="s">
        <v>190</v>
      </c>
      <c r="AV661" s="101">
        <v>4073</v>
      </c>
    </row>
    <row r="662" spans="38:48" x14ac:dyDescent="0.25">
      <c r="AL662" s="222">
        <v>45512</v>
      </c>
      <c r="AM662" s="101" t="s">
        <v>191</v>
      </c>
      <c r="AN662" s="101">
        <v>20455</v>
      </c>
      <c r="AP662" s="222">
        <v>45512</v>
      </c>
      <c r="AQ662" s="101" t="s">
        <v>194</v>
      </c>
      <c r="AR662" s="101">
        <v>1039857</v>
      </c>
      <c r="AT662" s="222">
        <v>45512</v>
      </c>
      <c r="AU662" s="101" t="s">
        <v>204</v>
      </c>
      <c r="AV662" s="101">
        <v>2837</v>
      </c>
    </row>
    <row r="663" spans="38:48" x14ac:dyDescent="0.25">
      <c r="AL663" s="222">
        <v>45512</v>
      </c>
      <c r="AM663" s="101" t="s">
        <v>197</v>
      </c>
      <c r="AN663" s="101">
        <v>13561</v>
      </c>
      <c r="AP663" s="222">
        <v>45512</v>
      </c>
      <c r="AQ663" s="101" t="s">
        <v>206</v>
      </c>
      <c r="AR663" s="101">
        <v>314570</v>
      </c>
    </row>
    <row r="664" spans="38:48" x14ac:dyDescent="0.25">
      <c r="AL664" s="222">
        <v>45512</v>
      </c>
      <c r="AM664" s="101" t="s">
        <v>194</v>
      </c>
      <c r="AN664" s="101">
        <v>13469</v>
      </c>
      <c r="AP664" s="222">
        <v>45512</v>
      </c>
      <c r="AQ664" s="101" t="s">
        <v>208</v>
      </c>
      <c r="AR664" s="101">
        <v>139964</v>
      </c>
    </row>
    <row r="666" spans="38:48" x14ac:dyDescent="0.25">
      <c r="AL666" s="222">
        <v>45515</v>
      </c>
      <c r="AM666" s="101" t="s">
        <v>189</v>
      </c>
      <c r="AN666" s="101">
        <v>223367</v>
      </c>
      <c r="AP666" s="222">
        <v>45515</v>
      </c>
      <c r="AQ666" s="101" t="s">
        <v>189</v>
      </c>
      <c r="AR666" s="101">
        <v>15003255</v>
      </c>
      <c r="AT666" s="222">
        <v>45515</v>
      </c>
      <c r="AU666" s="101" t="s">
        <v>193</v>
      </c>
      <c r="AV666" s="101">
        <v>225</v>
      </c>
    </row>
    <row r="667" spans="38:48" x14ac:dyDescent="0.25">
      <c r="AL667" s="222">
        <v>45515</v>
      </c>
      <c r="AM667" s="101" t="s">
        <v>197</v>
      </c>
      <c r="AN667" s="101">
        <v>38013</v>
      </c>
      <c r="AP667" s="222">
        <v>45515</v>
      </c>
      <c r="AQ667" s="101" t="s">
        <v>194</v>
      </c>
      <c r="AR667" s="101">
        <v>809171</v>
      </c>
      <c r="AT667" s="222">
        <v>45515</v>
      </c>
      <c r="AU667" s="101" t="s">
        <v>190</v>
      </c>
      <c r="AV667" s="101">
        <v>137</v>
      </c>
    </row>
    <row r="668" spans="38:48" x14ac:dyDescent="0.25">
      <c r="AL668" s="222">
        <v>45515</v>
      </c>
      <c r="AM668" s="101" t="s">
        <v>192</v>
      </c>
      <c r="AN668" s="101">
        <v>31932</v>
      </c>
      <c r="AP668" s="222">
        <v>45515</v>
      </c>
      <c r="AQ668" s="101" t="s">
        <v>191</v>
      </c>
      <c r="AR668" s="101">
        <v>688792</v>
      </c>
    </row>
    <row r="669" spans="38:48" x14ac:dyDescent="0.25">
      <c r="AL669" s="222">
        <v>45515</v>
      </c>
      <c r="AM669" s="101" t="s">
        <v>194</v>
      </c>
      <c r="AN669" s="101">
        <v>23731</v>
      </c>
      <c r="AP669" s="222">
        <v>45515</v>
      </c>
      <c r="AQ669" s="101" t="s">
        <v>208</v>
      </c>
      <c r="AR669" s="101">
        <v>58912</v>
      </c>
    </row>
    <row r="670" spans="38:48" x14ac:dyDescent="0.25">
      <c r="AL670" s="222">
        <v>45515</v>
      </c>
      <c r="AM670" s="101" t="s">
        <v>301</v>
      </c>
      <c r="AN670" s="101">
        <v>18636</v>
      </c>
      <c r="AP670" s="222">
        <v>45515</v>
      </c>
      <c r="AQ670" s="101" t="s">
        <v>203</v>
      </c>
      <c r="AR670" s="101">
        <v>45511</v>
      </c>
    </row>
  </sheetData>
  <mergeCells count="6">
    <mergeCell ref="AG1:AJ1"/>
    <mergeCell ref="A1:F1"/>
    <mergeCell ref="H1:L1"/>
    <mergeCell ref="O1:T1"/>
    <mergeCell ref="W1:Z1"/>
    <mergeCell ref="AB1:AE1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629"/>
  <sheetViews>
    <sheetView topLeftCell="M1" zoomScaleNormal="100" workbookViewId="0">
      <pane ySplit="1" topLeftCell="A2" activePane="bottomLeft" state="frozen"/>
      <selection activeCell="AG641" sqref="AG641"/>
      <selection pane="bottomLeft" activeCell="AQ635" sqref="AQ635"/>
    </sheetView>
  </sheetViews>
  <sheetFormatPr defaultRowHeight="15" x14ac:dyDescent="0.25"/>
  <cols>
    <col min="1" max="1" width="9.42578125" bestFit="1" customWidth="1"/>
    <col min="2" max="2" width="11.5703125" bestFit="1" customWidth="1"/>
    <col min="3" max="3" width="9" bestFit="1" customWidth="1"/>
    <col min="4" max="4" width="11.5703125" bestFit="1" customWidth="1"/>
    <col min="5" max="5" width="11.7109375" bestFit="1" customWidth="1"/>
    <col min="7" max="7" width="11.85546875" bestFit="1" customWidth="1"/>
    <col min="8" max="9" width="10.28515625" bestFit="1" customWidth="1"/>
    <col min="10" max="10" width="11.5703125" bestFit="1" customWidth="1"/>
    <col min="11" max="11" width="13.140625" bestFit="1" customWidth="1"/>
    <col min="13" max="13" width="10.85546875" bestFit="1" customWidth="1"/>
    <col min="14" max="16" width="10.28515625" bestFit="1" customWidth="1"/>
    <col min="17" max="17" width="11.7109375" bestFit="1" customWidth="1"/>
    <col min="19" max="19" width="9.42578125" bestFit="1" customWidth="1"/>
    <col min="20" max="22" width="10.28515625" bestFit="1" customWidth="1"/>
    <col min="23" max="23" width="11.7109375" bestFit="1" customWidth="1"/>
    <col min="24" max="24" width="7" bestFit="1" customWidth="1"/>
    <col min="25" max="26" width="10.28515625" bestFit="1" customWidth="1"/>
    <col min="27" max="27" width="9" bestFit="1" customWidth="1"/>
    <col min="28" max="28" width="10.28515625" bestFit="1" customWidth="1"/>
    <col min="29" max="29" width="11.7109375" bestFit="1" customWidth="1"/>
    <col min="31" max="31" width="7.42578125" bestFit="1" customWidth="1"/>
    <col min="32" max="32" width="9" bestFit="1" customWidth="1"/>
    <col min="33" max="33" width="8" bestFit="1" customWidth="1"/>
    <col min="34" max="34" width="9" bestFit="1" customWidth="1"/>
    <col min="35" max="35" width="11.7109375" bestFit="1" customWidth="1"/>
    <col min="37" max="37" width="7.42578125" bestFit="1" customWidth="1"/>
    <col min="38" max="38" width="9" bestFit="1" customWidth="1"/>
    <col min="39" max="39" width="8" bestFit="1" customWidth="1"/>
    <col min="40" max="40" width="9" bestFit="1" customWidth="1"/>
    <col min="41" max="41" width="11.7109375" bestFit="1" customWidth="1"/>
    <col min="43" max="43" width="7.42578125" bestFit="1" customWidth="1"/>
    <col min="44" max="44" width="8.140625" bestFit="1" customWidth="1"/>
    <col min="45" max="46" width="8" bestFit="1" customWidth="1"/>
    <col min="47" max="47" width="11.7109375" bestFit="1" customWidth="1"/>
    <col min="50" max="50" width="10.140625" bestFit="1" customWidth="1"/>
    <col min="51" max="51" width="17.7109375" bestFit="1" customWidth="1"/>
    <col min="52" max="52" width="8" bestFit="1" customWidth="1"/>
    <col min="53" max="53" width="11.140625" bestFit="1" customWidth="1"/>
    <col min="54" max="54" width="11.7109375" bestFit="1" customWidth="1"/>
    <col min="55" max="55" width="15.7109375" bestFit="1" customWidth="1"/>
    <col min="56" max="56" width="6.5703125" bestFit="1" customWidth="1"/>
  </cols>
  <sheetData>
    <row r="1" spans="1:56" x14ac:dyDescent="0.25">
      <c r="A1" t="s">
        <v>210</v>
      </c>
      <c r="E1">
        <v>220</v>
      </c>
      <c r="G1">
        <v>4026531874</v>
      </c>
      <c r="K1">
        <v>158</v>
      </c>
      <c r="M1" t="s">
        <v>211</v>
      </c>
      <c r="Q1">
        <v>3182</v>
      </c>
      <c r="S1" t="s">
        <v>212</v>
      </c>
      <c r="W1">
        <v>372</v>
      </c>
      <c r="Y1" t="s">
        <v>213</v>
      </c>
      <c r="AC1">
        <v>3424</v>
      </c>
      <c r="AE1" t="s">
        <v>62</v>
      </c>
      <c r="AG1">
        <v>1185</v>
      </c>
      <c r="AK1" s="387" t="s">
        <v>214</v>
      </c>
      <c r="AL1" s="387"/>
      <c r="AM1" s="387"/>
      <c r="AN1" s="387"/>
      <c r="AO1" s="387"/>
      <c r="AQ1" s="387" t="s">
        <v>215</v>
      </c>
      <c r="AR1" s="387"/>
      <c r="AS1" s="387"/>
      <c r="AT1" s="387"/>
      <c r="AU1" s="387"/>
      <c r="AX1" t="s">
        <v>216</v>
      </c>
    </row>
    <row r="2" spans="1:56" x14ac:dyDescent="0.25">
      <c r="AM2" t="s">
        <v>129</v>
      </c>
      <c r="AS2" t="s">
        <v>129</v>
      </c>
    </row>
    <row r="3" spans="1:56" s="57" customFormat="1" x14ac:dyDescent="0.25">
      <c r="A3" s="232" t="s">
        <v>23</v>
      </c>
      <c r="B3" s="232" t="s">
        <v>217</v>
      </c>
      <c r="C3" s="232" t="s">
        <v>218</v>
      </c>
      <c r="D3" s="232" t="s">
        <v>219</v>
      </c>
      <c r="E3" s="232" t="s">
        <v>220</v>
      </c>
      <c r="G3" s="232" t="s">
        <v>23</v>
      </c>
      <c r="H3" s="232" t="s">
        <v>217</v>
      </c>
      <c r="I3" s="232" t="s">
        <v>218</v>
      </c>
      <c r="J3" s="232" t="s">
        <v>219</v>
      </c>
      <c r="K3" s="232" t="s">
        <v>220</v>
      </c>
      <c r="M3" s="232" t="s">
        <v>23</v>
      </c>
      <c r="N3" s="232" t="s">
        <v>217</v>
      </c>
      <c r="O3" s="232" t="s">
        <v>218</v>
      </c>
      <c r="P3" s="232" t="s">
        <v>219</v>
      </c>
      <c r="Q3" s="232" t="s">
        <v>220</v>
      </c>
      <c r="S3" s="232" t="s">
        <v>23</v>
      </c>
      <c r="T3" s="232" t="s">
        <v>217</v>
      </c>
      <c r="U3" s="232" t="s">
        <v>218</v>
      </c>
      <c r="V3" s="232" t="s">
        <v>219</v>
      </c>
      <c r="W3" s="232" t="s">
        <v>220</v>
      </c>
      <c r="Y3" s="232" t="s">
        <v>23</v>
      </c>
      <c r="Z3" s="232" t="s">
        <v>217</v>
      </c>
      <c r="AA3" s="232" t="s">
        <v>218</v>
      </c>
      <c r="AB3" s="232" t="s">
        <v>219</v>
      </c>
      <c r="AC3" s="232" t="s">
        <v>220</v>
      </c>
      <c r="AE3" s="232" t="s">
        <v>23</v>
      </c>
      <c r="AF3" s="232" t="s">
        <v>217</v>
      </c>
      <c r="AG3" s="232" t="s">
        <v>218</v>
      </c>
      <c r="AH3" s="232" t="s">
        <v>219</v>
      </c>
      <c r="AI3" s="232" t="s">
        <v>220</v>
      </c>
      <c r="AK3" s="232" t="s">
        <v>23</v>
      </c>
      <c r="AL3" s="232" t="s">
        <v>217</v>
      </c>
      <c r="AM3" s="232" t="s">
        <v>218</v>
      </c>
      <c r="AN3" s="232" t="s">
        <v>219</v>
      </c>
      <c r="AO3" s="232" t="s">
        <v>220</v>
      </c>
      <c r="AQ3" s="232" t="s">
        <v>23</v>
      </c>
      <c r="AR3" s="232" t="s">
        <v>217</v>
      </c>
      <c r="AS3" s="232" t="s">
        <v>218</v>
      </c>
      <c r="AT3" s="232" t="s">
        <v>219</v>
      </c>
      <c r="AU3" s="232" t="s">
        <v>220</v>
      </c>
      <c r="AX3" s="232" t="s">
        <v>23</v>
      </c>
      <c r="AY3" s="232" t="s">
        <v>221</v>
      </c>
      <c r="AZ3" s="232" t="s">
        <v>218</v>
      </c>
      <c r="BA3" s="232" t="s">
        <v>222</v>
      </c>
      <c r="BB3" s="232" t="s">
        <v>220</v>
      </c>
      <c r="BC3" s="232" t="s">
        <v>223</v>
      </c>
    </row>
    <row r="4" spans="1:56" s="57" customFormat="1" hidden="1" x14ac:dyDescent="0.25">
      <c r="A4" s="215">
        <v>44862</v>
      </c>
      <c r="B4" s="48">
        <v>9719565</v>
      </c>
      <c r="C4" s="48">
        <v>666738</v>
      </c>
      <c r="D4" s="48">
        <v>10386303</v>
      </c>
      <c r="E4" s="48">
        <v>93.58</v>
      </c>
      <c r="G4" s="215">
        <v>44862</v>
      </c>
      <c r="H4" s="48">
        <v>4663258</v>
      </c>
      <c r="I4" s="48">
        <v>2003382</v>
      </c>
      <c r="J4" s="48">
        <v>6666640</v>
      </c>
      <c r="K4" s="48">
        <v>69.95</v>
      </c>
      <c r="M4" s="215">
        <v>44862</v>
      </c>
      <c r="N4" s="48">
        <v>4159781</v>
      </c>
      <c r="O4" s="48">
        <v>3590809</v>
      </c>
      <c r="P4" s="48">
        <v>7750590</v>
      </c>
      <c r="Q4" s="48">
        <v>53.67</v>
      </c>
      <c r="R4" s="178"/>
      <c r="S4" s="215">
        <v>44862</v>
      </c>
      <c r="T4" s="48">
        <v>1030473</v>
      </c>
      <c r="U4" s="48">
        <v>851915</v>
      </c>
      <c r="V4" s="48">
        <v>1882388</v>
      </c>
      <c r="W4" s="48">
        <v>54.74</v>
      </c>
      <c r="Y4" s="215">
        <v>44862</v>
      </c>
      <c r="Z4" s="48">
        <v>3098447</v>
      </c>
      <c r="AA4" s="48">
        <v>535185</v>
      </c>
      <c r="AB4" s="48">
        <v>3633632</v>
      </c>
      <c r="AC4" s="48">
        <v>85.27</v>
      </c>
      <c r="AE4" s="48"/>
      <c r="AF4" s="48"/>
      <c r="AG4" s="48"/>
      <c r="AH4" s="48"/>
      <c r="AI4" s="48"/>
      <c r="AK4" s="48"/>
      <c r="AL4" s="48"/>
      <c r="AM4" s="48"/>
      <c r="AN4" s="48"/>
      <c r="AO4" s="48"/>
      <c r="AQ4" s="48"/>
      <c r="AR4" s="48"/>
      <c r="AS4" s="48"/>
      <c r="AT4" s="48"/>
      <c r="AU4" s="48"/>
      <c r="AX4" s="48"/>
      <c r="AY4" s="48"/>
      <c r="AZ4" s="48"/>
      <c r="BA4" s="48"/>
      <c r="BB4" s="48"/>
    </row>
    <row r="5" spans="1:56" s="57" customFormat="1" hidden="1" x14ac:dyDescent="0.25">
      <c r="A5" s="215">
        <v>44863</v>
      </c>
      <c r="B5" s="48">
        <v>11925470</v>
      </c>
      <c r="C5" s="48">
        <v>718616</v>
      </c>
      <c r="D5" s="48">
        <v>12644086</v>
      </c>
      <c r="E5" s="48">
        <v>94.32</v>
      </c>
      <c r="G5" s="215">
        <v>44863</v>
      </c>
      <c r="H5" s="48">
        <v>5273968</v>
      </c>
      <c r="I5" s="48">
        <v>2202187</v>
      </c>
      <c r="J5" s="48">
        <v>7476155</v>
      </c>
      <c r="K5" s="48">
        <v>70.540000000000006</v>
      </c>
      <c r="M5" s="215">
        <v>44863</v>
      </c>
      <c r="N5" s="48">
        <v>4303004</v>
      </c>
      <c r="O5" s="48">
        <v>3941989</v>
      </c>
      <c r="P5" s="48">
        <v>8244993</v>
      </c>
      <c r="Q5" s="48">
        <v>52.19</v>
      </c>
      <c r="R5" s="178"/>
      <c r="S5" s="215">
        <v>44863</v>
      </c>
      <c r="T5" s="48">
        <v>1700890</v>
      </c>
      <c r="U5" s="48">
        <v>1321743</v>
      </c>
      <c r="V5" s="48">
        <v>3022633</v>
      </c>
      <c r="W5" s="48">
        <v>56.27</v>
      </c>
      <c r="Y5" s="215">
        <v>44863</v>
      </c>
      <c r="Z5" s="48">
        <v>3063927</v>
      </c>
      <c r="AA5" s="48">
        <v>575081</v>
      </c>
      <c r="AB5" s="48">
        <v>3639008</v>
      </c>
      <c r="AC5" s="48">
        <v>84.2</v>
      </c>
      <c r="AE5" s="48"/>
      <c r="AF5" s="48"/>
      <c r="AG5" s="48"/>
      <c r="AH5" s="48"/>
      <c r="AI5" s="48"/>
      <c r="AK5" s="48"/>
      <c r="AL5" s="48"/>
      <c r="AM5" s="48"/>
      <c r="AN5" s="48"/>
      <c r="AO5" s="48"/>
      <c r="AQ5" s="48"/>
      <c r="AR5" s="48"/>
      <c r="AS5" s="48"/>
      <c r="AT5" s="48"/>
      <c r="AU5" s="48"/>
      <c r="AX5" s="48"/>
      <c r="AY5" s="48"/>
      <c r="AZ5" s="48"/>
      <c r="BA5" s="48"/>
      <c r="BB5" s="48"/>
      <c r="BD5" s="215">
        <v>45322</v>
      </c>
    </row>
    <row r="6" spans="1:56" s="57" customFormat="1" hidden="1" x14ac:dyDescent="0.25">
      <c r="A6" s="215">
        <v>44864</v>
      </c>
      <c r="B6" s="48">
        <v>9231335</v>
      </c>
      <c r="C6" s="48">
        <v>774323</v>
      </c>
      <c r="D6" s="48">
        <v>10005658</v>
      </c>
      <c r="E6" s="48">
        <v>92.26</v>
      </c>
      <c r="G6" s="215">
        <v>44864</v>
      </c>
      <c r="H6" s="48">
        <v>5050233</v>
      </c>
      <c r="I6" s="48">
        <v>2129660</v>
      </c>
      <c r="J6" s="48">
        <v>7179893</v>
      </c>
      <c r="K6" s="48">
        <v>70.34</v>
      </c>
      <c r="M6" s="215">
        <v>44864</v>
      </c>
      <c r="N6" s="48">
        <v>3666583</v>
      </c>
      <c r="O6" s="48">
        <v>3444046</v>
      </c>
      <c r="P6" s="48">
        <v>7110629</v>
      </c>
      <c r="Q6" s="48">
        <v>51.56</v>
      </c>
      <c r="R6" s="178"/>
      <c r="S6" s="215">
        <v>44864</v>
      </c>
      <c r="T6" s="48">
        <v>446881</v>
      </c>
      <c r="U6" s="48">
        <v>54891</v>
      </c>
      <c r="V6" s="48">
        <v>501772</v>
      </c>
      <c r="W6" s="48">
        <v>89.06</v>
      </c>
      <c r="Y6" s="215">
        <v>44864</v>
      </c>
      <c r="Z6" s="48">
        <v>2821233</v>
      </c>
      <c r="AA6" s="48">
        <v>595275</v>
      </c>
      <c r="AB6" s="48">
        <v>3416508</v>
      </c>
      <c r="AC6" s="48">
        <v>82.58</v>
      </c>
      <c r="AE6" s="48"/>
      <c r="AF6" s="48"/>
      <c r="AG6" s="48"/>
      <c r="AH6" s="48"/>
      <c r="AI6" s="48"/>
      <c r="AK6" s="48"/>
      <c r="AL6" s="48"/>
      <c r="AM6" s="48"/>
      <c r="AN6" s="48"/>
      <c r="AO6" s="48"/>
      <c r="AQ6" s="48"/>
      <c r="AR6" s="48"/>
      <c r="AS6" s="48"/>
      <c r="AT6" s="48"/>
      <c r="AU6" s="48"/>
      <c r="AX6" s="48"/>
      <c r="AY6" s="48"/>
      <c r="AZ6" s="48"/>
      <c r="BA6" s="48"/>
      <c r="BB6" s="48"/>
    </row>
    <row r="7" spans="1:56" s="57" customFormat="1" hidden="1" x14ac:dyDescent="0.25">
      <c r="A7" s="215">
        <v>44865</v>
      </c>
      <c r="B7" s="48">
        <v>11558114</v>
      </c>
      <c r="C7" s="48">
        <v>734080</v>
      </c>
      <c r="D7" s="48">
        <v>12292194</v>
      </c>
      <c r="E7" s="48">
        <v>94.03</v>
      </c>
      <c r="G7" s="215">
        <v>44865</v>
      </c>
      <c r="H7" s="48">
        <v>4371702</v>
      </c>
      <c r="I7" s="48">
        <v>1886989</v>
      </c>
      <c r="J7" s="48">
        <v>6258691</v>
      </c>
      <c r="K7" s="48">
        <v>69.849999999999994</v>
      </c>
      <c r="M7" s="215">
        <v>44865</v>
      </c>
      <c r="N7" s="48">
        <v>3447704</v>
      </c>
      <c r="O7" s="48">
        <v>2897920</v>
      </c>
      <c r="P7" s="48">
        <v>6345624</v>
      </c>
      <c r="Q7" s="48">
        <v>54.33</v>
      </c>
      <c r="R7" s="178"/>
      <c r="S7" s="215">
        <v>44865</v>
      </c>
      <c r="T7" s="48">
        <v>1652570</v>
      </c>
      <c r="U7" s="48">
        <v>736313</v>
      </c>
      <c r="V7" s="48">
        <v>2388883</v>
      </c>
      <c r="W7" s="48">
        <v>69.180000000000007</v>
      </c>
      <c r="Y7" s="215">
        <v>44865</v>
      </c>
      <c r="Z7" s="48">
        <v>2860309</v>
      </c>
      <c r="AA7" s="48">
        <v>575710</v>
      </c>
      <c r="AB7" s="48">
        <v>3436019</v>
      </c>
      <c r="AC7" s="48">
        <v>83.24</v>
      </c>
      <c r="AE7" s="48"/>
      <c r="AF7" s="48"/>
      <c r="AG7" s="48"/>
      <c r="AH7" s="48"/>
      <c r="AI7" s="48"/>
      <c r="AK7" s="48"/>
      <c r="AL7" s="48"/>
      <c r="AM7" s="48"/>
      <c r="AN7" s="48"/>
      <c r="AO7" s="48"/>
      <c r="AQ7" s="48"/>
      <c r="AR7" s="48"/>
      <c r="AS7" s="48"/>
      <c r="AT7" s="48"/>
      <c r="AU7" s="48"/>
      <c r="AX7" s="48"/>
      <c r="AY7" s="48"/>
      <c r="AZ7" s="48"/>
      <c r="BA7" s="48"/>
      <c r="BB7" s="48"/>
    </row>
    <row r="8" spans="1:56" s="57" customFormat="1" hidden="1" x14ac:dyDescent="0.25">
      <c r="A8" s="215">
        <v>44866</v>
      </c>
      <c r="B8" s="48">
        <v>10674791</v>
      </c>
      <c r="C8" s="48">
        <v>737479</v>
      </c>
      <c r="D8" s="48">
        <v>11412270</v>
      </c>
      <c r="E8" s="48">
        <v>93.53</v>
      </c>
      <c r="G8" s="215">
        <v>44866</v>
      </c>
      <c r="H8" s="48">
        <v>494941</v>
      </c>
      <c r="I8" s="48">
        <v>179665</v>
      </c>
      <c r="J8" s="48">
        <v>674606</v>
      </c>
      <c r="K8" s="48">
        <v>73.36</v>
      </c>
      <c r="M8" s="215">
        <v>44866</v>
      </c>
      <c r="N8" s="48">
        <v>2623468</v>
      </c>
      <c r="O8" s="48">
        <v>2883948</v>
      </c>
      <c r="P8" s="48">
        <v>5507416</v>
      </c>
      <c r="Q8" s="48">
        <v>47.63</v>
      </c>
      <c r="R8" s="178"/>
      <c r="S8" s="215">
        <v>44866</v>
      </c>
      <c r="T8" s="48">
        <v>1861138</v>
      </c>
      <c r="U8" s="48">
        <v>1190147</v>
      </c>
      <c r="V8" s="48">
        <v>3051285</v>
      </c>
      <c r="W8" s="48">
        <v>60.99</v>
      </c>
      <c r="Y8" s="215">
        <v>44866</v>
      </c>
      <c r="Z8" s="48">
        <v>2423909</v>
      </c>
      <c r="AA8" s="48">
        <v>542368</v>
      </c>
      <c r="AB8" s="48">
        <v>2966277</v>
      </c>
      <c r="AC8" s="48">
        <v>81.709999999999994</v>
      </c>
      <c r="AE8" s="48"/>
      <c r="AF8" s="48"/>
      <c r="AG8" s="48"/>
      <c r="AH8" s="48"/>
      <c r="AI8" s="48"/>
      <c r="AK8" s="48"/>
      <c r="AL8" s="48"/>
      <c r="AM8" s="48"/>
      <c r="AN8" s="48"/>
      <c r="AO8" s="48"/>
      <c r="AQ8" s="48"/>
      <c r="AR8" s="48"/>
      <c r="AS8" s="48"/>
      <c r="AT8" s="48"/>
      <c r="AU8" s="48"/>
      <c r="AX8" s="48"/>
      <c r="AY8" s="48"/>
      <c r="AZ8" s="48"/>
      <c r="BA8" s="48"/>
      <c r="BB8" s="48"/>
    </row>
    <row r="9" spans="1:56" s="57" customFormat="1" hidden="1" x14ac:dyDescent="0.25">
      <c r="A9" s="215">
        <v>44867</v>
      </c>
      <c r="B9" s="48">
        <v>11857055</v>
      </c>
      <c r="C9" s="48">
        <v>761962</v>
      </c>
      <c r="D9" s="48">
        <v>12619017</v>
      </c>
      <c r="E9" s="48">
        <v>93.96</v>
      </c>
      <c r="G9" s="215">
        <v>44867</v>
      </c>
      <c r="H9" s="48">
        <v>8447323</v>
      </c>
      <c r="I9" s="48">
        <v>3524141</v>
      </c>
      <c r="J9" s="48">
        <v>11971464</v>
      </c>
      <c r="K9" s="48">
        <v>70.56</v>
      </c>
      <c r="M9" s="215">
        <v>44867</v>
      </c>
      <c r="N9" s="48">
        <v>5022424</v>
      </c>
      <c r="O9" s="48">
        <v>3532494</v>
      </c>
      <c r="P9" s="48">
        <v>8554918</v>
      </c>
      <c r="Q9" s="48">
        <v>58.7</v>
      </c>
      <c r="R9" s="178"/>
      <c r="S9" s="215">
        <v>44867</v>
      </c>
      <c r="T9" s="48">
        <v>1345206</v>
      </c>
      <c r="U9" s="48">
        <v>1971232</v>
      </c>
      <c r="V9" s="48">
        <v>3316438</v>
      </c>
      <c r="W9" s="48">
        <v>40.56</v>
      </c>
      <c r="Y9" s="215">
        <v>44867</v>
      </c>
      <c r="Z9" s="48">
        <v>2722809</v>
      </c>
      <c r="AA9" s="48">
        <v>631529</v>
      </c>
      <c r="AB9" s="48">
        <v>3354338</v>
      </c>
      <c r="AC9" s="48">
        <v>81.17</v>
      </c>
      <c r="AE9" s="48"/>
      <c r="AF9" s="48"/>
      <c r="AG9" s="48"/>
      <c r="AH9" s="48"/>
      <c r="AI9" s="48"/>
      <c r="AK9" s="48"/>
      <c r="AL9" s="48"/>
      <c r="AM9" s="48"/>
      <c r="AN9" s="48"/>
      <c r="AO9" s="48"/>
      <c r="AQ9" s="48"/>
      <c r="AR9" s="48"/>
      <c r="AS9" s="48"/>
      <c r="AT9" s="48"/>
      <c r="AU9" s="48"/>
      <c r="AX9" s="48"/>
      <c r="AY9" s="48"/>
      <c r="AZ9" s="48"/>
      <c r="BA9" s="48"/>
      <c r="BB9" s="48"/>
    </row>
    <row r="10" spans="1:56" s="57" customFormat="1" hidden="1" x14ac:dyDescent="0.25">
      <c r="A10" s="215">
        <v>44868</v>
      </c>
      <c r="B10" s="48">
        <v>10947396</v>
      </c>
      <c r="C10" s="48">
        <v>751559</v>
      </c>
      <c r="D10" s="48">
        <v>11698955</v>
      </c>
      <c r="E10" s="48">
        <v>93.57</v>
      </c>
      <c r="G10" s="215">
        <v>44868</v>
      </c>
      <c r="H10" s="48">
        <v>4181083</v>
      </c>
      <c r="I10" s="48">
        <v>1908207</v>
      </c>
      <c r="J10" s="48">
        <v>6089290</v>
      </c>
      <c r="K10" s="48">
        <v>68.66</v>
      </c>
      <c r="M10" s="215">
        <v>44868</v>
      </c>
      <c r="N10" s="48">
        <v>4823765</v>
      </c>
      <c r="O10" s="48">
        <v>3513877</v>
      </c>
      <c r="P10" s="48">
        <v>8337642</v>
      </c>
      <c r="Q10" s="48">
        <v>57.85</v>
      </c>
      <c r="R10" s="178"/>
      <c r="S10" s="215">
        <v>44868</v>
      </c>
      <c r="T10" s="48">
        <v>935540</v>
      </c>
      <c r="U10" s="48">
        <v>1332059</v>
      </c>
      <c r="V10" s="48">
        <v>2267599</v>
      </c>
      <c r="W10" s="48">
        <v>41.25</v>
      </c>
      <c r="Y10" s="215">
        <v>44868</v>
      </c>
      <c r="Z10" s="48">
        <v>2902695</v>
      </c>
      <c r="AA10" s="48">
        <v>783587</v>
      </c>
      <c r="AB10" s="48">
        <v>3686282</v>
      </c>
      <c r="AC10" s="48">
        <v>78.739999999999995</v>
      </c>
      <c r="AE10" s="48"/>
      <c r="AF10" s="48"/>
      <c r="AG10" s="48"/>
      <c r="AH10" s="48"/>
      <c r="AI10" s="48"/>
      <c r="AK10" s="48"/>
      <c r="AL10" s="48"/>
      <c r="AM10" s="48"/>
      <c r="AN10" s="48"/>
      <c r="AO10" s="48"/>
      <c r="AQ10" s="48"/>
      <c r="AR10" s="48"/>
      <c r="AS10" s="48"/>
      <c r="AT10" s="48"/>
      <c r="AU10" s="48"/>
      <c r="AX10" s="48"/>
      <c r="AY10" s="48"/>
      <c r="AZ10" s="48"/>
      <c r="BA10" s="48"/>
      <c r="BB10" s="48"/>
    </row>
    <row r="11" spans="1:56" s="57" customFormat="1" hidden="1" x14ac:dyDescent="0.25">
      <c r="A11" s="215">
        <v>44869</v>
      </c>
      <c r="B11" s="48">
        <v>11583943</v>
      </c>
      <c r="C11" s="48">
        <v>801289</v>
      </c>
      <c r="D11" s="48">
        <v>12385232</v>
      </c>
      <c r="E11" s="48">
        <v>93.53</v>
      </c>
      <c r="G11" s="215">
        <v>44869</v>
      </c>
      <c r="H11" s="48">
        <v>3327326</v>
      </c>
      <c r="I11" s="48">
        <v>1271627</v>
      </c>
      <c r="J11" s="48">
        <v>4598953</v>
      </c>
      <c r="K11" s="48">
        <v>72.349999999999994</v>
      </c>
      <c r="M11" s="215">
        <v>44869</v>
      </c>
      <c r="N11" s="48">
        <v>4395753</v>
      </c>
      <c r="O11" s="48">
        <v>3765754</v>
      </c>
      <c r="P11" s="48">
        <v>8161507</v>
      </c>
      <c r="Q11" s="48">
        <v>53.86</v>
      </c>
      <c r="R11" s="178"/>
      <c r="S11" s="215">
        <v>44869</v>
      </c>
      <c r="T11" s="48">
        <v>1057436</v>
      </c>
      <c r="U11" s="48">
        <v>1302873</v>
      </c>
      <c r="V11" s="48">
        <v>2360309</v>
      </c>
      <c r="W11" s="48">
        <v>44.8</v>
      </c>
      <c r="Y11" s="215">
        <v>44869</v>
      </c>
      <c r="Z11" s="48">
        <v>2662901</v>
      </c>
      <c r="AA11" s="48">
        <v>790717</v>
      </c>
      <c r="AB11" s="48">
        <v>3453618</v>
      </c>
      <c r="AC11" s="48">
        <v>77.099999999999994</v>
      </c>
      <c r="AE11" s="48"/>
      <c r="AF11" s="48"/>
      <c r="AG11" s="48"/>
      <c r="AH11" s="48"/>
      <c r="AI11" s="48"/>
      <c r="AK11" s="48"/>
      <c r="AL11" s="48"/>
      <c r="AM11" s="48"/>
      <c r="AN11" s="48"/>
      <c r="AO11" s="48"/>
      <c r="AQ11" s="48"/>
      <c r="AR11" s="48"/>
      <c r="AS11" s="48"/>
      <c r="AT11" s="48"/>
      <c r="AU11" s="48"/>
      <c r="AX11" s="48"/>
      <c r="AY11" s="48"/>
      <c r="AZ11" s="48"/>
      <c r="BA11" s="48"/>
      <c r="BB11" s="48"/>
    </row>
    <row r="12" spans="1:56" s="57" customFormat="1" hidden="1" x14ac:dyDescent="0.25">
      <c r="A12" s="215">
        <v>44870</v>
      </c>
      <c r="B12" s="48">
        <v>10949329</v>
      </c>
      <c r="C12" s="48">
        <v>758363</v>
      </c>
      <c r="D12" s="48">
        <v>11707692</v>
      </c>
      <c r="E12" s="48">
        <v>93.52</v>
      </c>
      <c r="G12" s="215">
        <v>44870</v>
      </c>
      <c r="H12" s="48">
        <v>4222746</v>
      </c>
      <c r="I12" s="48">
        <v>1867243</v>
      </c>
      <c r="J12" s="48">
        <v>6089989</v>
      </c>
      <c r="K12" s="48">
        <v>69.33</v>
      </c>
      <c r="M12" s="215">
        <v>44870</v>
      </c>
      <c r="N12" s="48">
        <v>3989228</v>
      </c>
      <c r="O12" s="48">
        <v>3444757</v>
      </c>
      <c r="P12" s="48">
        <v>7433985</v>
      </c>
      <c r="Q12" s="48">
        <v>53.66</v>
      </c>
      <c r="S12" s="215">
        <v>44870</v>
      </c>
      <c r="T12" s="48">
        <v>1160006</v>
      </c>
      <c r="U12" s="48">
        <v>1763729</v>
      </c>
      <c r="V12" s="48">
        <v>2923735</v>
      </c>
      <c r="W12" s="48">
        <v>39.67</v>
      </c>
      <c r="Y12" s="215">
        <v>44870</v>
      </c>
      <c r="Z12" s="48">
        <v>2740237</v>
      </c>
      <c r="AA12" s="48">
        <v>833329</v>
      </c>
      <c r="AB12" s="48">
        <v>3573566</v>
      </c>
      <c r="AC12" s="48">
        <v>76.680000000000007</v>
      </c>
      <c r="AE12" s="48"/>
      <c r="AF12" s="48"/>
      <c r="AG12" s="48"/>
      <c r="AH12" s="48"/>
      <c r="AI12" s="48"/>
      <c r="AK12" s="48"/>
      <c r="AL12" s="48"/>
      <c r="AM12" s="48"/>
      <c r="AN12" s="48"/>
      <c r="AO12" s="48"/>
      <c r="AQ12" s="48"/>
      <c r="AR12" s="48"/>
      <c r="AS12" s="48"/>
      <c r="AT12" s="48"/>
      <c r="AU12" s="48"/>
      <c r="AX12" s="48"/>
      <c r="AY12" s="48"/>
      <c r="AZ12" s="48"/>
      <c r="BA12" s="48"/>
      <c r="BB12" s="48"/>
    </row>
    <row r="13" spans="1:56" s="57" customFormat="1" hidden="1" x14ac:dyDescent="0.25">
      <c r="A13" s="215">
        <v>44871</v>
      </c>
      <c r="B13" s="48">
        <v>9210745</v>
      </c>
      <c r="C13" s="48">
        <v>712103</v>
      </c>
      <c r="D13" s="48">
        <v>9922848</v>
      </c>
      <c r="E13" s="48">
        <v>92.82</v>
      </c>
      <c r="G13" s="215">
        <v>44871</v>
      </c>
      <c r="H13" s="48">
        <v>4122500</v>
      </c>
      <c r="I13" s="48">
        <v>1853500</v>
      </c>
      <c r="J13" s="48">
        <v>5976000</v>
      </c>
      <c r="K13" s="48">
        <v>68.98</v>
      </c>
      <c r="M13" s="215">
        <v>44871</v>
      </c>
      <c r="N13" s="48">
        <v>3185898</v>
      </c>
      <c r="O13" s="48">
        <v>2977352</v>
      </c>
      <c r="P13" s="48">
        <v>6163250</v>
      </c>
      <c r="Q13" s="48">
        <v>51.69</v>
      </c>
      <c r="S13" s="215">
        <v>44871</v>
      </c>
      <c r="T13" s="48">
        <v>202839</v>
      </c>
      <c r="U13" s="48">
        <v>46532</v>
      </c>
      <c r="V13" s="48">
        <v>249371</v>
      </c>
      <c r="W13" s="48">
        <v>81.34</v>
      </c>
      <c r="Y13" s="215">
        <v>44871</v>
      </c>
      <c r="Z13" s="48">
        <v>2775102</v>
      </c>
      <c r="AA13" s="48">
        <v>803025</v>
      </c>
      <c r="AB13" s="48">
        <v>3578127</v>
      </c>
      <c r="AC13" s="48">
        <v>77.56</v>
      </c>
      <c r="AE13" s="48"/>
      <c r="AF13" s="48"/>
      <c r="AG13" s="48"/>
      <c r="AH13" s="48"/>
      <c r="AI13" s="48"/>
      <c r="AK13" s="48"/>
      <c r="AL13" s="48"/>
      <c r="AM13" s="48"/>
      <c r="AN13" s="48"/>
      <c r="AO13" s="48"/>
      <c r="AQ13" s="48"/>
      <c r="AR13" s="48"/>
      <c r="AS13" s="48"/>
      <c r="AT13" s="48"/>
      <c r="AU13" s="48"/>
      <c r="AX13" s="48"/>
      <c r="AY13" s="48"/>
      <c r="AZ13" s="48"/>
      <c r="BA13" s="48"/>
      <c r="BB13" s="48"/>
    </row>
    <row r="14" spans="1:56" s="57" customFormat="1" hidden="1" x14ac:dyDescent="0.25">
      <c r="A14" s="215">
        <v>44872</v>
      </c>
      <c r="B14" s="48">
        <v>11532754</v>
      </c>
      <c r="C14" s="48">
        <v>665514</v>
      </c>
      <c r="D14" s="48">
        <v>12198268</v>
      </c>
      <c r="E14" s="48">
        <v>94.54</v>
      </c>
      <c r="G14" s="215">
        <v>44872</v>
      </c>
      <c r="H14" s="48">
        <v>3821767</v>
      </c>
      <c r="I14" s="48">
        <v>1636861</v>
      </c>
      <c r="J14" s="48">
        <v>5458628</v>
      </c>
      <c r="K14" s="48">
        <v>70.010000000000005</v>
      </c>
      <c r="M14" s="215">
        <v>44872</v>
      </c>
      <c r="N14" s="48">
        <v>2540440</v>
      </c>
      <c r="O14" s="48">
        <v>2375170</v>
      </c>
      <c r="P14" s="48">
        <v>4915610</v>
      </c>
      <c r="Q14" s="48">
        <v>51.68</v>
      </c>
      <c r="S14" s="215">
        <v>44872</v>
      </c>
      <c r="T14" s="48">
        <v>1376174</v>
      </c>
      <c r="U14" s="48">
        <v>1142394</v>
      </c>
      <c r="V14" s="48">
        <v>2518568</v>
      </c>
      <c r="W14" s="48">
        <v>54.64</v>
      </c>
      <c r="Y14" s="215">
        <v>44872</v>
      </c>
      <c r="Z14" s="48">
        <v>2637317</v>
      </c>
      <c r="AA14" s="48">
        <v>799993</v>
      </c>
      <c r="AB14" s="48">
        <v>3437310</v>
      </c>
      <c r="AC14" s="48">
        <v>76.73</v>
      </c>
      <c r="AE14" s="48"/>
      <c r="AF14" s="48"/>
      <c r="AG14" s="48"/>
      <c r="AH14" s="48"/>
      <c r="AI14" s="48"/>
      <c r="AK14" s="48"/>
      <c r="AL14" s="48"/>
      <c r="AM14" s="48"/>
      <c r="AN14" s="48"/>
      <c r="AO14" s="48"/>
      <c r="AQ14" s="48"/>
      <c r="AR14" s="48"/>
      <c r="AS14" s="48"/>
      <c r="AT14" s="48"/>
      <c r="AU14" s="48"/>
      <c r="AX14" s="48"/>
      <c r="AY14" s="48"/>
      <c r="AZ14" s="48"/>
      <c r="BA14" s="48"/>
      <c r="BB14" s="48"/>
    </row>
    <row r="15" spans="1:56" s="57" customFormat="1" hidden="1" x14ac:dyDescent="0.25">
      <c r="A15" s="215">
        <v>44873</v>
      </c>
      <c r="B15" s="104">
        <v>11269978</v>
      </c>
      <c r="C15" s="104">
        <v>723555</v>
      </c>
      <c r="D15" s="104">
        <v>11993533</v>
      </c>
      <c r="E15" s="48">
        <v>93.97</v>
      </c>
      <c r="G15" s="215">
        <v>44873</v>
      </c>
      <c r="H15" s="104">
        <v>4219051</v>
      </c>
      <c r="I15" s="104">
        <v>1349830</v>
      </c>
      <c r="J15" s="104">
        <v>5568881</v>
      </c>
      <c r="K15" s="104">
        <v>75.760000000000005</v>
      </c>
      <c r="M15" s="215">
        <v>44873</v>
      </c>
      <c r="N15" s="104">
        <v>3490446</v>
      </c>
      <c r="O15" s="104">
        <v>3216979</v>
      </c>
      <c r="P15" s="104">
        <v>6707425</v>
      </c>
      <c r="Q15" s="104">
        <v>52.04</v>
      </c>
      <c r="S15" s="215">
        <v>44873</v>
      </c>
      <c r="T15" s="104">
        <v>1496716</v>
      </c>
      <c r="U15" s="104">
        <v>1202306</v>
      </c>
      <c r="V15" s="104">
        <v>2699022</v>
      </c>
      <c r="W15" s="104">
        <v>55.45</v>
      </c>
      <c r="Y15" s="215">
        <v>44873</v>
      </c>
      <c r="Z15" s="104">
        <v>2999087</v>
      </c>
      <c r="AA15" s="104">
        <v>785864</v>
      </c>
      <c r="AB15" s="104">
        <v>3784951</v>
      </c>
      <c r="AC15" s="104">
        <v>79.239999999999995</v>
      </c>
      <c r="AE15" s="48"/>
      <c r="AF15" s="48"/>
      <c r="AG15" s="48"/>
      <c r="AH15" s="48"/>
      <c r="AI15" s="48"/>
      <c r="AK15" s="48"/>
      <c r="AL15" s="48"/>
      <c r="AM15" s="48"/>
      <c r="AN15" s="48"/>
      <c r="AO15" s="48"/>
      <c r="AQ15" s="48"/>
      <c r="AR15" s="48"/>
      <c r="AS15" s="48"/>
      <c r="AT15" s="48"/>
      <c r="AU15" s="48"/>
      <c r="AX15" s="48"/>
      <c r="AY15" s="48"/>
      <c r="AZ15" s="48"/>
      <c r="BA15" s="48"/>
      <c r="BB15" s="48"/>
    </row>
    <row r="16" spans="1:56" s="57" customFormat="1" hidden="1" x14ac:dyDescent="0.25">
      <c r="A16" s="215">
        <v>44874</v>
      </c>
      <c r="B16" s="104">
        <v>10950951</v>
      </c>
      <c r="C16" s="215">
        <v>45194</v>
      </c>
      <c r="D16" s="104">
        <v>11687132</v>
      </c>
      <c r="E16" s="104">
        <v>93.7</v>
      </c>
      <c r="G16" s="215">
        <v>44874</v>
      </c>
      <c r="H16" s="104">
        <v>3733810</v>
      </c>
      <c r="I16" s="104">
        <v>1592196</v>
      </c>
      <c r="J16" s="104">
        <v>5326006</v>
      </c>
      <c r="K16" s="104">
        <v>70.11</v>
      </c>
      <c r="M16" s="215">
        <v>44874</v>
      </c>
      <c r="N16" s="104">
        <v>3534517</v>
      </c>
      <c r="O16" s="104">
        <v>2916552</v>
      </c>
      <c r="P16" s="104">
        <v>6451069</v>
      </c>
      <c r="Q16" s="104">
        <v>54.79</v>
      </c>
      <c r="S16" s="215">
        <v>44874</v>
      </c>
      <c r="T16" s="104">
        <v>1498789</v>
      </c>
      <c r="U16" s="104">
        <v>1206585</v>
      </c>
      <c r="V16" s="104">
        <v>2705374</v>
      </c>
      <c r="W16" s="104">
        <v>55.4</v>
      </c>
      <c r="Y16" s="215">
        <v>44874</v>
      </c>
      <c r="Z16" s="104">
        <v>2809324</v>
      </c>
      <c r="AA16" s="104">
        <v>790882</v>
      </c>
      <c r="AB16" s="104">
        <v>3600206</v>
      </c>
      <c r="AC16" s="104">
        <v>78.03</v>
      </c>
      <c r="AE16" s="48"/>
      <c r="AF16" s="48"/>
      <c r="AG16" s="48"/>
      <c r="AH16" s="48"/>
      <c r="AI16" s="48"/>
      <c r="AK16" s="48"/>
      <c r="AL16" s="48"/>
      <c r="AM16" s="48"/>
      <c r="AN16" s="48"/>
      <c r="AO16" s="48"/>
      <c r="AQ16" s="48"/>
      <c r="AR16" s="48"/>
      <c r="AS16" s="48"/>
      <c r="AT16" s="48"/>
      <c r="AU16" s="48"/>
      <c r="AX16" s="48"/>
      <c r="AY16" s="48"/>
      <c r="AZ16" s="48"/>
      <c r="BA16" s="48"/>
      <c r="BB16" s="48"/>
    </row>
    <row r="17" spans="1:54" s="57" customFormat="1" hidden="1" x14ac:dyDescent="0.25">
      <c r="A17" s="215">
        <v>44875</v>
      </c>
      <c r="B17" s="104">
        <v>10776164</v>
      </c>
      <c r="C17" s="104">
        <v>631954</v>
      </c>
      <c r="D17" s="104">
        <v>11408118</v>
      </c>
      <c r="E17" s="104">
        <v>94.46</v>
      </c>
      <c r="G17" s="215">
        <v>44875</v>
      </c>
      <c r="H17" s="104">
        <v>3255427</v>
      </c>
      <c r="I17" s="104">
        <v>1261516</v>
      </c>
      <c r="J17" s="104">
        <v>4516943</v>
      </c>
      <c r="K17" s="104">
        <v>72.069999999999993</v>
      </c>
      <c r="M17" s="215">
        <v>44875</v>
      </c>
      <c r="N17" s="104">
        <v>4043025</v>
      </c>
      <c r="O17" s="104">
        <v>3046505</v>
      </c>
      <c r="P17" s="104">
        <v>7089530</v>
      </c>
      <c r="Q17" s="104">
        <v>57.03</v>
      </c>
      <c r="S17" s="215">
        <v>44875</v>
      </c>
      <c r="T17" s="104">
        <v>1559696</v>
      </c>
      <c r="U17" s="104">
        <v>1228976</v>
      </c>
      <c r="V17" s="104">
        <v>2788672</v>
      </c>
      <c r="W17" s="104">
        <v>55.93</v>
      </c>
      <c r="Y17" s="215">
        <v>44875</v>
      </c>
      <c r="Z17" s="104">
        <v>3089889</v>
      </c>
      <c r="AA17" s="104">
        <v>649105</v>
      </c>
      <c r="AB17" s="104">
        <v>3738994</v>
      </c>
      <c r="AC17" s="104">
        <v>82.64</v>
      </c>
      <c r="AE17" s="48"/>
      <c r="AF17" s="48"/>
      <c r="AG17" s="48"/>
      <c r="AH17" s="48"/>
      <c r="AI17" s="48"/>
      <c r="AK17" s="48"/>
      <c r="AL17" s="48"/>
      <c r="AM17" s="48"/>
      <c r="AN17" s="48"/>
      <c r="AO17" s="48"/>
      <c r="AQ17" s="48"/>
      <c r="AR17" s="48"/>
      <c r="AS17" s="48"/>
      <c r="AT17" s="48"/>
      <c r="AU17" s="48"/>
      <c r="AX17" s="48"/>
      <c r="AY17" s="48"/>
      <c r="AZ17" s="48"/>
      <c r="BA17" s="48"/>
      <c r="BB17" s="48"/>
    </row>
    <row r="18" spans="1:54" s="57" customFormat="1" hidden="1" x14ac:dyDescent="0.25">
      <c r="A18" s="215">
        <v>44876</v>
      </c>
      <c r="B18" s="104">
        <v>11175250</v>
      </c>
      <c r="C18" s="104">
        <v>752356</v>
      </c>
      <c r="D18" s="104">
        <v>11927606</v>
      </c>
      <c r="E18" s="104">
        <v>93.69</v>
      </c>
      <c r="G18" s="215">
        <v>44876</v>
      </c>
      <c r="H18" s="104">
        <v>4259729</v>
      </c>
      <c r="I18" s="104">
        <v>1566423</v>
      </c>
      <c r="J18" s="104">
        <v>5826152</v>
      </c>
      <c r="K18" s="104">
        <v>73.11</v>
      </c>
      <c r="M18" s="215">
        <v>44876</v>
      </c>
      <c r="N18" s="104">
        <v>3256031</v>
      </c>
      <c r="O18" s="104">
        <v>3151274</v>
      </c>
      <c r="P18" s="104">
        <v>6407305</v>
      </c>
      <c r="Q18" s="104">
        <v>50.82</v>
      </c>
      <c r="S18" s="215">
        <v>44876</v>
      </c>
      <c r="T18" s="104">
        <v>1559656</v>
      </c>
      <c r="U18" s="104">
        <v>1191820</v>
      </c>
      <c r="V18" s="104">
        <v>2751476</v>
      </c>
      <c r="W18" s="104">
        <v>56.68</v>
      </c>
      <c r="Y18" s="215">
        <v>44876</v>
      </c>
      <c r="Z18" s="104">
        <v>3251498</v>
      </c>
      <c r="AA18" s="104">
        <v>804186</v>
      </c>
      <c r="AB18" s="104">
        <v>4055684</v>
      </c>
      <c r="AC18" s="104">
        <v>80.17</v>
      </c>
      <c r="AE18" s="48"/>
      <c r="AF18" s="48"/>
      <c r="AG18" s="48"/>
      <c r="AH18" s="48"/>
      <c r="AI18" s="48"/>
      <c r="AK18" s="48"/>
      <c r="AL18" s="48"/>
      <c r="AM18" s="48"/>
      <c r="AN18" s="48"/>
      <c r="AO18" s="48"/>
      <c r="AQ18" s="48"/>
      <c r="AR18" s="48"/>
      <c r="AS18" s="48"/>
      <c r="AT18" s="48"/>
      <c r="AU18" s="48"/>
      <c r="AX18" s="48"/>
      <c r="AY18" s="48"/>
      <c r="AZ18" s="48"/>
      <c r="BA18" s="48"/>
      <c r="BB18" s="48"/>
    </row>
    <row r="19" spans="1:54" s="57" customFormat="1" hidden="1" x14ac:dyDescent="0.25">
      <c r="A19" s="215">
        <v>44877</v>
      </c>
      <c r="B19" s="104">
        <v>10843915</v>
      </c>
      <c r="C19" s="104">
        <v>720126</v>
      </c>
      <c r="D19" s="104">
        <v>11564041</v>
      </c>
      <c r="E19" s="104">
        <v>93.77</v>
      </c>
      <c r="G19" s="215">
        <v>44877</v>
      </c>
      <c r="H19" s="104">
        <v>4225695</v>
      </c>
      <c r="I19" s="104">
        <v>1621158</v>
      </c>
      <c r="J19" s="104">
        <v>5846853</v>
      </c>
      <c r="K19" s="104">
        <v>72.27</v>
      </c>
      <c r="M19" s="215">
        <v>44877</v>
      </c>
      <c r="N19" s="104">
        <v>4121282</v>
      </c>
      <c r="O19" s="104">
        <v>3428001</v>
      </c>
      <c r="P19" s="104">
        <v>7549283</v>
      </c>
      <c r="Q19" s="104">
        <v>54.59</v>
      </c>
      <c r="S19" s="215">
        <v>44877</v>
      </c>
      <c r="T19" s="104">
        <v>1751094</v>
      </c>
      <c r="U19" s="104">
        <v>1235407</v>
      </c>
      <c r="V19" s="104">
        <v>2986501</v>
      </c>
      <c r="W19" s="104">
        <v>58.63</v>
      </c>
      <c r="Y19" s="215">
        <v>44877</v>
      </c>
      <c r="Z19" s="104">
        <v>2878894</v>
      </c>
      <c r="AA19" s="104">
        <v>749576</v>
      </c>
      <c r="AB19" s="104">
        <v>3628470</v>
      </c>
      <c r="AC19" s="104">
        <v>79.34</v>
      </c>
      <c r="AE19" s="48"/>
      <c r="AF19" s="48"/>
      <c r="AG19" s="48"/>
      <c r="AH19" s="48"/>
      <c r="AI19" s="48"/>
      <c r="AK19" s="48"/>
      <c r="AL19" s="48"/>
      <c r="AM19" s="48"/>
      <c r="AN19" s="48"/>
      <c r="AO19" s="48"/>
      <c r="AQ19" s="48"/>
      <c r="AR19" s="48"/>
      <c r="AS19" s="48"/>
      <c r="AT19" s="48"/>
      <c r="AU19" s="48"/>
      <c r="AX19" s="48"/>
      <c r="AY19" s="48"/>
      <c r="AZ19" s="48"/>
      <c r="BA19" s="48"/>
      <c r="BB19" s="48"/>
    </row>
    <row r="20" spans="1:54" s="57" customFormat="1" hidden="1" x14ac:dyDescent="0.25">
      <c r="A20" s="215">
        <v>44878</v>
      </c>
      <c r="B20" s="104">
        <v>9075577</v>
      </c>
      <c r="C20" s="104">
        <v>652834</v>
      </c>
      <c r="D20" s="104">
        <v>9728411</v>
      </c>
      <c r="E20" s="104">
        <v>93.29</v>
      </c>
      <c r="G20" s="215">
        <v>44878</v>
      </c>
      <c r="H20" s="104">
        <v>4065270</v>
      </c>
      <c r="I20" s="104">
        <v>1480624</v>
      </c>
      <c r="J20" s="104">
        <v>5545894</v>
      </c>
      <c r="K20" s="104">
        <v>73.3</v>
      </c>
      <c r="M20" s="215">
        <v>44878</v>
      </c>
      <c r="N20" s="104">
        <v>3028597</v>
      </c>
      <c r="O20" s="104">
        <v>3276219</v>
      </c>
      <c r="P20" s="104">
        <v>6304816</v>
      </c>
      <c r="Q20" s="104">
        <v>48.04</v>
      </c>
      <c r="S20" s="215">
        <v>44878</v>
      </c>
      <c r="T20" s="104">
        <v>435167</v>
      </c>
      <c r="U20" s="104">
        <v>103711</v>
      </c>
      <c r="V20" s="104">
        <v>538878</v>
      </c>
      <c r="W20" s="104">
        <v>80.75</v>
      </c>
      <c r="Y20" s="215">
        <v>44878</v>
      </c>
      <c r="Z20" s="104">
        <v>2835971</v>
      </c>
      <c r="AA20" s="104">
        <v>783088</v>
      </c>
      <c r="AB20" s="104">
        <v>3619059</v>
      </c>
      <c r="AC20" s="104">
        <v>78.36</v>
      </c>
      <c r="AE20" s="48"/>
      <c r="AF20" s="48"/>
      <c r="AG20" s="48"/>
      <c r="AH20" s="48"/>
      <c r="AI20" s="48"/>
      <c r="AK20" s="48"/>
      <c r="AL20" s="48"/>
      <c r="AM20" s="48"/>
      <c r="AN20" s="48"/>
      <c r="AO20" s="48"/>
      <c r="AQ20" s="48"/>
      <c r="AR20" s="48"/>
      <c r="AS20" s="48"/>
      <c r="AT20" s="48"/>
      <c r="AU20" s="48"/>
      <c r="AX20" s="48"/>
      <c r="AY20" s="48"/>
      <c r="AZ20" s="48"/>
      <c r="BA20" s="48"/>
      <c r="BB20" s="48"/>
    </row>
    <row r="21" spans="1:54" s="57" customFormat="1" hidden="1" x14ac:dyDescent="0.25">
      <c r="A21" s="215">
        <v>44879</v>
      </c>
      <c r="B21" s="161">
        <v>10883746</v>
      </c>
      <c r="C21" s="161">
        <v>744863</v>
      </c>
      <c r="D21" s="161">
        <v>11628609</v>
      </c>
      <c r="E21" s="161">
        <v>93.59</v>
      </c>
      <c r="G21" s="215">
        <v>44879</v>
      </c>
      <c r="H21" s="104">
        <v>4348944</v>
      </c>
      <c r="I21" s="104">
        <v>1661672</v>
      </c>
      <c r="J21" s="104">
        <v>6010616</v>
      </c>
      <c r="K21" s="104">
        <v>72.349999999999994</v>
      </c>
      <c r="M21" s="215">
        <v>44879</v>
      </c>
      <c r="N21" s="104">
        <v>3080460</v>
      </c>
      <c r="O21" s="104">
        <v>3008548</v>
      </c>
      <c r="P21" s="104">
        <v>6089008</v>
      </c>
      <c r="Q21" s="104">
        <v>50.59</v>
      </c>
      <c r="S21" s="215">
        <v>44879</v>
      </c>
      <c r="T21" s="104">
        <v>1481550</v>
      </c>
      <c r="U21" s="104">
        <v>1247096</v>
      </c>
      <c r="V21" s="104">
        <v>2728646</v>
      </c>
      <c r="W21" s="104">
        <v>54.3</v>
      </c>
      <c r="Y21" s="215">
        <v>44879</v>
      </c>
      <c r="Z21" s="104">
        <v>2531496</v>
      </c>
      <c r="AA21" s="104">
        <v>826852</v>
      </c>
      <c r="AB21" s="104">
        <v>3358348</v>
      </c>
      <c r="AC21" s="104">
        <v>75.38</v>
      </c>
      <c r="AE21" s="48"/>
      <c r="AF21" s="48"/>
      <c r="AG21" s="48"/>
      <c r="AH21" s="48"/>
      <c r="AI21" s="48"/>
      <c r="AK21" s="48"/>
      <c r="AL21" s="48"/>
      <c r="AM21" s="48"/>
      <c r="AN21" s="48"/>
      <c r="AO21" s="48"/>
      <c r="AQ21" s="48"/>
      <c r="AR21" s="48"/>
      <c r="AS21" s="48"/>
      <c r="AT21" s="48"/>
      <c r="AU21" s="48"/>
      <c r="AX21" s="48"/>
      <c r="AY21" s="48"/>
      <c r="AZ21" s="48"/>
      <c r="BA21" s="48"/>
      <c r="BB21" s="48"/>
    </row>
    <row r="22" spans="1:54" s="57" customFormat="1" hidden="1" x14ac:dyDescent="0.25">
      <c r="A22" s="215">
        <v>44880</v>
      </c>
      <c r="B22" s="48">
        <v>10572036</v>
      </c>
      <c r="C22" s="48">
        <v>925229</v>
      </c>
      <c r="D22" s="48">
        <v>11497265</v>
      </c>
      <c r="E22" s="161">
        <v>91.95</v>
      </c>
      <c r="G22" s="215">
        <v>44880</v>
      </c>
      <c r="H22" s="48">
        <v>3744222</v>
      </c>
      <c r="I22" s="48">
        <v>1503177</v>
      </c>
      <c r="J22" s="48">
        <v>5247399</v>
      </c>
      <c r="K22" s="104">
        <v>71.349999999999994</v>
      </c>
      <c r="M22" s="215">
        <v>44880</v>
      </c>
      <c r="N22" s="48">
        <v>3078657</v>
      </c>
      <c r="O22" s="48">
        <v>3302473</v>
      </c>
      <c r="P22" s="48">
        <v>6381130</v>
      </c>
      <c r="Q22" s="104">
        <v>48.24</v>
      </c>
      <c r="S22" s="215">
        <v>44880</v>
      </c>
      <c r="T22" s="48">
        <v>1639721</v>
      </c>
      <c r="U22" s="48">
        <v>2422192</v>
      </c>
      <c r="V22" s="48">
        <v>4061913</v>
      </c>
      <c r="W22" s="104">
        <v>40.36</v>
      </c>
      <c r="Y22" s="215">
        <v>44880</v>
      </c>
      <c r="Z22" s="48">
        <v>2998483</v>
      </c>
      <c r="AA22" s="48">
        <v>855864</v>
      </c>
      <c r="AB22" s="48">
        <v>3854347</v>
      </c>
      <c r="AC22" s="104">
        <v>77.790000000000006</v>
      </c>
      <c r="AE22" s="48"/>
      <c r="AF22" s="48"/>
      <c r="AG22" s="48"/>
      <c r="AH22" s="48"/>
      <c r="AI22" s="48"/>
      <c r="AK22" s="48"/>
      <c r="AL22" s="48"/>
      <c r="AM22" s="48"/>
      <c r="AN22" s="48"/>
      <c r="AO22" s="48"/>
      <c r="AQ22" s="48"/>
      <c r="AR22" s="48"/>
      <c r="AS22" s="48"/>
      <c r="AT22" s="48"/>
      <c r="AU22" s="48"/>
      <c r="AX22" s="48"/>
      <c r="AY22" s="48"/>
      <c r="AZ22" s="48"/>
      <c r="BA22" s="48"/>
      <c r="BB22" s="48"/>
    </row>
    <row r="23" spans="1:54" s="57" customFormat="1" hidden="1" x14ac:dyDescent="0.25">
      <c r="A23" s="215">
        <v>44881</v>
      </c>
      <c r="B23" s="48">
        <v>9953666</v>
      </c>
      <c r="C23" s="48">
        <v>805769</v>
      </c>
      <c r="D23" s="48">
        <v>10759435</v>
      </c>
      <c r="E23" s="48">
        <v>92.51</v>
      </c>
      <c r="G23" s="215">
        <v>44881</v>
      </c>
      <c r="H23" s="48">
        <v>4569262</v>
      </c>
      <c r="I23" s="48">
        <v>1896626</v>
      </c>
      <c r="J23" s="48">
        <v>6465888</v>
      </c>
      <c r="K23" s="48">
        <v>70.66</v>
      </c>
      <c r="M23" s="215">
        <v>44881</v>
      </c>
      <c r="N23" s="48">
        <v>4352008</v>
      </c>
      <c r="O23" s="48">
        <v>2960812</v>
      </c>
      <c r="P23" s="48">
        <v>7312820</v>
      </c>
      <c r="Q23" s="48">
        <v>59.51</v>
      </c>
      <c r="S23" s="215">
        <v>44881</v>
      </c>
      <c r="T23" s="48">
        <v>1668463</v>
      </c>
      <c r="U23" s="48">
        <v>2224779</v>
      </c>
      <c r="V23" s="48">
        <v>3893242</v>
      </c>
      <c r="W23" s="104">
        <v>40.36</v>
      </c>
      <c r="Y23" s="215">
        <v>44881</v>
      </c>
      <c r="Z23" s="48">
        <v>2686666</v>
      </c>
      <c r="AA23" s="48">
        <v>823163</v>
      </c>
      <c r="AB23" s="48">
        <v>3509829</v>
      </c>
      <c r="AC23" s="48">
        <v>76.540000000000006</v>
      </c>
      <c r="AE23" s="48"/>
      <c r="AF23" s="48"/>
      <c r="AG23" s="48"/>
      <c r="AH23" s="48"/>
      <c r="AI23" s="48"/>
      <c r="AK23" s="48"/>
      <c r="AL23" s="48"/>
      <c r="AM23" s="48"/>
      <c r="AN23" s="48"/>
      <c r="AO23" s="48"/>
      <c r="AQ23" s="48"/>
      <c r="AR23" s="48"/>
      <c r="AS23" s="48"/>
      <c r="AT23" s="48"/>
      <c r="AU23" s="48"/>
      <c r="AX23" s="48"/>
      <c r="AY23" s="48"/>
      <c r="AZ23" s="48"/>
      <c r="BA23" s="48"/>
      <c r="BB23" s="48"/>
    </row>
    <row r="24" spans="1:54" s="57" customFormat="1" hidden="1" x14ac:dyDescent="0.25">
      <c r="A24" s="215">
        <v>44882</v>
      </c>
      <c r="B24" s="48">
        <v>10179049</v>
      </c>
      <c r="C24" s="48">
        <v>798552</v>
      </c>
      <c r="D24" s="48">
        <v>10977601</v>
      </c>
      <c r="E24" s="48">
        <v>92.72</v>
      </c>
      <c r="G24" s="215">
        <v>44882</v>
      </c>
      <c r="H24" s="48">
        <v>4193780</v>
      </c>
      <c r="I24" s="48">
        <v>1510706</v>
      </c>
      <c r="J24" s="48">
        <v>5704486</v>
      </c>
      <c r="K24" s="48">
        <v>73.510000000000005</v>
      </c>
      <c r="M24" s="215">
        <v>44882</v>
      </c>
      <c r="N24" s="48">
        <v>4717350</v>
      </c>
      <c r="O24" s="48">
        <v>3364413</v>
      </c>
      <c r="P24" s="48">
        <v>8081763</v>
      </c>
      <c r="Q24" s="48">
        <v>58.37</v>
      </c>
      <c r="S24" s="215">
        <v>44882</v>
      </c>
      <c r="T24" s="48">
        <v>1358350</v>
      </c>
      <c r="U24" s="48">
        <v>2010052</v>
      </c>
      <c r="V24" s="48">
        <v>3368402</v>
      </c>
      <c r="W24" s="48">
        <v>40.33</v>
      </c>
      <c r="Y24" s="215">
        <v>44882</v>
      </c>
      <c r="Z24" s="48">
        <v>2490420</v>
      </c>
      <c r="AA24" s="48">
        <v>802844</v>
      </c>
      <c r="AB24" s="48">
        <v>3293264</v>
      </c>
      <c r="AC24" s="48">
        <v>75.62</v>
      </c>
      <c r="AE24" s="48"/>
      <c r="AF24" s="48"/>
      <c r="AG24" s="48"/>
      <c r="AH24" s="48"/>
      <c r="AI24" s="48"/>
      <c r="AK24" s="48"/>
      <c r="AL24" s="48"/>
      <c r="AM24" s="48"/>
      <c r="AN24" s="48"/>
      <c r="AO24" s="48"/>
      <c r="AQ24" s="48"/>
      <c r="AR24" s="48"/>
      <c r="AS24" s="48"/>
      <c r="AT24" s="48"/>
      <c r="AU24" s="48"/>
      <c r="AX24" s="48"/>
      <c r="AY24" s="48"/>
      <c r="AZ24" s="48"/>
      <c r="BA24" s="48"/>
      <c r="BB24" s="48"/>
    </row>
    <row r="25" spans="1:54" s="57" customFormat="1" hidden="1" x14ac:dyDescent="0.25">
      <c r="A25" s="215">
        <v>44883</v>
      </c>
      <c r="B25" s="48">
        <v>11097765</v>
      </c>
      <c r="C25" s="48">
        <v>969927</v>
      </c>
      <c r="D25" s="48">
        <v>12067692</v>
      </c>
      <c r="E25" s="48">
        <v>91.96</v>
      </c>
      <c r="G25" s="215">
        <v>44883</v>
      </c>
      <c r="H25" s="48">
        <v>4922225</v>
      </c>
      <c r="I25" s="48">
        <v>1420981</v>
      </c>
      <c r="J25" s="48">
        <v>6343206</v>
      </c>
      <c r="K25" s="48">
        <v>77.599999999999994</v>
      </c>
      <c r="M25" s="215">
        <v>44883</v>
      </c>
      <c r="N25" s="48">
        <v>3015658</v>
      </c>
      <c r="O25" s="48">
        <v>2980702</v>
      </c>
      <c r="P25" s="48">
        <v>5996360</v>
      </c>
      <c r="Q25" s="48">
        <v>50.29</v>
      </c>
      <c r="S25" s="215">
        <v>44883</v>
      </c>
      <c r="T25" s="48">
        <v>1553046</v>
      </c>
      <c r="U25" s="48">
        <v>2305923</v>
      </c>
      <c r="V25" s="48">
        <v>3858969</v>
      </c>
      <c r="W25" s="48">
        <v>40.25</v>
      </c>
      <c r="Y25" s="215">
        <v>44883</v>
      </c>
      <c r="Z25" s="48">
        <v>2686760</v>
      </c>
      <c r="AA25" s="48">
        <v>852820</v>
      </c>
      <c r="AB25" s="48">
        <v>3539580</v>
      </c>
      <c r="AC25" s="48">
        <v>75.91</v>
      </c>
      <c r="AE25" s="48"/>
      <c r="AF25" s="48"/>
      <c r="AG25" s="48"/>
      <c r="AH25" s="48"/>
      <c r="AI25" s="48"/>
      <c r="AK25" s="48"/>
      <c r="AL25" s="48"/>
      <c r="AM25" s="48"/>
      <c r="AN25" s="48"/>
      <c r="AO25" s="48"/>
      <c r="AQ25" s="48"/>
      <c r="AR25" s="48"/>
      <c r="AS25" s="48"/>
      <c r="AT25" s="48"/>
      <c r="AU25" s="48"/>
      <c r="AX25" s="48"/>
      <c r="AY25" s="48"/>
      <c r="AZ25" s="48"/>
      <c r="BA25" s="48"/>
      <c r="BB25" s="48"/>
    </row>
    <row r="26" spans="1:54" s="57" customFormat="1" hidden="1" x14ac:dyDescent="0.25">
      <c r="A26" s="215">
        <v>44884</v>
      </c>
      <c r="B26" s="48">
        <v>10603194</v>
      </c>
      <c r="C26" s="48">
        <v>976056</v>
      </c>
      <c r="D26" s="48">
        <v>11579250</v>
      </c>
      <c r="E26" s="48">
        <v>91.570645799999994</v>
      </c>
      <c r="G26" s="215">
        <v>44884</v>
      </c>
      <c r="H26" s="48">
        <v>4308590</v>
      </c>
      <c r="I26" s="48">
        <v>1925060</v>
      </c>
      <c r="J26" s="48">
        <v>6233650</v>
      </c>
      <c r="K26" s="48">
        <v>69.1182534</v>
      </c>
      <c r="M26" s="215">
        <v>44884</v>
      </c>
      <c r="N26" s="48">
        <v>4452260</v>
      </c>
      <c r="O26" s="48">
        <v>3756871</v>
      </c>
      <c r="P26" s="48">
        <v>8209131</v>
      </c>
      <c r="Q26" s="48">
        <v>54.235460500000002</v>
      </c>
      <c r="S26" s="215">
        <v>44884</v>
      </c>
      <c r="T26" s="48">
        <v>1606405</v>
      </c>
      <c r="U26" s="48">
        <v>2486251</v>
      </c>
      <c r="V26" s="48">
        <v>4092656</v>
      </c>
      <c r="W26" s="48">
        <v>39.250916799999999</v>
      </c>
      <c r="Y26" s="215">
        <v>44884</v>
      </c>
      <c r="Z26" s="48">
        <v>2457985</v>
      </c>
      <c r="AA26" s="48">
        <v>841874</v>
      </c>
      <c r="AB26" s="48">
        <v>3299859</v>
      </c>
      <c r="AC26" s="48">
        <v>74.48</v>
      </c>
      <c r="AE26" s="48"/>
      <c r="AF26" s="48"/>
      <c r="AG26" s="48"/>
      <c r="AH26" s="48"/>
      <c r="AI26" s="48"/>
      <c r="AK26" s="48"/>
      <c r="AL26" s="48"/>
      <c r="AM26" s="48"/>
      <c r="AN26" s="48"/>
      <c r="AO26" s="48"/>
      <c r="AQ26" s="48"/>
      <c r="AR26" s="48"/>
      <c r="AS26" s="48"/>
      <c r="AT26" s="48"/>
      <c r="AU26" s="48"/>
      <c r="AX26" s="48"/>
      <c r="AY26" s="48"/>
      <c r="AZ26" s="48"/>
      <c r="BA26" s="48"/>
      <c r="BB26" s="48"/>
    </row>
    <row r="27" spans="1:54" s="57" customFormat="1" hidden="1" x14ac:dyDescent="0.25">
      <c r="A27" s="215">
        <v>44885</v>
      </c>
      <c r="B27" s="48">
        <v>9114082</v>
      </c>
      <c r="C27" s="48">
        <v>922018</v>
      </c>
      <c r="D27" s="48">
        <v>10036100</v>
      </c>
      <c r="E27" s="48">
        <v>90.81</v>
      </c>
      <c r="G27" s="215">
        <v>44885</v>
      </c>
      <c r="H27" s="48">
        <v>4253777</v>
      </c>
      <c r="I27" s="48">
        <v>1737543</v>
      </c>
      <c r="J27" s="48">
        <v>5991320</v>
      </c>
      <c r="K27" s="48">
        <v>70.989999999999995</v>
      </c>
      <c r="M27" s="215">
        <v>44885</v>
      </c>
      <c r="N27" s="48">
        <v>2920975</v>
      </c>
      <c r="O27" s="48">
        <v>2742369</v>
      </c>
      <c r="P27" s="48">
        <v>5663344</v>
      </c>
      <c r="Q27" s="48">
        <v>51.57</v>
      </c>
      <c r="S27" s="215">
        <v>44885</v>
      </c>
      <c r="T27" s="48">
        <v>521783</v>
      </c>
      <c r="U27" s="48">
        <v>192631</v>
      </c>
      <c r="V27" s="48">
        <v>714414</v>
      </c>
      <c r="W27" s="48">
        <v>73.03</v>
      </c>
      <c r="Y27" s="215">
        <v>44885</v>
      </c>
      <c r="Z27" s="48">
        <v>2424549</v>
      </c>
      <c r="AA27" s="48">
        <v>856433</v>
      </c>
      <c r="AB27" s="48">
        <v>3280982</v>
      </c>
      <c r="AC27" s="48">
        <v>73.89</v>
      </c>
      <c r="AE27" s="48"/>
      <c r="AF27" s="48"/>
      <c r="AG27" s="48"/>
      <c r="AH27" s="48"/>
      <c r="AI27" s="48"/>
      <c r="AK27" s="48"/>
      <c r="AL27" s="48"/>
      <c r="AM27" s="48"/>
      <c r="AN27" s="48"/>
      <c r="AO27" s="48"/>
      <c r="AQ27" s="48"/>
      <c r="AR27" s="48"/>
      <c r="AS27" s="48"/>
      <c r="AT27" s="48"/>
      <c r="AU27" s="48"/>
      <c r="AX27" s="48"/>
      <c r="AY27" s="48"/>
      <c r="AZ27" s="48"/>
      <c r="BA27" s="48"/>
      <c r="BB27" s="48"/>
    </row>
    <row r="28" spans="1:54" s="57" customFormat="1" hidden="1" x14ac:dyDescent="0.25">
      <c r="A28" s="215">
        <v>44886</v>
      </c>
      <c r="B28" s="104">
        <v>10791363</v>
      </c>
      <c r="C28" s="104">
        <v>831960</v>
      </c>
      <c r="D28" s="104">
        <v>11623323</v>
      </c>
      <c r="E28" s="104">
        <v>92.84</v>
      </c>
      <c r="G28" s="215">
        <v>44886</v>
      </c>
      <c r="H28" s="104">
        <v>4549204</v>
      </c>
      <c r="I28" s="104">
        <v>1562556</v>
      </c>
      <c r="J28" s="104">
        <v>6111760</v>
      </c>
      <c r="K28" s="104">
        <v>74.430000000000007</v>
      </c>
      <c r="M28" s="215">
        <v>44886</v>
      </c>
      <c r="N28" s="104">
        <v>4021211</v>
      </c>
      <c r="O28" s="104">
        <v>3443512</v>
      </c>
      <c r="P28" s="104">
        <v>7464723</v>
      </c>
      <c r="Q28" s="104">
        <v>53.87</v>
      </c>
      <c r="S28" s="215">
        <v>44886</v>
      </c>
      <c r="T28" s="104">
        <v>1662682</v>
      </c>
      <c r="U28" s="104">
        <v>2382184</v>
      </c>
      <c r="V28" s="104">
        <v>4044866</v>
      </c>
      <c r="W28" s="104">
        <v>41.11</v>
      </c>
      <c r="Y28" s="215">
        <v>44886</v>
      </c>
      <c r="Z28" s="104">
        <v>2713824</v>
      </c>
      <c r="AA28" s="104">
        <v>814885</v>
      </c>
      <c r="AB28" s="104">
        <v>3528709</v>
      </c>
      <c r="AC28" s="104">
        <v>76.91</v>
      </c>
      <c r="AE28" s="48"/>
      <c r="AF28" s="48"/>
      <c r="AG28" s="48"/>
      <c r="AH28" s="48"/>
      <c r="AI28" s="48"/>
      <c r="AK28" s="48"/>
      <c r="AL28" s="48"/>
      <c r="AM28" s="48"/>
      <c r="AN28" s="48"/>
      <c r="AO28" s="48"/>
      <c r="AQ28" s="48"/>
      <c r="AR28" s="48"/>
      <c r="AS28" s="48"/>
      <c r="AT28" s="48"/>
      <c r="AU28" s="48"/>
      <c r="AX28" s="48"/>
      <c r="AY28" s="48"/>
      <c r="AZ28" s="48"/>
      <c r="BA28" s="48"/>
      <c r="BB28" s="48"/>
    </row>
    <row r="29" spans="1:54" s="57" customFormat="1" hidden="1" x14ac:dyDescent="0.25">
      <c r="A29" s="215">
        <v>44887</v>
      </c>
      <c r="B29" s="48">
        <v>10557518</v>
      </c>
      <c r="C29" s="48">
        <v>817396</v>
      </c>
      <c r="D29" s="48">
        <v>11374914</v>
      </c>
      <c r="E29" s="48">
        <v>92.81</v>
      </c>
      <c r="G29" s="215">
        <v>44887</v>
      </c>
      <c r="H29" s="48">
        <v>9185173</v>
      </c>
      <c r="I29" s="48">
        <v>4276066</v>
      </c>
      <c r="J29" s="48">
        <v>13461239</v>
      </c>
      <c r="K29" s="48">
        <v>68.23</v>
      </c>
      <c r="M29" s="215">
        <v>44887</v>
      </c>
      <c r="N29" s="48">
        <v>3790086</v>
      </c>
      <c r="O29" s="48">
        <v>3506524</v>
      </c>
      <c r="P29" s="48">
        <v>7296610</v>
      </c>
      <c r="Q29" s="48">
        <v>51.94</v>
      </c>
      <c r="S29" s="215">
        <v>44887</v>
      </c>
      <c r="T29" s="48">
        <v>1089112</v>
      </c>
      <c r="U29" s="48">
        <v>1207473</v>
      </c>
      <c r="V29" s="48">
        <v>2296585</v>
      </c>
      <c r="W29" s="48">
        <v>47.42</v>
      </c>
      <c r="Y29" s="215">
        <v>44887</v>
      </c>
      <c r="Z29" s="48">
        <v>2930703</v>
      </c>
      <c r="AA29" s="48">
        <v>805254</v>
      </c>
      <c r="AB29" s="48">
        <v>3735957</v>
      </c>
      <c r="AC29" s="48">
        <v>78.44</v>
      </c>
      <c r="AE29" s="48"/>
      <c r="AF29" s="48"/>
      <c r="AG29" s="48"/>
      <c r="AH29" s="48"/>
      <c r="AI29" s="48"/>
      <c r="AK29" s="48"/>
      <c r="AL29" s="48"/>
      <c r="AM29" s="48"/>
      <c r="AN29" s="48"/>
      <c r="AO29" s="48"/>
      <c r="AQ29" s="48"/>
      <c r="AR29" s="48"/>
      <c r="AS29" s="48"/>
      <c r="AT29" s="48"/>
      <c r="AU29" s="48"/>
      <c r="AX29" s="48"/>
      <c r="AY29" s="48"/>
      <c r="AZ29" s="48"/>
      <c r="BA29" s="48"/>
      <c r="BB29" s="48"/>
    </row>
    <row r="30" spans="1:54" s="57" customFormat="1" hidden="1" x14ac:dyDescent="0.25">
      <c r="A30" s="215">
        <v>44888</v>
      </c>
      <c r="B30" s="48">
        <v>10248059</v>
      </c>
      <c r="C30" s="48">
        <v>781573</v>
      </c>
      <c r="D30" s="48">
        <v>11029632</v>
      </c>
      <c r="E30" s="48">
        <v>92.91</v>
      </c>
      <c r="G30" s="215">
        <v>44888</v>
      </c>
      <c r="H30" s="48">
        <v>9221195</v>
      </c>
      <c r="I30" s="48">
        <v>3534637</v>
      </c>
      <c r="J30" s="48">
        <v>12755832</v>
      </c>
      <c r="K30" s="48">
        <v>72.290000000000006</v>
      </c>
      <c r="M30" s="215">
        <v>44888</v>
      </c>
      <c r="N30" s="48">
        <v>4513395</v>
      </c>
      <c r="O30" s="48">
        <v>3280192</v>
      </c>
      <c r="P30" s="48">
        <v>7793587</v>
      </c>
      <c r="Q30" s="48">
        <v>57.91</v>
      </c>
      <c r="S30" s="215">
        <v>44888</v>
      </c>
      <c r="T30" s="48">
        <v>1067938</v>
      </c>
      <c r="U30" s="48">
        <v>1184241</v>
      </c>
      <c r="V30" s="48">
        <v>2252179</v>
      </c>
      <c r="W30" s="48">
        <v>47.41</v>
      </c>
      <c r="Y30" s="215">
        <v>44888</v>
      </c>
      <c r="Z30" s="48">
        <v>2869703</v>
      </c>
      <c r="AA30" s="48">
        <v>878543</v>
      </c>
      <c r="AB30" s="48">
        <v>3748246</v>
      </c>
      <c r="AC30" s="48">
        <v>76.56</v>
      </c>
      <c r="AE30" s="48"/>
      <c r="AF30" s="48"/>
      <c r="AG30" s="48"/>
      <c r="AH30" s="48"/>
      <c r="AI30" s="48"/>
      <c r="AK30" s="48"/>
      <c r="AL30" s="48"/>
      <c r="AM30" s="48"/>
      <c r="AN30" s="48"/>
      <c r="AO30" s="48"/>
      <c r="AQ30" s="48"/>
      <c r="AR30" s="48"/>
      <c r="AS30" s="48"/>
      <c r="AT30" s="48"/>
      <c r="AU30" s="48"/>
      <c r="AX30" s="48"/>
      <c r="AY30" s="48"/>
      <c r="AZ30" s="48"/>
      <c r="BA30" s="48"/>
      <c r="BB30" s="48"/>
    </row>
    <row r="31" spans="1:54" s="57" customFormat="1" hidden="1" x14ac:dyDescent="0.25">
      <c r="A31" s="215">
        <v>44889</v>
      </c>
      <c r="B31" s="48">
        <v>10136210</v>
      </c>
      <c r="C31" s="48">
        <v>864432</v>
      </c>
      <c r="D31" s="48">
        <v>11000642</v>
      </c>
      <c r="E31" s="48">
        <v>92.14</v>
      </c>
      <c r="G31" s="215">
        <v>44889</v>
      </c>
      <c r="H31" s="48">
        <v>5043627</v>
      </c>
      <c r="I31" s="48">
        <v>2099529</v>
      </c>
      <c r="J31" s="48">
        <v>7143156</v>
      </c>
      <c r="K31" s="48">
        <v>70.599999999999994</v>
      </c>
      <c r="M31" s="215">
        <v>44889</v>
      </c>
      <c r="N31" s="48">
        <v>4690926</v>
      </c>
      <c r="O31" s="48">
        <v>3545493</v>
      </c>
      <c r="P31" s="48">
        <v>8236419</v>
      </c>
      <c r="Q31" s="48">
        <v>56.95</v>
      </c>
      <c r="S31" s="215">
        <v>44889</v>
      </c>
      <c r="T31" s="48">
        <v>941726</v>
      </c>
      <c r="U31" s="48">
        <v>1142618</v>
      </c>
      <c r="V31" s="48">
        <v>2084344</v>
      </c>
      <c r="W31" s="48">
        <v>45.18</v>
      </c>
      <c r="Y31" s="215">
        <v>44889</v>
      </c>
      <c r="Z31" s="48">
        <v>3163952</v>
      </c>
      <c r="AA31" s="48">
        <v>920043</v>
      </c>
      <c r="AB31" s="48">
        <v>4083995</v>
      </c>
      <c r="AC31" s="48">
        <v>77.47</v>
      </c>
      <c r="AE31" s="48"/>
      <c r="AF31" s="48"/>
      <c r="AG31" s="48"/>
      <c r="AH31" s="48"/>
      <c r="AI31" s="48"/>
      <c r="AK31" s="48"/>
      <c r="AL31" s="48"/>
      <c r="AM31" s="48"/>
      <c r="AN31" s="48"/>
      <c r="AO31" s="48"/>
      <c r="AQ31" s="48"/>
      <c r="AR31" s="48"/>
      <c r="AS31" s="48"/>
      <c r="AT31" s="48"/>
      <c r="AU31" s="48"/>
      <c r="AX31" s="48"/>
      <c r="AY31" s="48"/>
      <c r="AZ31" s="48"/>
      <c r="BA31" s="48"/>
      <c r="BB31" s="48"/>
    </row>
    <row r="32" spans="1:54" s="57" customFormat="1" hidden="1" x14ac:dyDescent="0.25">
      <c r="A32" s="215">
        <v>44890</v>
      </c>
      <c r="B32" s="48">
        <v>10970212</v>
      </c>
      <c r="C32" s="48">
        <v>927494</v>
      </c>
      <c r="D32" s="48">
        <v>11897706</v>
      </c>
      <c r="E32" s="48">
        <v>92.2</v>
      </c>
      <c r="G32" s="215">
        <v>44890</v>
      </c>
      <c r="H32" s="48">
        <v>3966315</v>
      </c>
      <c r="I32" s="48">
        <v>1528770</v>
      </c>
      <c r="J32" s="48">
        <v>5495085</v>
      </c>
      <c r="K32" s="48">
        <v>72.180000000000007</v>
      </c>
      <c r="M32" s="215">
        <v>44890</v>
      </c>
      <c r="N32" s="48">
        <v>3778944</v>
      </c>
      <c r="O32" s="48">
        <v>3601675</v>
      </c>
      <c r="P32" s="48">
        <v>7380619</v>
      </c>
      <c r="Q32" s="48">
        <v>51.2</v>
      </c>
      <c r="S32" s="215">
        <v>44890</v>
      </c>
      <c r="T32" s="48">
        <v>1804339</v>
      </c>
      <c r="U32" s="48">
        <v>1981992</v>
      </c>
      <c r="V32" s="48">
        <v>3786331</v>
      </c>
      <c r="W32" s="48">
        <v>47.65</v>
      </c>
      <c r="Y32" s="215">
        <v>44890</v>
      </c>
      <c r="Z32" s="48">
        <v>2674137</v>
      </c>
      <c r="AA32" s="48">
        <v>803346</v>
      </c>
      <c r="AB32" s="48">
        <v>3477483</v>
      </c>
      <c r="AC32" s="48">
        <v>76.900000000000006</v>
      </c>
      <c r="AE32" s="48"/>
      <c r="AF32" s="48"/>
      <c r="AG32" s="48"/>
      <c r="AH32" s="48"/>
      <c r="AI32" s="48"/>
      <c r="AK32" s="48"/>
      <c r="AL32" s="48"/>
      <c r="AM32" s="48"/>
      <c r="AN32" s="48"/>
      <c r="AO32" s="48"/>
      <c r="AQ32" s="48"/>
      <c r="AR32" s="48"/>
      <c r="AS32" s="48"/>
      <c r="AT32" s="48"/>
      <c r="AU32" s="48"/>
      <c r="AX32" s="48"/>
      <c r="AY32" s="48"/>
      <c r="AZ32" s="48"/>
      <c r="BA32" s="48"/>
      <c r="BB32" s="48"/>
    </row>
    <row r="33" spans="1:54" s="57" customFormat="1" hidden="1" x14ac:dyDescent="0.25">
      <c r="A33" s="215">
        <v>44891</v>
      </c>
      <c r="B33" s="48">
        <v>10733075</v>
      </c>
      <c r="C33" s="48">
        <v>1009645</v>
      </c>
      <c r="D33" s="48">
        <v>11742720</v>
      </c>
      <c r="E33" s="48">
        <v>91.4</v>
      </c>
      <c r="G33" s="215">
        <v>44891</v>
      </c>
      <c r="H33" s="48">
        <v>3583016</v>
      </c>
      <c r="I33" s="48">
        <v>1397566</v>
      </c>
      <c r="J33" s="48">
        <v>4980582</v>
      </c>
      <c r="K33" s="48">
        <v>71.94</v>
      </c>
      <c r="M33" s="215">
        <v>44891</v>
      </c>
      <c r="N33" s="48">
        <v>4313652</v>
      </c>
      <c r="O33" s="48">
        <v>3624163</v>
      </c>
      <c r="P33" s="48">
        <v>7937815</v>
      </c>
      <c r="Q33" s="48">
        <v>54.34</v>
      </c>
      <c r="S33" s="215">
        <v>44891</v>
      </c>
      <c r="T33" s="48">
        <v>1857231</v>
      </c>
      <c r="U33" s="48">
        <v>1936471</v>
      </c>
      <c r="V33" s="48">
        <v>3793702</v>
      </c>
      <c r="W33" s="48">
        <v>48.96</v>
      </c>
      <c r="Y33" s="215">
        <v>44891</v>
      </c>
      <c r="Z33" s="48">
        <v>2697738</v>
      </c>
      <c r="AA33" s="48">
        <v>938253</v>
      </c>
      <c r="AB33" s="48">
        <v>3635991</v>
      </c>
      <c r="AC33" s="48">
        <v>74.2</v>
      </c>
      <c r="AE33" s="48"/>
      <c r="AF33" s="48"/>
      <c r="AG33" s="48"/>
      <c r="AH33" s="48"/>
      <c r="AI33" s="48"/>
      <c r="AK33" s="48"/>
      <c r="AL33" s="48"/>
      <c r="AM33" s="48"/>
      <c r="AN33" s="48"/>
      <c r="AO33" s="48"/>
      <c r="AQ33" s="48"/>
      <c r="AR33" s="48"/>
      <c r="AS33" s="48"/>
      <c r="AT33" s="48"/>
      <c r="AU33" s="48"/>
      <c r="AX33" s="48"/>
      <c r="AY33" s="48"/>
      <c r="AZ33" s="48"/>
      <c r="BA33" s="48"/>
      <c r="BB33" s="48"/>
    </row>
    <row r="34" spans="1:54" s="57" customFormat="1" hidden="1" x14ac:dyDescent="0.25">
      <c r="A34" s="215">
        <v>44892</v>
      </c>
      <c r="B34" s="48">
        <v>9043815</v>
      </c>
      <c r="C34" s="48">
        <v>943223</v>
      </c>
      <c r="D34" s="48">
        <v>9987038</v>
      </c>
      <c r="E34" s="48">
        <v>90.56</v>
      </c>
      <c r="G34" s="215">
        <v>44892</v>
      </c>
      <c r="H34" s="48">
        <v>3923520</v>
      </c>
      <c r="I34" s="48">
        <v>1554720</v>
      </c>
      <c r="J34" s="48">
        <v>5478240</v>
      </c>
      <c r="K34" s="48">
        <v>71.62</v>
      </c>
      <c r="M34" s="215">
        <v>44892</v>
      </c>
      <c r="N34" s="48">
        <v>2298511</v>
      </c>
      <c r="O34" s="48">
        <v>3092255</v>
      </c>
      <c r="P34" s="48">
        <v>5390766</v>
      </c>
      <c r="Q34" s="48">
        <v>42.64</v>
      </c>
      <c r="S34" s="215">
        <v>44892</v>
      </c>
      <c r="T34" s="48">
        <v>203440</v>
      </c>
      <c r="U34" s="48">
        <v>52542</v>
      </c>
      <c r="V34" s="48">
        <v>255982</v>
      </c>
      <c r="W34" s="48">
        <v>79.47</v>
      </c>
      <c r="Y34" s="215">
        <v>44892</v>
      </c>
      <c r="Z34" s="48">
        <v>2486723</v>
      </c>
      <c r="AA34" s="48">
        <v>806524</v>
      </c>
      <c r="AB34" s="48">
        <v>3293247</v>
      </c>
      <c r="AC34" s="48">
        <v>75.510000000000005</v>
      </c>
      <c r="AE34" s="48"/>
      <c r="AF34" s="48"/>
      <c r="AG34" s="48"/>
      <c r="AH34" s="48"/>
      <c r="AI34" s="48"/>
      <c r="AK34" s="48"/>
      <c r="AL34" s="48"/>
      <c r="AM34" s="48"/>
      <c r="AN34" s="48"/>
      <c r="AO34" s="48"/>
      <c r="AQ34" s="48"/>
      <c r="AR34" s="48"/>
      <c r="AS34" s="48"/>
      <c r="AT34" s="48"/>
      <c r="AU34" s="48"/>
      <c r="AX34" s="48"/>
      <c r="AY34" s="48"/>
      <c r="AZ34" s="48"/>
      <c r="BA34" s="48"/>
      <c r="BB34" s="48"/>
    </row>
    <row r="35" spans="1:54" s="57" customFormat="1" hidden="1" x14ac:dyDescent="0.25">
      <c r="A35" s="215">
        <v>44893</v>
      </c>
      <c r="B35" s="104">
        <v>10769219</v>
      </c>
      <c r="C35" s="104">
        <v>925340</v>
      </c>
      <c r="D35" s="104">
        <v>11694559</v>
      </c>
      <c r="E35" s="104">
        <v>92.09</v>
      </c>
      <c r="G35" s="215">
        <v>44893</v>
      </c>
      <c r="H35" s="104">
        <v>3777232</v>
      </c>
      <c r="I35" s="104">
        <v>1498625</v>
      </c>
      <c r="J35" s="104">
        <v>5275857</v>
      </c>
      <c r="K35" s="104">
        <v>71.59</v>
      </c>
      <c r="M35" s="215">
        <v>44893</v>
      </c>
      <c r="N35" s="104">
        <v>3830201</v>
      </c>
      <c r="O35" s="104">
        <v>3260192</v>
      </c>
      <c r="P35" s="104">
        <v>7090393</v>
      </c>
      <c r="Q35" s="104">
        <v>54.02</v>
      </c>
      <c r="S35" s="215">
        <v>44893</v>
      </c>
      <c r="T35" s="104">
        <v>1747540</v>
      </c>
      <c r="U35" s="104">
        <v>1871754</v>
      </c>
      <c r="V35" s="104">
        <v>3619294</v>
      </c>
      <c r="W35" s="104">
        <v>48.28</v>
      </c>
      <c r="Y35" s="215">
        <v>44893</v>
      </c>
      <c r="Z35" s="104">
        <v>2312729</v>
      </c>
      <c r="AA35" s="104">
        <v>710364</v>
      </c>
      <c r="AB35" s="104">
        <v>3023093</v>
      </c>
      <c r="AC35" s="104">
        <v>76.5</v>
      </c>
      <c r="AE35" s="48"/>
      <c r="AF35" s="48"/>
      <c r="AG35" s="48"/>
      <c r="AH35" s="48"/>
      <c r="AI35" s="48"/>
      <c r="AK35" s="48"/>
      <c r="AL35" s="48"/>
      <c r="AM35" s="48"/>
      <c r="AN35" s="48"/>
      <c r="AO35" s="48"/>
      <c r="AQ35" s="48"/>
      <c r="AR35" s="48"/>
      <c r="AS35" s="48"/>
      <c r="AT35" s="48"/>
      <c r="AU35" s="48"/>
      <c r="AX35" s="48"/>
      <c r="AY35" s="48"/>
      <c r="AZ35" s="48"/>
      <c r="BA35" s="48"/>
      <c r="BB35" s="48"/>
    </row>
    <row r="36" spans="1:54" s="57" customFormat="1" hidden="1" x14ac:dyDescent="0.25">
      <c r="A36" s="215">
        <v>44894</v>
      </c>
      <c r="B36" s="104">
        <v>6668130</v>
      </c>
      <c r="C36" s="104">
        <v>570294</v>
      </c>
      <c r="D36" s="104">
        <v>7238424</v>
      </c>
      <c r="E36" s="104">
        <v>92.12</v>
      </c>
      <c r="G36" s="215">
        <v>44894</v>
      </c>
      <c r="H36" s="104">
        <v>7208868</v>
      </c>
      <c r="I36" s="104">
        <v>2895410</v>
      </c>
      <c r="J36" s="104">
        <v>10104278</v>
      </c>
      <c r="K36" s="104">
        <v>71.34</v>
      </c>
      <c r="M36" s="215">
        <v>44894</v>
      </c>
      <c r="N36" s="104">
        <v>3303108</v>
      </c>
      <c r="O36" s="104">
        <v>3233642</v>
      </c>
      <c r="P36" s="104">
        <v>6536750</v>
      </c>
      <c r="Q36" s="104">
        <v>50.53</v>
      </c>
      <c r="S36" s="215">
        <v>44894</v>
      </c>
      <c r="T36" s="104">
        <v>1687076</v>
      </c>
      <c r="U36" s="104">
        <v>1324480</v>
      </c>
      <c r="V36" s="104">
        <v>3011556</v>
      </c>
      <c r="W36" s="104">
        <v>56.02</v>
      </c>
      <c r="Y36" s="215">
        <v>44894</v>
      </c>
      <c r="Z36" s="104">
        <v>2748496</v>
      </c>
      <c r="AA36" s="104">
        <v>791005</v>
      </c>
      <c r="AB36" s="104">
        <v>3539501</v>
      </c>
      <c r="AC36" s="104">
        <v>77.650000000000006</v>
      </c>
      <c r="AE36" s="48"/>
      <c r="AF36" s="48"/>
      <c r="AG36" s="48"/>
      <c r="AH36" s="48"/>
      <c r="AI36" s="48"/>
      <c r="AK36" s="48"/>
      <c r="AL36" s="48"/>
      <c r="AM36" s="48"/>
      <c r="AN36" s="48"/>
      <c r="AO36" s="48"/>
      <c r="AQ36" s="48"/>
      <c r="AR36" s="48"/>
      <c r="AS36" s="48"/>
      <c r="AT36" s="48"/>
      <c r="AU36" s="48"/>
      <c r="AX36" s="48"/>
      <c r="AY36" s="48"/>
      <c r="AZ36" s="48"/>
      <c r="BA36" s="48"/>
      <c r="BB36" s="48"/>
    </row>
    <row r="37" spans="1:54" s="57" customFormat="1" hidden="1" x14ac:dyDescent="0.25">
      <c r="A37" s="215">
        <v>44895</v>
      </c>
      <c r="B37" s="104">
        <v>10749579</v>
      </c>
      <c r="C37" s="104">
        <v>1010643</v>
      </c>
      <c r="D37" s="104">
        <v>11760222</v>
      </c>
      <c r="E37" s="104">
        <v>91.41</v>
      </c>
      <c r="G37" s="215">
        <v>44895</v>
      </c>
      <c r="H37" s="104">
        <v>8279864</v>
      </c>
      <c r="I37" s="104">
        <v>3464784</v>
      </c>
      <c r="J37" s="104">
        <v>11744648</v>
      </c>
      <c r="K37" s="104">
        <v>70.5</v>
      </c>
      <c r="M37" s="215">
        <v>44895</v>
      </c>
      <c r="N37" s="104">
        <v>4513737</v>
      </c>
      <c r="O37" s="104">
        <v>3469972</v>
      </c>
      <c r="P37" s="104">
        <v>7983709</v>
      </c>
      <c r="Q37" s="104">
        <v>56.54</v>
      </c>
      <c r="S37" s="215">
        <v>44895</v>
      </c>
      <c r="T37" s="104">
        <v>1623626</v>
      </c>
      <c r="U37" s="104">
        <v>861052</v>
      </c>
      <c r="V37" s="104">
        <v>2484678</v>
      </c>
      <c r="W37" s="104">
        <v>65.349999999999994</v>
      </c>
      <c r="Y37" s="215">
        <v>44895</v>
      </c>
      <c r="Z37" s="104">
        <v>2565089</v>
      </c>
      <c r="AA37" s="104">
        <v>822489</v>
      </c>
      <c r="AB37" s="104">
        <v>3387578</v>
      </c>
      <c r="AC37" s="104">
        <v>75.72</v>
      </c>
      <c r="AE37" s="48"/>
      <c r="AF37" s="48"/>
      <c r="AG37" s="48"/>
      <c r="AH37" s="48"/>
      <c r="AI37" s="48"/>
      <c r="AK37" s="48"/>
      <c r="AL37" s="48"/>
      <c r="AM37" s="48"/>
      <c r="AN37" s="48"/>
      <c r="AO37" s="48"/>
      <c r="AQ37" s="48"/>
      <c r="AR37" s="48"/>
      <c r="AS37" s="48"/>
      <c r="AT37" s="48"/>
      <c r="AU37" s="48"/>
      <c r="AX37" s="48"/>
      <c r="AY37" s="48"/>
      <c r="AZ37" s="48"/>
      <c r="BA37" s="48"/>
      <c r="BB37" s="48"/>
    </row>
    <row r="38" spans="1:54" s="57" customFormat="1" hidden="1" x14ac:dyDescent="0.25">
      <c r="A38" s="215">
        <v>44896</v>
      </c>
      <c r="B38" s="104">
        <v>11056431</v>
      </c>
      <c r="C38" s="104">
        <v>1000545</v>
      </c>
      <c r="D38" s="104">
        <v>12056976</v>
      </c>
      <c r="E38" s="104">
        <v>91.7</v>
      </c>
      <c r="G38" s="215">
        <v>44896</v>
      </c>
      <c r="H38" s="104">
        <v>4780959</v>
      </c>
      <c r="I38" s="104">
        <v>2009881</v>
      </c>
      <c r="J38" s="104">
        <v>6790840</v>
      </c>
      <c r="K38" s="104">
        <v>70.400000000000006</v>
      </c>
      <c r="M38" s="215">
        <v>44896</v>
      </c>
      <c r="N38" s="104">
        <v>4682642</v>
      </c>
      <c r="O38" s="104">
        <v>3564799</v>
      </c>
      <c r="P38" s="104">
        <v>8247441</v>
      </c>
      <c r="Q38" s="104">
        <v>56.78</v>
      </c>
      <c r="S38" s="215">
        <v>44896</v>
      </c>
      <c r="T38" s="104">
        <v>2214105</v>
      </c>
      <c r="U38" s="104">
        <v>1617169</v>
      </c>
      <c r="V38" s="104">
        <v>3831274</v>
      </c>
      <c r="W38" s="104">
        <v>57.79</v>
      </c>
      <c r="Y38" s="215">
        <v>44896</v>
      </c>
      <c r="Z38" s="104">
        <v>3120947</v>
      </c>
      <c r="AA38" s="104">
        <v>757911</v>
      </c>
      <c r="AB38" s="104">
        <v>3878858</v>
      </c>
      <c r="AC38" s="104">
        <v>80.459999999999994</v>
      </c>
      <c r="AE38" s="48"/>
      <c r="AF38" s="48"/>
      <c r="AG38" s="48"/>
      <c r="AH38" s="48"/>
      <c r="AI38" s="48"/>
      <c r="AK38" s="48"/>
      <c r="AL38" s="48"/>
      <c r="AM38" s="48"/>
      <c r="AN38" s="48"/>
      <c r="AO38" s="48"/>
      <c r="AQ38" s="48"/>
      <c r="AR38" s="48"/>
      <c r="AS38" s="48"/>
      <c r="AT38" s="48"/>
      <c r="AU38" s="48"/>
      <c r="AX38" s="48"/>
      <c r="AY38" s="48"/>
      <c r="AZ38" s="48"/>
      <c r="BA38" s="48"/>
      <c r="BB38" s="48"/>
    </row>
    <row r="39" spans="1:54" s="57" customFormat="1" hidden="1" x14ac:dyDescent="0.25">
      <c r="A39" s="215">
        <v>44897</v>
      </c>
      <c r="B39" s="104">
        <v>6640660</v>
      </c>
      <c r="C39" s="104">
        <v>534386</v>
      </c>
      <c r="D39" s="104">
        <v>7175046</v>
      </c>
      <c r="E39" s="104">
        <v>92.55</v>
      </c>
      <c r="G39" s="215">
        <v>44897</v>
      </c>
      <c r="H39" s="104">
        <v>4214946</v>
      </c>
      <c r="I39" s="104">
        <v>1713446</v>
      </c>
      <c r="J39" s="104">
        <v>5928392</v>
      </c>
      <c r="K39" s="104">
        <v>71.099999999999994</v>
      </c>
      <c r="M39" s="215">
        <v>44897</v>
      </c>
      <c r="N39" s="104">
        <v>2848007</v>
      </c>
      <c r="O39" s="104">
        <v>2622971</v>
      </c>
      <c r="P39" s="104">
        <v>5470978</v>
      </c>
      <c r="Q39" s="104">
        <v>52.06</v>
      </c>
      <c r="S39" s="215">
        <v>44897</v>
      </c>
      <c r="T39" s="104">
        <v>1501750</v>
      </c>
      <c r="U39" s="104">
        <v>1058459</v>
      </c>
      <c r="V39" s="104">
        <v>2560209</v>
      </c>
      <c r="W39" s="104">
        <v>58.66</v>
      </c>
      <c r="Y39" s="215">
        <v>44897</v>
      </c>
      <c r="Z39" s="104">
        <v>2590507</v>
      </c>
      <c r="AA39" s="104">
        <v>606755</v>
      </c>
      <c r="AB39" s="104">
        <v>3197262</v>
      </c>
      <c r="AC39" s="104">
        <v>81.02</v>
      </c>
      <c r="AE39" s="48"/>
      <c r="AF39" s="48"/>
      <c r="AG39" s="48"/>
      <c r="AH39" s="48"/>
      <c r="AI39" s="48"/>
      <c r="AK39" s="48"/>
      <c r="AL39" s="48"/>
      <c r="AM39" s="48"/>
      <c r="AN39" s="48"/>
      <c r="AO39" s="48"/>
      <c r="AQ39" s="48"/>
      <c r="AR39" s="48"/>
      <c r="AS39" s="48"/>
      <c r="AT39" s="48"/>
      <c r="AU39" s="48"/>
      <c r="AX39" s="48"/>
      <c r="AY39" s="48"/>
      <c r="AZ39" s="48"/>
      <c r="BA39" s="48"/>
      <c r="BB39" s="48"/>
    </row>
    <row r="40" spans="1:54" s="57" customFormat="1" hidden="1" x14ac:dyDescent="0.25">
      <c r="A40" s="215">
        <v>44898</v>
      </c>
      <c r="B40" s="104">
        <v>7127558</v>
      </c>
      <c r="C40" s="104">
        <v>1099273</v>
      </c>
      <c r="D40" s="104">
        <v>8226831</v>
      </c>
      <c r="E40" s="104">
        <v>86.63</v>
      </c>
      <c r="G40" s="215">
        <v>44898</v>
      </c>
      <c r="H40" s="104">
        <v>3689429</v>
      </c>
      <c r="I40" s="104">
        <v>1562863</v>
      </c>
      <c r="J40" s="104">
        <v>5252292</v>
      </c>
      <c r="K40" s="104">
        <v>70.239999999999995</v>
      </c>
      <c r="M40" s="215">
        <v>44898</v>
      </c>
      <c r="N40" s="104">
        <v>3350454</v>
      </c>
      <c r="O40" s="104">
        <v>3766796</v>
      </c>
      <c r="P40" s="104">
        <v>7117250</v>
      </c>
      <c r="Q40" s="104">
        <v>47.07</v>
      </c>
      <c r="S40" s="215">
        <v>44898</v>
      </c>
      <c r="T40" s="104">
        <v>1084164</v>
      </c>
      <c r="U40" s="104">
        <v>2504910</v>
      </c>
      <c r="V40" s="104">
        <v>3589074</v>
      </c>
      <c r="W40" s="104">
        <v>30.2</v>
      </c>
      <c r="Y40" s="215">
        <v>44898</v>
      </c>
      <c r="Z40" s="104">
        <v>2376808</v>
      </c>
      <c r="AA40" s="104">
        <v>567470</v>
      </c>
      <c r="AB40" s="104">
        <v>2944278</v>
      </c>
      <c r="AC40" s="104">
        <v>80.72</v>
      </c>
      <c r="AE40" s="48"/>
      <c r="AF40" s="48"/>
      <c r="AG40" s="48"/>
      <c r="AH40" s="48"/>
      <c r="AI40" s="48"/>
      <c r="AK40" s="48"/>
      <c r="AL40" s="48"/>
      <c r="AM40" s="48"/>
      <c r="AN40" s="48"/>
      <c r="AO40" s="48"/>
      <c r="AQ40" s="48"/>
      <c r="AR40" s="48"/>
      <c r="AS40" s="48"/>
      <c r="AT40" s="48"/>
      <c r="AU40" s="48"/>
      <c r="AX40" s="48"/>
      <c r="AY40" s="48"/>
      <c r="AZ40" s="48"/>
      <c r="BA40" s="48"/>
      <c r="BB40" s="48"/>
    </row>
    <row r="41" spans="1:54" s="57" customFormat="1" hidden="1" x14ac:dyDescent="0.25">
      <c r="A41" s="215">
        <v>44899</v>
      </c>
      <c r="B41" s="104">
        <v>4797130</v>
      </c>
      <c r="C41" s="104">
        <v>1128031</v>
      </c>
      <c r="D41" s="104">
        <v>5925161</v>
      </c>
      <c r="E41" s="104">
        <v>80.959999999999994</v>
      </c>
      <c r="G41" s="215">
        <v>44899</v>
      </c>
      <c r="H41" s="104">
        <v>3458606</v>
      </c>
      <c r="I41" s="104">
        <v>1490344</v>
      </c>
      <c r="J41" s="104">
        <v>4948950</v>
      </c>
      <c r="K41" s="104">
        <v>69.89</v>
      </c>
      <c r="M41" s="215">
        <v>44899</v>
      </c>
      <c r="N41" s="104">
        <v>2434492</v>
      </c>
      <c r="O41" s="104">
        <v>3278023</v>
      </c>
      <c r="P41" s="104">
        <v>5712515</v>
      </c>
      <c r="Q41" s="104">
        <v>42.62</v>
      </c>
      <c r="S41" s="215">
        <v>44899</v>
      </c>
      <c r="T41" s="104">
        <v>275646</v>
      </c>
      <c r="U41" s="104">
        <v>192918</v>
      </c>
      <c r="V41" s="104">
        <v>468564</v>
      </c>
      <c r="W41" s="104">
        <v>58.83</v>
      </c>
      <c r="Y41" s="215">
        <v>44899</v>
      </c>
      <c r="Z41" s="104">
        <v>2049426</v>
      </c>
      <c r="AA41" s="104">
        <v>711266</v>
      </c>
      <c r="AB41" s="104">
        <v>2760692</v>
      </c>
      <c r="AC41" s="104">
        <v>74.239999999999995</v>
      </c>
      <c r="AE41" s="48"/>
      <c r="AF41" s="48"/>
      <c r="AG41" s="48"/>
      <c r="AH41" s="48"/>
      <c r="AI41" s="48"/>
      <c r="AK41" s="48"/>
      <c r="AL41" s="48"/>
      <c r="AM41" s="48"/>
      <c r="AN41" s="48"/>
      <c r="AO41" s="48"/>
      <c r="AQ41" s="48"/>
      <c r="AR41" s="48"/>
      <c r="AS41" s="48"/>
      <c r="AT41" s="48"/>
      <c r="AU41" s="48"/>
      <c r="AX41" s="48"/>
      <c r="AY41" s="48"/>
      <c r="AZ41" s="48"/>
      <c r="BA41" s="48"/>
      <c r="BB41" s="48"/>
    </row>
    <row r="42" spans="1:54" s="57" customFormat="1" hidden="1" x14ac:dyDescent="0.25">
      <c r="A42" s="215">
        <v>44900</v>
      </c>
      <c r="B42" s="104">
        <v>12464397</v>
      </c>
      <c r="C42" s="104">
        <v>1768054</v>
      </c>
      <c r="D42" s="104">
        <v>14232451</v>
      </c>
      <c r="E42" s="104">
        <v>87.58</v>
      </c>
      <c r="G42" s="215">
        <v>44900</v>
      </c>
      <c r="H42" s="104">
        <v>3811675</v>
      </c>
      <c r="I42" s="104">
        <v>2093198</v>
      </c>
      <c r="J42" s="104">
        <v>5904873</v>
      </c>
      <c r="K42" s="104">
        <v>64.55</v>
      </c>
      <c r="M42" s="215">
        <v>44900</v>
      </c>
      <c r="N42" s="104">
        <v>2735544</v>
      </c>
      <c r="O42" s="104">
        <v>3785547</v>
      </c>
      <c r="P42" s="104">
        <v>6521091</v>
      </c>
      <c r="Q42" s="104">
        <v>41.95</v>
      </c>
      <c r="S42" s="215">
        <v>44900</v>
      </c>
      <c r="T42" s="104">
        <v>980897</v>
      </c>
      <c r="U42" s="104">
        <v>1438458</v>
      </c>
      <c r="V42" s="104">
        <v>2419355</v>
      </c>
      <c r="W42" s="104">
        <v>40.54</v>
      </c>
      <c r="Y42" s="215">
        <v>44900</v>
      </c>
      <c r="Z42" s="104">
        <v>2710846</v>
      </c>
      <c r="AA42" s="104">
        <v>757868</v>
      </c>
      <c r="AB42" s="104">
        <v>3468714</v>
      </c>
      <c r="AC42" s="104">
        <v>78.150000000000006</v>
      </c>
      <c r="AE42" s="48"/>
      <c r="AF42" s="48"/>
      <c r="AG42" s="48"/>
      <c r="AH42" s="48"/>
      <c r="AI42" s="48"/>
      <c r="AK42" s="48"/>
      <c r="AL42" s="48"/>
      <c r="AM42" s="48"/>
      <c r="AN42" s="48"/>
      <c r="AO42" s="48"/>
      <c r="AQ42" s="48"/>
      <c r="AR42" s="48"/>
      <c r="AS42" s="48"/>
      <c r="AT42" s="48"/>
      <c r="AU42" s="48"/>
      <c r="AX42" s="48"/>
      <c r="AY42" s="48"/>
      <c r="AZ42" s="48"/>
      <c r="BA42" s="48"/>
      <c r="BB42" s="48"/>
    </row>
    <row r="43" spans="1:54" s="57" customFormat="1" hidden="1" x14ac:dyDescent="0.25">
      <c r="A43" s="215">
        <v>44901</v>
      </c>
      <c r="B43" s="48">
        <v>12788967</v>
      </c>
      <c r="C43" s="48">
        <v>1151330</v>
      </c>
      <c r="D43" s="48">
        <v>13940297</v>
      </c>
      <c r="E43" s="104">
        <v>91.74</v>
      </c>
      <c r="G43" s="215">
        <v>44901</v>
      </c>
      <c r="H43" s="48">
        <v>4352661</v>
      </c>
      <c r="I43" s="48">
        <v>1812396</v>
      </c>
      <c r="J43" s="48">
        <v>6165057</v>
      </c>
      <c r="K43" s="104">
        <v>70.599999999999994</v>
      </c>
      <c r="M43" s="215">
        <v>44901</v>
      </c>
      <c r="N43" s="48">
        <v>2930447</v>
      </c>
      <c r="O43" s="48">
        <v>2836015</v>
      </c>
      <c r="P43" s="48">
        <v>5766462</v>
      </c>
      <c r="Q43" s="104">
        <v>50.81</v>
      </c>
      <c r="S43" s="215">
        <v>44901</v>
      </c>
      <c r="T43" s="48">
        <v>450963</v>
      </c>
      <c r="U43" s="48">
        <v>558233</v>
      </c>
      <c r="V43" s="48">
        <v>1009196</v>
      </c>
      <c r="W43" s="104">
        <v>44.68</v>
      </c>
      <c r="Y43" s="215">
        <v>44901</v>
      </c>
      <c r="Z43" s="48">
        <v>2753495</v>
      </c>
      <c r="AA43" s="48">
        <v>499750</v>
      </c>
      <c r="AB43" s="48">
        <v>3253245</v>
      </c>
      <c r="AC43" s="104">
        <v>84.63</v>
      </c>
      <c r="AE43" s="48"/>
      <c r="AF43" s="48"/>
      <c r="AG43" s="48"/>
      <c r="AH43" s="48"/>
      <c r="AI43" s="48"/>
      <c r="AK43" s="48"/>
      <c r="AL43" s="48"/>
      <c r="AM43" s="48"/>
      <c r="AN43" s="48"/>
      <c r="AO43" s="48"/>
      <c r="AQ43" s="48"/>
      <c r="AR43" s="48"/>
      <c r="AS43" s="48"/>
      <c r="AT43" s="48"/>
      <c r="AU43" s="48"/>
      <c r="AX43" s="48"/>
      <c r="AY43" s="48"/>
      <c r="AZ43" s="48"/>
      <c r="BA43" s="48"/>
      <c r="BB43" s="48"/>
    </row>
    <row r="44" spans="1:54" s="57" customFormat="1" hidden="1" x14ac:dyDescent="0.25">
      <c r="A44" s="215">
        <v>44902</v>
      </c>
      <c r="B44" s="48">
        <v>12457098</v>
      </c>
      <c r="C44" s="48">
        <v>1605508</v>
      </c>
      <c r="D44" s="48">
        <v>14062606</v>
      </c>
      <c r="E44" s="48">
        <v>88.58</v>
      </c>
      <c r="G44" s="215">
        <v>44902</v>
      </c>
      <c r="H44" s="48">
        <v>3631360</v>
      </c>
      <c r="I44" s="48">
        <v>1437084</v>
      </c>
      <c r="J44" s="48">
        <v>5068444</v>
      </c>
      <c r="K44" s="48">
        <v>71.64</v>
      </c>
      <c r="M44" s="215">
        <v>44902</v>
      </c>
      <c r="N44" s="48">
        <v>4432971</v>
      </c>
      <c r="O44" s="48">
        <v>3811087</v>
      </c>
      <c r="P44" s="48">
        <v>8244058</v>
      </c>
      <c r="Q44" s="104">
        <v>53.77</v>
      </c>
      <c r="S44" s="215">
        <v>44902</v>
      </c>
      <c r="T44" s="48">
        <v>425945</v>
      </c>
      <c r="U44" s="48">
        <v>554729</v>
      </c>
      <c r="V44" s="48">
        <v>980674</v>
      </c>
      <c r="W44" s="48">
        <v>43.43</v>
      </c>
      <c r="Y44" s="215">
        <v>44902</v>
      </c>
      <c r="Z44" s="48">
        <v>2846630</v>
      </c>
      <c r="AA44" s="48">
        <v>549451</v>
      </c>
      <c r="AB44" s="48">
        <v>3396081</v>
      </c>
      <c r="AC44" s="48">
        <v>83.82</v>
      </c>
      <c r="AE44" s="48"/>
      <c r="AF44" s="48"/>
      <c r="AG44" s="48"/>
      <c r="AH44" s="48"/>
      <c r="AI44" s="48"/>
      <c r="AK44" s="48"/>
      <c r="AL44" s="48"/>
      <c r="AM44" s="48"/>
      <c r="AN44" s="48"/>
      <c r="AO44" s="48"/>
      <c r="AQ44" s="48"/>
      <c r="AR44" s="48"/>
      <c r="AS44" s="48"/>
      <c r="AT44" s="48"/>
      <c r="AU44" s="48"/>
      <c r="AX44" s="48"/>
      <c r="AY44" s="48"/>
      <c r="AZ44" s="48"/>
      <c r="BA44" s="48"/>
      <c r="BB44" s="48"/>
    </row>
    <row r="45" spans="1:54" s="57" customFormat="1" hidden="1" x14ac:dyDescent="0.25">
      <c r="A45" s="215">
        <v>44903</v>
      </c>
      <c r="B45" s="104">
        <v>12447067</v>
      </c>
      <c r="C45" s="104">
        <v>1302602</v>
      </c>
      <c r="D45" s="104">
        <v>13749669</v>
      </c>
      <c r="E45" s="104">
        <v>90.53</v>
      </c>
      <c r="G45" s="215">
        <v>44903</v>
      </c>
      <c r="H45" s="104">
        <v>4325071</v>
      </c>
      <c r="I45" s="104">
        <v>1615454</v>
      </c>
      <c r="J45" s="104">
        <v>5940525</v>
      </c>
      <c r="K45" s="104">
        <v>72.81</v>
      </c>
      <c r="M45" s="215">
        <v>44903</v>
      </c>
      <c r="N45" s="104">
        <v>4734284</v>
      </c>
      <c r="O45" s="104">
        <v>3590976</v>
      </c>
      <c r="P45" s="104">
        <v>8325260</v>
      </c>
      <c r="Q45" s="104">
        <v>56.87</v>
      </c>
      <c r="S45" s="215">
        <v>44903</v>
      </c>
      <c r="T45" s="104">
        <v>439183</v>
      </c>
      <c r="U45" s="104">
        <v>550783</v>
      </c>
      <c r="V45" s="104">
        <v>989966</v>
      </c>
      <c r="W45" s="104">
        <v>44.36</v>
      </c>
      <c r="Y45" s="215">
        <v>44903</v>
      </c>
      <c r="Z45" s="104">
        <v>2306064</v>
      </c>
      <c r="AA45" s="104">
        <v>464078</v>
      </c>
      <c r="AB45" s="104">
        <v>2770142</v>
      </c>
      <c r="AC45" s="104">
        <v>83.25</v>
      </c>
      <c r="AE45" s="48"/>
      <c r="AF45" s="48"/>
      <c r="AG45" s="48"/>
      <c r="AH45" s="48"/>
      <c r="AI45" s="48"/>
      <c r="AK45" s="48"/>
      <c r="AL45" s="48"/>
      <c r="AM45" s="48"/>
      <c r="AN45" s="48"/>
      <c r="AO45" s="48"/>
      <c r="AQ45" s="48"/>
      <c r="AR45" s="48"/>
      <c r="AS45" s="48"/>
      <c r="AT45" s="48"/>
      <c r="AU45" s="48"/>
      <c r="AX45" s="48"/>
      <c r="AY45" s="48"/>
      <c r="AZ45" s="48"/>
      <c r="BA45" s="48"/>
      <c r="BB45" s="48"/>
    </row>
    <row r="46" spans="1:54" s="57" customFormat="1" hidden="1" x14ac:dyDescent="0.25">
      <c r="A46" s="215">
        <v>44904</v>
      </c>
      <c r="B46" s="104">
        <v>12771496</v>
      </c>
      <c r="C46" s="104">
        <v>989636</v>
      </c>
      <c r="D46" s="104">
        <v>13761132</v>
      </c>
      <c r="E46" s="104">
        <v>92.81</v>
      </c>
      <c r="G46" s="215">
        <v>44904</v>
      </c>
      <c r="H46" s="104">
        <v>12771496</v>
      </c>
      <c r="I46" s="104">
        <v>989636</v>
      </c>
      <c r="J46" s="104">
        <v>13761132</v>
      </c>
      <c r="K46" s="104">
        <v>92.81</v>
      </c>
      <c r="M46" s="215">
        <v>44904</v>
      </c>
      <c r="N46" s="104">
        <v>4448402</v>
      </c>
      <c r="O46" s="104">
        <v>3748112</v>
      </c>
      <c r="P46" s="104">
        <v>8196514</v>
      </c>
      <c r="Q46" s="104">
        <v>54.27</v>
      </c>
      <c r="S46" s="215">
        <v>44904</v>
      </c>
      <c r="T46" s="104">
        <v>605237</v>
      </c>
      <c r="U46" s="104">
        <v>845229</v>
      </c>
      <c r="V46" s="104">
        <v>1450466</v>
      </c>
      <c r="W46" s="104">
        <v>41.73</v>
      </c>
      <c r="Y46" s="215">
        <v>44904</v>
      </c>
      <c r="Z46" s="104">
        <v>1922459</v>
      </c>
      <c r="AA46" s="104">
        <v>1691209</v>
      </c>
      <c r="AB46" s="104">
        <v>3613668</v>
      </c>
      <c r="AC46" s="104">
        <v>53.2</v>
      </c>
      <c r="AE46" s="48"/>
      <c r="AF46" s="48"/>
      <c r="AG46" s="48"/>
      <c r="AH46" s="48"/>
      <c r="AI46" s="48"/>
      <c r="AK46" s="48"/>
      <c r="AL46" s="48"/>
      <c r="AM46" s="48"/>
      <c r="AN46" s="48"/>
      <c r="AO46" s="48"/>
      <c r="AQ46" s="48"/>
      <c r="AR46" s="48"/>
      <c r="AS46" s="48"/>
      <c r="AT46" s="48"/>
      <c r="AU46" s="48"/>
      <c r="AX46" s="48"/>
      <c r="AY46" s="48"/>
      <c r="AZ46" s="48"/>
      <c r="BA46" s="48"/>
      <c r="BB46" s="48"/>
    </row>
    <row r="47" spans="1:54" s="57" customFormat="1" hidden="1" x14ac:dyDescent="0.25">
      <c r="A47" s="215">
        <v>44905</v>
      </c>
      <c r="B47" s="104">
        <v>11949997</v>
      </c>
      <c r="C47" s="104">
        <v>1126716</v>
      </c>
      <c r="D47" s="104">
        <v>13076713</v>
      </c>
      <c r="E47" s="104">
        <v>91.38</v>
      </c>
      <c r="G47" s="215">
        <v>44905</v>
      </c>
      <c r="H47" s="104">
        <v>4267142</v>
      </c>
      <c r="I47" s="104">
        <v>1638885</v>
      </c>
      <c r="J47" s="104">
        <v>5906027</v>
      </c>
      <c r="K47" s="104">
        <v>72.25</v>
      </c>
      <c r="M47" s="215">
        <v>44905</v>
      </c>
      <c r="N47" s="104">
        <v>4627941</v>
      </c>
      <c r="O47" s="104">
        <v>3823830</v>
      </c>
      <c r="P47" s="104">
        <v>8451771</v>
      </c>
      <c r="Q47" s="104">
        <v>54.76</v>
      </c>
      <c r="S47" s="215">
        <v>44905</v>
      </c>
      <c r="T47" s="104">
        <v>431624</v>
      </c>
      <c r="U47" s="104">
        <v>565781</v>
      </c>
      <c r="V47" s="104">
        <v>997405</v>
      </c>
      <c r="W47" s="104">
        <v>43.27</v>
      </c>
      <c r="Y47" s="215">
        <v>44905</v>
      </c>
      <c r="Z47" s="104">
        <v>2996961</v>
      </c>
      <c r="AA47" s="104">
        <v>559212</v>
      </c>
      <c r="AB47" s="104">
        <v>3556173</v>
      </c>
      <c r="AC47" s="104">
        <v>84.27</v>
      </c>
      <c r="AE47" s="48"/>
      <c r="AF47" s="48"/>
      <c r="AG47" s="48"/>
      <c r="AH47" s="48"/>
      <c r="AI47" s="48"/>
      <c r="AK47" s="48"/>
      <c r="AL47" s="48"/>
      <c r="AM47" s="48"/>
      <c r="AN47" s="48"/>
      <c r="AO47" s="48"/>
      <c r="AQ47" s="48"/>
      <c r="AR47" s="48"/>
      <c r="AS47" s="48"/>
      <c r="AT47" s="48"/>
      <c r="AU47" s="48"/>
      <c r="AX47" s="48"/>
      <c r="AY47" s="48"/>
      <c r="AZ47" s="48"/>
      <c r="BA47" s="48"/>
      <c r="BB47" s="48"/>
    </row>
    <row r="48" spans="1:54" s="57" customFormat="1" hidden="1" x14ac:dyDescent="0.25">
      <c r="A48" s="215">
        <v>44906</v>
      </c>
      <c r="B48" s="104">
        <v>10569705</v>
      </c>
      <c r="C48" s="104">
        <v>1053135</v>
      </c>
      <c r="D48" s="104">
        <v>11622840</v>
      </c>
      <c r="E48" s="104">
        <v>90.94</v>
      </c>
      <c r="G48" s="215">
        <v>44906</v>
      </c>
      <c r="H48" s="104">
        <v>3604311</v>
      </c>
      <c r="I48" s="104">
        <v>1452115</v>
      </c>
      <c r="J48" s="104">
        <v>5056426</v>
      </c>
      <c r="K48" s="104">
        <v>71.28</v>
      </c>
      <c r="M48" s="215">
        <v>44906</v>
      </c>
      <c r="N48" s="104">
        <v>4074052</v>
      </c>
      <c r="O48" s="104">
        <v>4371288</v>
      </c>
      <c r="P48" s="104">
        <v>8445340</v>
      </c>
      <c r="Q48" s="104">
        <v>48.24</v>
      </c>
      <c r="S48" s="215">
        <v>44906</v>
      </c>
      <c r="T48" s="104">
        <v>169247</v>
      </c>
      <c r="U48" s="104">
        <v>48904</v>
      </c>
      <c r="V48" s="104">
        <v>218151</v>
      </c>
      <c r="W48" s="104">
        <v>77.58</v>
      </c>
      <c r="Y48" s="215">
        <v>44906</v>
      </c>
      <c r="Z48" s="104">
        <v>2594140</v>
      </c>
      <c r="AA48" s="104">
        <v>588939</v>
      </c>
      <c r="AB48" s="104">
        <v>3183079</v>
      </c>
      <c r="AC48" s="104">
        <v>81.5</v>
      </c>
      <c r="AE48" s="48"/>
      <c r="AF48" s="48"/>
      <c r="AG48" s="48"/>
      <c r="AH48" s="48"/>
      <c r="AI48" s="48"/>
      <c r="AK48" s="48"/>
      <c r="AL48" s="48"/>
      <c r="AM48" s="48"/>
      <c r="AN48" s="48"/>
      <c r="AO48" s="48"/>
      <c r="AQ48" s="48"/>
      <c r="AR48" s="48"/>
      <c r="AS48" s="48"/>
      <c r="AT48" s="48"/>
      <c r="AU48" s="48"/>
      <c r="AX48" s="48"/>
      <c r="AY48" s="48"/>
      <c r="AZ48" s="48"/>
      <c r="BA48" s="48"/>
      <c r="BB48" s="48"/>
    </row>
    <row r="49" spans="1:54" s="57" customFormat="1" hidden="1" x14ac:dyDescent="0.25">
      <c r="A49" s="215">
        <v>44907</v>
      </c>
      <c r="B49" s="104">
        <v>12660558</v>
      </c>
      <c r="C49" s="104">
        <v>1052003</v>
      </c>
      <c r="D49" s="104">
        <v>13712561</v>
      </c>
      <c r="E49" s="104">
        <v>92.33</v>
      </c>
      <c r="G49" s="215">
        <v>44907</v>
      </c>
      <c r="H49" s="104">
        <v>4615989</v>
      </c>
      <c r="I49" s="104">
        <v>1747491</v>
      </c>
      <c r="J49" s="104">
        <v>6363480</v>
      </c>
      <c r="K49" s="104">
        <v>72.540000000000006</v>
      </c>
      <c r="M49" s="215">
        <v>44907</v>
      </c>
      <c r="N49" s="104">
        <v>4116924</v>
      </c>
      <c r="O49" s="104">
        <v>4299806</v>
      </c>
      <c r="P49" s="104">
        <v>8416730</v>
      </c>
      <c r="Q49" s="104">
        <v>48.91</v>
      </c>
      <c r="S49" s="215">
        <v>44907</v>
      </c>
      <c r="T49" s="104">
        <v>465511</v>
      </c>
      <c r="U49" s="104">
        <v>568815</v>
      </c>
      <c r="V49" s="104">
        <v>1034326</v>
      </c>
      <c r="W49" s="104">
        <v>45.01</v>
      </c>
      <c r="Y49" s="215">
        <v>44907</v>
      </c>
      <c r="Z49" s="104">
        <v>2785291</v>
      </c>
      <c r="AA49" s="104">
        <v>585764</v>
      </c>
      <c r="AB49" s="104">
        <v>3371055</v>
      </c>
      <c r="AC49" s="104">
        <v>82.62</v>
      </c>
      <c r="AE49" s="48"/>
      <c r="AF49" s="48"/>
      <c r="AG49" s="48"/>
      <c r="AH49" s="48"/>
      <c r="AI49" s="48"/>
      <c r="AK49" s="48"/>
      <c r="AL49" s="48"/>
      <c r="AM49" s="48"/>
      <c r="AN49" s="48"/>
      <c r="AO49" s="48"/>
      <c r="AQ49" s="48"/>
      <c r="AR49" s="48"/>
      <c r="AS49" s="48"/>
      <c r="AT49" s="48"/>
      <c r="AU49" s="48"/>
      <c r="AX49" s="48"/>
      <c r="AY49" s="48"/>
      <c r="AZ49" s="48"/>
      <c r="BA49" s="48"/>
      <c r="BB49" s="48"/>
    </row>
    <row r="50" spans="1:54" s="57" customFormat="1" hidden="1" x14ac:dyDescent="0.25">
      <c r="A50" s="215">
        <v>44908</v>
      </c>
      <c r="B50" s="104">
        <v>12449171</v>
      </c>
      <c r="C50" s="104">
        <v>1129475</v>
      </c>
      <c r="D50" s="104">
        <v>13578646</v>
      </c>
      <c r="E50" s="104">
        <v>91.68</v>
      </c>
      <c r="G50" s="215">
        <v>44908</v>
      </c>
      <c r="H50" s="104">
        <v>4634459</v>
      </c>
      <c r="I50" s="104">
        <v>1678737</v>
      </c>
      <c r="J50" s="104">
        <v>6313196</v>
      </c>
      <c r="K50" s="104">
        <v>73.41</v>
      </c>
      <c r="M50" s="215">
        <v>44908</v>
      </c>
      <c r="N50" s="104">
        <v>4238550</v>
      </c>
      <c r="O50" s="104">
        <v>4196278</v>
      </c>
      <c r="P50" s="104">
        <v>8434828</v>
      </c>
      <c r="Q50" s="104">
        <v>50.25</v>
      </c>
      <c r="S50" s="215">
        <v>44908</v>
      </c>
      <c r="T50" s="104">
        <v>524013</v>
      </c>
      <c r="U50" s="104">
        <v>584488</v>
      </c>
      <c r="V50" s="104">
        <v>1108501</v>
      </c>
      <c r="W50" s="104">
        <v>47.27</v>
      </c>
      <c r="Y50" s="215">
        <v>44908</v>
      </c>
      <c r="Z50" s="104">
        <v>2999787</v>
      </c>
      <c r="AA50" s="104">
        <v>583976</v>
      </c>
      <c r="AB50" s="104">
        <v>3583763</v>
      </c>
      <c r="AC50" s="104">
        <v>83.7</v>
      </c>
      <c r="AE50" s="48"/>
      <c r="AF50" s="48"/>
      <c r="AG50" s="48"/>
      <c r="AH50" s="48"/>
      <c r="AI50" s="48"/>
      <c r="AK50" s="48"/>
      <c r="AL50" s="48"/>
      <c r="AM50" s="48"/>
      <c r="AN50" s="48"/>
      <c r="AO50" s="48"/>
      <c r="AQ50" s="48"/>
      <c r="AR50" s="48"/>
      <c r="AS50" s="48"/>
      <c r="AT50" s="48"/>
      <c r="AU50" s="48"/>
      <c r="AX50" s="48"/>
      <c r="AY50" s="48"/>
      <c r="AZ50" s="48"/>
      <c r="BA50" s="48"/>
      <c r="BB50" s="48"/>
    </row>
    <row r="51" spans="1:54" s="57" customFormat="1" hidden="1" x14ac:dyDescent="0.25">
      <c r="A51" s="215">
        <v>44909</v>
      </c>
      <c r="B51" s="104">
        <v>11916726</v>
      </c>
      <c r="C51" s="104">
        <v>1065261</v>
      </c>
      <c r="D51" s="104">
        <v>12981987</v>
      </c>
      <c r="E51" s="104">
        <v>91.79</v>
      </c>
      <c r="G51" s="215">
        <v>44909</v>
      </c>
      <c r="H51" s="104">
        <v>5171495</v>
      </c>
      <c r="I51" s="104">
        <v>2075851</v>
      </c>
      <c r="J51" s="104">
        <v>7247346</v>
      </c>
      <c r="K51" s="104">
        <v>71.36</v>
      </c>
      <c r="M51" s="215">
        <v>44909</v>
      </c>
      <c r="N51" s="104">
        <v>4179989</v>
      </c>
      <c r="O51" s="104">
        <v>4166411</v>
      </c>
      <c r="P51" s="104">
        <v>8346400</v>
      </c>
      <c r="Q51" s="104">
        <v>50.08</v>
      </c>
      <c r="S51" s="215">
        <v>44909</v>
      </c>
      <c r="T51" s="104">
        <v>472758</v>
      </c>
      <c r="U51" s="104">
        <v>571010</v>
      </c>
      <c r="V51" s="104">
        <v>1043768</v>
      </c>
      <c r="W51" s="104">
        <v>45.29</v>
      </c>
      <c r="Y51" s="215">
        <v>44909</v>
      </c>
      <c r="Z51" s="104">
        <v>2653644</v>
      </c>
      <c r="AA51" s="104">
        <v>572671</v>
      </c>
      <c r="AB51" s="104">
        <v>3226315</v>
      </c>
      <c r="AC51" s="104">
        <v>82.25</v>
      </c>
      <c r="AE51" s="48"/>
      <c r="AF51" s="48"/>
      <c r="AG51" s="48"/>
      <c r="AH51" s="48"/>
      <c r="AI51" s="48"/>
      <c r="AK51" s="48"/>
      <c r="AL51" s="48"/>
      <c r="AM51" s="48"/>
      <c r="AN51" s="48"/>
      <c r="AO51" s="48"/>
      <c r="AQ51" s="48"/>
      <c r="AR51" s="48"/>
      <c r="AS51" s="48"/>
      <c r="AT51" s="48"/>
      <c r="AU51" s="48"/>
      <c r="AX51" s="48"/>
      <c r="AY51" s="48"/>
      <c r="AZ51" s="48"/>
      <c r="BA51" s="48"/>
      <c r="BB51" s="48"/>
    </row>
    <row r="52" spans="1:54" s="57" customFormat="1" hidden="1" x14ac:dyDescent="0.25">
      <c r="A52" s="215">
        <v>44910</v>
      </c>
      <c r="B52" s="104">
        <v>12269645</v>
      </c>
      <c r="C52" s="104">
        <v>1011945</v>
      </c>
      <c r="D52" s="104">
        <v>13281590</v>
      </c>
      <c r="E52" s="104">
        <v>92.38</v>
      </c>
      <c r="G52" s="215">
        <v>44910</v>
      </c>
      <c r="H52" s="104">
        <v>6248959</v>
      </c>
      <c r="I52" s="104">
        <v>2437888</v>
      </c>
      <c r="J52" s="104">
        <v>8686847</v>
      </c>
      <c r="K52" s="104">
        <v>71.94</v>
      </c>
      <c r="M52" s="215">
        <v>44910</v>
      </c>
      <c r="N52" s="104">
        <v>4564989</v>
      </c>
      <c r="O52" s="104">
        <v>3792728</v>
      </c>
      <c r="P52" s="104">
        <v>8357717</v>
      </c>
      <c r="Q52" s="104">
        <v>54.62</v>
      </c>
      <c r="S52" s="215">
        <v>44910</v>
      </c>
      <c r="T52" s="104">
        <v>480208</v>
      </c>
      <c r="U52" s="104">
        <v>566852</v>
      </c>
      <c r="V52" s="104">
        <v>1047060</v>
      </c>
      <c r="W52" s="104">
        <v>45.86</v>
      </c>
      <c r="Y52" s="215">
        <v>44910</v>
      </c>
      <c r="Z52" s="104">
        <v>3390986</v>
      </c>
      <c r="AA52" s="104">
        <v>485342</v>
      </c>
      <c r="AB52" s="104">
        <v>3876328</v>
      </c>
      <c r="AC52" s="104">
        <v>87.48</v>
      </c>
      <c r="AE52" s="48"/>
      <c r="AF52" s="48"/>
      <c r="AG52" s="48"/>
      <c r="AH52" s="48"/>
      <c r="AI52" s="48"/>
      <c r="AK52" s="48"/>
      <c r="AL52" s="48"/>
      <c r="AM52" s="48"/>
      <c r="AN52" s="48"/>
      <c r="AO52" s="48"/>
      <c r="AQ52" s="48"/>
      <c r="AR52" s="48"/>
      <c r="AS52" s="48"/>
      <c r="AT52" s="48"/>
      <c r="AU52" s="48"/>
      <c r="AX52" s="48"/>
      <c r="AY52" s="48"/>
      <c r="AZ52" s="48"/>
      <c r="BA52" s="48"/>
      <c r="BB52" s="48"/>
    </row>
    <row r="53" spans="1:54" s="57" customFormat="1" hidden="1" x14ac:dyDescent="0.25">
      <c r="A53" s="215">
        <v>44911</v>
      </c>
      <c r="B53" s="104">
        <v>12953086</v>
      </c>
      <c r="C53" s="104">
        <v>1144094</v>
      </c>
      <c r="D53" s="104">
        <v>14097180</v>
      </c>
      <c r="E53" s="104">
        <v>91.88</v>
      </c>
      <c r="G53" s="215">
        <v>44911</v>
      </c>
      <c r="H53" s="104">
        <v>4605751</v>
      </c>
      <c r="I53" s="104">
        <v>2057713</v>
      </c>
      <c r="J53" s="104">
        <v>6663464</v>
      </c>
      <c r="K53" s="104">
        <v>69.12</v>
      </c>
      <c r="M53" s="215">
        <v>44911</v>
      </c>
      <c r="N53" s="104">
        <v>3988401</v>
      </c>
      <c r="O53" s="104">
        <v>4043281</v>
      </c>
      <c r="P53" s="104">
        <v>8031682</v>
      </c>
      <c r="Q53" s="104">
        <v>49.66</v>
      </c>
      <c r="S53" s="215">
        <v>44911</v>
      </c>
      <c r="T53" s="104">
        <v>473458</v>
      </c>
      <c r="U53" s="104">
        <v>575716</v>
      </c>
      <c r="V53" s="104">
        <v>1049174</v>
      </c>
      <c r="W53" s="104">
        <v>45.13</v>
      </c>
      <c r="Y53" s="215">
        <v>44911</v>
      </c>
      <c r="Z53" s="104">
        <v>3190316</v>
      </c>
      <c r="AA53" s="104">
        <v>423292</v>
      </c>
      <c r="AB53" s="104">
        <v>3613608</v>
      </c>
      <c r="AC53" s="104">
        <v>88.29</v>
      </c>
      <c r="AE53" s="48"/>
      <c r="AF53" s="48"/>
      <c r="AG53" s="48"/>
      <c r="AH53" s="48"/>
      <c r="AI53" s="48"/>
      <c r="AK53" s="48"/>
      <c r="AL53" s="48"/>
      <c r="AM53" s="48"/>
      <c r="AN53" s="48"/>
      <c r="AO53" s="48"/>
      <c r="AQ53" s="48"/>
      <c r="AR53" s="48"/>
      <c r="AS53" s="48"/>
      <c r="AT53" s="48"/>
      <c r="AU53" s="48"/>
      <c r="AX53" s="48"/>
      <c r="AY53" s="48"/>
      <c r="AZ53" s="48"/>
      <c r="BA53" s="48"/>
      <c r="BB53" s="48"/>
    </row>
    <row r="54" spans="1:54" s="57" customFormat="1" hidden="1" x14ac:dyDescent="0.25">
      <c r="A54" s="215">
        <v>44912</v>
      </c>
      <c r="B54" s="104">
        <v>12752657</v>
      </c>
      <c r="C54" s="104">
        <v>1193504</v>
      </c>
      <c r="D54" s="104">
        <v>13946161</v>
      </c>
      <c r="E54" s="104">
        <v>91.44</v>
      </c>
      <c r="G54" s="215">
        <v>44912</v>
      </c>
      <c r="H54" s="104">
        <v>6374482</v>
      </c>
      <c r="I54" s="104">
        <v>2899427</v>
      </c>
      <c r="J54" s="104">
        <v>9273909</v>
      </c>
      <c r="K54" s="104">
        <v>68.739999999999995</v>
      </c>
      <c r="M54" s="215">
        <v>44912</v>
      </c>
      <c r="N54" s="104">
        <v>3670913</v>
      </c>
      <c r="O54" s="104">
        <v>3853383</v>
      </c>
      <c r="P54" s="104">
        <v>7524296</v>
      </c>
      <c r="Q54" s="104">
        <v>48.79</v>
      </c>
      <c r="S54" s="215">
        <v>44912</v>
      </c>
      <c r="T54" s="104">
        <v>447808</v>
      </c>
      <c r="U54" s="104">
        <v>565902</v>
      </c>
      <c r="V54" s="104">
        <v>1013710</v>
      </c>
      <c r="W54" s="104">
        <v>44.18</v>
      </c>
      <c r="Y54" s="215">
        <v>44912</v>
      </c>
      <c r="Z54" s="104">
        <v>2872191</v>
      </c>
      <c r="AA54" s="104">
        <v>383024</v>
      </c>
      <c r="AB54" s="104">
        <v>3255215</v>
      </c>
      <c r="AC54" s="104">
        <v>88.23</v>
      </c>
      <c r="AE54" s="48"/>
      <c r="AF54" s="48"/>
      <c r="AG54" s="48"/>
      <c r="AH54" s="48"/>
      <c r="AI54" s="48"/>
      <c r="AK54" s="48"/>
      <c r="AL54" s="48"/>
      <c r="AM54" s="48"/>
      <c r="AN54" s="48"/>
      <c r="AO54" s="48"/>
      <c r="AQ54" s="48"/>
      <c r="AR54" s="48"/>
      <c r="AS54" s="48"/>
      <c r="AT54" s="48"/>
      <c r="AU54" s="48"/>
      <c r="AX54" s="48"/>
      <c r="AY54" s="48"/>
      <c r="AZ54" s="48"/>
      <c r="BA54" s="48"/>
      <c r="BB54" s="48"/>
    </row>
    <row r="55" spans="1:54" s="57" customFormat="1" hidden="1" x14ac:dyDescent="0.25">
      <c r="A55" s="215">
        <v>44913</v>
      </c>
      <c r="B55" s="48">
        <v>10403492</v>
      </c>
      <c r="C55" s="48">
        <v>1140591</v>
      </c>
      <c r="D55" s="48">
        <v>11544083</v>
      </c>
      <c r="E55" s="48">
        <v>90.11</v>
      </c>
      <c r="G55" s="215">
        <v>44913</v>
      </c>
      <c r="H55" s="48">
        <v>4249070</v>
      </c>
      <c r="I55" s="48">
        <v>1939731</v>
      </c>
      <c r="J55" s="48">
        <v>6188801</v>
      </c>
      <c r="K55" s="48">
        <v>68.650000000000006</v>
      </c>
      <c r="M55" s="215">
        <v>44913</v>
      </c>
      <c r="N55" s="48">
        <v>3646627</v>
      </c>
      <c r="O55" s="48">
        <v>4702114</v>
      </c>
      <c r="P55" s="48">
        <v>8348741</v>
      </c>
      <c r="Q55" s="48">
        <v>43.677999999999997</v>
      </c>
      <c r="S55" s="215">
        <v>44913</v>
      </c>
      <c r="T55" s="48">
        <v>324138</v>
      </c>
      <c r="U55" s="48">
        <v>80866</v>
      </c>
      <c r="V55" s="48">
        <v>405004</v>
      </c>
      <c r="W55" s="48">
        <v>80.03</v>
      </c>
      <c r="Y55" s="215">
        <v>44913</v>
      </c>
      <c r="Z55" s="48">
        <v>3048443</v>
      </c>
      <c r="AA55" s="48">
        <v>396983</v>
      </c>
      <c r="AB55" s="48">
        <v>3445426</v>
      </c>
      <c r="AC55" s="48">
        <v>88.47</v>
      </c>
      <c r="AE55" s="48"/>
      <c r="AF55" s="48"/>
      <c r="AG55" s="48"/>
      <c r="AH55" s="48"/>
      <c r="AI55" s="48"/>
      <c r="AK55" s="48"/>
      <c r="AL55" s="48"/>
      <c r="AM55" s="48"/>
      <c r="AN55" s="48"/>
      <c r="AO55" s="48"/>
      <c r="AQ55" s="48"/>
      <c r="AR55" s="48"/>
      <c r="AS55" s="48"/>
      <c r="AT55" s="48"/>
      <c r="AU55" s="48"/>
      <c r="AX55" s="48"/>
      <c r="AY55" s="48"/>
      <c r="AZ55" s="48"/>
      <c r="BA55" s="48"/>
      <c r="BB55" s="48"/>
    </row>
    <row r="56" spans="1:54" s="57" customFormat="1" hidden="1" x14ac:dyDescent="0.25">
      <c r="A56" s="215">
        <v>44914</v>
      </c>
      <c r="B56" s="48">
        <v>12961584</v>
      </c>
      <c r="C56" s="48">
        <v>1060845</v>
      </c>
      <c r="D56" s="48">
        <v>14022429</v>
      </c>
      <c r="E56" s="48">
        <v>92.43</v>
      </c>
      <c r="G56" s="215">
        <v>44914</v>
      </c>
      <c r="H56" s="48">
        <v>5732066</v>
      </c>
      <c r="I56" s="48">
        <v>2377865</v>
      </c>
      <c r="J56" s="48">
        <v>8109931</v>
      </c>
      <c r="K56" s="48">
        <v>70.67</v>
      </c>
      <c r="M56" s="215">
        <v>44914</v>
      </c>
      <c r="N56" s="48">
        <v>3247761</v>
      </c>
      <c r="O56" s="48">
        <v>4464587</v>
      </c>
      <c r="P56" s="48">
        <v>7712348</v>
      </c>
      <c r="Q56" s="48">
        <v>42.11</v>
      </c>
      <c r="S56" s="215">
        <v>44914</v>
      </c>
      <c r="T56" s="48">
        <v>714486</v>
      </c>
      <c r="U56" s="48">
        <v>589184</v>
      </c>
      <c r="V56" s="48">
        <v>1303670</v>
      </c>
      <c r="W56" s="48">
        <v>54.8</v>
      </c>
      <c r="Y56" s="215">
        <v>44914</v>
      </c>
      <c r="Z56" s="48">
        <v>3131005</v>
      </c>
      <c r="AA56" s="48">
        <v>401011</v>
      </c>
      <c r="AB56" s="48">
        <v>3532016</v>
      </c>
      <c r="AC56" s="48">
        <v>88.64</v>
      </c>
      <c r="AE56" s="48"/>
      <c r="AF56" s="48"/>
      <c r="AG56" s="48"/>
      <c r="AH56" s="48"/>
      <c r="AI56" s="48"/>
      <c r="AK56" s="48"/>
      <c r="AL56" s="48"/>
      <c r="AM56" s="48"/>
      <c r="AN56" s="48"/>
      <c r="AO56" s="48"/>
      <c r="AQ56" s="48"/>
      <c r="AR56" s="48"/>
      <c r="AS56" s="48"/>
      <c r="AT56" s="48"/>
      <c r="AU56" s="48"/>
      <c r="AX56" s="48"/>
      <c r="AY56" s="48"/>
      <c r="AZ56" s="48"/>
      <c r="BA56" s="48"/>
      <c r="BB56" s="48"/>
    </row>
    <row r="57" spans="1:54" s="57" customFormat="1" hidden="1" x14ac:dyDescent="0.25">
      <c r="A57" s="215">
        <v>44915</v>
      </c>
      <c r="B57" s="48">
        <v>12719682</v>
      </c>
      <c r="C57" s="48">
        <v>1116164</v>
      </c>
      <c r="D57" s="48">
        <v>13835846</v>
      </c>
      <c r="E57" s="48">
        <v>91.93</v>
      </c>
      <c r="G57" s="215">
        <v>44915</v>
      </c>
      <c r="H57" s="48">
        <v>4960593</v>
      </c>
      <c r="I57" s="48">
        <v>2311688</v>
      </c>
      <c r="J57" s="48">
        <v>7272281</v>
      </c>
      <c r="K57" s="48">
        <v>68.209999999999994</v>
      </c>
      <c r="M57" s="215">
        <v>44915</v>
      </c>
      <c r="N57" s="48">
        <v>3339457</v>
      </c>
      <c r="O57" s="48">
        <v>4736635</v>
      </c>
      <c r="P57" s="48">
        <v>8076092</v>
      </c>
      <c r="Q57" s="48">
        <v>41.34</v>
      </c>
      <c r="S57" s="215">
        <v>44915</v>
      </c>
      <c r="T57" s="48">
        <v>770572</v>
      </c>
      <c r="U57" s="48">
        <v>596511</v>
      </c>
      <c r="V57" s="48">
        <v>1367083</v>
      </c>
      <c r="W57" s="48">
        <v>56.36</v>
      </c>
      <c r="Y57" s="215">
        <v>44915</v>
      </c>
      <c r="Z57" s="48">
        <v>3051455</v>
      </c>
      <c r="AA57" s="48">
        <v>443719</v>
      </c>
      <c r="AB57" s="48">
        <v>3495174</v>
      </c>
      <c r="AC57" s="48">
        <v>87.3</v>
      </c>
      <c r="AE57" s="48"/>
      <c r="AF57" s="48"/>
      <c r="AG57" s="48"/>
      <c r="AH57" s="48"/>
      <c r="AI57" s="48"/>
      <c r="AK57" s="48"/>
      <c r="AL57" s="48"/>
      <c r="AM57" s="48"/>
      <c r="AN57" s="48"/>
      <c r="AO57" s="48"/>
      <c r="AQ57" s="48"/>
      <c r="AR57" s="48"/>
      <c r="AS57" s="48"/>
      <c r="AT57" s="48"/>
      <c r="AU57" s="48"/>
      <c r="AX57" s="48"/>
      <c r="AY57" s="48"/>
      <c r="AZ57" s="48"/>
      <c r="BA57" s="48"/>
      <c r="BB57" s="48"/>
    </row>
    <row r="58" spans="1:54" s="57" customFormat="1" hidden="1" x14ac:dyDescent="0.25">
      <c r="A58" s="215">
        <v>44916</v>
      </c>
      <c r="B58" s="104">
        <v>12576462</v>
      </c>
      <c r="C58" s="104">
        <v>1067308</v>
      </c>
      <c r="D58" s="104">
        <v>13643770</v>
      </c>
      <c r="E58" s="104">
        <v>92.18</v>
      </c>
      <c r="G58" s="215">
        <v>44916</v>
      </c>
      <c r="H58" s="104">
        <v>5889836</v>
      </c>
      <c r="I58" s="104">
        <v>2337828</v>
      </c>
      <c r="J58" s="104">
        <v>8227664</v>
      </c>
      <c r="K58" s="104">
        <v>71.59</v>
      </c>
      <c r="M58" s="215">
        <v>44916</v>
      </c>
      <c r="N58" s="104">
        <v>3749281</v>
      </c>
      <c r="O58" s="104">
        <v>3623295</v>
      </c>
      <c r="P58" s="104">
        <v>7372576</v>
      </c>
      <c r="Q58" s="104">
        <v>50.85</v>
      </c>
      <c r="S58" s="215">
        <v>44916</v>
      </c>
      <c r="T58" s="104">
        <v>643398</v>
      </c>
      <c r="U58" s="104">
        <v>432999</v>
      </c>
      <c r="V58" s="104">
        <v>1076397</v>
      </c>
      <c r="W58" s="104">
        <v>59.77</v>
      </c>
      <c r="Y58" s="215">
        <v>44916</v>
      </c>
      <c r="Z58" s="104">
        <v>3187704</v>
      </c>
      <c r="AA58" s="104">
        <v>435089</v>
      </c>
      <c r="AB58" s="104">
        <v>3622793</v>
      </c>
      <c r="AC58" s="104">
        <v>87.99</v>
      </c>
      <c r="AE58" s="48"/>
      <c r="AF58" s="48"/>
      <c r="AG58" s="48"/>
      <c r="AH58" s="48"/>
      <c r="AI58" s="48"/>
      <c r="AK58" s="48"/>
      <c r="AL58" s="48"/>
      <c r="AM58" s="48"/>
      <c r="AN58" s="48"/>
      <c r="AO58" s="48"/>
      <c r="AQ58" s="48"/>
      <c r="AR58" s="48"/>
      <c r="AS58" s="48"/>
      <c r="AT58" s="48"/>
      <c r="AU58" s="48"/>
      <c r="AX58" s="48"/>
      <c r="AY58" s="48"/>
      <c r="AZ58" s="48"/>
      <c r="BA58" s="48"/>
      <c r="BB58" s="48"/>
    </row>
    <row r="59" spans="1:54" s="57" customFormat="1" hidden="1" x14ac:dyDescent="0.25">
      <c r="A59" s="215">
        <v>44917</v>
      </c>
      <c r="B59" s="48">
        <v>13007751</v>
      </c>
      <c r="C59" s="48">
        <v>1144657</v>
      </c>
      <c r="D59" s="48">
        <v>14152408</v>
      </c>
      <c r="E59" s="48">
        <v>91.91</v>
      </c>
      <c r="G59" s="215">
        <v>44917</v>
      </c>
      <c r="H59" s="48">
        <v>4786549</v>
      </c>
      <c r="I59" s="48">
        <v>2000190</v>
      </c>
      <c r="J59" s="48">
        <v>6786739</v>
      </c>
      <c r="K59" s="48">
        <v>70.52</v>
      </c>
      <c r="M59" s="215">
        <v>44917</v>
      </c>
      <c r="N59" s="48">
        <v>4458823</v>
      </c>
      <c r="O59" s="48">
        <v>3915137</v>
      </c>
      <c r="P59" s="48">
        <v>8373960</v>
      </c>
      <c r="Q59" s="48">
        <v>53.24</v>
      </c>
      <c r="S59" s="215">
        <v>44917</v>
      </c>
      <c r="T59" s="48">
        <v>404875</v>
      </c>
      <c r="U59" s="48">
        <v>155367</v>
      </c>
      <c r="V59" s="48">
        <v>560242</v>
      </c>
      <c r="W59" s="48">
        <v>72.260000000000005</v>
      </c>
      <c r="Y59" s="215">
        <v>44917</v>
      </c>
      <c r="Z59" s="48">
        <v>2922426</v>
      </c>
      <c r="AA59" s="48">
        <v>433632</v>
      </c>
      <c r="AB59" s="48">
        <v>3356058</v>
      </c>
      <c r="AC59" s="48">
        <v>87.07</v>
      </c>
      <c r="AE59" s="48"/>
      <c r="AF59" s="48"/>
      <c r="AG59" s="48"/>
      <c r="AH59" s="48"/>
      <c r="AI59" s="48"/>
      <c r="AK59" s="48"/>
      <c r="AL59" s="48"/>
      <c r="AM59" s="48"/>
      <c r="AN59" s="48"/>
      <c r="AO59" s="48"/>
      <c r="AQ59" s="48"/>
      <c r="AR59" s="48"/>
      <c r="AS59" s="48"/>
      <c r="AT59" s="48"/>
      <c r="AU59" s="48"/>
      <c r="AX59" s="48"/>
      <c r="AY59" s="48"/>
      <c r="AZ59" s="48"/>
      <c r="BA59" s="48"/>
      <c r="BB59" s="48"/>
    </row>
    <row r="60" spans="1:54" s="57" customFormat="1" hidden="1" x14ac:dyDescent="0.25">
      <c r="A60" s="215">
        <v>44918</v>
      </c>
      <c r="B60" s="48">
        <v>14278980</v>
      </c>
      <c r="C60" s="48">
        <v>1303859</v>
      </c>
      <c r="D60" s="48">
        <v>15582839</v>
      </c>
      <c r="E60" s="48">
        <v>91.63</v>
      </c>
      <c r="G60" s="215">
        <v>44918</v>
      </c>
      <c r="H60" s="48">
        <v>7508468</v>
      </c>
      <c r="I60" s="48">
        <v>2535288</v>
      </c>
      <c r="J60" s="48">
        <v>10043756</v>
      </c>
      <c r="K60" s="48">
        <v>74.760000000000005</v>
      </c>
      <c r="M60" s="215">
        <v>44918</v>
      </c>
      <c r="N60" s="48">
        <v>4470281</v>
      </c>
      <c r="O60" s="48">
        <v>3593713</v>
      </c>
      <c r="P60" s="48">
        <v>8063994</v>
      </c>
      <c r="Q60" s="48">
        <v>55.44</v>
      </c>
      <c r="S60" s="215">
        <v>44918</v>
      </c>
      <c r="T60" s="48">
        <v>1291855</v>
      </c>
      <c r="U60" s="48">
        <v>979468</v>
      </c>
      <c r="V60" s="48">
        <v>2271323</v>
      </c>
      <c r="W60" s="48">
        <v>56.88</v>
      </c>
      <c r="Y60" s="215">
        <v>44918</v>
      </c>
      <c r="Z60" s="48">
        <v>3419763</v>
      </c>
      <c r="AA60" s="48">
        <v>404081</v>
      </c>
      <c r="AB60" s="48">
        <v>3823844</v>
      </c>
      <c r="AC60" s="48">
        <v>89.43</v>
      </c>
      <c r="AE60" s="48"/>
      <c r="AF60" s="48"/>
      <c r="AG60" s="48"/>
      <c r="AH60" s="48"/>
      <c r="AI60" s="48"/>
      <c r="AK60" s="48"/>
      <c r="AL60" s="48"/>
      <c r="AM60" s="48"/>
      <c r="AN60" s="48"/>
      <c r="AO60" s="48"/>
      <c r="AQ60" s="48"/>
      <c r="AR60" s="48"/>
      <c r="AS60" s="48"/>
      <c r="AT60" s="48"/>
      <c r="AU60" s="48"/>
      <c r="AX60" s="48"/>
      <c r="AY60" s="48"/>
      <c r="AZ60" s="48"/>
      <c r="BA60" s="48"/>
      <c r="BB60" s="48"/>
    </row>
    <row r="61" spans="1:54" s="57" customFormat="1" hidden="1" x14ac:dyDescent="0.25">
      <c r="A61" s="215">
        <v>44919</v>
      </c>
      <c r="B61" s="48">
        <v>14069065</v>
      </c>
      <c r="C61" s="48">
        <v>1312574</v>
      </c>
      <c r="D61" s="48">
        <v>15381639</v>
      </c>
      <c r="E61" s="48">
        <v>91.46</v>
      </c>
      <c r="G61" s="215">
        <v>44919</v>
      </c>
      <c r="H61" s="48">
        <v>9584050</v>
      </c>
      <c r="I61" s="48">
        <v>3372994</v>
      </c>
      <c r="J61" s="48">
        <v>12957044</v>
      </c>
      <c r="K61" s="48">
        <v>73.959999999999994</v>
      </c>
      <c r="M61" s="215">
        <v>44919</v>
      </c>
      <c r="N61" s="48">
        <v>3314</v>
      </c>
      <c r="O61" s="48">
        <v>241</v>
      </c>
      <c r="P61" s="48">
        <v>3555</v>
      </c>
      <c r="Q61" s="48">
        <v>93.22</v>
      </c>
      <c r="S61" s="215">
        <v>44919</v>
      </c>
      <c r="T61" s="48">
        <v>1403407</v>
      </c>
      <c r="U61" s="48">
        <v>1008732</v>
      </c>
      <c r="V61" s="48">
        <v>2412139</v>
      </c>
      <c r="W61" s="48">
        <v>58.18</v>
      </c>
      <c r="Y61" s="215">
        <v>44919</v>
      </c>
      <c r="Z61" s="48">
        <v>3022754</v>
      </c>
      <c r="AA61" s="48">
        <v>392619</v>
      </c>
      <c r="AB61" s="48">
        <v>3415373</v>
      </c>
      <c r="AC61" s="48">
        <v>88.5</v>
      </c>
      <c r="AE61" s="48"/>
      <c r="AF61" s="48"/>
      <c r="AG61" s="48"/>
      <c r="AH61" s="48"/>
      <c r="AI61" s="48"/>
      <c r="AK61" s="48"/>
      <c r="AL61" s="48"/>
      <c r="AM61" s="48"/>
      <c r="AN61" s="48"/>
      <c r="AO61" s="48"/>
      <c r="AQ61" s="48"/>
      <c r="AR61" s="48"/>
      <c r="AS61" s="48"/>
      <c r="AT61" s="48"/>
      <c r="AU61" s="48"/>
      <c r="AX61" s="48"/>
      <c r="AY61" s="48"/>
      <c r="AZ61" s="48"/>
      <c r="BA61" s="48"/>
      <c r="BB61" s="48"/>
    </row>
    <row r="62" spans="1:54" s="57" customFormat="1" hidden="1" x14ac:dyDescent="0.25">
      <c r="A62" s="215">
        <v>44920</v>
      </c>
      <c r="B62" s="48">
        <v>11075702</v>
      </c>
      <c r="C62" s="48">
        <v>1205303</v>
      </c>
      <c r="D62" s="48">
        <v>12281005</v>
      </c>
      <c r="E62" s="48">
        <v>90.18</v>
      </c>
      <c r="G62" s="215">
        <v>44920</v>
      </c>
      <c r="H62" s="48">
        <v>9566714</v>
      </c>
      <c r="I62" s="48">
        <v>3355375</v>
      </c>
      <c r="J62" s="48">
        <v>12922089</v>
      </c>
      <c r="K62" s="48">
        <v>74.03</v>
      </c>
      <c r="M62" s="215">
        <v>44920</v>
      </c>
      <c r="N62" s="48">
        <v>14606</v>
      </c>
      <c r="O62" s="48">
        <v>18442</v>
      </c>
      <c r="P62" s="48">
        <v>33048</v>
      </c>
      <c r="Q62" s="48">
        <v>44.19</v>
      </c>
      <c r="S62" s="215">
        <v>44920</v>
      </c>
      <c r="T62" s="48">
        <v>743672</v>
      </c>
      <c r="U62" s="48">
        <v>155067</v>
      </c>
      <c r="V62" s="48">
        <v>898739</v>
      </c>
      <c r="W62" s="48">
        <v>82.74</v>
      </c>
      <c r="Y62" s="215">
        <v>44920</v>
      </c>
      <c r="Z62" s="48">
        <v>2639597</v>
      </c>
      <c r="AA62" s="48">
        <v>356688</v>
      </c>
      <c r="AB62" s="48">
        <v>2996285</v>
      </c>
      <c r="AC62" s="48">
        <v>88.09</v>
      </c>
      <c r="AE62" s="48"/>
      <c r="AF62" s="48"/>
      <c r="AG62" s="48"/>
      <c r="AH62" s="48"/>
      <c r="AI62" s="48"/>
      <c r="AK62" s="48"/>
      <c r="AL62" s="48"/>
      <c r="AM62" s="48"/>
      <c r="AN62" s="48"/>
      <c r="AO62" s="48"/>
      <c r="AQ62" s="48"/>
      <c r="AR62" s="48"/>
      <c r="AS62" s="48"/>
      <c r="AT62" s="48"/>
      <c r="AU62" s="48"/>
      <c r="AX62" s="48"/>
      <c r="AY62" s="48"/>
      <c r="AZ62" s="48"/>
      <c r="BA62" s="48"/>
      <c r="BB62" s="48"/>
    </row>
    <row r="63" spans="1:54" s="57" customFormat="1" hidden="1" x14ac:dyDescent="0.25">
      <c r="A63" s="215">
        <v>44921</v>
      </c>
      <c r="B63" s="48">
        <v>12727162</v>
      </c>
      <c r="C63" s="48">
        <v>1070054</v>
      </c>
      <c r="D63" s="48">
        <v>13797216</v>
      </c>
      <c r="E63" s="48">
        <v>92.24</v>
      </c>
      <c r="G63" s="215">
        <v>44921</v>
      </c>
      <c r="H63" s="48">
        <v>9412997</v>
      </c>
      <c r="I63" s="48">
        <v>3261015</v>
      </c>
      <c r="J63" s="48">
        <v>12674012</v>
      </c>
      <c r="K63" s="48">
        <v>74.27</v>
      </c>
      <c r="M63" s="215">
        <v>44921</v>
      </c>
      <c r="N63" s="48">
        <v>4514</v>
      </c>
      <c r="O63" s="48">
        <v>7153</v>
      </c>
      <c r="P63" s="48">
        <v>11667</v>
      </c>
      <c r="Q63" s="48">
        <v>38.69</v>
      </c>
      <c r="S63" s="215">
        <v>44921</v>
      </c>
      <c r="T63" s="48">
        <v>1994130</v>
      </c>
      <c r="U63" s="48">
        <v>1602013</v>
      </c>
      <c r="V63" s="48">
        <v>3596143</v>
      </c>
      <c r="W63" s="48">
        <v>55.45</v>
      </c>
      <c r="Y63" s="215">
        <v>44921</v>
      </c>
      <c r="Z63" s="48">
        <v>3261495</v>
      </c>
      <c r="AA63" s="48">
        <v>358200</v>
      </c>
      <c r="AB63" s="48">
        <v>3619695</v>
      </c>
      <c r="AC63" s="48">
        <v>90.1</v>
      </c>
      <c r="AE63" s="48"/>
      <c r="AF63" s="48"/>
      <c r="AG63" s="48"/>
      <c r="AH63" s="48"/>
      <c r="AI63" s="48"/>
      <c r="AK63" s="48"/>
      <c r="AL63" s="48"/>
      <c r="AM63" s="48"/>
      <c r="AN63" s="48"/>
      <c r="AO63" s="48"/>
      <c r="AQ63" s="48"/>
      <c r="AR63" s="48"/>
      <c r="AS63" s="48"/>
      <c r="AT63" s="48"/>
      <c r="AU63" s="48"/>
      <c r="AX63" s="48"/>
      <c r="AY63" s="48"/>
      <c r="AZ63" s="48"/>
      <c r="BA63" s="48"/>
      <c r="BB63" s="48"/>
    </row>
    <row r="64" spans="1:54" s="57" customFormat="1" hidden="1" x14ac:dyDescent="0.25">
      <c r="A64" s="215">
        <v>44922</v>
      </c>
      <c r="B64" s="104">
        <v>13283420</v>
      </c>
      <c r="C64" s="104">
        <v>1116974</v>
      </c>
      <c r="D64" s="104">
        <v>14400394</v>
      </c>
      <c r="E64" s="104">
        <v>92.24</v>
      </c>
      <c r="G64" s="215">
        <v>44922</v>
      </c>
      <c r="H64" s="104">
        <v>4388656</v>
      </c>
      <c r="I64" s="104">
        <v>1473656</v>
      </c>
      <c r="J64" s="104">
        <v>5862312</v>
      </c>
      <c r="K64" s="104">
        <v>74.86</v>
      </c>
      <c r="M64" s="215">
        <v>44922</v>
      </c>
      <c r="N64" s="104">
        <v>3244206</v>
      </c>
      <c r="O64" s="104">
        <v>3729930</v>
      </c>
      <c r="P64" s="104">
        <v>6974136</v>
      </c>
      <c r="Q64" s="104">
        <v>46.52</v>
      </c>
      <c r="S64" s="215">
        <v>44922</v>
      </c>
      <c r="T64" s="104">
        <v>1622503</v>
      </c>
      <c r="U64" s="104">
        <v>1554874</v>
      </c>
      <c r="V64" s="104">
        <v>3177377</v>
      </c>
      <c r="W64" s="104">
        <v>51.06</v>
      </c>
      <c r="Y64" s="215">
        <v>44922</v>
      </c>
      <c r="Z64" s="104">
        <v>3370153</v>
      </c>
      <c r="AA64" s="104">
        <v>386598</v>
      </c>
      <c r="AB64" s="104">
        <v>3756751</v>
      </c>
      <c r="AC64" s="104">
        <v>89.71</v>
      </c>
      <c r="AE64" s="48"/>
      <c r="AF64" s="48"/>
      <c r="AG64" s="48"/>
      <c r="AH64" s="48"/>
      <c r="AI64" s="48"/>
      <c r="AK64" s="48"/>
      <c r="AL64" s="48"/>
      <c r="AM64" s="48"/>
      <c r="AN64" s="48"/>
      <c r="AO64" s="48"/>
      <c r="AQ64" s="48"/>
      <c r="AR64" s="48"/>
      <c r="AS64" s="48"/>
      <c r="AT64" s="48"/>
      <c r="AU64" s="48"/>
      <c r="AX64" s="48"/>
      <c r="AY64" s="48"/>
      <c r="AZ64" s="48"/>
      <c r="BA64" s="48"/>
      <c r="BB64" s="48"/>
    </row>
    <row r="65" spans="1:54" s="57" customFormat="1" hidden="1" x14ac:dyDescent="0.25">
      <c r="A65" s="215">
        <v>44923</v>
      </c>
      <c r="B65" s="48">
        <v>12372862</v>
      </c>
      <c r="C65" s="48">
        <v>1110612</v>
      </c>
      <c r="D65" s="48">
        <v>13483474</v>
      </c>
      <c r="E65" s="48">
        <v>91.76</v>
      </c>
      <c r="G65" s="215">
        <v>44923</v>
      </c>
      <c r="H65" s="48">
        <v>4368338</v>
      </c>
      <c r="I65" s="48">
        <v>1494628</v>
      </c>
      <c r="J65" s="48">
        <v>5862966</v>
      </c>
      <c r="K65" s="48">
        <v>74.5</v>
      </c>
      <c r="M65" s="215">
        <v>44923</v>
      </c>
      <c r="N65" s="48">
        <v>4097484</v>
      </c>
      <c r="O65" s="48">
        <v>4324661</v>
      </c>
      <c r="P65" s="48">
        <v>8422145</v>
      </c>
      <c r="Q65" s="48">
        <v>48.65</v>
      </c>
      <c r="S65" s="215">
        <v>44923</v>
      </c>
      <c r="T65" s="48">
        <v>1602936</v>
      </c>
      <c r="U65" s="48">
        <v>1429507</v>
      </c>
      <c r="V65" s="48">
        <v>3032443</v>
      </c>
      <c r="W65" s="48">
        <v>52.85</v>
      </c>
      <c r="Y65" s="215">
        <v>44923</v>
      </c>
      <c r="Z65" s="48">
        <v>3023209</v>
      </c>
      <c r="AA65" s="48">
        <v>426501</v>
      </c>
      <c r="AB65" s="48">
        <v>3449710</v>
      </c>
      <c r="AC65" s="48">
        <v>87.63</v>
      </c>
      <c r="AE65" s="48"/>
      <c r="AF65" s="48"/>
      <c r="AG65" s="48"/>
      <c r="AH65" s="48"/>
      <c r="AI65" s="48"/>
      <c r="AK65" s="48"/>
      <c r="AL65" s="48"/>
      <c r="AM65" s="48"/>
      <c r="AN65" s="48"/>
      <c r="AO65" s="48"/>
      <c r="AQ65" s="48"/>
      <c r="AR65" s="48"/>
      <c r="AS65" s="48"/>
      <c r="AT65" s="48"/>
      <c r="AU65" s="48"/>
      <c r="AX65" s="48"/>
      <c r="AY65" s="48"/>
      <c r="AZ65" s="48"/>
      <c r="BA65" s="48"/>
      <c r="BB65" s="48"/>
    </row>
    <row r="66" spans="1:54" s="57" customFormat="1" hidden="1" x14ac:dyDescent="0.25">
      <c r="A66" s="215">
        <v>44924</v>
      </c>
      <c r="B66" s="48">
        <v>13522094</v>
      </c>
      <c r="C66" s="48">
        <v>1169362</v>
      </c>
      <c r="D66" s="48">
        <v>14691456</v>
      </c>
      <c r="E66" s="48">
        <v>92.04</v>
      </c>
      <c r="G66" s="215">
        <v>44924</v>
      </c>
      <c r="H66" s="48">
        <v>4038631</v>
      </c>
      <c r="I66" s="48">
        <v>1324032</v>
      </c>
      <c r="J66" s="48">
        <v>5362663</v>
      </c>
      <c r="K66" s="48">
        <v>75.31</v>
      </c>
      <c r="M66" s="215">
        <v>44924</v>
      </c>
      <c r="N66" s="48">
        <v>4497135</v>
      </c>
      <c r="O66" s="48">
        <v>3843619</v>
      </c>
      <c r="P66" s="48">
        <v>8340754</v>
      </c>
      <c r="Q66" s="48">
        <v>53.91</v>
      </c>
      <c r="S66" s="215">
        <v>44924</v>
      </c>
      <c r="T66" s="48">
        <v>1875647</v>
      </c>
      <c r="U66" s="48">
        <v>1312129</v>
      </c>
      <c r="V66" s="48">
        <v>3187776</v>
      </c>
      <c r="W66" s="48">
        <v>58.83</v>
      </c>
      <c r="Y66" s="215">
        <v>44924</v>
      </c>
      <c r="Z66" s="48">
        <v>3409229</v>
      </c>
      <c r="AA66" s="48">
        <v>433146</v>
      </c>
      <c r="AB66" s="48">
        <v>3842375</v>
      </c>
      <c r="AC66" s="48">
        <v>88.72</v>
      </c>
      <c r="AE66" s="48"/>
      <c r="AF66" s="48"/>
      <c r="AG66" s="48"/>
      <c r="AH66" s="48"/>
      <c r="AI66" s="48"/>
      <c r="AK66" s="48"/>
      <c r="AL66" s="48"/>
      <c r="AM66" s="48"/>
      <c r="AN66" s="48"/>
      <c r="AO66" s="48"/>
      <c r="AQ66" s="48"/>
      <c r="AR66" s="48"/>
      <c r="AS66" s="48"/>
      <c r="AT66" s="48"/>
      <c r="AU66" s="48"/>
      <c r="AX66" s="48"/>
      <c r="AY66" s="48"/>
      <c r="AZ66" s="48"/>
      <c r="BA66" s="48"/>
      <c r="BB66" s="48"/>
    </row>
    <row r="67" spans="1:54" s="57" customFormat="1" hidden="1" x14ac:dyDescent="0.25">
      <c r="A67" s="215">
        <v>44925</v>
      </c>
      <c r="B67" s="48">
        <v>14968258</v>
      </c>
      <c r="C67" s="48">
        <v>1435867</v>
      </c>
      <c r="D67" s="48">
        <v>16404125</v>
      </c>
      <c r="E67" s="48">
        <v>91.24</v>
      </c>
      <c r="G67" s="215">
        <v>44925</v>
      </c>
      <c r="H67" s="48">
        <v>3816103</v>
      </c>
      <c r="I67" s="48">
        <v>1198881</v>
      </c>
      <c r="J67" s="48">
        <v>5014984</v>
      </c>
      <c r="K67" s="48">
        <v>76.09</v>
      </c>
      <c r="M67" s="215">
        <v>44925</v>
      </c>
      <c r="N67" s="48">
        <v>3714235</v>
      </c>
      <c r="O67" s="48">
        <v>4209015</v>
      </c>
      <c r="P67" s="48">
        <v>7923250</v>
      </c>
      <c r="Q67" s="48">
        <v>46.87</v>
      </c>
      <c r="S67" s="215">
        <v>44925</v>
      </c>
      <c r="T67" s="48">
        <v>1511887</v>
      </c>
      <c r="U67" s="48">
        <v>1233947</v>
      </c>
      <c r="V67" s="48">
        <v>2745834</v>
      </c>
      <c r="W67" s="48">
        <v>55.06</v>
      </c>
      <c r="Y67" s="215">
        <v>44925</v>
      </c>
      <c r="Z67" s="48">
        <v>3366986</v>
      </c>
      <c r="AA67" s="48">
        <v>444791</v>
      </c>
      <c r="AB67" s="48">
        <v>3811777</v>
      </c>
      <c r="AC67" s="48">
        <v>88.33</v>
      </c>
      <c r="AE67" s="48"/>
      <c r="AF67" s="48"/>
      <c r="AG67" s="48"/>
      <c r="AH67" s="48"/>
      <c r="AI67" s="48"/>
      <c r="AK67" s="48"/>
      <c r="AL67" s="48"/>
      <c r="AM67" s="48"/>
      <c r="AN67" s="48"/>
      <c r="AO67" s="48"/>
      <c r="AQ67" s="48"/>
      <c r="AR67" s="48"/>
      <c r="AS67" s="48"/>
      <c r="AT67" s="48"/>
      <c r="AU67" s="48"/>
      <c r="AX67" s="48"/>
      <c r="AY67" s="48"/>
      <c r="AZ67" s="48"/>
      <c r="BA67" s="48"/>
      <c r="BB67" s="48"/>
    </row>
    <row r="68" spans="1:54" s="57" customFormat="1" hidden="1" x14ac:dyDescent="0.25">
      <c r="A68" s="215">
        <v>44926</v>
      </c>
      <c r="B68" s="48">
        <v>16625386</v>
      </c>
      <c r="C68" s="48">
        <v>1359718</v>
      </c>
      <c r="D68" s="48">
        <v>17985104</v>
      </c>
      <c r="E68" s="48">
        <v>92.44</v>
      </c>
      <c r="G68" s="215">
        <v>44926</v>
      </c>
      <c r="H68" s="48">
        <v>4663878</v>
      </c>
      <c r="I68" s="48">
        <v>1651565</v>
      </c>
      <c r="J68" s="48">
        <v>6315443</v>
      </c>
      <c r="K68" s="48">
        <v>73.849999999999994</v>
      </c>
      <c r="M68" s="215">
        <v>44926</v>
      </c>
      <c r="N68" s="48">
        <v>2480</v>
      </c>
      <c r="O68" s="48">
        <v>174</v>
      </c>
      <c r="P68" s="48">
        <v>2654</v>
      </c>
      <c r="Q68" s="48">
        <v>93.44</v>
      </c>
      <c r="S68" s="215">
        <v>44926</v>
      </c>
      <c r="T68" s="48">
        <v>1099852</v>
      </c>
      <c r="U68" s="48">
        <v>2037351</v>
      </c>
      <c r="V68" s="48">
        <v>3137203</v>
      </c>
      <c r="W68" s="48">
        <v>35.06</v>
      </c>
      <c r="Y68" s="215">
        <v>44926</v>
      </c>
      <c r="Z68" s="48">
        <v>3390312</v>
      </c>
      <c r="AA68" s="48">
        <v>443498</v>
      </c>
      <c r="AB68" s="48">
        <v>3833810</v>
      </c>
      <c r="AC68" s="48">
        <v>88.43</v>
      </c>
      <c r="AE68" s="48"/>
      <c r="AF68" s="48"/>
      <c r="AG68" s="48"/>
      <c r="AH68" s="48"/>
      <c r="AI68" s="48"/>
      <c r="AK68" s="48"/>
      <c r="AL68" s="48"/>
      <c r="AM68" s="48"/>
      <c r="AN68" s="48"/>
      <c r="AO68" s="48"/>
      <c r="AQ68" s="48"/>
      <c r="AR68" s="48"/>
      <c r="AS68" s="48"/>
      <c r="AT68" s="48"/>
      <c r="AU68" s="48"/>
      <c r="AX68" s="48"/>
      <c r="AY68" s="48"/>
      <c r="AZ68" s="48"/>
      <c r="BA68" s="48"/>
      <c r="BB68" s="48"/>
    </row>
    <row r="69" spans="1:54" s="57" customFormat="1" hidden="1" x14ac:dyDescent="0.25">
      <c r="A69" s="215">
        <v>44927</v>
      </c>
      <c r="B69" s="48">
        <v>10446815</v>
      </c>
      <c r="C69" s="48">
        <v>1342952</v>
      </c>
      <c r="D69" s="48">
        <v>11789767</v>
      </c>
      <c r="E69" s="48">
        <v>88.61</v>
      </c>
      <c r="G69" s="215">
        <v>44927</v>
      </c>
      <c r="H69" s="48">
        <v>433799</v>
      </c>
      <c r="I69" s="48">
        <v>124151</v>
      </c>
      <c r="J69" s="48">
        <v>557950</v>
      </c>
      <c r="K69" s="48">
        <v>77.75</v>
      </c>
      <c r="M69" s="215">
        <v>44927</v>
      </c>
      <c r="N69" s="48">
        <v>127676</v>
      </c>
      <c r="O69" s="48">
        <v>95819</v>
      </c>
      <c r="P69" s="48">
        <v>223495</v>
      </c>
      <c r="Q69" s="48">
        <v>57.13</v>
      </c>
      <c r="S69" s="215">
        <v>44927</v>
      </c>
      <c r="T69" s="48">
        <v>218301</v>
      </c>
      <c r="U69" s="48">
        <v>53445</v>
      </c>
      <c r="V69" s="48">
        <v>271746</v>
      </c>
      <c r="W69" s="48">
        <v>80.33</v>
      </c>
      <c r="Y69" s="215">
        <v>44927</v>
      </c>
      <c r="Z69" s="48">
        <v>3507984</v>
      </c>
      <c r="AA69" s="48">
        <v>441289</v>
      </c>
      <c r="AB69" s="48">
        <v>3949273</v>
      </c>
      <c r="AC69" s="48">
        <v>88.83</v>
      </c>
      <c r="AE69" s="48"/>
      <c r="AF69" s="48"/>
      <c r="AG69" s="48"/>
      <c r="AH69" s="48"/>
      <c r="AI69" s="48"/>
      <c r="AK69" s="48"/>
      <c r="AL69" s="48"/>
      <c r="AM69" s="48"/>
      <c r="AN69" s="48"/>
      <c r="AO69" s="48"/>
      <c r="AQ69" s="48"/>
      <c r="AR69" s="48"/>
      <c r="AS69" s="48"/>
      <c r="AT69" s="48"/>
      <c r="AU69" s="48"/>
      <c r="AX69" s="48"/>
      <c r="AY69" s="48"/>
      <c r="AZ69" s="48"/>
      <c r="BA69" s="48"/>
      <c r="BB69" s="48"/>
    </row>
    <row r="70" spans="1:54" s="57" customFormat="1" hidden="1" x14ac:dyDescent="0.25">
      <c r="A70" s="215">
        <v>44928</v>
      </c>
      <c r="B70" s="48">
        <v>11304961</v>
      </c>
      <c r="C70" s="48">
        <v>1012714</v>
      </c>
      <c r="D70" s="48">
        <v>12317675</v>
      </c>
      <c r="E70" s="48">
        <v>91.77</v>
      </c>
      <c r="G70" s="215">
        <v>44928</v>
      </c>
      <c r="H70" s="48">
        <v>417212</v>
      </c>
      <c r="I70" s="48">
        <v>135738</v>
      </c>
      <c r="J70" s="48">
        <v>552950</v>
      </c>
      <c r="K70" s="48">
        <v>75.45</v>
      </c>
      <c r="M70" s="215">
        <v>44928</v>
      </c>
      <c r="N70" s="48">
        <v>1334193</v>
      </c>
      <c r="O70" s="48">
        <v>1408148</v>
      </c>
      <c r="P70" s="48">
        <v>2742341</v>
      </c>
      <c r="Q70" s="48">
        <v>48.65</v>
      </c>
      <c r="S70" s="215">
        <v>44928</v>
      </c>
      <c r="T70" s="48">
        <v>745583</v>
      </c>
      <c r="U70" s="48">
        <v>1085590</v>
      </c>
      <c r="V70" s="48">
        <v>1831173</v>
      </c>
      <c r="W70" s="48">
        <v>40.71</v>
      </c>
      <c r="Y70" s="215">
        <v>44928</v>
      </c>
      <c r="Z70" s="48">
        <v>3063636</v>
      </c>
      <c r="AA70" s="48">
        <v>416220</v>
      </c>
      <c r="AB70" s="48">
        <v>3479856</v>
      </c>
      <c r="AC70" s="48">
        <v>88.03</v>
      </c>
      <c r="AE70" s="48"/>
      <c r="AF70" s="48"/>
      <c r="AG70" s="48"/>
      <c r="AH70" s="48"/>
      <c r="AI70" s="48"/>
      <c r="AK70" s="48"/>
      <c r="AL70" s="48"/>
      <c r="AM70" s="48"/>
      <c r="AN70" s="48"/>
      <c r="AO70" s="48"/>
      <c r="AQ70" s="48"/>
      <c r="AR70" s="48"/>
      <c r="AS70" s="48"/>
      <c r="AT70" s="48"/>
      <c r="AU70" s="48"/>
      <c r="AX70" s="48"/>
      <c r="AY70" s="48"/>
      <c r="AZ70" s="48"/>
      <c r="BA70" s="48"/>
      <c r="BB70" s="48"/>
    </row>
    <row r="71" spans="1:54" s="57" customFormat="1" hidden="1" x14ac:dyDescent="0.25">
      <c r="A71" s="215">
        <v>44929</v>
      </c>
      <c r="B71" s="48">
        <v>12413106</v>
      </c>
      <c r="C71" s="48">
        <v>1022930</v>
      </c>
      <c r="D71" s="48">
        <v>13436036</v>
      </c>
      <c r="E71" s="48">
        <v>92.38</v>
      </c>
      <c r="G71" s="215">
        <v>44929</v>
      </c>
      <c r="H71" s="48">
        <v>409260</v>
      </c>
      <c r="I71" s="48">
        <v>122788</v>
      </c>
      <c r="J71" s="48">
        <v>532048</v>
      </c>
      <c r="K71" s="48">
        <v>76.92</v>
      </c>
      <c r="M71" s="215">
        <v>44929</v>
      </c>
      <c r="N71" s="48">
        <v>2374975</v>
      </c>
      <c r="O71" s="48">
        <v>2336106</v>
      </c>
      <c r="P71" s="48">
        <v>4711081</v>
      </c>
      <c r="Q71" s="48">
        <v>50.41</v>
      </c>
      <c r="S71" s="215">
        <v>44929</v>
      </c>
      <c r="T71" s="48">
        <v>753584</v>
      </c>
      <c r="U71" s="48">
        <v>1092706</v>
      </c>
      <c r="V71" s="48">
        <v>1846290</v>
      </c>
      <c r="W71" s="48">
        <v>40.81</v>
      </c>
      <c r="Y71" s="215">
        <v>44929</v>
      </c>
      <c r="Z71" s="48">
        <v>3196170</v>
      </c>
      <c r="AA71" s="48">
        <v>403617</v>
      </c>
      <c r="AB71" s="48">
        <v>3599787</v>
      </c>
      <c r="AC71" s="48">
        <v>88.78</v>
      </c>
      <c r="AE71" s="48"/>
      <c r="AF71" s="48"/>
      <c r="AG71" s="48"/>
      <c r="AH71" s="48"/>
      <c r="AI71" s="48"/>
      <c r="AK71" s="48"/>
      <c r="AL71" s="48"/>
      <c r="AM71" s="48"/>
      <c r="AN71" s="48"/>
      <c r="AO71" s="48"/>
      <c r="AQ71" s="48"/>
      <c r="AR71" s="48"/>
      <c r="AS71" s="48"/>
      <c r="AT71" s="48"/>
      <c r="AU71" s="48"/>
      <c r="AX71" s="48"/>
      <c r="AY71" s="48"/>
      <c r="AZ71" s="48"/>
      <c r="BA71" s="48"/>
      <c r="BB71" s="48"/>
    </row>
    <row r="72" spans="1:54" s="57" customFormat="1" hidden="1" x14ac:dyDescent="0.25">
      <c r="A72" s="215">
        <v>44930</v>
      </c>
      <c r="B72" s="48">
        <v>12184166</v>
      </c>
      <c r="C72" s="48">
        <v>1079463</v>
      </c>
      <c r="D72" s="48">
        <v>13263629</v>
      </c>
      <c r="E72" s="48">
        <v>91.86</v>
      </c>
      <c r="G72" s="215">
        <v>44930</v>
      </c>
      <c r="H72" s="48">
        <v>408840</v>
      </c>
      <c r="I72" s="48">
        <v>118095</v>
      </c>
      <c r="J72" s="48">
        <v>526935</v>
      </c>
      <c r="K72" s="48">
        <v>77.58</v>
      </c>
      <c r="M72" s="215">
        <v>44930</v>
      </c>
      <c r="N72" s="48">
        <v>4588103</v>
      </c>
      <c r="O72" s="48">
        <v>3719355</v>
      </c>
      <c r="P72" s="48">
        <v>8307458</v>
      </c>
      <c r="Q72" s="48">
        <v>55.22</v>
      </c>
      <c r="S72" s="215">
        <v>44930</v>
      </c>
      <c r="T72" s="48">
        <v>944008</v>
      </c>
      <c r="U72" s="48">
        <v>1499454</v>
      </c>
      <c r="V72" s="48">
        <v>2443462</v>
      </c>
      <c r="W72" s="48">
        <v>38.630000000000003</v>
      </c>
      <c r="Y72" s="215">
        <v>44930</v>
      </c>
      <c r="Z72" s="48">
        <v>2724591</v>
      </c>
      <c r="AA72" s="48">
        <v>400084</v>
      </c>
      <c r="AB72" s="48">
        <v>3124675</v>
      </c>
      <c r="AC72" s="48">
        <v>87.19</v>
      </c>
      <c r="AE72" s="48"/>
      <c r="AF72" s="48"/>
      <c r="AG72" s="48"/>
      <c r="AH72" s="48"/>
      <c r="AI72" s="48"/>
      <c r="AK72" s="48"/>
      <c r="AL72" s="48"/>
      <c r="AM72" s="48"/>
      <c r="AN72" s="48"/>
      <c r="AO72" s="48"/>
      <c r="AQ72" s="48"/>
      <c r="AR72" s="48"/>
      <c r="AS72" s="48"/>
      <c r="AT72" s="48"/>
      <c r="AU72" s="48"/>
      <c r="AX72" s="48"/>
      <c r="AY72" s="48"/>
      <c r="AZ72" s="48"/>
      <c r="BA72" s="48"/>
      <c r="BB72" s="48"/>
    </row>
    <row r="73" spans="1:54" s="57" customFormat="1" hidden="1" x14ac:dyDescent="0.25">
      <c r="A73" s="215">
        <v>44931</v>
      </c>
      <c r="B73" s="48">
        <v>12089767</v>
      </c>
      <c r="C73" s="48">
        <v>1063562</v>
      </c>
      <c r="D73" s="48">
        <v>13153329</v>
      </c>
      <c r="E73" s="48">
        <v>91.91</v>
      </c>
      <c r="G73" s="215">
        <v>44931</v>
      </c>
      <c r="H73" s="48">
        <v>857296</v>
      </c>
      <c r="I73" s="48">
        <v>271834</v>
      </c>
      <c r="J73" s="48">
        <v>1129130</v>
      </c>
      <c r="K73" s="48">
        <v>75.92</v>
      </c>
      <c r="M73" s="215">
        <v>44931</v>
      </c>
      <c r="N73" s="48">
        <v>4524570</v>
      </c>
      <c r="O73" s="48">
        <v>3836515</v>
      </c>
      <c r="P73" s="48">
        <v>8361085</v>
      </c>
      <c r="Q73" s="48">
        <v>54.11</v>
      </c>
      <c r="S73" s="215">
        <v>44931</v>
      </c>
      <c r="T73" s="48">
        <v>2106245</v>
      </c>
      <c r="U73" s="48">
        <v>3623078</v>
      </c>
      <c r="V73" s="48">
        <v>5729323</v>
      </c>
      <c r="W73" s="48">
        <v>36.76</v>
      </c>
      <c r="Y73" s="215">
        <v>44931</v>
      </c>
      <c r="Z73" s="48">
        <v>2980993</v>
      </c>
      <c r="AA73" s="48">
        <v>396231</v>
      </c>
      <c r="AB73" s="48">
        <v>3377224</v>
      </c>
      <c r="AC73" s="48">
        <v>88.26</v>
      </c>
      <c r="AE73" s="48"/>
      <c r="AF73" s="48"/>
      <c r="AG73" s="48"/>
      <c r="AH73" s="48"/>
      <c r="AI73" s="48"/>
      <c r="AK73" s="48"/>
      <c r="AL73" s="48"/>
      <c r="AM73" s="48"/>
      <c r="AN73" s="48"/>
      <c r="AO73" s="48"/>
      <c r="AQ73" s="48"/>
      <c r="AR73" s="48"/>
      <c r="AS73" s="48"/>
      <c r="AT73" s="48"/>
      <c r="AU73" s="48"/>
      <c r="AX73" s="48"/>
      <c r="AY73" s="48"/>
      <c r="AZ73" s="48"/>
      <c r="BA73" s="48"/>
      <c r="BB73" s="48"/>
    </row>
    <row r="74" spans="1:54" s="57" customFormat="1" hidden="1" x14ac:dyDescent="0.25">
      <c r="A74" s="215">
        <v>44932</v>
      </c>
      <c r="B74" s="48">
        <v>12867967</v>
      </c>
      <c r="C74" s="48">
        <v>1176259</v>
      </c>
      <c r="D74" s="48">
        <v>14044226</v>
      </c>
      <c r="E74" s="48">
        <v>91.62</v>
      </c>
      <c r="G74" s="215">
        <v>44932</v>
      </c>
      <c r="H74" s="48">
        <v>876776</v>
      </c>
      <c r="I74" s="48">
        <v>263096</v>
      </c>
      <c r="J74" s="48">
        <v>1139872</v>
      </c>
      <c r="K74" s="48">
        <v>76.92</v>
      </c>
      <c r="M74" s="215">
        <v>44932</v>
      </c>
      <c r="N74" s="48">
        <v>4034884</v>
      </c>
      <c r="O74" s="48">
        <v>3376789</v>
      </c>
      <c r="P74" s="48">
        <v>7411673</v>
      </c>
      <c r="Q74" s="48">
        <v>54.44</v>
      </c>
      <c r="S74" s="215">
        <v>44932</v>
      </c>
      <c r="T74" s="48">
        <v>1856737</v>
      </c>
      <c r="U74" s="48">
        <v>3401688</v>
      </c>
      <c r="V74" s="48">
        <v>5258425</v>
      </c>
      <c r="W74" s="48">
        <v>35.31</v>
      </c>
      <c r="Y74" s="215">
        <v>44932</v>
      </c>
      <c r="Z74" s="48">
        <v>3192609</v>
      </c>
      <c r="AA74" s="48">
        <v>430110</v>
      </c>
      <c r="AB74" s="48">
        <v>3622719</v>
      </c>
      <c r="AC74" s="48">
        <v>88.13</v>
      </c>
      <c r="AE74" s="48"/>
      <c r="AF74" s="48"/>
      <c r="AG74" s="48"/>
      <c r="AH74" s="48"/>
      <c r="AI74" s="48"/>
      <c r="AK74" s="48"/>
      <c r="AL74" s="48"/>
      <c r="AM74" s="48"/>
      <c r="AN74" s="48"/>
      <c r="AO74" s="48"/>
      <c r="AQ74" s="48"/>
      <c r="AR74" s="48"/>
      <c r="AS74" s="48"/>
      <c r="AT74" s="48"/>
      <c r="AU74" s="48"/>
      <c r="AX74" s="48"/>
      <c r="AY74" s="48"/>
      <c r="AZ74" s="48"/>
      <c r="BA74" s="48"/>
      <c r="BB74" s="48"/>
    </row>
    <row r="75" spans="1:54" s="57" customFormat="1" hidden="1" x14ac:dyDescent="0.25">
      <c r="A75" s="215">
        <v>44933</v>
      </c>
      <c r="B75" s="48">
        <v>12677386</v>
      </c>
      <c r="C75" s="48">
        <v>1245435</v>
      </c>
      <c r="D75" s="48">
        <v>13922821</v>
      </c>
      <c r="E75" s="48">
        <v>91.05</v>
      </c>
      <c r="G75" s="215">
        <v>44933</v>
      </c>
      <c r="H75" s="48">
        <v>889858</v>
      </c>
      <c r="I75" s="48">
        <v>317740</v>
      </c>
      <c r="J75" s="48">
        <v>1207598</v>
      </c>
      <c r="K75" s="48">
        <v>73.680000000000007</v>
      </c>
      <c r="M75" s="215">
        <v>44933</v>
      </c>
      <c r="N75" s="48">
        <v>3898258</v>
      </c>
      <c r="O75" s="48">
        <v>3653253</v>
      </c>
      <c r="P75" s="48">
        <v>7551511</v>
      </c>
      <c r="Q75" s="48">
        <v>51.62</v>
      </c>
      <c r="S75" s="215">
        <v>44933</v>
      </c>
      <c r="T75" s="48">
        <v>2858146</v>
      </c>
      <c r="U75" s="48">
        <v>3072486</v>
      </c>
      <c r="V75" s="48">
        <v>5930632</v>
      </c>
      <c r="W75" s="48">
        <v>48.19</v>
      </c>
      <c r="Y75" s="215">
        <v>44933</v>
      </c>
      <c r="Z75" s="48">
        <v>3135582</v>
      </c>
      <c r="AA75" s="48">
        <v>446157</v>
      </c>
      <c r="AB75" s="48">
        <v>3581739</v>
      </c>
      <c r="AC75" s="48">
        <v>87.54</v>
      </c>
      <c r="AE75" s="48"/>
      <c r="AF75" s="48"/>
      <c r="AG75" s="48"/>
      <c r="AH75" s="48"/>
      <c r="AI75" s="48"/>
      <c r="AK75" s="48"/>
      <c r="AL75" s="48"/>
      <c r="AM75" s="48"/>
      <c r="AN75" s="48"/>
      <c r="AO75" s="48"/>
      <c r="AQ75" s="48"/>
      <c r="AR75" s="48"/>
      <c r="AS75" s="48"/>
      <c r="AT75" s="48"/>
      <c r="AU75" s="48"/>
      <c r="AX75" s="48"/>
      <c r="AY75" s="48"/>
      <c r="AZ75" s="48"/>
      <c r="BA75" s="48"/>
      <c r="BB75" s="48"/>
    </row>
    <row r="76" spans="1:54" s="57" customFormat="1" hidden="1" x14ac:dyDescent="0.25">
      <c r="A76" s="215">
        <v>44934</v>
      </c>
      <c r="B76" s="48">
        <v>10571218</v>
      </c>
      <c r="C76" s="48">
        <v>1230040</v>
      </c>
      <c r="D76" s="48">
        <v>11801258</v>
      </c>
      <c r="E76" s="48">
        <v>89.57</v>
      </c>
      <c r="G76" s="215">
        <v>44934</v>
      </c>
      <c r="H76" s="48">
        <v>461691</v>
      </c>
      <c r="I76" s="48">
        <v>174360</v>
      </c>
      <c r="J76" s="48">
        <v>636051</v>
      </c>
      <c r="K76" s="48">
        <v>72.58</v>
      </c>
      <c r="M76" s="215">
        <v>44934</v>
      </c>
      <c r="N76" s="48">
        <v>3107806</v>
      </c>
      <c r="O76" s="48">
        <v>3944454</v>
      </c>
      <c r="P76" s="48">
        <v>7052260</v>
      </c>
      <c r="Q76" s="48">
        <v>44.06</v>
      </c>
      <c r="S76" s="215">
        <v>44934</v>
      </c>
      <c r="T76" s="48">
        <v>662808</v>
      </c>
      <c r="U76" s="48">
        <v>1079514</v>
      </c>
      <c r="V76" s="48">
        <v>1742322</v>
      </c>
      <c r="W76" s="48">
        <v>38.04</v>
      </c>
      <c r="Y76" s="215">
        <v>44934</v>
      </c>
      <c r="Z76" s="48">
        <v>2880669</v>
      </c>
      <c r="AA76" s="48">
        <v>441728</v>
      </c>
      <c r="AB76" s="48">
        <v>3322397</v>
      </c>
      <c r="AC76" s="48">
        <v>86.7</v>
      </c>
      <c r="AE76" s="48"/>
      <c r="AF76" s="48"/>
      <c r="AG76" s="48"/>
      <c r="AH76" s="48"/>
      <c r="AI76" s="48"/>
      <c r="AK76" s="48"/>
      <c r="AL76" s="48"/>
      <c r="AM76" s="48"/>
      <c r="AN76" s="48"/>
      <c r="AO76" s="48"/>
      <c r="AQ76" s="48"/>
      <c r="AR76" s="48"/>
      <c r="AS76" s="48"/>
      <c r="AT76" s="48"/>
      <c r="AU76" s="48"/>
      <c r="AX76" s="48"/>
      <c r="AY76" s="48"/>
      <c r="AZ76" s="48"/>
      <c r="BA76" s="48"/>
      <c r="BB76" s="48"/>
    </row>
    <row r="77" spans="1:54" s="57" customFormat="1" hidden="1" x14ac:dyDescent="0.25">
      <c r="A77" s="215">
        <v>44935</v>
      </c>
      <c r="B77" s="104">
        <v>12991030</v>
      </c>
      <c r="C77" s="104">
        <v>1063401</v>
      </c>
      <c r="D77" s="104">
        <v>14054431</v>
      </c>
      <c r="E77" s="104">
        <v>92.43</v>
      </c>
      <c r="F77" s="234"/>
      <c r="G77" s="215">
        <v>44935</v>
      </c>
      <c r="H77" s="104">
        <v>474202</v>
      </c>
      <c r="I77" s="104">
        <v>154805</v>
      </c>
      <c r="J77" s="104">
        <v>629007</v>
      </c>
      <c r="K77" s="104">
        <v>75.39</v>
      </c>
      <c r="M77" s="215">
        <v>44935</v>
      </c>
      <c r="N77" s="104">
        <v>2673755</v>
      </c>
      <c r="O77" s="104">
        <v>3019303</v>
      </c>
      <c r="P77" s="104">
        <v>5693058</v>
      </c>
      <c r="Q77" s="104">
        <v>46.97</v>
      </c>
      <c r="S77" s="215">
        <v>44935</v>
      </c>
      <c r="T77" s="104">
        <v>1474620</v>
      </c>
      <c r="U77" s="104">
        <v>1899632</v>
      </c>
      <c r="V77" s="104">
        <v>3374252</v>
      </c>
      <c r="W77" s="104">
        <v>43.7</v>
      </c>
      <c r="Y77" s="215">
        <v>44935</v>
      </c>
      <c r="Z77" s="104">
        <v>2892755</v>
      </c>
      <c r="AA77" s="104">
        <v>407975</v>
      </c>
      <c r="AB77" s="104">
        <v>3300730</v>
      </c>
      <c r="AC77" s="104">
        <v>87.64</v>
      </c>
      <c r="AE77" s="48"/>
      <c r="AF77" s="48"/>
      <c r="AG77" s="48"/>
      <c r="AH77" s="48"/>
      <c r="AI77" s="48"/>
      <c r="AK77" s="48"/>
      <c r="AL77" s="48"/>
      <c r="AM77" s="48"/>
      <c r="AN77" s="48"/>
      <c r="AO77" s="48"/>
      <c r="AQ77" s="48"/>
      <c r="AR77" s="48"/>
      <c r="AS77" s="48"/>
      <c r="AT77" s="48"/>
      <c r="AU77" s="48"/>
      <c r="AX77" s="48"/>
      <c r="AY77" s="48"/>
      <c r="AZ77" s="48"/>
      <c r="BA77" s="48"/>
      <c r="BB77" s="48"/>
    </row>
    <row r="78" spans="1:54" s="57" customFormat="1" hidden="1" x14ac:dyDescent="0.25">
      <c r="A78" s="215">
        <v>44936</v>
      </c>
      <c r="B78" s="48">
        <v>12782281</v>
      </c>
      <c r="C78" s="48">
        <v>1108171</v>
      </c>
      <c r="D78" s="48">
        <v>13890452</v>
      </c>
      <c r="E78" s="48">
        <v>92.02</v>
      </c>
      <c r="G78" s="215">
        <v>44936</v>
      </c>
      <c r="H78" s="48">
        <v>441500</v>
      </c>
      <c r="I78" s="48">
        <v>143669</v>
      </c>
      <c r="J78" s="48">
        <v>585169</v>
      </c>
      <c r="K78" s="48">
        <v>75.44</v>
      </c>
      <c r="M78" s="215">
        <v>44936</v>
      </c>
      <c r="N78" s="48">
        <v>2724722</v>
      </c>
      <c r="O78" s="48">
        <v>2989327</v>
      </c>
      <c r="P78" s="48">
        <v>5714049</v>
      </c>
      <c r="Q78" s="48">
        <v>47.68</v>
      </c>
      <c r="S78" s="215">
        <v>44936</v>
      </c>
      <c r="T78" s="48">
        <v>1021759</v>
      </c>
      <c r="U78" s="48">
        <v>832294</v>
      </c>
      <c r="V78" s="48">
        <v>1854053</v>
      </c>
      <c r="W78" s="48">
        <v>55.1</v>
      </c>
      <c r="Y78" s="215">
        <v>44936</v>
      </c>
      <c r="Z78" s="48">
        <v>2923170</v>
      </c>
      <c r="AA78" s="48">
        <v>390698</v>
      </c>
      <c r="AB78" s="48">
        <v>3313868</v>
      </c>
      <c r="AC78" s="48">
        <v>88.21</v>
      </c>
      <c r="AE78" s="48"/>
      <c r="AF78" s="48"/>
      <c r="AG78" s="48"/>
      <c r="AH78" s="48"/>
      <c r="AI78" s="48"/>
      <c r="AK78" s="48"/>
      <c r="AL78" s="48"/>
      <c r="AM78" s="48"/>
      <c r="AN78" s="48"/>
      <c r="AO78" s="48"/>
      <c r="AQ78" s="48"/>
      <c r="AR78" s="48"/>
      <c r="AS78" s="48"/>
      <c r="AT78" s="48"/>
      <c r="AU78" s="48"/>
      <c r="AX78" s="48"/>
      <c r="AY78" s="48"/>
      <c r="AZ78" s="48"/>
      <c r="BA78" s="48"/>
      <c r="BB78" s="48"/>
    </row>
    <row r="79" spans="1:54" s="57" customFormat="1" hidden="1" x14ac:dyDescent="0.25">
      <c r="A79" s="215">
        <v>44937</v>
      </c>
      <c r="B79" s="48">
        <v>12221037</v>
      </c>
      <c r="C79" s="48">
        <v>1158348</v>
      </c>
      <c r="D79" s="48">
        <v>13379385</v>
      </c>
      <c r="E79" s="48">
        <v>91.34</v>
      </c>
      <c r="G79" s="215">
        <v>44937</v>
      </c>
      <c r="H79" s="48">
        <v>594166</v>
      </c>
      <c r="I79" s="48">
        <v>156294</v>
      </c>
      <c r="J79" s="48">
        <v>750460</v>
      </c>
      <c r="K79" s="48">
        <v>79.17</v>
      </c>
      <c r="M79" s="215">
        <v>44937</v>
      </c>
      <c r="N79" s="48">
        <v>4312960</v>
      </c>
      <c r="O79" s="48">
        <v>3985998</v>
      </c>
      <c r="P79" s="48">
        <v>8298958</v>
      </c>
      <c r="Q79" s="48">
        <v>51.96</v>
      </c>
      <c r="S79" s="215">
        <v>44937</v>
      </c>
      <c r="T79" s="48">
        <v>706727</v>
      </c>
      <c r="U79" s="48">
        <v>438758</v>
      </c>
      <c r="V79" s="48">
        <v>1145485</v>
      </c>
      <c r="W79" s="48">
        <v>61.69</v>
      </c>
      <c r="Y79" s="215">
        <v>44937</v>
      </c>
      <c r="Z79" s="48">
        <v>2554025</v>
      </c>
      <c r="AA79" s="48">
        <v>383808</v>
      </c>
      <c r="AB79" s="48">
        <v>2937833</v>
      </c>
      <c r="AC79" s="48">
        <v>86.93</v>
      </c>
      <c r="AE79" s="48"/>
      <c r="AF79" s="48"/>
      <c r="AG79" s="48"/>
      <c r="AH79" s="48"/>
      <c r="AI79" s="48"/>
      <c r="AK79" s="48"/>
      <c r="AL79" s="48"/>
      <c r="AM79" s="48"/>
      <c r="AN79" s="48"/>
      <c r="AO79" s="48"/>
      <c r="AQ79" s="48"/>
      <c r="AR79" s="48"/>
      <c r="AS79" s="48"/>
      <c r="AT79" s="48"/>
      <c r="AU79" s="48"/>
      <c r="AX79" s="48"/>
      <c r="AY79" s="48"/>
      <c r="AZ79" s="48"/>
      <c r="BA79" s="48"/>
      <c r="BB79" s="48"/>
    </row>
    <row r="80" spans="1:54" s="57" customFormat="1" hidden="1" x14ac:dyDescent="0.25">
      <c r="A80" s="215">
        <v>44938</v>
      </c>
      <c r="B80" s="48">
        <v>12196913</v>
      </c>
      <c r="C80" s="48">
        <v>1144868</v>
      </c>
      <c r="D80" s="48">
        <v>13341781</v>
      </c>
      <c r="E80" s="48">
        <v>91.42</v>
      </c>
      <c r="G80" s="215">
        <v>44938</v>
      </c>
      <c r="H80" s="48">
        <v>602330</v>
      </c>
      <c r="I80" s="48">
        <v>310040</v>
      </c>
      <c r="J80" s="48">
        <v>912370</v>
      </c>
      <c r="K80" s="48">
        <v>66.02</v>
      </c>
      <c r="M80" s="215">
        <v>44938</v>
      </c>
      <c r="N80" s="48">
        <v>4560209</v>
      </c>
      <c r="O80" s="48">
        <v>3792208</v>
      </c>
      <c r="P80" s="48">
        <v>8352417</v>
      </c>
      <c r="Q80" s="48">
        <v>54.6</v>
      </c>
      <c r="S80" s="215">
        <v>44938</v>
      </c>
      <c r="T80" s="48">
        <v>479119</v>
      </c>
      <c r="U80" s="48">
        <v>447436</v>
      </c>
      <c r="V80" s="48">
        <v>926555</v>
      </c>
      <c r="W80" s="48">
        <v>51.71</v>
      </c>
      <c r="Y80" s="215">
        <v>44938</v>
      </c>
      <c r="Z80" s="48">
        <v>2709814</v>
      </c>
      <c r="AA80" s="48">
        <v>390499</v>
      </c>
      <c r="AB80" s="48">
        <v>3100313</v>
      </c>
      <c r="AC80" s="48">
        <v>87.4</v>
      </c>
      <c r="AE80" s="48"/>
      <c r="AF80" s="48"/>
      <c r="AG80" s="48"/>
      <c r="AH80" s="48"/>
      <c r="AI80" s="48"/>
      <c r="AK80" s="48"/>
      <c r="AL80" s="48"/>
      <c r="AM80" s="48"/>
      <c r="AN80" s="48"/>
      <c r="AO80" s="48"/>
      <c r="AQ80" s="48"/>
      <c r="AR80" s="48"/>
      <c r="AS80" s="48"/>
      <c r="AT80" s="48"/>
      <c r="AU80" s="48"/>
      <c r="AX80" s="48"/>
      <c r="AY80" s="48"/>
      <c r="AZ80" s="48"/>
      <c r="BA80" s="48"/>
      <c r="BB80" s="48"/>
    </row>
    <row r="81" spans="1:54" s="57" customFormat="1" hidden="1" x14ac:dyDescent="0.25">
      <c r="A81" s="215">
        <v>44939</v>
      </c>
      <c r="B81" s="48">
        <v>12913515</v>
      </c>
      <c r="C81" s="48">
        <v>1184843</v>
      </c>
      <c r="D81" s="48">
        <v>14098358</v>
      </c>
      <c r="E81" s="48">
        <v>91.6</v>
      </c>
      <c r="G81" s="215">
        <v>44939</v>
      </c>
      <c r="H81" s="48">
        <v>1060020</v>
      </c>
      <c r="I81" s="48">
        <v>449084</v>
      </c>
      <c r="J81" s="48">
        <v>1509104</v>
      </c>
      <c r="K81" s="48">
        <v>70.239999999999995</v>
      </c>
      <c r="M81" s="215">
        <v>44939</v>
      </c>
      <c r="N81" s="48">
        <v>4474152</v>
      </c>
      <c r="O81" s="48">
        <v>3669524</v>
      </c>
      <c r="P81" s="48">
        <v>8143676</v>
      </c>
      <c r="Q81" s="48">
        <v>54.94</v>
      </c>
      <c r="S81" s="215">
        <v>44939</v>
      </c>
      <c r="T81" s="48">
        <v>509174</v>
      </c>
      <c r="U81" s="48">
        <v>556011</v>
      </c>
      <c r="V81" s="48">
        <v>1065185</v>
      </c>
      <c r="W81" s="48">
        <v>47.8</v>
      </c>
      <c r="Y81" s="215">
        <v>44939</v>
      </c>
      <c r="Z81" s="48">
        <v>2895169</v>
      </c>
      <c r="AA81" s="48">
        <v>395895</v>
      </c>
      <c r="AB81" s="48">
        <v>3291064</v>
      </c>
      <c r="AC81" s="48">
        <v>87.97</v>
      </c>
      <c r="AE81" s="48"/>
      <c r="AF81" s="48"/>
      <c r="AG81" s="48"/>
      <c r="AH81" s="48"/>
      <c r="AI81" s="48"/>
      <c r="AK81" s="48"/>
      <c r="AL81" s="48"/>
      <c r="AM81" s="48"/>
      <c r="AN81" s="48"/>
      <c r="AO81" s="48"/>
      <c r="AQ81" s="48"/>
      <c r="AR81" s="48"/>
      <c r="AS81" s="48"/>
      <c r="AT81" s="48"/>
      <c r="AU81" s="48"/>
      <c r="AX81" s="48"/>
      <c r="AY81" s="48"/>
      <c r="AZ81" s="48"/>
      <c r="BA81" s="48"/>
      <c r="BB81" s="48"/>
    </row>
    <row r="82" spans="1:54" s="57" customFormat="1" hidden="1" x14ac:dyDescent="0.25">
      <c r="A82" s="215">
        <v>44940</v>
      </c>
      <c r="B82" s="48">
        <v>12639287</v>
      </c>
      <c r="C82" s="48">
        <v>1144658</v>
      </c>
      <c r="D82" s="48">
        <v>13783945</v>
      </c>
      <c r="E82" s="48">
        <v>91.7</v>
      </c>
      <c r="G82" s="215">
        <v>44940</v>
      </c>
      <c r="H82" s="48">
        <v>1075847</v>
      </c>
      <c r="I82" s="48">
        <v>463131</v>
      </c>
      <c r="J82" s="48">
        <v>1538978</v>
      </c>
      <c r="K82" s="48">
        <v>69.91</v>
      </c>
      <c r="M82" s="215">
        <v>44940</v>
      </c>
      <c r="N82" s="48">
        <v>4896398</v>
      </c>
      <c r="O82" s="48">
        <v>3522314</v>
      </c>
      <c r="P82" s="48">
        <v>8418712</v>
      </c>
      <c r="Q82" s="48">
        <v>58.16</v>
      </c>
      <c r="S82" s="215">
        <v>44940</v>
      </c>
      <c r="T82" s="48">
        <v>477014</v>
      </c>
      <c r="U82" s="48">
        <v>550838</v>
      </c>
      <c r="V82" s="48">
        <v>1027852</v>
      </c>
      <c r="W82" s="48">
        <v>46.41</v>
      </c>
      <c r="Y82" s="215">
        <v>44940</v>
      </c>
      <c r="Z82" s="48">
        <v>2686742</v>
      </c>
      <c r="AA82" s="48">
        <v>381307</v>
      </c>
      <c r="AB82" s="48">
        <v>3068049</v>
      </c>
      <c r="AC82" s="48">
        <v>87.57</v>
      </c>
      <c r="AE82" s="48"/>
      <c r="AF82" s="48"/>
      <c r="AG82" s="48"/>
      <c r="AH82" s="48"/>
      <c r="AI82" s="48"/>
      <c r="AK82" s="48"/>
      <c r="AL82" s="48"/>
      <c r="AM82" s="48"/>
      <c r="AN82" s="48"/>
      <c r="AO82" s="48"/>
      <c r="AQ82" s="48"/>
      <c r="AR82" s="48"/>
      <c r="AS82" s="48"/>
      <c r="AT82" s="48"/>
      <c r="AU82" s="48"/>
      <c r="AX82" s="48"/>
      <c r="AY82" s="48"/>
      <c r="AZ82" s="48"/>
      <c r="BA82" s="48"/>
      <c r="BB82" s="48"/>
    </row>
    <row r="83" spans="1:54" s="57" customFormat="1" hidden="1" x14ac:dyDescent="0.25">
      <c r="A83" s="215">
        <v>44941</v>
      </c>
      <c r="B83" s="104">
        <v>10528004</v>
      </c>
      <c r="C83" s="104">
        <v>1128689</v>
      </c>
      <c r="D83" s="104">
        <v>11656693</v>
      </c>
      <c r="E83" s="104">
        <v>90.32</v>
      </c>
      <c r="G83" s="215">
        <v>44941</v>
      </c>
      <c r="H83" s="104">
        <v>601596</v>
      </c>
      <c r="I83" s="104">
        <v>327941</v>
      </c>
      <c r="J83" s="104">
        <v>929537</v>
      </c>
      <c r="K83" s="104">
        <v>64.72</v>
      </c>
      <c r="M83" s="215">
        <v>44941</v>
      </c>
      <c r="N83" s="104">
        <v>3553850</v>
      </c>
      <c r="O83" s="104">
        <v>3876795</v>
      </c>
      <c r="P83" s="104">
        <v>7430645</v>
      </c>
      <c r="Q83" s="104">
        <v>47.83</v>
      </c>
      <c r="S83" s="215">
        <v>44941</v>
      </c>
      <c r="T83" s="104">
        <v>184942</v>
      </c>
      <c r="U83" s="104">
        <v>46202</v>
      </c>
      <c r="V83" s="104">
        <v>231144</v>
      </c>
      <c r="W83" s="104">
        <v>80.010000000000005</v>
      </c>
      <c r="Y83" s="215">
        <v>44941</v>
      </c>
      <c r="Z83" s="104">
        <v>2687842</v>
      </c>
      <c r="AA83" s="104">
        <v>400064</v>
      </c>
      <c r="AB83" s="104">
        <v>3087906</v>
      </c>
      <c r="AC83" s="104">
        <v>87.04</v>
      </c>
      <c r="AE83" s="48"/>
      <c r="AF83" s="48"/>
      <c r="AG83" s="48"/>
      <c r="AH83" s="48"/>
      <c r="AI83" s="48"/>
      <c r="AK83" s="48"/>
      <c r="AL83" s="48"/>
      <c r="AM83" s="48"/>
      <c r="AN83" s="48"/>
      <c r="AO83" s="48"/>
      <c r="AQ83" s="48"/>
      <c r="AR83" s="48"/>
      <c r="AS83" s="48"/>
      <c r="AT83" s="48"/>
      <c r="AU83" s="48"/>
      <c r="AX83" s="48"/>
      <c r="AY83" s="48"/>
      <c r="AZ83" s="48"/>
      <c r="BA83" s="48"/>
      <c r="BB83" s="48"/>
    </row>
    <row r="84" spans="1:54" s="57" customFormat="1" hidden="1" x14ac:dyDescent="0.25">
      <c r="A84" s="215">
        <v>44942</v>
      </c>
      <c r="B84" s="215">
        <v>44943</v>
      </c>
      <c r="C84" s="48">
        <v>1024763</v>
      </c>
      <c r="D84" s="48">
        <v>13632453</v>
      </c>
      <c r="E84" s="48">
        <v>92.48</v>
      </c>
      <c r="G84" s="215">
        <v>44942</v>
      </c>
      <c r="H84" s="48">
        <v>634438</v>
      </c>
      <c r="I84" s="48">
        <v>337564</v>
      </c>
      <c r="J84" s="48">
        <v>972002</v>
      </c>
      <c r="K84" s="48">
        <v>65.27</v>
      </c>
      <c r="M84" s="215">
        <v>44942</v>
      </c>
      <c r="N84" s="48">
        <v>2750337</v>
      </c>
      <c r="O84" s="48">
        <v>3017312</v>
      </c>
      <c r="P84" s="48">
        <v>5767649</v>
      </c>
      <c r="Q84" s="48">
        <v>47.68</v>
      </c>
      <c r="S84" s="215">
        <v>44942</v>
      </c>
      <c r="T84" s="48">
        <v>486577</v>
      </c>
      <c r="U84" s="48">
        <v>546335</v>
      </c>
      <c r="V84" s="48">
        <v>1032912</v>
      </c>
      <c r="W84" s="48">
        <v>47.1</v>
      </c>
      <c r="Y84" s="215">
        <v>44942</v>
      </c>
      <c r="Z84" s="48">
        <v>2656447</v>
      </c>
      <c r="AA84" s="48">
        <v>376818</v>
      </c>
      <c r="AB84" s="48">
        <v>3033265</v>
      </c>
      <c r="AC84" s="48">
        <v>87.57</v>
      </c>
      <c r="AE84" s="48"/>
      <c r="AF84" s="48"/>
      <c r="AG84" s="48"/>
      <c r="AH84" s="48"/>
      <c r="AI84" s="48"/>
      <c r="AK84" s="48"/>
      <c r="AL84" s="48"/>
      <c r="AM84" s="48"/>
      <c r="AN84" s="48"/>
      <c r="AO84" s="48"/>
      <c r="AQ84" s="48"/>
      <c r="AR84" s="48"/>
      <c r="AS84" s="48"/>
      <c r="AT84" s="48"/>
      <c r="AU84" s="48"/>
      <c r="AX84" s="48"/>
      <c r="AY84" s="48"/>
      <c r="AZ84" s="48"/>
      <c r="BA84" s="48"/>
      <c r="BB84" s="48"/>
    </row>
    <row r="85" spans="1:54" s="57" customFormat="1" hidden="1" x14ac:dyDescent="0.25">
      <c r="A85" s="215">
        <v>44943</v>
      </c>
      <c r="B85" s="104">
        <v>12383863</v>
      </c>
      <c r="C85" s="104">
        <v>1051084</v>
      </c>
      <c r="D85" s="104">
        <v>13434947</v>
      </c>
      <c r="E85" s="104">
        <v>92.18</v>
      </c>
      <c r="G85" s="215">
        <v>44943</v>
      </c>
      <c r="H85" s="104">
        <v>610811</v>
      </c>
      <c r="I85" s="104">
        <v>325419</v>
      </c>
      <c r="J85" s="104">
        <v>936230</v>
      </c>
      <c r="K85" s="104">
        <v>65.239999999999995</v>
      </c>
      <c r="M85" s="215">
        <v>44943</v>
      </c>
      <c r="N85" s="104">
        <v>2781720</v>
      </c>
      <c r="O85" s="104">
        <v>2921533</v>
      </c>
      <c r="P85" s="104">
        <v>5703253</v>
      </c>
      <c r="Q85" s="104">
        <v>48.77</v>
      </c>
      <c r="S85" s="215">
        <v>44943</v>
      </c>
      <c r="T85" s="104">
        <v>555941</v>
      </c>
      <c r="U85" s="104">
        <v>591169</v>
      </c>
      <c r="V85" s="104">
        <v>1147110</v>
      </c>
      <c r="W85" s="104">
        <v>48.46</v>
      </c>
      <c r="Y85" s="215">
        <v>44943</v>
      </c>
      <c r="Z85" s="104">
        <v>2892209</v>
      </c>
      <c r="AA85" s="104">
        <v>406908</v>
      </c>
      <c r="AB85" s="104">
        <v>3299117</v>
      </c>
      <c r="AC85" s="104">
        <v>87.67</v>
      </c>
      <c r="AE85" s="48"/>
      <c r="AF85" s="48"/>
      <c r="AG85" s="48"/>
      <c r="AH85" s="48"/>
      <c r="AI85" s="48"/>
      <c r="AK85" s="48"/>
      <c r="AL85" s="48"/>
      <c r="AM85" s="48"/>
      <c r="AN85" s="48"/>
      <c r="AO85" s="48"/>
      <c r="AQ85" s="48"/>
      <c r="AR85" s="48"/>
      <c r="AS85" s="48"/>
      <c r="AT85" s="48"/>
      <c r="AU85" s="48"/>
      <c r="AX85" s="48"/>
      <c r="AY85" s="48"/>
      <c r="AZ85" s="48"/>
      <c r="BA85" s="48"/>
      <c r="BB85" s="48"/>
    </row>
    <row r="86" spans="1:54" s="57" customFormat="1" hidden="1" x14ac:dyDescent="0.25">
      <c r="A86" s="215">
        <v>44944</v>
      </c>
      <c r="B86" s="104">
        <v>12123987</v>
      </c>
      <c r="C86" s="104">
        <v>988858</v>
      </c>
      <c r="D86" s="104">
        <v>13112845</v>
      </c>
      <c r="E86" s="104">
        <v>92.46</v>
      </c>
      <c r="G86" s="215">
        <v>44944</v>
      </c>
      <c r="H86" s="104">
        <v>601629</v>
      </c>
      <c r="I86" s="104">
        <v>320730</v>
      </c>
      <c r="J86" s="104">
        <v>922359</v>
      </c>
      <c r="K86" s="104">
        <v>65.23</v>
      </c>
      <c r="M86" s="215">
        <v>44944</v>
      </c>
      <c r="N86" s="104">
        <v>4437457</v>
      </c>
      <c r="O86" s="104">
        <v>4050802</v>
      </c>
      <c r="P86" s="104">
        <v>8488259</v>
      </c>
      <c r="Q86" s="104">
        <v>52.28</v>
      </c>
      <c r="S86" s="215">
        <v>44944</v>
      </c>
      <c r="T86" s="104">
        <v>587155</v>
      </c>
      <c r="U86" s="104">
        <v>608478</v>
      </c>
      <c r="V86" s="104">
        <v>1195633</v>
      </c>
      <c r="W86" s="104">
        <v>49.11</v>
      </c>
      <c r="X86" s="215">
        <v>45334</v>
      </c>
      <c r="Y86" s="215">
        <v>45334</v>
      </c>
      <c r="Z86" s="215">
        <v>45334</v>
      </c>
      <c r="AA86" s="104">
        <v>369679</v>
      </c>
      <c r="AB86" s="104">
        <v>2817629</v>
      </c>
      <c r="AC86" s="104">
        <v>86.88</v>
      </c>
      <c r="AE86" s="48"/>
      <c r="AF86" s="48"/>
      <c r="AG86" s="48"/>
      <c r="AH86" s="48"/>
      <c r="AI86" s="48"/>
      <c r="AK86" s="48"/>
      <c r="AL86" s="48"/>
      <c r="AM86" s="48"/>
      <c r="AN86" s="48"/>
      <c r="AO86" s="48"/>
      <c r="AQ86" s="48"/>
      <c r="AR86" s="48"/>
      <c r="AS86" s="48"/>
      <c r="AT86" s="48"/>
      <c r="AU86" s="48"/>
      <c r="AX86" s="48"/>
      <c r="AY86" s="48"/>
      <c r="AZ86" s="48"/>
      <c r="BA86" s="48"/>
      <c r="BB86" s="48"/>
    </row>
    <row r="87" spans="1:54" s="57" customFormat="1" hidden="1" x14ac:dyDescent="0.25">
      <c r="A87" s="215">
        <v>44945</v>
      </c>
      <c r="B87" s="48">
        <v>12056409</v>
      </c>
      <c r="C87" s="48">
        <v>984825</v>
      </c>
      <c r="D87" s="48">
        <v>13041234</v>
      </c>
      <c r="E87" s="48">
        <v>92.44</v>
      </c>
      <c r="G87" s="215">
        <v>44945</v>
      </c>
      <c r="H87" s="48">
        <v>586417</v>
      </c>
      <c r="I87" s="48">
        <v>323042</v>
      </c>
      <c r="J87" s="48">
        <v>909459</v>
      </c>
      <c r="K87" s="48">
        <v>64.47</v>
      </c>
      <c r="M87" s="215">
        <v>44945</v>
      </c>
      <c r="N87" s="104">
        <v>4644992</v>
      </c>
      <c r="O87" s="104">
        <v>3727484</v>
      </c>
      <c r="P87" s="104">
        <v>8372476</v>
      </c>
      <c r="Q87" s="114">
        <v>55.47</v>
      </c>
      <c r="S87" s="215">
        <v>44945</v>
      </c>
      <c r="T87" s="48">
        <v>577819</v>
      </c>
      <c r="U87" s="48">
        <v>600796</v>
      </c>
      <c r="V87" s="48">
        <v>1178615</v>
      </c>
      <c r="W87" s="48">
        <v>49.02</v>
      </c>
      <c r="X87" s="215">
        <v>45334</v>
      </c>
      <c r="Y87" s="215">
        <v>45334</v>
      </c>
      <c r="Z87" s="215">
        <v>45334</v>
      </c>
      <c r="AA87" s="48">
        <v>396181</v>
      </c>
      <c r="AB87" s="48">
        <v>3330625</v>
      </c>
      <c r="AC87" s="48">
        <v>88.1</v>
      </c>
      <c r="AE87" s="48"/>
      <c r="AF87" s="48"/>
      <c r="AG87" s="48"/>
      <c r="AH87" s="48"/>
      <c r="AI87" s="48"/>
      <c r="AK87" s="48"/>
      <c r="AL87" s="48"/>
      <c r="AM87" s="48"/>
      <c r="AN87" s="48"/>
      <c r="AO87" s="48"/>
      <c r="AQ87" s="48"/>
      <c r="AR87" s="48"/>
      <c r="AS87" s="48"/>
      <c r="AT87" s="48"/>
      <c r="AU87" s="48"/>
      <c r="AX87" s="48"/>
      <c r="AY87" s="48"/>
      <c r="AZ87" s="48"/>
      <c r="BA87" s="48"/>
      <c r="BB87" s="48"/>
    </row>
    <row r="88" spans="1:54" s="57" customFormat="1" hidden="1" x14ac:dyDescent="0.25">
      <c r="A88" s="215">
        <v>44946</v>
      </c>
      <c r="B88" s="48">
        <v>12793131</v>
      </c>
      <c r="C88" s="48">
        <v>1043977</v>
      </c>
      <c r="D88" s="48">
        <v>13837108</v>
      </c>
      <c r="E88" s="48">
        <v>92.45</v>
      </c>
      <c r="G88" s="215">
        <v>44946</v>
      </c>
      <c r="H88" s="48">
        <v>4624883</v>
      </c>
      <c r="I88" s="48">
        <v>1610653</v>
      </c>
      <c r="J88" s="48">
        <v>6235536</v>
      </c>
      <c r="K88" s="104">
        <v>74.16</v>
      </c>
      <c r="M88" s="215">
        <v>44946</v>
      </c>
      <c r="N88" s="104">
        <v>4344771</v>
      </c>
      <c r="O88" s="104">
        <v>3699500</v>
      </c>
      <c r="P88" s="104">
        <v>8044271</v>
      </c>
      <c r="Q88" s="114">
        <v>54.01</v>
      </c>
      <c r="S88" s="215">
        <v>44946</v>
      </c>
      <c r="T88" s="48">
        <v>1163954</v>
      </c>
      <c r="U88" s="48">
        <v>249990</v>
      </c>
      <c r="V88" s="48">
        <v>1413944</v>
      </c>
      <c r="W88" s="104">
        <v>82.31</v>
      </c>
      <c r="X88" s="215">
        <v>45334</v>
      </c>
      <c r="Y88" s="215">
        <v>45334</v>
      </c>
      <c r="Z88" s="215">
        <v>45334</v>
      </c>
      <c r="AA88" s="48">
        <v>390792</v>
      </c>
      <c r="AB88" s="48">
        <v>3225401</v>
      </c>
      <c r="AC88" s="48">
        <v>87.88</v>
      </c>
      <c r="AE88" s="48"/>
      <c r="AF88" s="48"/>
      <c r="AG88" s="48"/>
      <c r="AH88" s="48"/>
      <c r="AI88" s="48"/>
      <c r="AK88" s="48"/>
      <c r="AL88" s="48"/>
      <c r="AM88" s="48"/>
      <c r="AN88" s="48"/>
      <c r="AO88" s="48"/>
      <c r="AQ88" s="48"/>
      <c r="AR88" s="48"/>
      <c r="AS88" s="48"/>
      <c r="AT88" s="48"/>
      <c r="AU88" s="48"/>
      <c r="AX88" s="48"/>
      <c r="AY88" s="48"/>
      <c r="AZ88" s="48"/>
      <c r="BA88" s="48"/>
      <c r="BB88" s="48"/>
    </row>
    <row r="89" spans="1:54" s="57" customFormat="1" hidden="1" x14ac:dyDescent="0.25">
      <c r="A89" s="215">
        <v>44947</v>
      </c>
      <c r="B89" s="48">
        <v>11300983</v>
      </c>
      <c r="C89" s="48">
        <v>874690</v>
      </c>
      <c r="D89" s="48">
        <v>12175673</v>
      </c>
      <c r="E89" s="48">
        <v>92.82</v>
      </c>
      <c r="G89" s="215">
        <v>44947</v>
      </c>
      <c r="H89" s="48">
        <v>9582601</v>
      </c>
      <c r="I89" s="48">
        <v>3494942</v>
      </c>
      <c r="J89" s="48">
        <v>13077543</v>
      </c>
      <c r="K89" s="48">
        <v>73.28</v>
      </c>
      <c r="M89" s="215">
        <v>44947</v>
      </c>
      <c r="N89" s="104">
        <v>4516935</v>
      </c>
      <c r="O89" s="104">
        <v>3656655</v>
      </c>
      <c r="P89" s="104">
        <v>8173590</v>
      </c>
      <c r="Q89" s="114">
        <v>55.26</v>
      </c>
      <c r="S89" s="215">
        <v>44947</v>
      </c>
      <c r="T89" s="48">
        <v>1038278</v>
      </c>
      <c r="U89" s="48">
        <v>269800</v>
      </c>
      <c r="V89" s="48">
        <v>1308078</v>
      </c>
      <c r="W89" s="48">
        <v>79.37</v>
      </c>
      <c r="X89" s="215">
        <v>45334</v>
      </c>
      <c r="Y89" s="215">
        <v>45334</v>
      </c>
      <c r="Z89" s="215">
        <v>45334</v>
      </c>
      <c r="AA89" s="48">
        <v>400850</v>
      </c>
      <c r="AB89" s="48">
        <v>3155574</v>
      </c>
      <c r="AC89" s="48">
        <v>87.3</v>
      </c>
      <c r="AE89" s="48"/>
      <c r="AF89" s="48"/>
      <c r="AG89" s="48"/>
      <c r="AH89" s="48"/>
      <c r="AI89" s="48"/>
      <c r="AK89" s="48"/>
      <c r="AL89" s="48"/>
      <c r="AM89" s="48"/>
      <c r="AN89" s="48"/>
      <c r="AO89" s="48"/>
      <c r="AQ89" s="48"/>
      <c r="AR89" s="48"/>
      <c r="AS89" s="48"/>
      <c r="AT89" s="48"/>
      <c r="AU89" s="48"/>
      <c r="AX89" s="48"/>
      <c r="AY89" s="48"/>
      <c r="AZ89" s="48"/>
      <c r="BA89" s="48"/>
      <c r="BB89" s="48"/>
    </row>
    <row r="90" spans="1:54" s="57" customFormat="1" hidden="1" x14ac:dyDescent="0.25">
      <c r="A90" s="215">
        <v>44948</v>
      </c>
      <c r="B90" s="48">
        <v>9394756</v>
      </c>
      <c r="C90" s="48">
        <v>782033</v>
      </c>
      <c r="D90" s="48">
        <v>10176789</v>
      </c>
      <c r="E90" s="48">
        <v>92.31</v>
      </c>
      <c r="G90" s="215">
        <v>44948</v>
      </c>
      <c r="H90" s="48">
        <v>601996</v>
      </c>
      <c r="I90" s="48">
        <v>338118</v>
      </c>
      <c r="J90" s="48">
        <v>940114</v>
      </c>
      <c r="K90" s="48">
        <v>64.03</v>
      </c>
      <c r="M90" s="215">
        <v>44948</v>
      </c>
      <c r="N90" s="104">
        <v>3450694</v>
      </c>
      <c r="O90" s="104">
        <v>3849422</v>
      </c>
      <c r="P90" s="104">
        <v>7300116</v>
      </c>
      <c r="Q90" s="114">
        <v>47.26</v>
      </c>
      <c r="S90" s="215">
        <v>44948</v>
      </c>
      <c r="T90" s="48">
        <v>262225</v>
      </c>
      <c r="U90" s="48">
        <v>115020</v>
      </c>
      <c r="V90" s="48">
        <v>377245</v>
      </c>
      <c r="W90" s="48">
        <v>69.510000000000005</v>
      </c>
      <c r="X90" s="215">
        <v>45334</v>
      </c>
      <c r="Y90" s="215">
        <v>45334</v>
      </c>
      <c r="Z90" s="215">
        <v>45334</v>
      </c>
      <c r="AA90" s="48">
        <v>428740</v>
      </c>
      <c r="AB90" s="48">
        <v>3309297</v>
      </c>
      <c r="AC90" s="48">
        <v>87.04</v>
      </c>
      <c r="AE90" s="48"/>
      <c r="AF90" s="48"/>
      <c r="AG90" s="48"/>
      <c r="AH90" s="48"/>
      <c r="AI90" s="48"/>
      <c r="AK90" s="48"/>
      <c r="AL90" s="48"/>
      <c r="AM90" s="48"/>
      <c r="AN90" s="48"/>
      <c r="AO90" s="48"/>
      <c r="AQ90" s="48"/>
      <c r="AR90" s="48"/>
      <c r="AS90" s="48"/>
      <c r="AT90" s="48"/>
      <c r="AU90" s="48"/>
      <c r="AX90" s="48"/>
      <c r="AY90" s="48"/>
      <c r="AZ90" s="48"/>
      <c r="BA90" s="48"/>
      <c r="BB90" s="48"/>
    </row>
    <row r="91" spans="1:54" s="57" customFormat="1" hidden="1" x14ac:dyDescent="0.25">
      <c r="A91" s="215">
        <v>44949</v>
      </c>
      <c r="B91" s="104">
        <v>11516229</v>
      </c>
      <c r="C91" s="104">
        <v>753648</v>
      </c>
      <c r="D91" s="104">
        <v>12269877</v>
      </c>
      <c r="E91" s="104">
        <v>93.86</v>
      </c>
      <c r="G91" s="215">
        <v>44949</v>
      </c>
      <c r="H91" s="104">
        <v>1702492</v>
      </c>
      <c r="I91" s="104">
        <v>736269</v>
      </c>
      <c r="J91" s="104">
        <v>2438761</v>
      </c>
      <c r="K91" s="104">
        <v>69.81</v>
      </c>
      <c r="M91" s="215">
        <v>44949</v>
      </c>
      <c r="N91" s="104">
        <v>2874975</v>
      </c>
      <c r="O91" s="104">
        <v>2975894</v>
      </c>
      <c r="P91" s="104">
        <v>5850869</v>
      </c>
      <c r="Q91" s="114">
        <v>49.14</v>
      </c>
      <c r="S91" s="215">
        <v>44949</v>
      </c>
      <c r="T91" s="104">
        <v>1080331</v>
      </c>
      <c r="U91" s="104">
        <v>256537</v>
      </c>
      <c r="V91" s="104">
        <v>1336868</v>
      </c>
      <c r="W91" s="104">
        <v>80.81</v>
      </c>
      <c r="X91" s="215">
        <v>45334</v>
      </c>
      <c r="Y91" s="215">
        <v>45334</v>
      </c>
      <c r="Z91" s="215">
        <v>45334</v>
      </c>
      <c r="AA91" s="104">
        <v>383220</v>
      </c>
      <c r="AB91" s="104">
        <v>2985958</v>
      </c>
      <c r="AC91" s="104">
        <v>87.17</v>
      </c>
      <c r="AE91" s="48"/>
      <c r="AF91" s="48"/>
      <c r="AG91" s="48"/>
      <c r="AH91" s="48"/>
      <c r="AI91" s="48"/>
      <c r="AK91" s="48"/>
      <c r="AL91" s="48"/>
      <c r="AM91" s="48"/>
      <c r="AN91" s="48"/>
      <c r="AO91" s="48"/>
      <c r="AQ91" s="48"/>
      <c r="AR91" s="48"/>
      <c r="AS91" s="48"/>
      <c r="AT91" s="48"/>
      <c r="AU91" s="48"/>
      <c r="AX91" s="48"/>
      <c r="AY91" s="48"/>
      <c r="AZ91" s="48"/>
      <c r="BA91" s="48"/>
      <c r="BB91" s="48"/>
    </row>
    <row r="92" spans="1:54" s="57" customFormat="1" hidden="1" x14ac:dyDescent="0.25">
      <c r="A92" s="215">
        <v>44950</v>
      </c>
      <c r="B92" s="104">
        <v>11113909</v>
      </c>
      <c r="C92" s="104">
        <v>758141</v>
      </c>
      <c r="D92" s="104">
        <v>11872050</v>
      </c>
      <c r="E92" s="104">
        <v>93.61</v>
      </c>
      <c r="G92" s="215">
        <v>44950</v>
      </c>
      <c r="H92" s="104">
        <v>807074</v>
      </c>
      <c r="I92" s="104">
        <v>364283</v>
      </c>
      <c r="J92" s="104">
        <v>1171357</v>
      </c>
      <c r="K92" s="104">
        <v>68.900000000000006</v>
      </c>
      <c r="M92" s="215">
        <v>44950</v>
      </c>
      <c r="N92" s="104">
        <v>3089987</v>
      </c>
      <c r="O92" s="104">
        <v>3312577</v>
      </c>
      <c r="P92" s="104">
        <v>6402564</v>
      </c>
      <c r="Q92" s="114">
        <v>48.26</v>
      </c>
      <c r="S92" s="215">
        <v>44950</v>
      </c>
      <c r="T92" s="104">
        <v>543608</v>
      </c>
      <c r="U92" s="104">
        <v>249860</v>
      </c>
      <c r="V92" s="104">
        <v>793468</v>
      </c>
      <c r="W92" s="104">
        <v>68.510000000000005</v>
      </c>
      <c r="X92" s="215">
        <v>45334</v>
      </c>
      <c r="Y92" s="215">
        <v>45334</v>
      </c>
      <c r="Z92" s="215">
        <v>45334</v>
      </c>
      <c r="AA92" s="104">
        <v>322216</v>
      </c>
      <c r="AB92" s="104">
        <v>2944338</v>
      </c>
      <c r="AC92" s="104">
        <v>89.06</v>
      </c>
      <c r="AE92" s="48"/>
      <c r="AF92" s="48"/>
      <c r="AG92" s="48"/>
      <c r="AH92" s="48"/>
      <c r="AI92" s="48"/>
      <c r="AK92" s="48"/>
      <c r="AL92" s="48"/>
      <c r="AM92" s="48"/>
      <c r="AN92" s="48"/>
      <c r="AO92" s="48"/>
      <c r="AQ92" s="48"/>
      <c r="AR92" s="48"/>
      <c r="AS92" s="48"/>
      <c r="AT92" s="48"/>
      <c r="AU92" s="48"/>
      <c r="AX92" s="48"/>
      <c r="AY92" s="48"/>
      <c r="AZ92" s="48"/>
      <c r="BA92" s="48"/>
      <c r="BB92" s="48"/>
    </row>
    <row r="93" spans="1:54" s="57" customFormat="1" hidden="1" x14ac:dyDescent="0.25">
      <c r="A93" s="215">
        <v>44951</v>
      </c>
      <c r="B93" s="104">
        <v>10756831</v>
      </c>
      <c r="C93" s="104">
        <v>591442</v>
      </c>
      <c r="D93" s="104">
        <v>11348273</v>
      </c>
      <c r="E93" s="104">
        <v>94.79</v>
      </c>
      <c r="G93" s="215">
        <v>44951</v>
      </c>
      <c r="H93" s="104">
        <v>9503128</v>
      </c>
      <c r="I93" s="104">
        <v>2920650</v>
      </c>
      <c r="J93" s="104">
        <v>12423778</v>
      </c>
      <c r="K93" s="104">
        <v>76.489999999999995</v>
      </c>
      <c r="M93" s="215">
        <v>44951</v>
      </c>
      <c r="N93" s="104">
        <v>4181091</v>
      </c>
      <c r="O93" s="104">
        <v>4321286</v>
      </c>
      <c r="P93" s="104">
        <v>8502377</v>
      </c>
      <c r="Q93" s="114">
        <v>49.18</v>
      </c>
      <c r="S93" s="215">
        <v>44951</v>
      </c>
      <c r="T93" s="104">
        <v>1034481</v>
      </c>
      <c r="U93" s="104">
        <v>203897</v>
      </c>
      <c r="V93" s="104">
        <v>1238378</v>
      </c>
      <c r="W93" s="104">
        <v>83.54</v>
      </c>
      <c r="X93" s="215">
        <v>45334</v>
      </c>
      <c r="Y93" s="215">
        <v>45334</v>
      </c>
      <c r="Z93" s="215">
        <v>45334</v>
      </c>
      <c r="AA93" s="104">
        <v>228687</v>
      </c>
      <c r="AB93" s="104">
        <v>2928757</v>
      </c>
      <c r="AC93" s="104">
        <v>92.19</v>
      </c>
      <c r="AE93" s="48"/>
      <c r="AF93" s="48"/>
      <c r="AG93" s="48"/>
      <c r="AH93" s="48"/>
      <c r="AI93" s="48"/>
      <c r="AK93" s="48"/>
      <c r="AL93" s="48"/>
      <c r="AM93" s="48"/>
      <c r="AN93" s="48"/>
      <c r="AO93" s="48"/>
      <c r="AQ93" s="48"/>
      <c r="AR93" s="48"/>
      <c r="AS93" s="48"/>
      <c r="AT93" s="48"/>
      <c r="AU93" s="48"/>
      <c r="AX93" s="48"/>
      <c r="AY93" s="48"/>
      <c r="AZ93" s="48"/>
      <c r="BA93" s="48"/>
      <c r="BB93" s="48"/>
    </row>
    <row r="94" spans="1:54" s="57" customFormat="1" hidden="1" x14ac:dyDescent="0.25">
      <c r="A94" s="215">
        <v>44978</v>
      </c>
      <c r="B94" s="104">
        <v>12250780</v>
      </c>
      <c r="C94" s="48">
        <v>963922</v>
      </c>
      <c r="D94" s="48">
        <v>13214702</v>
      </c>
      <c r="E94" s="48">
        <v>92.705684899999994</v>
      </c>
      <c r="G94" s="215">
        <v>44978</v>
      </c>
      <c r="H94" s="104">
        <v>2341514</v>
      </c>
      <c r="I94" s="104">
        <v>994158</v>
      </c>
      <c r="J94" s="104">
        <v>3335672</v>
      </c>
      <c r="K94" s="114">
        <v>70.1961704</v>
      </c>
      <c r="M94" s="215">
        <v>44978</v>
      </c>
      <c r="N94" s="104">
        <v>3993147</v>
      </c>
      <c r="O94" s="104">
        <v>3903554</v>
      </c>
      <c r="P94" s="104">
        <v>7896701</v>
      </c>
      <c r="Q94" s="114">
        <v>50.567281199999996</v>
      </c>
      <c r="S94" s="215">
        <v>44978</v>
      </c>
      <c r="T94" s="104">
        <v>169330</v>
      </c>
      <c r="U94" s="104">
        <v>53895</v>
      </c>
      <c r="V94" s="104">
        <v>223225</v>
      </c>
      <c r="W94" s="114">
        <v>75.856198899999995</v>
      </c>
      <c r="X94" s="215">
        <v>45334</v>
      </c>
      <c r="Y94" s="215">
        <v>45334</v>
      </c>
      <c r="Z94" s="215">
        <v>45334</v>
      </c>
      <c r="AA94" s="48">
        <v>315525</v>
      </c>
      <c r="AB94" s="48">
        <v>3005140</v>
      </c>
      <c r="AC94" s="71">
        <v>89.500489200000004</v>
      </c>
      <c r="AE94" s="48"/>
      <c r="AF94" s="48"/>
      <c r="AG94" s="48"/>
      <c r="AH94" s="48"/>
      <c r="AI94" s="48"/>
      <c r="AK94" s="48"/>
      <c r="AL94" s="48"/>
      <c r="AM94" s="48"/>
      <c r="AN94" s="48"/>
      <c r="AO94" s="48"/>
      <c r="AQ94" s="48"/>
      <c r="AR94" s="48"/>
      <c r="AS94" s="48"/>
      <c r="AT94" s="48"/>
      <c r="AU94" s="48"/>
      <c r="AX94" s="48"/>
      <c r="AY94" s="48"/>
      <c r="AZ94" s="48"/>
      <c r="BA94" s="48"/>
      <c r="BB94" s="48"/>
    </row>
    <row r="95" spans="1:54" s="57" customFormat="1" hidden="1" x14ac:dyDescent="0.25">
      <c r="A95" s="215">
        <v>44979</v>
      </c>
      <c r="B95" s="104">
        <v>11729848</v>
      </c>
      <c r="C95" s="48">
        <v>923034</v>
      </c>
      <c r="D95" s="48">
        <v>12652882</v>
      </c>
      <c r="E95" s="48">
        <v>92.704950499999995</v>
      </c>
      <c r="G95" s="215">
        <v>44979</v>
      </c>
      <c r="H95" s="104">
        <v>593685</v>
      </c>
      <c r="I95" s="104">
        <v>328122</v>
      </c>
      <c r="J95" s="104">
        <v>921807</v>
      </c>
      <c r="K95" s="114">
        <v>64.404479499999994</v>
      </c>
      <c r="M95" s="215">
        <v>44979</v>
      </c>
      <c r="N95" s="104">
        <v>4381216</v>
      </c>
      <c r="O95" s="104">
        <v>4019120</v>
      </c>
      <c r="P95" s="104">
        <v>8400336</v>
      </c>
      <c r="Q95" s="114">
        <v>52.155247099999997</v>
      </c>
      <c r="S95" s="215">
        <v>44979</v>
      </c>
      <c r="T95" s="104">
        <v>171052</v>
      </c>
      <c r="U95" s="104">
        <v>68359</v>
      </c>
      <c r="V95" s="104">
        <v>239411</v>
      </c>
      <c r="W95" s="114">
        <v>71.447009499999993</v>
      </c>
      <c r="X95" s="215">
        <v>45334</v>
      </c>
      <c r="Y95" s="215">
        <v>45334</v>
      </c>
      <c r="Z95" s="215">
        <v>45334</v>
      </c>
      <c r="AA95" s="48">
        <v>338353</v>
      </c>
      <c r="AB95" s="48">
        <v>2712371</v>
      </c>
      <c r="AC95" s="71">
        <v>87.525563399999996</v>
      </c>
      <c r="AE95" s="48"/>
      <c r="AF95" s="48"/>
      <c r="AG95" s="48"/>
      <c r="AH95" s="48"/>
      <c r="AI95" s="48"/>
      <c r="AK95" s="48"/>
      <c r="AL95" s="48"/>
      <c r="AM95" s="48"/>
      <c r="AN95" s="48"/>
      <c r="AO95" s="48"/>
      <c r="AQ95" s="48"/>
      <c r="AR95" s="48"/>
      <c r="AS95" s="48"/>
      <c r="AT95" s="48"/>
      <c r="AU95" s="48"/>
      <c r="AX95" s="48"/>
      <c r="AY95" s="48"/>
      <c r="AZ95" s="48"/>
      <c r="BA95" s="48"/>
      <c r="BB95" s="48"/>
    </row>
    <row r="96" spans="1:54" s="57" customFormat="1" hidden="1" x14ac:dyDescent="0.25">
      <c r="A96" s="215">
        <v>44980</v>
      </c>
      <c r="B96" s="104">
        <v>11907144</v>
      </c>
      <c r="C96" s="48">
        <v>738278</v>
      </c>
      <c r="D96" s="48">
        <v>12645422</v>
      </c>
      <c r="E96" s="48">
        <v>94.161697399999994</v>
      </c>
      <c r="G96" s="215">
        <v>44980</v>
      </c>
      <c r="H96" s="104">
        <v>585157</v>
      </c>
      <c r="I96" s="104">
        <v>178311</v>
      </c>
      <c r="J96" s="104">
        <v>763468</v>
      </c>
      <c r="K96" s="114">
        <v>76.644600699999998</v>
      </c>
      <c r="M96" s="215">
        <v>44980</v>
      </c>
      <c r="N96" s="104">
        <v>4035835</v>
      </c>
      <c r="O96" s="104">
        <v>3962539</v>
      </c>
      <c r="P96" s="104">
        <v>7998374</v>
      </c>
      <c r="Q96" s="114">
        <v>50.458193100000003</v>
      </c>
      <c r="S96" s="215">
        <v>44980</v>
      </c>
      <c r="T96" s="104">
        <v>490414</v>
      </c>
      <c r="U96" s="104">
        <v>542274</v>
      </c>
      <c r="V96" s="104">
        <v>1032688</v>
      </c>
      <c r="W96" s="114">
        <v>47.489077000000002</v>
      </c>
      <c r="X96" s="215">
        <v>45334</v>
      </c>
      <c r="Y96" s="215">
        <v>45334</v>
      </c>
      <c r="Z96" s="215">
        <v>45334</v>
      </c>
      <c r="AA96" s="48">
        <v>223461</v>
      </c>
      <c r="AB96" s="48">
        <v>2705666</v>
      </c>
      <c r="AC96" s="71">
        <v>91.740998300000001</v>
      </c>
      <c r="AE96" s="48"/>
      <c r="AF96" s="48"/>
      <c r="AG96" s="48"/>
      <c r="AH96" s="48"/>
      <c r="AI96" s="48"/>
      <c r="AK96" s="48"/>
      <c r="AL96" s="48"/>
      <c r="AM96" s="48"/>
      <c r="AN96" s="48"/>
      <c r="AO96" s="48"/>
      <c r="AQ96" s="48"/>
      <c r="AR96" s="48"/>
      <c r="AS96" s="48"/>
      <c r="AT96" s="48"/>
      <c r="AU96" s="48"/>
      <c r="AX96" s="48"/>
      <c r="AY96" s="48"/>
      <c r="AZ96" s="48"/>
      <c r="BA96" s="48"/>
      <c r="BB96" s="48"/>
    </row>
    <row r="97" spans="1:54" s="57" customFormat="1" hidden="1" x14ac:dyDescent="0.25">
      <c r="A97" s="215">
        <v>44981</v>
      </c>
      <c r="B97" s="104">
        <v>12325017</v>
      </c>
      <c r="C97" s="48">
        <v>1054397</v>
      </c>
      <c r="D97" s="48">
        <v>13379414</v>
      </c>
      <c r="E97" s="48">
        <v>92.119258700000003</v>
      </c>
      <c r="G97" s="215">
        <v>44981</v>
      </c>
      <c r="H97" s="104">
        <v>1170279</v>
      </c>
      <c r="I97" s="104">
        <v>566847</v>
      </c>
      <c r="J97" s="104">
        <v>1737126</v>
      </c>
      <c r="K97" s="114">
        <v>67.368688300000002</v>
      </c>
      <c r="M97" s="215">
        <v>44981</v>
      </c>
      <c r="N97" s="104">
        <v>4039448</v>
      </c>
      <c r="O97" s="104">
        <v>3499766</v>
      </c>
      <c r="P97" s="104">
        <v>7539214</v>
      </c>
      <c r="Q97" s="114">
        <v>53.579166200000003</v>
      </c>
      <c r="S97" s="215">
        <v>44981</v>
      </c>
      <c r="T97" s="104">
        <v>499828</v>
      </c>
      <c r="U97" s="104">
        <v>594296</v>
      </c>
      <c r="V97" s="104">
        <v>1094124</v>
      </c>
      <c r="W97" s="114">
        <v>45.682938999999998</v>
      </c>
      <c r="X97" s="215">
        <v>45334</v>
      </c>
      <c r="Y97" s="215">
        <v>45334</v>
      </c>
      <c r="Z97" s="215">
        <v>45334</v>
      </c>
      <c r="AA97" s="48">
        <v>339620</v>
      </c>
      <c r="AB97" s="48">
        <v>2848760</v>
      </c>
      <c r="AC97" s="71">
        <v>88.078321799999998</v>
      </c>
      <c r="AE97" s="48"/>
      <c r="AF97" s="48"/>
      <c r="AG97" s="48"/>
      <c r="AH97" s="48"/>
      <c r="AI97" s="48"/>
      <c r="AK97" s="48"/>
      <c r="AL97" s="48"/>
      <c r="AM97" s="48"/>
      <c r="AN97" s="48"/>
      <c r="AO97" s="48"/>
      <c r="AQ97" s="48"/>
      <c r="AR97" s="48"/>
      <c r="AS97" s="48"/>
      <c r="AT97" s="48"/>
      <c r="AU97" s="48"/>
      <c r="AX97" s="48"/>
      <c r="AY97" s="48"/>
      <c r="AZ97" s="48"/>
      <c r="BA97" s="48"/>
      <c r="BB97" s="48"/>
    </row>
    <row r="98" spans="1:54" s="57" customFormat="1" hidden="1" x14ac:dyDescent="0.25">
      <c r="A98" s="215">
        <v>44982</v>
      </c>
      <c r="B98" s="104">
        <v>11365157</v>
      </c>
      <c r="C98" s="48">
        <v>1112699</v>
      </c>
      <c r="D98" s="48">
        <v>12477856</v>
      </c>
      <c r="E98" s="48">
        <v>91.082610700000004</v>
      </c>
      <c r="G98" s="215">
        <v>44982</v>
      </c>
      <c r="H98" s="104">
        <v>599963</v>
      </c>
      <c r="I98" s="104">
        <v>348657</v>
      </c>
      <c r="J98" s="104">
        <v>948620</v>
      </c>
      <c r="K98" s="114">
        <v>63.245873000000003</v>
      </c>
      <c r="M98" s="215">
        <v>44982</v>
      </c>
      <c r="N98" s="104">
        <v>3782932</v>
      </c>
      <c r="O98" s="104">
        <v>4392340</v>
      </c>
      <c r="P98" s="104">
        <v>8175272</v>
      </c>
      <c r="Q98" s="114">
        <v>46.272857999999999</v>
      </c>
      <c r="S98" s="215">
        <v>44982</v>
      </c>
      <c r="T98" s="104">
        <v>345050</v>
      </c>
      <c r="U98" s="104">
        <v>533682</v>
      </c>
      <c r="V98" s="104">
        <v>878732</v>
      </c>
      <c r="W98" s="114">
        <v>39.266807200000002</v>
      </c>
      <c r="X98" s="215">
        <v>45334</v>
      </c>
      <c r="Y98" s="215">
        <v>45334</v>
      </c>
      <c r="Z98" s="215">
        <v>45334</v>
      </c>
      <c r="AA98" s="48">
        <v>443795</v>
      </c>
      <c r="AB98" s="48">
        <v>2991452</v>
      </c>
      <c r="AC98" s="71">
        <v>85.164562200000006</v>
      </c>
      <c r="AE98" s="48"/>
      <c r="AF98" s="48"/>
      <c r="AG98" s="48"/>
      <c r="AH98" s="48"/>
      <c r="AI98" s="48"/>
      <c r="AK98" s="48"/>
      <c r="AL98" s="48"/>
      <c r="AM98" s="48"/>
      <c r="AN98" s="48"/>
      <c r="AO98" s="48"/>
      <c r="AQ98" s="48"/>
      <c r="AR98" s="48"/>
      <c r="AS98" s="48"/>
      <c r="AT98" s="48"/>
      <c r="AU98" s="48"/>
      <c r="AX98" s="48"/>
      <c r="AY98" s="48"/>
      <c r="AZ98" s="48"/>
      <c r="BA98" s="48"/>
      <c r="BB98" s="48"/>
    </row>
    <row r="99" spans="1:54" s="57" customFormat="1" hidden="1" x14ac:dyDescent="0.25">
      <c r="A99" s="215">
        <v>44983</v>
      </c>
      <c r="B99" s="104">
        <v>10541325</v>
      </c>
      <c r="C99" s="48">
        <v>973129</v>
      </c>
      <c r="D99" s="48">
        <v>11514454</v>
      </c>
      <c r="E99" s="48">
        <v>91.548631</v>
      </c>
      <c r="G99" s="215">
        <v>44983</v>
      </c>
      <c r="H99" s="104">
        <v>1817114</v>
      </c>
      <c r="I99" s="104">
        <v>846104</v>
      </c>
      <c r="J99" s="104">
        <v>2663218</v>
      </c>
      <c r="K99" s="114">
        <v>68.230013499999998</v>
      </c>
      <c r="M99" s="215">
        <v>44983</v>
      </c>
      <c r="N99" s="104">
        <v>3746881</v>
      </c>
      <c r="O99" s="104">
        <v>4373147</v>
      </c>
      <c r="P99" s="104">
        <v>8120028</v>
      </c>
      <c r="Q99" s="114">
        <v>46.143695600000001</v>
      </c>
      <c r="S99" s="215">
        <v>44983</v>
      </c>
      <c r="T99" s="104">
        <v>60801</v>
      </c>
      <c r="U99" s="104">
        <v>23479</v>
      </c>
      <c r="V99" s="104">
        <v>84280</v>
      </c>
      <c r="W99" s="114">
        <v>72.141670599999998</v>
      </c>
      <c r="X99" s="215">
        <v>45334</v>
      </c>
      <c r="Y99" s="215">
        <v>45334</v>
      </c>
      <c r="Z99" s="215">
        <v>45334</v>
      </c>
      <c r="AA99" s="48">
        <v>363463</v>
      </c>
      <c r="AB99" s="48">
        <v>3077270</v>
      </c>
      <c r="AC99" s="71">
        <v>88.188784200000001</v>
      </c>
      <c r="AE99" s="48"/>
      <c r="AF99" s="48"/>
      <c r="AG99" s="48"/>
      <c r="AH99" s="48"/>
      <c r="AI99" s="48"/>
      <c r="AK99" s="48"/>
      <c r="AL99" s="48"/>
      <c r="AM99" s="48"/>
      <c r="AN99" s="48"/>
      <c r="AO99" s="48"/>
      <c r="AQ99" s="48"/>
      <c r="AR99" s="48"/>
      <c r="AS99" s="48"/>
      <c r="AT99" s="48"/>
      <c r="AU99" s="48"/>
      <c r="AX99" s="48"/>
      <c r="AY99" s="48"/>
      <c r="AZ99" s="48"/>
      <c r="BA99" s="48"/>
      <c r="BB99" s="48"/>
    </row>
    <row r="100" spans="1:54" s="57" customFormat="1" hidden="1" x14ac:dyDescent="0.25">
      <c r="A100" s="215">
        <v>44984</v>
      </c>
      <c r="B100" s="104">
        <v>12031837</v>
      </c>
      <c r="C100" s="48">
        <v>943207</v>
      </c>
      <c r="D100" s="48">
        <v>12975044</v>
      </c>
      <c r="E100" s="48">
        <v>92.730606499999993</v>
      </c>
      <c r="G100" s="215">
        <v>44984</v>
      </c>
      <c r="H100" s="104">
        <v>1913902</v>
      </c>
      <c r="I100" s="104">
        <v>890456</v>
      </c>
      <c r="J100" s="104">
        <v>2804358</v>
      </c>
      <c r="K100" s="114">
        <v>68.247420599999998</v>
      </c>
      <c r="M100" s="215">
        <v>44984</v>
      </c>
      <c r="N100" s="104">
        <v>3555402</v>
      </c>
      <c r="O100" s="104">
        <v>4910600</v>
      </c>
      <c r="P100" s="104">
        <v>8466002</v>
      </c>
      <c r="Q100" s="114">
        <v>41.9962339</v>
      </c>
      <c r="S100" s="215">
        <v>44984</v>
      </c>
      <c r="T100" s="104">
        <v>433099</v>
      </c>
      <c r="U100" s="104">
        <v>528421</v>
      </c>
      <c r="V100" s="104">
        <v>961520</v>
      </c>
      <c r="W100" s="114">
        <v>45.043160800000003</v>
      </c>
      <c r="Y100" s="215">
        <v>44984</v>
      </c>
      <c r="Z100" s="48">
        <v>2654737</v>
      </c>
      <c r="AA100" s="48">
        <v>370423</v>
      </c>
      <c r="AB100" s="48">
        <v>3025160</v>
      </c>
      <c r="AC100" s="71">
        <v>87.755259199999998</v>
      </c>
      <c r="AE100" s="48"/>
      <c r="AF100" s="48"/>
      <c r="AG100" s="48"/>
      <c r="AH100" s="48"/>
      <c r="AI100" s="48"/>
      <c r="AK100" s="48"/>
      <c r="AL100" s="48"/>
      <c r="AM100" s="48"/>
      <c r="AN100" s="48"/>
      <c r="AO100" s="48"/>
      <c r="AQ100" s="48"/>
      <c r="AR100" s="48"/>
      <c r="AS100" s="48"/>
      <c r="AT100" s="48"/>
      <c r="AU100" s="48"/>
      <c r="AX100" s="48"/>
      <c r="AY100" s="48"/>
      <c r="AZ100" s="48"/>
      <c r="BA100" s="48"/>
      <c r="BB100" s="48"/>
    </row>
    <row r="101" spans="1:54" s="57" customFormat="1" hidden="1" x14ac:dyDescent="0.25">
      <c r="A101" s="215">
        <v>44985</v>
      </c>
      <c r="B101" s="104">
        <v>12419606</v>
      </c>
      <c r="C101" s="104">
        <v>1186199</v>
      </c>
      <c r="D101" s="104">
        <v>13605805</v>
      </c>
      <c r="E101" s="104">
        <v>91.28</v>
      </c>
      <c r="G101" s="215">
        <v>44985</v>
      </c>
      <c r="H101" s="104">
        <v>1629205</v>
      </c>
      <c r="I101" s="104">
        <v>760214</v>
      </c>
      <c r="J101" s="104">
        <v>2389419</v>
      </c>
      <c r="K101" s="104">
        <v>68.180000000000007</v>
      </c>
      <c r="M101" s="215">
        <v>44985</v>
      </c>
      <c r="N101" s="104">
        <v>3757516</v>
      </c>
      <c r="O101" s="104">
        <v>4428507</v>
      </c>
      <c r="P101" s="104">
        <v>8186023</v>
      </c>
      <c r="Q101" s="104">
        <v>45.9</v>
      </c>
      <c r="S101" s="215">
        <v>44985</v>
      </c>
      <c r="T101" s="104">
        <v>485202</v>
      </c>
      <c r="U101" s="104">
        <v>603299</v>
      </c>
      <c r="V101" s="104">
        <v>1088501</v>
      </c>
      <c r="W101" s="104">
        <v>44.58</v>
      </c>
      <c r="Y101" s="215">
        <v>44985</v>
      </c>
      <c r="Z101" s="48">
        <v>2817205</v>
      </c>
      <c r="AA101" s="48">
        <v>457786</v>
      </c>
      <c r="AB101" s="48">
        <v>3274991</v>
      </c>
      <c r="AC101" s="48">
        <v>86.02</v>
      </c>
      <c r="AE101" s="48"/>
      <c r="AF101" s="48"/>
      <c r="AG101" s="48"/>
      <c r="AH101" s="48"/>
      <c r="AI101" s="48"/>
      <c r="AK101" s="48"/>
      <c r="AL101" s="48"/>
      <c r="AM101" s="48"/>
      <c r="AN101" s="48"/>
      <c r="AO101" s="48"/>
      <c r="AQ101" s="48"/>
      <c r="AR101" s="48"/>
      <c r="AS101" s="48"/>
      <c r="AT101" s="48"/>
      <c r="AU101" s="48"/>
      <c r="AX101" s="48"/>
      <c r="AY101" s="48"/>
      <c r="AZ101" s="48"/>
      <c r="BA101" s="48"/>
      <c r="BB101" s="48"/>
    </row>
    <row r="102" spans="1:54" s="57" customFormat="1" hidden="1" x14ac:dyDescent="0.25">
      <c r="A102" s="215">
        <v>44986</v>
      </c>
      <c r="B102" s="104">
        <v>12036426</v>
      </c>
      <c r="C102" s="104">
        <v>1073872</v>
      </c>
      <c r="D102" s="104">
        <v>13110298</v>
      </c>
      <c r="E102" s="104">
        <v>91.81</v>
      </c>
      <c r="G102" s="215">
        <v>44986</v>
      </c>
      <c r="H102" s="104">
        <v>626894</v>
      </c>
      <c r="I102" s="104">
        <v>329263</v>
      </c>
      <c r="J102" s="104">
        <v>956157</v>
      </c>
      <c r="K102" s="104">
        <v>65.56</v>
      </c>
      <c r="M102" s="215">
        <v>44986</v>
      </c>
      <c r="N102" s="104">
        <v>4236744</v>
      </c>
      <c r="O102" s="104">
        <v>4162972</v>
      </c>
      <c r="P102" s="104">
        <v>8399716</v>
      </c>
      <c r="Q102" s="104">
        <v>50.44</v>
      </c>
      <c r="S102" s="215">
        <v>44986</v>
      </c>
      <c r="T102" s="104">
        <v>376720</v>
      </c>
      <c r="U102" s="104">
        <v>539196</v>
      </c>
      <c r="V102" s="104">
        <v>915916</v>
      </c>
      <c r="W102" s="104">
        <v>41.13</v>
      </c>
      <c r="Y102" s="215">
        <v>44986</v>
      </c>
      <c r="Z102" s="48">
        <v>2634319</v>
      </c>
      <c r="AA102" s="48">
        <v>429718</v>
      </c>
      <c r="AB102" s="48">
        <v>3064037</v>
      </c>
      <c r="AC102" s="48">
        <v>85.98</v>
      </c>
      <c r="AE102" s="48"/>
      <c r="AF102" s="48"/>
      <c r="AG102" s="48"/>
      <c r="AH102" s="48"/>
      <c r="AI102" s="48"/>
      <c r="AK102" s="48"/>
      <c r="AL102" s="48"/>
      <c r="AM102" s="48"/>
      <c r="AN102" s="48"/>
      <c r="AO102" s="48"/>
      <c r="AQ102" s="48"/>
      <c r="AR102" s="48"/>
      <c r="AS102" s="48"/>
      <c r="AT102" s="48"/>
      <c r="AU102" s="48"/>
      <c r="AX102" s="48"/>
      <c r="AY102" s="48"/>
      <c r="AZ102" s="48"/>
      <c r="BA102" s="48"/>
      <c r="BB102" s="48"/>
    </row>
    <row r="103" spans="1:54" s="57" customFormat="1" hidden="1" x14ac:dyDescent="0.25">
      <c r="A103" s="215">
        <v>44987</v>
      </c>
      <c r="B103" s="104">
        <v>11648168</v>
      </c>
      <c r="C103" s="104">
        <v>969030</v>
      </c>
      <c r="D103" s="104">
        <v>12617198</v>
      </c>
      <c r="E103" s="104">
        <v>92.32</v>
      </c>
      <c r="G103" s="215">
        <v>44987</v>
      </c>
      <c r="H103" s="104">
        <v>1183332</v>
      </c>
      <c r="I103" s="104">
        <v>550278</v>
      </c>
      <c r="J103" s="104">
        <v>1733610</v>
      </c>
      <c r="K103" s="104">
        <v>68.260000000000005</v>
      </c>
      <c r="M103" s="215">
        <v>44987</v>
      </c>
      <c r="N103" s="104">
        <v>4235973</v>
      </c>
      <c r="O103" s="104">
        <v>4129817</v>
      </c>
      <c r="P103" s="104">
        <v>8365790</v>
      </c>
      <c r="Q103" s="104">
        <v>50.63</v>
      </c>
      <c r="S103" s="215">
        <v>44987</v>
      </c>
      <c r="T103" s="104">
        <v>369575</v>
      </c>
      <c r="U103" s="104">
        <v>541113</v>
      </c>
      <c r="V103" s="104">
        <v>910688</v>
      </c>
      <c r="W103" s="104">
        <v>40.58</v>
      </c>
      <c r="Y103" s="215">
        <v>44987</v>
      </c>
      <c r="Z103" s="48">
        <v>2705845</v>
      </c>
      <c r="AA103" s="48">
        <v>386358</v>
      </c>
      <c r="AB103" s="48">
        <v>3092203</v>
      </c>
      <c r="AC103" s="48">
        <v>87.51</v>
      </c>
      <c r="AE103" s="48"/>
      <c r="AF103" s="48"/>
      <c r="AG103" s="48"/>
      <c r="AH103" s="48"/>
      <c r="AI103" s="48"/>
      <c r="AK103" s="48"/>
      <c r="AL103" s="48"/>
      <c r="AM103" s="48"/>
      <c r="AN103" s="48"/>
      <c r="AO103" s="48"/>
      <c r="AQ103" s="48"/>
      <c r="AR103" s="48"/>
      <c r="AS103" s="48"/>
      <c r="AT103" s="48"/>
      <c r="AU103" s="48"/>
      <c r="AX103" s="48"/>
      <c r="AY103" s="48"/>
      <c r="AZ103" s="48"/>
      <c r="BA103" s="48"/>
      <c r="BB103" s="48"/>
    </row>
    <row r="104" spans="1:54" s="57" customFormat="1" hidden="1" x14ac:dyDescent="0.25">
      <c r="A104" s="215">
        <v>44988</v>
      </c>
      <c r="B104" s="104">
        <v>12392408</v>
      </c>
      <c r="C104" s="104">
        <v>1904678</v>
      </c>
      <c r="D104" s="104">
        <v>14297086</v>
      </c>
      <c r="E104" s="104">
        <v>86.68</v>
      </c>
      <c r="G104" s="215">
        <v>44988</v>
      </c>
      <c r="H104" s="104">
        <v>3330524</v>
      </c>
      <c r="I104" s="104">
        <v>1544703</v>
      </c>
      <c r="J104" s="104">
        <v>4875227</v>
      </c>
      <c r="K104" s="104">
        <v>68.319999999999993</v>
      </c>
      <c r="M104" s="215">
        <v>44988</v>
      </c>
      <c r="N104" s="104">
        <v>3863743</v>
      </c>
      <c r="O104" s="104">
        <v>3214887</v>
      </c>
      <c r="P104" s="104">
        <v>7078630</v>
      </c>
      <c r="Q104" s="104">
        <v>54.58</v>
      </c>
      <c r="S104" s="215">
        <v>44988</v>
      </c>
      <c r="T104" s="104">
        <v>1011270</v>
      </c>
      <c r="U104" s="104">
        <v>1155518</v>
      </c>
      <c r="V104" s="104">
        <v>2166788</v>
      </c>
      <c r="W104" s="104">
        <v>46.67</v>
      </c>
      <c r="Y104" s="215">
        <v>44988</v>
      </c>
      <c r="Z104" s="48">
        <v>2654488</v>
      </c>
      <c r="AA104" s="48">
        <v>739048</v>
      </c>
      <c r="AB104" s="48">
        <v>3393536</v>
      </c>
      <c r="AC104" s="48">
        <v>78.22</v>
      </c>
      <c r="AE104" s="48"/>
      <c r="AF104" s="48"/>
      <c r="AG104" s="48"/>
      <c r="AH104" s="48"/>
      <c r="AI104" s="48"/>
      <c r="AK104" s="48"/>
      <c r="AL104" s="48"/>
      <c r="AM104" s="48"/>
      <c r="AN104" s="48"/>
      <c r="AO104" s="48"/>
      <c r="AQ104" s="48"/>
      <c r="AR104" s="48"/>
      <c r="AS104" s="48"/>
      <c r="AT104" s="48"/>
      <c r="AU104" s="48"/>
      <c r="AX104" s="48"/>
      <c r="AY104" s="48"/>
      <c r="AZ104" s="48"/>
      <c r="BA104" s="48"/>
      <c r="BB104" s="48"/>
    </row>
    <row r="105" spans="1:54" s="57" customFormat="1" hidden="1" x14ac:dyDescent="0.25">
      <c r="A105" s="215">
        <v>44989</v>
      </c>
      <c r="B105" s="104">
        <v>12696991</v>
      </c>
      <c r="C105" s="104">
        <v>1118519</v>
      </c>
      <c r="D105" s="104">
        <v>13815510</v>
      </c>
      <c r="E105" s="104">
        <v>91.9</v>
      </c>
      <c r="G105" s="215">
        <v>44989</v>
      </c>
      <c r="H105" s="104">
        <v>2784115</v>
      </c>
      <c r="I105" s="104">
        <v>1130570</v>
      </c>
      <c r="J105" s="104">
        <v>3914685</v>
      </c>
      <c r="K105" s="104">
        <v>71.12</v>
      </c>
      <c r="M105" s="215">
        <v>44989</v>
      </c>
      <c r="N105" s="104">
        <v>3558081</v>
      </c>
      <c r="O105" s="104">
        <v>3625051</v>
      </c>
      <c r="P105" s="104">
        <v>7183132</v>
      </c>
      <c r="Q105" s="104">
        <v>49.53</v>
      </c>
      <c r="S105" s="215">
        <v>44989</v>
      </c>
      <c r="T105" s="104">
        <v>2867152</v>
      </c>
      <c r="U105" s="104">
        <v>2397216</v>
      </c>
      <c r="V105" s="104">
        <v>5264368</v>
      </c>
      <c r="W105" s="104">
        <v>54.46</v>
      </c>
      <c r="Y105" s="215">
        <v>44989</v>
      </c>
      <c r="Z105" s="48">
        <v>2608694</v>
      </c>
      <c r="AA105" s="48">
        <v>340454</v>
      </c>
      <c r="AB105" s="48">
        <v>2949148</v>
      </c>
      <c r="AC105" s="48">
        <v>88.46</v>
      </c>
      <c r="AE105" s="48"/>
      <c r="AF105" s="48"/>
      <c r="AG105" s="48"/>
      <c r="AH105" s="48"/>
      <c r="AI105" s="48"/>
      <c r="AK105" s="48"/>
      <c r="AL105" s="48"/>
      <c r="AM105" s="48"/>
      <c r="AN105" s="48"/>
      <c r="AO105" s="48"/>
      <c r="AQ105" s="48"/>
      <c r="AR105" s="48"/>
      <c r="AS105" s="48"/>
      <c r="AT105" s="48"/>
      <c r="AU105" s="48"/>
      <c r="AX105" s="48"/>
      <c r="AY105" s="48"/>
      <c r="AZ105" s="48"/>
      <c r="BA105" s="48"/>
      <c r="BB105" s="48"/>
    </row>
    <row r="106" spans="1:54" s="57" customFormat="1" hidden="1" x14ac:dyDescent="0.25">
      <c r="A106" s="215">
        <v>44990</v>
      </c>
      <c r="B106" s="104">
        <v>10665165</v>
      </c>
      <c r="C106" s="104">
        <v>1022713</v>
      </c>
      <c r="D106" s="104">
        <v>11687878</v>
      </c>
      <c r="E106" s="104">
        <v>91.25</v>
      </c>
      <c r="G106" s="215">
        <v>44990</v>
      </c>
      <c r="H106" s="104">
        <v>1907644</v>
      </c>
      <c r="I106" s="104">
        <v>872986</v>
      </c>
      <c r="J106" s="104">
        <v>2780630</v>
      </c>
      <c r="K106" s="104">
        <v>68.599999999999994</v>
      </c>
      <c r="M106" s="215">
        <v>44990</v>
      </c>
      <c r="N106" s="104">
        <v>2800414</v>
      </c>
      <c r="O106" s="104">
        <v>3760256</v>
      </c>
      <c r="P106" s="104">
        <v>6560670</v>
      </c>
      <c r="Q106" s="104">
        <v>42.68</v>
      </c>
      <c r="S106" s="215">
        <v>44990</v>
      </c>
      <c r="T106" s="104">
        <v>2928282</v>
      </c>
      <c r="U106" s="104">
        <v>1408760</v>
      </c>
      <c r="V106" s="104">
        <v>4337042</v>
      </c>
      <c r="W106" s="104">
        <v>67.52</v>
      </c>
      <c r="Y106" s="215">
        <v>44990</v>
      </c>
      <c r="Z106" s="48">
        <v>2659707</v>
      </c>
      <c r="AA106" s="48">
        <v>364004</v>
      </c>
      <c r="AB106" s="48">
        <v>3023711</v>
      </c>
      <c r="AC106" s="48">
        <v>87.96</v>
      </c>
      <c r="AE106" s="48"/>
      <c r="AF106" s="48"/>
      <c r="AG106" s="48"/>
      <c r="AH106" s="48"/>
      <c r="AI106" s="48"/>
      <c r="AK106" s="48"/>
      <c r="AL106" s="48"/>
      <c r="AM106" s="48"/>
      <c r="AN106" s="48"/>
      <c r="AO106" s="48"/>
      <c r="AQ106" s="48"/>
      <c r="AR106" s="48"/>
      <c r="AS106" s="48"/>
      <c r="AT106" s="48"/>
      <c r="AU106" s="48"/>
      <c r="AX106" s="48"/>
      <c r="AY106" s="48"/>
      <c r="AZ106" s="48"/>
      <c r="BA106" s="48"/>
      <c r="BB106" s="48"/>
    </row>
    <row r="107" spans="1:54" s="57" customFormat="1" hidden="1" x14ac:dyDescent="0.25">
      <c r="A107" s="215">
        <v>44991</v>
      </c>
      <c r="B107" s="104">
        <v>12635868</v>
      </c>
      <c r="C107" s="104">
        <v>948424</v>
      </c>
      <c r="D107" s="104">
        <v>13584292</v>
      </c>
      <c r="E107" s="104">
        <v>93.02</v>
      </c>
      <c r="G107" s="215">
        <v>44991</v>
      </c>
      <c r="H107" s="104">
        <v>3270335</v>
      </c>
      <c r="I107" s="104">
        <v>1313671</v>
      </c>
      <c r="J107" s="104">
        <v>4584006</v>
      </c>
      <c r="K107" s="104">
        <v>71.34</v>
      </c>
      <c r="M107" s="215">
        <v>44991</v>
      </c>
      <c r="N107" s="104">
        <v>3677852</v>
      </c>
      <c r="O107" s="104">
        <v>4396153</v>
      </c>
      <c r="P107" s="104">
        <v>8074005</v>
      </c>
      <c r="Q107" s="104">
        <v>45.55</v>
      </c>
      <c r="S107" s="215">
        <v>44991</v>
      </c>
      <c r="T107" s="104">
        <v>1199728</v>
      </c>
      <c r="U107" s="104">
        <v>1863264</v>
      </c>
      <c r="V107" s="104">
        <v>3062992</v>
      </c>
      <c r="W107" s="104">
        <v>39.17</v>
      </c>
      <c r="Y107" s="215">
        <v>44991</v>
      </c>
      <c r="Z107" s="48">
        <v>2867550</v>
      </c>
      <c r="AA107" s="48">
        <v>349548</v>
      </c>
      <c r="AB107" s="48">
        <v>3217098</v>
      </c>
      <c r="AC107" s="48">
        <v>89.13</v>
      </c>
      <c r="AE107" s="48"/>
      <c r="AF107" s="48"/>
      <c r="AG107" s="48"/>
      <c r="AH107" s="48"/>
      <c r="AI107" s="48"/>
      <c r="AK107" s="48"/>
      <c r="AL107" s="48"/>
      <c r="AM107" s="48"/>
      <c r="AN107" s="48"/>
      <c r="AO107" s="48"/>
      <c r="AQ107" s="48"/>
      <c r="AR107" s="48"/>
      <c r="AS107" s="48"/>
      <c r="AT107" s="48"/>
      <c r="AU107" s="48"/>
      <c r="AX107" s="48"/>
      <c r="AY107" s="48"/>
      <c r="AZ107" s="48"/>
      <c r="BA107" s="48"/>
      <c r="BB107" s="48"/>
    </row>
    <row r="108" spans="1:54" s="57" customFormat="1" hidden="1" x14ac:dyDescent="0.25">
      <c r="A108" s="215">
        <v>44992</v>
      </c>
      <c r="B108" s="104">
        <v>12918926</v>
      </c>
      <c r="C108" s="104">
        <v>1079120</v>
      </c>
      <c r="D108" s="104">
        <v>13998046</v>
      </c>
      <c r="E108" s="104">
        <v>92.29</v>
      </c>
      <c r="G108" s="215">
        <v>44992</v>
      </c>
      <c r="H108" s="104">
        <v>2412388</v>
      </c>
      <c r="I108" s="104">
        <v>1049177</v>
      </c>
      <c r="J108" s="104">
        <v>3461565</v>
      </c>
      <c r="K108" s="104">
        <v>69.69</v>
      </c>
      <c r="M108" s="215">
        <v>44992</v>
      </c>
      <c r="N108" s="104">
        <v>2734937</v>
      </c>
      <c r="O108" s="104">
        <v>3956921</v>
      </c>
      <c r="P108" s="104">
        <v>6691858</v>
      </c>
      <c r="Q108" s="104">
        <v>40.869999999999997</v>
      </c>
      <c r="S108" s="215">
        <v>44992</v>
      </c>
      <c r="T108" s="104">
        <v>1332808</v>
      </c>
      <c r="U108" s="104">
        <v>1560986</v>
      </c>
      <c r="V108" s="104">
        <v>2893794</v>
      </c>
      <c r="W108" s="104">
        <v>46.06</v>
      </c>
      <c r="Y108" s="215">
        <v>44992</v>
      </c>
      <c r="Z108" s="48">
        <v>2707182</v>
      </c>
      <c r="AA108" s="48">
        <v>354771</v>
      </c>
      <c r="AB108" s="48">
        <v>3061953</v>
      </c>
      <c r="AC108" s="48">
        <v>88.41</v>
      </c>
      <c r="AE108" s="48"/>
      <c r="AF108" s="48"/>
      <c r="AG108" s="48"/>
      <c r="AH108" s="48"/>
      <c r="AI108" s="48"/>
      <c r="AK108" s="48"/>
      <c r="AL108" s="48"/>
      <c r="AM108" s="48"/>
      <c r="AN108" s="48"/>
      <c r="AO108" s="48"/>
      <c r="AQ108" s="48"/>
      <c r="AR108" s="48"/>
      <c r="AS108" s="48"/>
      <c r="AT108" s="48"/>
      <c r="AU108" s="48"/>
      <c r="AX108" s="48"/>
      <c r="AY108" s="48"/>
      <c r="AZ108" s="48"/>
      <c r="BA108" s="48"/>
      <c r="BB108" s="48"/>
    </row>
    <row r="109" spans="1:54" s="57" customFormat="1" hidden="1" x14ac:dyDescent="0.25">
      <c r="A109" s="215">
        <v>44993</v>
      </c>
      <c r="B109" s="104">
        <v>11907007</v>
      </c>
      <c r="C109" s="104">
        <v>1037251</v>
      </c>
      <c r="D109" s="104">
        <v>12944258</v>
      </c>
      <c r="E109" s="104">
        <v>91.99</v>
      </c>
      <c r="G109" s="215">
        <v>44993</v>
      </c>
      <c r="H109" s="104">
        <v>3508299</v>
      </c>
      <c r="I109" s="104">
        <v>1610666</v>
      </c>
      <c r="J109" s="104">
        <v>5118965</v>
      </c>
      <c r="K109" s="104">
        <v>68.540000000000006</v>
      </c>
      <c r="M109" s="215">
        <v>44993</v>
      </c>
      <c r="N109" s="104">
        <v>4227303</v>
      </c>
      <c r="O109" s="104">
        <v>4118434</v>
      </c>
      <c r="P109" s="104">
        <v>8345737</v>
      </c>
      <c r="Q109" s="104">
        <v>50.65</v>
      </c>
      <c r="S109" s="215">
        <v>44993</v>
      </c>
      <c r="T109" s="104">
        <v>1985533</v>
      </c>
      <c r="U109" s="104">
        <v>2543160</v>
      </c>
      <c r="V109" s="104">
        <v>4528693</v>
      </c>
      <c r="W109" s="104">
        <v>43.84</v>
      </c>
      <c r="Y109" s="215">
        <v>44993</v>
      </c>
      <c r="Z109" s="48">
        <v>2314321</v>
      </c>
      <c r="AA109" s="48">
        <v>345741</v>
      </c>
      <c r="AB109" s="48">
        <v>2660062</v>
      </c>
      <c r="AC109" s="48">
        <v>87</v>
      </c>
      <c r="AE109" s="48"/>
      <c r="AF109" s="48"/>
      <c r="AG109" s="48"/>
      <c r="AH109" s="48"/>
      <c r="AI109" s="48"/>
      <c r="AK109" s="48"/>
      <c r="AL109" s="48"/>
      <c r="AM109" s="48"/>
      <c r="AN109" s="48"/>
      <c r="AO109" s="48"/>
      <c r="AQ109" s="48"/>
      <c r="AR109" s="48"/>
      <c r="AS109" s="48"/>
      <c r="AT109" s="48"/>
      <c r="AU109" s="48"/>
      <c r="AX109" s="48"/>
      <c r="AY109" s="48"/>
      <c r="AZ109" s="48"/>
      <c r="BA109" s="48"/>
      <c r="BB109" s="48"/>
    </row>
    <row r="110" spans="1:54" s="57" customFormat="1" hidden="1" x14ac:dyDescent="0.25">
      <c r="A110" s="215">
        <v>44994</v>
      </c>
      <c r="B110" s="104">
        <v>12152552</v>
      </c>
      <c r="C110" s="104">
        <v>1027401</v>
      </c>
      <c r="D110" s="104">
        <v>13179953</v>
      </c>
      <c r="E110" s="104">
        <v>92.2</v>
      </c>
      <c r="G110" s="215">
        <v>44994</v>
      </c>
      <c r="H110" s="104">
        <v>2907536</v>
      </c>
      <c r="I110" s="104">
        <v>1405982</v>
      </c>
      <c r="J110" s="104">
        <v>4313518</v>
      </c>
      <c r="K110" s="104">
        <v>67.41</v>
      </c>
      <c r="M110" s="215">
        <v>44994</v>
      </c>
      <c r="N110" s="104">
        <v>2253989</v>
      </c>
      <c r="O110" s="104">
        <v>2169405</v>
      </c>
      <c r="P110" s="104">
        <v>4423394</v>
      </c>
      <c r="Q110" s="104">
        <v>50.96</v>
      </c>
      <c r="S110" s="215">
        <v>44994</v>
      </c>
      <c r="T110" s="104">
        <v>1422394</v>
      </c>
      <c r="U110" s="104">
        <v>2022803</v>
      </c>
      <c r="V110" s="104">
        <v>3445197</v>
      </c>
      <c r="W110" s="104">
        <v>41.29</v>
      </c>
      <c r="Y110" s="215">
        <v>44994</v>
      </c>
      <c r="Z110" s="104">
        <v>1686794</v>
      </c>
      <c r="AA110" s="104">
        <v>210990</v>
      </c>
      <c r="AB110" s="104">
        <v>1897784</v>
      </c>
      <c r="AC110" s="104">
        <v>88.88</v>
      </c>
      <c r="AE110" s="48"/>
      <c r="AF110" s="48"/>
      <c r="AG110" s="48"/>
      <c r="AH110" s="48"/>
      <c r="AI110" s="48"/>
      <c r="AK110" s="48"/>
      <c r="AL110" s="48"/>
      <c r="AM110" s="48"/>
      <c r="AN110" s="48"/>
      <c r="AO110" s="48"/>
      <c r="AQ110" s="48"/>
      <c r="AR110" s="48"/>
      <c r="AS110" s="48"/>
      <c r="AT110" s="48"/>
      <c r="AU110" s="48"/>
      <c r="AX110" s="48"/>
      <c r="AY110" s="48"/>
      <c r="AZ110" s="48"/>
      <c r="BA110" s="48"/>
      <c r="BB110" s="48"/>
    </row>
    <row r="111" spans="1:54" s="57" customFormat="1" hidden="1" x14ac:dyDescent="0.25">
      <c r="A111" s="215">
        <v>44995</v>
      </c>
      <c r="B111" s="104">
        <v>12989170</v>
      </c>
      <c r="C111" s="104">
        <v>1099351</v>
      </c>
      <c r="D111" s="104">
        <v>14088521</v>
      </c>
      <c r="E111" s="104">
        <v>92.2</v>
      </c>
      <c r="G111" s="215">
        <v>44995</v>
      </c>
      <c r="H111" s="104">
        <v>2777719</v>
      </c>
      <c r="I111" s="104">
        <v>1226024</v>
      </c>
      <c r="J111" s="104">
        <v>4003743</v>
      </c>
      <c r="K111" s="104">
        <v>69.38</v>
      </c>
      <c r="M111" s="215">
        <v>44995</v>
      </c>
      <c r="N111" s="104">
        <v>3711929</v>
      </c>
      <c r="O111" s="104">
        <v>3265432</v>
      </c>
      <c r="P111" s="104">
        <v>6977361</v>
      </c>
      <c r="Q111" s="104">
        <v>53.2</v>
      </c>
      <c r="S111" s="215">
        <v>44995</v>
      </c>
      <c r="T111" s="104">
        <v>1682313</v>
      </c>
      <c r="U111" s="104">
        <v>2295038</v>
      </c>
      <c r="V111" s="104">
        <v>3977351</v>
      </c>
      <c r="W111" s="104">
        <v>42.3</v>
      </c>
      <c r="Y111" s="215">
        <v>44995</v>
      </c>
      <c r="Z111" s="104">
        <v>2484557</v>
      </c>
      <c r="AA111" s="104">
        <v>343884</v>
      </c>
      <c r="AB111" s="104">
        <v>2828441</v>
      </c>
      <c r="AC111" s="104">
        <v>87.84</v>
      </c>
      <c r="AE111" s="48"/>
      <c r="AF111" s="48"/>
      <c r="AG111" s="48"/>
      <c r="AH111" s="48"/>
      <c r="AI111" s="48"/>
      <c r="AK111" s="48"/>
      <c r="AL111" s="48"/>
      <c r="AM111" s="48"/>
      <c r="AN111" s="48"/>
      <c r="AO111" s="48"/>
      <c r="AQ111" s="48"/>
      <c r="AR111" s="48"/>
      <c r="AS111" s="48"/>
      <c r="AT111" s="48"/>
      <c r="AU111" s="48"/>
      <c r="AX111" s="48"/>
      <c r="AY111" s="48"/>
      <c r="AZ111" s="48"/>
      <c r="BA111" s="48"/>
      <c r="BB111" s="48"/>
    </row>
    <row r="112" spans="1:54" s="57" customFormat="1" hidden="1" x14ac:dyDescent="0.25">
      <c r="A112" s="215">
        <v>44996</v>
      </c>
      <c r="B112" s="104">
        <v>12581246</v>
      </c>
      <c r="C112" s="104">
        <v>1148883</v>
      </c>
      <c r="D112" s="104">
        <v>13730129</v>
      </c>
      <c r="E112" s="104">
        <v>91.63</v>
      </c>
      <c r="G112" s="215">
        <v>44996</v>
      </c>
      <c r="H112" s="104">
        <v>2504885</v>
      </c>
      <c r="I112" s="104">
        <v>1147253</v>
      </c>
      <c r="J112" s="104">
        <v>3652138</v>
      </c>
      <c r="K112" s="104">
        <v>68.59</v>
      </c>
      <c r="M112" s="215">
        <v>44996</v>
      </c>
      <c r="N112" s="104">
        <v>3439696</v>
      </c>
      <c r="O112" s="104">
        <v>3262380</v>
      </c>
      <c r="P112" s="104">
        <v>6702076</v>
      </c>
      <c r="Q112" s="104">
        <v>51.32</v>
      </c>
      <c r="S112" s="215">
        <v>44996</v>
      </c>
      <c r="T112" s="104">
        <v>348872</v>
      </c>
      <c r="U112" s="104">
        <v>539285</v>
      </c>
      <c r="V112" s="104">
        <v>888157</v>
      </c>
      <c r="W112" s="104">
        <v>39.28</v>
      </c>
      <c r="Y112" s="215">
        <v>44996</v>
      </c>
      <c r="Z112" s="104">
        <v>2337324</v>
      </c>
      <c r="AA112" s="104">
        <v>307077</v>
      </c>
      <c r="AB112" s="104">
        <v>2644401</v>
      </c>
      <c r="AC112" s="104">
        <v>70.709999999999994</v>
      </c>
      <c r="AE112" s="48"/>
      <c r="AF112" s="48"/>
      <c r="AG112" s="48"/>
      <c r="AH112" s="48"/>
      <c r="AI112" s="48"/>
      <c r="AK112" s="48"/>
      <c r="AL112" s="48"/>
      <c r="AM112" s="48"/>
      <c r="AN112" s="48"/>
      <c r="AO112" s="48"/>
      <c r="AQ112" s="48"/>
      <c r="AR112" s="48"/>
      <c r="AS112" s="48"/>
      <c r="AT112" s="48"/>
      <c r="AU112" s="48"/>
      <c r="AX112" s="48"/>
      <c r="AY112" s="48"/>
      <c r="AZ112" s="48"/>
      <c r="BA112" s="48"/>
      <c r="BB112" s="48"/>
    </row>
    <row r="113" spans="1:54" s="57" customFormat="1" hidden="1" x14ac:dyDescent="0.25">
      <c r="A113" s="215">
        <v>44997</v>
      </c>
      <c r="B113" s="104">
        <v>9845250</v>
      </c>
      <c r="C113" s="104">
        <v>999396</v>
      </c>
      <c r="D113" s="104">
        <v>10844646</v>
      </c>
      <c r="E113" s="104">
        <v>90.78</v>
      </c>
      <c r="G113" s="215">
        <v>44997</v>
      </c>
      <c r="H113" s="104">
        <v>2280927</v>
      </c>
      <c r="I113" s="104">
        <v>1103216</v>
      </c>
      <c r="J113" s="104">
        <v>3384143</v>
      </c>
      <c r="K113" s="104">
        <v>67.400000000000006</v>
      </c>
      <c r="M113" s="215">
        <v>44997</v>
      </c>
      <c r="N113" s="104">
        <v>1887883</v>
      </c>
      <c r="O113" s="104">
        <v>3259040</v>
      </c>
      <c r="P113" s="104">
        <v>5146923</v>
      </c>
      <c r="Q113" s="104">
        <v>36.68</v>
      </c>
      <c r="S113" s="215">
        <v>44997</v>
      </c>
      <c r="T113" s="104">
        <v>58210</v>
      </c>
      <c r="U113" s="104">
        <v>21983</v>
      </c>
      <c r="V113" s="104">
        <v>80193</v>
      </c>
      <c r="W113" s="104">
        <v>72.59</v>
      </c>
      <c r="Y113" s="215">
        <v>44997</v>
      </c>
      <c r="Z113" s="104">
        <v>2418337</v>
      </c>
      <c r="AA113" s="104">
        <v>341333</v>
      </c>
      <c r="AB113" s="104">
        <v>2759670</v>
      </c>
      <c r="AC113" s="104">
        <v>87.63</v>
      </c>
      <c r="AE113" s="48"/>
      <c r="AF113" s="48"/>
      <c r="AG113" s="48"/>
      <c r="AH113" s="48"/>
      <c r="AI113" s="48"/>
      <c r="AK113" s="48"/>
      <c r="AL113" s="48"/>
      <c r="AM113" s="48"/>
      <c r="AN113" s="48"/>
      <c r="AO113" s="48"/>
      <c r="AQ113" s="48"/>
      <c r="AR113" s="48"/>
      <c r="AS113" s="48"/>
      <c r="AT113" s="48"/>
      <c r="AU113" s="48"/>
      <c r="AX113" s="48"/>
      <c r="AY113" s="48"/>
      <c r="AZ113" s="48"/>
      <c r="BA113" s="48"/>
      <c r="BB113" s="48"/>
    </row>
    <row r="114" spans="1:54" s="57" customFormat="1" hidden="1" x14ac:dyDescent="0.25">
      <c r="A114" s="215">
        <v>44998</v>
      </c>
      <c r="B114" s="48">
        <v>12345739</v>
      </c>
      <c r="C114" s="48">
        <v>983873</v>
      </c>
      <c r="D114" s="48">
        <v>13329612</v>
      </c>
      <c r="E114" s="48">
        <v>92.6</v>
      </c>
      <c r="G114" s="215">
        <v>44998</v>
      </c>
      <c r="H114" s="48">
        <v>3306431</v>
      </c>
      <c r="I114" s="48">
        <v>1583998</v>
      </c>
      <c r="J114" s="48">
        <v>4890429</v>
      </c>
      <c r="K114" s="104">
        <v>67.599999999999994</v>
      </c>
      <c r="M114" s="215">
        <v>44998</v>
      </c>
      <c r="N114" s="48">
        <v>3579950</v>
      </c>
      <c r="O114" s="48">
        <v>4785170</v>
      </c>
      <c r="P114" s="48">
        <v>8365120</v>
      </c>
      <c r="Q114" s="48">
        <v>42.79</v>
      </c>
      <c r="S114" s="215">
        <v>44998</v>
      </c>
      <c r="T114" s="48">
        <v>592906</v>
      </c>
      <c r="U114" s="48">
        <v>1033632</v>
      </c>
      <c r="V114" s="48">
        <v>1626538</v>
      </c>
      <c r="W114" s="48">
        <v>36.450000000000003</v>
      </c>
      <c r="Y114" s="215">
        <v>44998</v>
      </c>
      <c r="Z114" s="48">
        <v>2280451</v>
      </c>
      <c r="AA114" s="48">
        <v>341487</v>
      </c>
      <c r="AB114" s="48">
        <v>2621938</v>
      </c>
      <c r="AC114" s="48">
        <v>86.97</v>
      </c>
      <c r="AE114" s="48"/>
      <c r="AF114" s="48"/>
      <c r="AG114" s="48"/>
      <c r="AH114" s="48"/>
      <c r="AI114" s="48"/>
      <c r="AK114" s="48"/>
      <c r="AL114" s="48"/>
      <c r="AM114" s="48"/>
      <c r="AN114" s="48"/>
      <c r="AO114" s="48"/>
      <c r="AQ114" s="48"/>
      <c r="AR114" s="48"/>
      <c r="AS114" s="48"/>
      <c r="AT114" s="48"/>
      <c r="AU114" s="48"/>
      <c r="AX114" s="48"/>
      <c r="AY114" s="48"/>
      <c r="AZ114" s="48"/>
      <c r="BA114" s="48"/>
      <c r="BB114" s="48"/>
    </row>
    <row r="115" spans="1:54" s="57" customFormat="1" hidden="1" x14ac:dyDescent="0.25">
      <c r="A115" s="215">
        <v>44999</v>
      </c>
      <c r="B115" s="104">
        <v>11900145</v>
      </c>
      <c r="C115" s="104">
        <v>1170033</v>
      </c>
      <c r="D115" s="104">
        <v>13070178</v>
      </c>
      <c r="E115" s="104">
        <v>91.05</v>
      </c>
      <c r="G115" s="215">
        <v>44999</v>
      </c>
      <c r="H115" s="104">
        <v>2786972</v>
      </c>
      <c r="I115" s="104">
        <v>1365866</v>
      </c>
      <c r="J115" s="104">
        <v>4152838</v>
      </c>
      <c r="K115" s="104">
        <v>67.11</v>
      </c>
      <c r="M115" s="215">
        <v>44999</v>
      </c>
      <c r="N115" s="104">
        <v>2525039</v>
      </c>
      <c r="O115" s="104">
        <v>4221020</v>
      </c>
      <c r="P115" s="104">
        <v>6746059</v>
      </c>
      <c r="Q115" s="104">
        <v>37.43</v>
      </c>
      <c r="S115" s="215">
        <v>44999</v>
      </c>
      <c r="T115" s="104">
        <v>602150</v>
      </c>
      <c r="U115" s="104">
        <v>1105331</v>
      </c>
      <c r="V115" s="104">
        <v>1707481</v>
      </c>
      <c r="W115" s="104">
        <v>35.270000000000003</v>
      </c>
      <c r="Y115" s="215">
        <v>44999</v>
      </c>
      <c r="Z115" s="104">
        <v>2710130</v>
      </c>
      <c r="AA115" s="104">
        <v>445668</v>
      </c>
      <c r="AB115" s="104">
        <v>3155798</v>
      </c>
      <c r="AC115" s="104">
        <v>85.88</v>
      </c>
      <c r="AE115" s="48"/>
      <c r="AF115" s="48"/>
      <c r="AG115" s="48"/>
      <c r="AH115" s="48"/>
      <c r="AI115" s="48"/>
      <c r="AK115" s="48"/>
      <c r="AL115" s="48"/>
      <c r="AM115" s="48"/>
      <c r="AN115" s="48"/>
      <c r="AO115" s="48"/>
      <c r="AQ115" s="48"/>
      <c r="AR115" s="48"/>
      <c r="AS115" s="48"/>
      <c r="AT115" s="48"/>
      <c r="AU115" s="48"/>
      <c r="AX115" s="48"/>
      <c r="AY115" s="48"/>
      <c r="AZ115" s="48"/>
      <c r="BA115" s="48"/>
      <c r="BB115" s="48"/>
    </row>
    <row r="116" spans="1:54" s="57" customFormat="1" hidden="1" x14ac:dyDescent="0.25">
      <c r="A116" s="215">
        <v>45000</v>
      </c>
      <c r="B116" s="104">
        <v>11888015</v>
      </c>
      <c r="C116" s="104">
        <v>1030336</v>
      </c>
      <c r="D116" s="104">
        <v>12918351</v>
      </c>
      <c r="E116" s="104">
        <v>92.02</v>
      </c>
      <c r="G116" s="215">
        <v>45000</v>
      </c>
      <c r="H116" s="104">
        <v>1788768</v>
      </c>
      <c r="I116" s="104">
        <v>847708</v>
      </c>
      <c r="J116" s="104">
        <v>2636476</v>
      </c>
      <c r="K116" s="104">
        <v>67.849999999999994</v>
      </c>
      <c r="M116" s="215">
        <v>45000</v>
      </c>
      <c r="N116" s="104">
        <v>4210036</v>
      </c>
      <c r="O116" s="104">
        <v>4113483</v>
      </c>
      <c r="P116" s="104">
        <v>8323519</v>
      </c>
      <c r="Q116" s="104">
        <v>50.58</v>
      </c>
      <c r="S116" s="215">
        <v>45000</v>
      </c>
      <c r="T116" s="104">
        <v>602376</v>
      </c>
      <c r="U116" s="104">
        <v>1091482</v>
      </c>
      <c r="V116" s="104">
        <v>1693858</v>
      </c>
      <c r="W116" s="104">
        <v>35.56</v>
      </c>
      <c r="Y116" s="215">
        <v>45000</v>
      </c>
      <c r="Z116" s="104">
        <v>2220546</v>
      </c>
      <c r="AA116" s="104">
        <v>404614</v>
      </c>
      <c r="AB116" s="104">
        <v>2625160</v>
      </c>
      <c r="AC116" s="104">
        <v>84.59</v>
      </c>
      <c r="AE116" s="48"/>
      <c r="AF116" s="48"/>
      <c r="AG116" s="48"/>
      <c r="AH116" s="48"/>
      <c r="AI116" s="48"/>
      <c r="AK116" s="48"/>
      <c r="AL116" s="48"/>
      <c r="AM116" s="48"/>
      <c r="AN116" s="48"/>
      <c r="AO116" s="48"/>
      <c r="AQ116" s="48"/>
      <c r="AR116" s="48"/>
      <c r="AS116" s="48"/>
      <c r="AT116" s="48"/>
      <c r="AU116" s="48"/>
      <c r="AX116" s="48"/>
      <c r="AY116" s="48"/>
      <c r="AZ116" s="48"/>
      <c r="BA116" s="48"/>
      <c r="BB116" s="48"/>
    </row>
    <row r="117" spans="1:54" hidden="1" x14ac:dyDescent="0.25">
      <c r="A117" s="215">
        <v>45001</v>
      </c>
      <c r="B117" s="104">
        <v>11999614</v>
      </c>
      <c r="C117" s="104">
        <v>1022307</v>
      </c>
      <c r="D117" s="104">
        <v>13021921</v>
      </c>
      <c r="E117" s="104">
        <v>92.15</v>
      </c>
      <c r="G117" s="215">
        <v>45001</v>
      </c>
      <c r="H117" s="104">
        <v>1821986</v>
      </c>
      <c r="I117" s="104">
        <v>833455</v>
      </c>
      <c r="J117" s="104">
        <v>2655441</v>
      </c>
      <c r="K117" s="104">
        <v>68.61</v>
      </c>
      <c r="M117" s="215">
        <v>45001</v>
      </c>
      <c r="N117" s="104">
        <v>3725050</v>
      </c>
      <c r="O117" s="104">
        <v>4091925</v>
      </c>
      <c r="P117" s="104">
        <v>7816975</v>
      </c>
      <c r="Q117" s="104">
        <v>47.65</v>
      </c>
      <c r="S117" s="215">
        <v>45001</v>
      </c>
      <c r="T117" s="104">
        <v>604074</v>
      </c>
      <c r="U117" s="104">
        <v>1077753</v>
      </c>
      <c r="V117" s="104">
        <v>1681827</v>
      </c>
      <c r="W117" s="104">
        <v>35.92</v>
      </c>
      <c r="Y117" s="215">
        <v>45001</v>
      </c>
      <c r="Z117" s="104">
        <v>2257462</v>
      </c>
      <c r="AA117" s="104">
        <v>329877</v>
      </c>
      <c r="AB117" s="104">
        <v>2587339</v>
      </c>
      <c r="AC117" s="104">
        <v>87.25</v>
      </c>
      <c r="AE117" s="1"/>
      <c r="AF117" s="1"/>
      <c r="AG117" s="1"/>
      <c r="AH117" s="1"/>
      <c r="AI117" s="1"/>
      <c r="AK117" s="48"/>
      <c r="AL117" s="48"/>
      <c r="AM117" s="48"/>
      <c r="AN117" s="48"/>
      <c r="AO117" s="48"/>
      <c r="AQ117" s="48"/>
      <c r="AR117" s="48"/>
      <c r="AS117" s="48"/>
      <c r="AT117" s="48"/>
      <c r="AU117" s="48"/>
      <c r="AX117" s="48"/>
      <c r="AY117" s="48"/>
      <c r="AZ117" s="48"/>
      <c r="BA117" s="48"/>
      <c r="BB117" s="48"/>
    </row>
    <row r="118" spans="1:54" hidden="1" x14ac:dyDescent="0.25">
      <c r="A118" s="215">
        <v>45002</v>
      </c>
      <c r="B118" s="104">
        <v>12545277</v>
      </c>
      <c r="C118" s="104">
        <v>1057425</v>
      </c>
      <c r="D118" s="104">
        <v>13602702</v>
      </c>
      <c r="E118" s="104">
        <v>92.23</v>
      </c>
      <c r="G118" s="215">
        <v>45002</v>
      </c>
      <c r="H118" s="104">
        <v>1686463</v>
      </c>
      <c r="I118" s="104">
        <v>730311</v>
      </c>
      <c r="J118" s="104">
        <v>2416774</v>
      </c>
      <c r="K118" s="104">
        <v>69.78</v>
      </c>
      <c r="M118" s="215">
        <v>45002</v>
      </c>
      <c r="N118" s="104">
        <v>3935787</v>
      </c>
      <c r="O118" s="104">
        <v>3580171</v>
      </c>
      <c r="P118" s="104">
        <v>7515958</v>
      </c>
      <c r="Q118" s="104">
        <v>52.37</v>
      </c>
      <c r="S118" s="215">
        <v>45002</v>
      </c>
      <c r="T118" s="104">
        <v>615047</v>
      </c>
      <c r="U118" s="104">
        <v>1077320</v>
      </c>
      <c r="V118" s="104">
        <v>1692367</v>
      </c>
      <c r="W118" s="104">
        <v>36.340000000000003</v>
      </c>
      <c r="Y118" s="215">
        <v>45002</v>
      </c>
      <c r="Z118" s="104">
        <v>2443823</v>
      </c>
      <c r="AA118" s="104">
        <v>360787</v>
      </c>
      <c r="AB118" s="104">
        <v>2804610</v>
      </c>
      <c r="AC118" s="104">
        <v>87.14</v>
      </c>
      <c r="AE118" s="1"/>
      <c r="AF118" s="1"/>
      <c r="AG118" s="1"/>
      <c r="AH118" s="1"/>
      <c r="AI118" s="1"/>
      <c r="AK118" s="48"/>
      <c r="AL118" s="48"/>
      <c r="AM118" s="48"/>
      <c r="AN118" s="48"/>
      <c r="AO118" s="48"/>
      <c r="AQ118" s="48"/>
      <c r="AR118" s="48"/>
      <c r="AS118" s="48"/>
      <c r="AT118" s="48"/>
      <c r="AU118" s="48"/>
      <c r="AX118" s="48"/>
      <c r="AY118" s="48"/>
      <c r="AZ118" s="48"/>
      <c r="BA118" s="48"/>
      <c r="BB118" s="48"/>
    </row>
    <row r="119" spans="1:54" hidden="1" x14ac:dyDescent="0.25">
      <c r="A119" s="215">
        <v>45003</v>
      </c>
      <c r="B119" s="104">
        <v>12355042</v>
      </c>
      <c r="C119" s="104">
        <v>1100619</v>
      </c>
      <c r="D119" s="104">
        <v>13455661</v>
      </c>
      <c r="E119" s="104">
        <v>91.82</v>
      </c>
      <c r="G119" s="215">
        <v>45003</v>
      </c>
      <c r="H119" s="104">
        <v>1754097</v>
      </c>
      <c r="I119" s="104">
        <v>819104</v>
      </c>
      <c r="J119" s="104">
        <v>2573201</v>
      </c>
      <c r="K119" s="104">
        <v>68.17</v>
      </c>
      <c r="M119" s="215">
        <v>45003</v>
      </c>
      <c r="N119" s="104">
        <v>3795071</v>
      </c>
      <c r="O119" s="104">
        <v>3344913</v>
      </c>
      <c r="P119" s="104">
        <v>7139984</v>
      </c>
      <c r="Q119" s="104">
        <v>53.15</v>
      </c>
      <c r="S119" s="215">
        <v>45003</v>
      </c>
      <c r="T119" s="104">
        <v>621624</v>
      </c>
      <c r="U119" s="104">
        <v>1106096</v>
      </c>
      <c r="V119" s="104">
        <v>1727720</v>
      </c>
      <c r="W119" s="104">
        <v>35.979999999999997</v>
      </c>
      <c r="Y119" s="215">
        <v>45003</v>
      </c>
      <c r="Z119" s="104">
        <v>2418275</v>
      </c>
      <c r="AA119" s="104">
        <v>391305</v>
      </c>
      <c r="AB119" s="104">
        <v>2809580</v>
      </c>
      <c r="AC119" s="104">
        <v>86.07</v>
      </c>
      <c r="AE119" s="1"/>
      <c r="AF119" s="1"/>
      <c r="AG119" s="1"/>
      <c r="AH119" s="1"/>
      <c r="AI119" s="1"/>
      <c r="AK119" s="48"/>
      <c r="AL119" s="48"/>
      <c r="AM119" s="48"/>
      <c r="AN119" s="48"/>
      <c r="AO119" s="48"/>
      <c r="AQ119" s="48"/>
      <c r="AR119" s="48"/>
      <c r="AS119" s="48"/>
      <c r="AT119" s="48"/>
      <c r="AU119" s="48"/>
      <c r="AX119" s="48"/>
      <c r="AY119" s="48"/>
      <c r="AZ119" s="48"/>
      <c r="BA119" s="48"/>
      <c r="BB119" s="48"/>
    </row>
    <row r="120" spans="1:54" hidden="1" x14ac:dyDescent="0.25">
      <c r="A120" s="215">
        <v>45004</v>
      </c>
      <c r="B120" s="104">
        <v>10390908</v>
      </c>
      <c r="C120" s="104">
        <v>1005969</v>
      </c>
      <c r="D120" s="104">
        <v>11396877</v>
      </c>
      <c r="E120" s="104">
        <v>91.17</v>
      </c>
      <c r="G120" s="215">
        <v>45004</v>
      </c>
      <c r="H120" s="104">
        <v>1826404</v>
      </c>
      <c r="I120" s="104">
        <v>849733</v>
      </c>
      <c r="J120" s="104">
        <v>2676137</v>
      </c>
      <c r="K120" s="104">
        <v>68.25</v>
      </c>
      <c r="M120" s="215">
        <v>45004</v>
      </c>
      <c r="N120" s="104">
        <v>2348430</v>
      </c>
      <c r="O120" s="104">
        <v>3402229</v>
      </c>
      <c r="P120" s="104">
        <v>5750659</v>
      </c>
      <c r="Q120" s="104">
        <v>40.840000000000003</v>
      </c>
      <c r="S120" s="215">
        <v>45004</v>
      </c>
      <c r="T120" s="235">
        <v>76393</v>
      </c>
      <c r="U120" s="235">
        <v>29082</v>
      </c>
      <c r="V120" s="235">
        <v>105475</v>
      </c>
      <c r="W120" s="235">
        <v>72.430000000000007</v>
      </c>
      <c r="Y120" s="215">
        <v>45004</v>
      </c>
      <c r="Z120" s="104">
        <v>2274982</v>
      </c>
      <c r="AA120" s="104">
        <v>427480</v>
      </c>
      <c r="AB120" s="104">
        <v>2702462</v>
      </c>
      <c r="AC120" s="104">
        <v>84.18</v>
      </c>
      <c r="AE120" s="1"/>
      <c r="AF120" s="1"/>
      <c r="AG120" s="1"/>
      <c r="AH120" s="1"/>
      <c r="AI120" s="1"/>
      <c r="AK120" s="48"/>
      <c r="AL120" s="48"/>
      <c r="AM120" s="48"/>
      <c r="AN120" s="48"/>
      <c r="AO120" s="48"/>
      <c r="AQ120" s="48"/>
      <c r="AR120" s="48"/>
      <c r="AS120" s="48"/>
      <c r="AT120" s="48"/>
      <c r="AU120" s="48"/>
      <c r="AX120" s="48"/>
      <c r="AY120" s="48"/>
      <c r="AZ120" s="48"/>
      <c r="BA120" s="48"/>
      <c r="BB120" s="48"/>
    </row>
    <row r="121" spans="1:54" hidden="1" x14ac:dyDescent="0.25">
      <c r="A121" s="215">
        <v>45005</v>
      </c>
      <c r="B121" s="104">
        <v>12407306</v>
      </c>
      <c r="C121" s="104">
        <v>977480</v>
      </c>
      <c r="D121" s="104">
        <v>13384786</v>
      </c>
      <c r="E121" s="104">
        <v>92.7</v>
      </c>
      <c r="G121" s="215">
        <v>45005</v>
      </c>
      <c r="H121" s="104">
        <v>4936590</v>
      </c>
      <c r="I121" s="104">
        <v>2079963</v>
      </c>
      <c r="J121" s="104">
        <v>7016553</v>
      </c>
      <c r="K121" s="104">
        <v>70.36</v>
      </c>
      <c r="M121" s="215">
        <v>45005</v>
      </c>
      <c r="N121" s="104">
        <v>3378621</v>
      </c>
      <c r="O121" s="104">
        <v>4097303</v>
      </c>
      <c r="P121" s="104">
        <v>7475924</v>
      </c>
      <c r="Q121" s="104">
        <v>45.19</v>
      </c>
      <c r="S121" s="215">
        <v>45005</v>
      </c>
      <c r="T121" s="104">
        <v>658375</v>
      </c>
      <c r="U121" s="104">
        <v>1088321</v>
      </c>
      <c r="V121" s="104">
        <v>1746696</v>
      </c>
      <c r="W121" s="104">
        <v>37.69</v>
      </c>
      <c r="Y121" s="215">
        <v>45005</v>
      </c>
      <c r="Z121" s="104">
        <v>2235971</v>
      </c>
      <c r="AA121" s="104">
        <v>358085</v>
      </c>
      <c r="AB121" s="104">
        <v>2594056</v>
      </c>
      <c r="AC121" s="104">
        <v>86.2</v>
      </c>
      <c r="AE121" s="1"/>
      <c r="AF121" s="1"/>
      <c r="AG121" s="1"/>
      <c r="AH121" s="1"/>
      <c r="AI121" s="1"/>
      <c r="AK121" s="48"/>
      <c r="AL121" s="48"/>
      <c r="AM121" s="48"/>
      <c r="AN121" s="48"/>
      <c r="AO121" s="48"/>
      <c r="AQ121" s="48"/>
      <c r="AR121" s="48"/>
      <c r="AS121" s="48"/>
      <c r="AT121" s="48"/>
      <c r="AU121" s="48"/>
      <c r="AX121" s="48"/>
      <c r="AY121" s="48"/>
      <c r="AZ121" s="48"/>
      <c r="BA121" s="48"/>
      <c r="BB121" s="48"/>
    </row>
    <row r="122" spans="1:54" hidden="1" x14ac:dyDescent="0.25">
      <c r="A122" s="215">
        <v>45006</v>
      </c>
      <c r="B122" s="104">
        <v>12067815</v>
      </c>
      <c r="C122" s="104">
        <v>1021074</v>
      </c>
      <c r="D122" s="104">
        <v>13088889</v>
      </c>
      <c r="E122" s="104">
        <v>92.2</v>
      </c>
      <c r="G122" s="215">
        <v>45006</v>
      </c>
      <c r="H122" s="104">
        <v>3418927</v>
      </c>
      <c r="I122" s="104">
        <v>1515946</v>
      </c>
      <c r="J122" s="104">
        <v>4934873</v>
      </c>
      <c r="K122" s="104">
        <v>69.28</v>
      </c>
      <c r="M122" s="215">
        <v>45006</v>
      </c>
      <c r="N122" s="104">
        <v>2983238</v>
      </c>
      <c r="O122" s="104">
        <v>4096957</v>
      </c>
      <c r="P122" s="104">
        <v>7080195</v>
      </c>
      <c r="Q122" s="104">
        <v>42.13</v>
      </c>
      <c r="S122" s="215">
        <v>45006</v>
      </c>
      <c r="T122" s="104">
        <v>661064</v>
      </c>
      <c r="U122" s="104">
        <v>1097158</v>
      </c>
      <c r="V122" s="104">
        <v>1758222</v>
      </c>
      <c r="W122" s="104">
        <v>37.6</v>
      </c>
      <c r="Y122" s="215">
        <v>45006</v>
      </c>
      <c r="Z122" s="104">
        <v>2257744</v>
      </c>
      <c r="AA122" s="104">
        <v>432741</v>
      </c>
      <c r="AB122" s="104">
        <v>2690485</v>
      </c>
      <c r="AC122" s="104">
        <v>83.92</v>
      </c>
      <c r="AE122" s="1"/>
      <c r="AF122" s="1"/>
      <c r="AG122" s="1"/>
      <c r="AH122" s="1"/>
      <c r="AI122" s="1"/>
      <c r="AK122" s="48"/>
      <c r="AL122" s="48"/>
      <c r="AM122" s="48"/>
      <c r="AN122" s="48"/>
      <c r="AO122" s="48"/>
      <c r="AQ122" s="48"/>
      <c r="AR122" s="48"/>
      <c r="AS122" s="48"/>
      <c r="AT122" s="48"/>
      <c r="AU122" s="48"/>
      <c r="AX122" s="48"/>
      <c r="AY122" s="48"/>
      <c r="AZ122" s="48"/>
      <c r="BA122" s="48"/>
      <c r="BB122" s="48"/>
    </row>
    <row r="123" spans="1:54" hidden="1" x14ac:dyDescent="0.25">
      <c r="A123" s="215">
        <v>45008</v>
      </c>
      <c r="B123" s="104">
        <v>11321422</v>
      </c>
      <c r="C123" s="104">
        <v>917963</v>
      </c>
      <c r="D123" s="104">
        <v>12239385</v>
      </c>
      <c r="E123" s="104">
        <v>92.5</v>
      </c>
      <c r="G123" s="215">
        <v>45008</v>
      </c>
      <c r="H123" s="104">
        <v>2394896</v>
      </c>
      <c r="I123" s="104">
        <v>1100336</v>
      </c>
      <c r="J123" s="104">
        <v>3495232</v>
      </c>
      <c r="K123" s="104">
        <v>68.52</v>
      </c>
      <c r="M123" s="215">
        <v>45008</v>
      </c>
      <c r="N123" s="104">
        <v>4065711</v>
      </c>
      <c r="O123" s="104">
        <v>3830130</v>
      </c>
      <c r="P123" s="104">
        <v>7895841</v>
      </c>
      <c r="Q123" s="104">
        <v>51.49</v>
      </c>
      <c r="S123" s="215">
        <v>45008</v>
      </c>
      <c r="T123" s="104">
        <v>704118</v>
      </c>
      <c r="U123" s="104">
        <v>1107770</v>
      </c>
      <c r="V123" s="104">
        <v>1811888</v>
      </c>
      <c r="W123" s="104">
        <v>38.86</v>
      </c>
      <c r="Y123" s="215">
        <v>45008</v>
      </c>
      <c r="Z123" s="104">
        <v>2235004</v>
      </c>
      <c r="AA123" s="104">
        <v>387305</v>
      </c>
      <c r="AB123" s="104">
        <v>2622309</v>
      </c>
      <c r="AC123" s="104">
        <v>85.23</v>
      </c>
      <c r="AE123" s="1"/>
      <c r="AF123" s="1"/>
      <c r="AG123" s="1"/>
      <c r="AH123" s="1"/>
      <c r="AI123" s="1"/>
      <c r="AK123" s="48"/>
      <c r="AL123" s="48"/>
      <c r="AM123" s="48"/>
      <c r="AN123" s="48"/>
      <c r="AO123" s="48"/>
      <c r="AQ123" s="48"/>
      <c r="AR123" s="48"/>
      <c r="AS123" s="48"/>
      <c r="AT123" s="48"/>
      <c r="AU123" s="48"/>
      <c r="AX123" s="48"/>
      <c r="AY123" s="48"/>
      <c r="AZ123" s="48"/>
      <c r="BA123" s="48"/>
      <c r="BB123" s="48"/>
    </row>
    <row r="124" spans="1:54" hidden="1" x14ac:dyDescent="0.25">
      <c r="A124" s="215">
        <v>45009</v>
      </c>
      <c r="B124" s="104">
        <v>12035349</v>
      </c>
      <c r="C124" s="104">
        <v>1025475</v>
      </c>
      <c r="D124" s="104">
        <v>13060824</v>
      </c>
      <c r="E124" s="104">
        <v>92.15</v>
      </c>
      <c r="G124" s="215">
        <v>45009</v>
      </c>
      <c r="H124" s="104">
        <v>5300805</v>
      </c>
      <c r="I124" s="104">
        <v>2281563</v>
      </c>
      <c r="J124" s="104">
        <v>7582368</v>
      </c>
      <c r="K124" s="104">
        <v>69.91</v>
      </c>
      <c r="M124" s="215">
        <v>45009</v>
      </c>
      <c r="N124" s="104">
        <v>3129106</v>
      </c>
      <c r="O124" s="104">
        <v>2622072</v>
      </c>
      <c r="P124" s="104">
        <v>5751178</v>
      </c>
      <c r="Q124" s="104">
        <v>54.41</v>
      </c>
      <c r="S124" s="215">
        <v>45009</v>
      </c>
      <c r="T124" s="104">
        <v>765141</v>
      </c>
      <c r="U124" s="104">
        <v>1118601</v>
      </c>
      <c r="V124" s="104">
        <v>1883742</v>
      </c>
      <c r="W124" s="104">
        <v>40.619999999999997</v>
      </c>
      <c r="Y124" s="215">
        <v>45009</v>
      </c>
      <c r="Z124" s="104">
        <v>2396245</v>
      </c>
      <c r="AA124" s="104">
        <v>390710</v>
      </c>
      <c r="AB124" s="104">
        <v>2786955</v>
      </c>
      <c r="AC124" s="104">
        <v>85.98</v>
      </c>
      <c r="AE124" s="1"/>
      <c r="AF124" s="1"/>
      <c r="AG124" s="1"/>
      <c r="AH124" s="1"/>
      <c r="AI124" s="1"/>
      <c r="AK124" s="48"/>
      <c r="AL124" s="48"/>
      <c r="AM124" s="48"/>
      <c r="AN124" s="48"/>
      <c r="AO124" s="48"/>
      <c r="AQ124" s="48"/>
      <c r="AR124" s="48"/>
      <c r="AS124" s="48"/>
      <c r="AT124" s="48"/>
      <c r="AU124" s="48"/>
      <c r="AX124" s="48"/>
      <c r="AY124" s="48"/>
      <c r="AZ124" s="48"/>
      <c r="BA124" s="48"/>
      <c r="BB124" s="48"/>
    </row>
    <row r="125" spans="1:54" hidden="1" x14ac:dyDescent="0.25">
      <c r="A125" s="215">
        <v>45010</v>
      </c>
      <c r="B125" s="104">
        <v>11837914</v>
      </c>
      <c r="C125" s="104">
        <v>1083380</v>
      </c>
      <c r="D125" s="104">
        <v>12921294</v>
      </c>
      <c r="E125" s="104">
        <v>91.62</v>
      </c>
      <c r="G125" s="215">
        <v>45010</v>
      </c>
      <c r="H125" s="104">
        <v>4450297</v>
      </c>
      <c r="I125" s="104">
        <v>2023865</v>
      </c>
      <c r="J125" s="104">
        <v>6474162</v>
      </c>
      <c r="K125" s="104">
        <v>68.739999999999995</v>
      </c>
      <c r="M125" s="215">
        <v>45010</v>
      </c>
      <c r="N125" s="104">
        <v>3628399</v>
      </c>
      <c r="O125" s="104">
        <v>3208666</v>
      </c>
      <c r="P125" s="104">
        <v>6837065</v>
      </c>
      <c r="Q125" s="104">
        <v>53.07</v>
      </c>
      <c r="S125" s="215">
        <v>45010</v>
      </c>
      <c r="T125" s="104">
        <v>755075</v>
      </c>
      <c r="U125" s="104">
        <v>1154911</v>
      </c>
      <c r="V125" s="104">
        <v>1909986</v>
      </c>
      <c r="W125" s="104">
        <v>39.53</v>
      </c>
      <c r="Y125" s="215">
        <v>45010</v>
      </c>
      <c r="Z125" s="104">
        <v>2385455</v>
      </c>
      <c r="AA125" s="104">
        <v>364096</v>
      </c>
      <c r="AB125" s="104">
        <v>2749551</v>
      </c>
      <c r="AC125" s="104">
        <v>86.76</v>
      </c>
      <c r="AE125" s="1"/>
      <c r="AF125" s="1"/>
      <c r="AG125" s="1"/>
      <c r="AH125" s="1"/>
      <c r="AI125" s="1"/>
      <c r="AK125" s="48"/>
      <c r="AL125" s="48"/>
      <c r="AM125" s="48"/>
      <c r="AN125" s="48"/>
      <c r="AO125" s="48"/>
      <c r="AQ125" s="48"/>
      <c r="AR125" s="48"/>
      <c r="AS125" s="48"/>
      <c r="AT125" s="48"/>
      <c r="AU125" s="48"/>
      <c r="AX125" s="48"/>
      <c r="AY125" s="48"/>
      <c r="AZ125" s="48"/>
      <c r="BA125" s="48"/>
      <c r="BB125" s="48"/>
    </row>
    <row r="126" spans="1:54" hidden="1" x14ac:dyDescent="0.25">
      <c r="A126" s="215">
        <v>45011</v>
      </c>
      <c r="B126" s="104">
        <v>9964956</v>
      </c>
      <c r="C126" s="104">
        <v>891944</v>
      </c>
      <c r="D126" s="104">
        <v>10856900</v>
      </c>
      <c r="E126" s="104">
        <v>91.78</v>
      </c>
      <c r="G126" s="215">
        <v>45011</v>
      </c>
      <c r="H126" s="104">
        <v>2465858</v>
      </c>
      <c r="I126" s="104">
        <v>1125038</v>
      </c>
      <c r="J126" s="104">
        <v>3590896</v>
      </c>
      <c r="K126" s="104">
        <v>68.67</v>
      </c>
      <c r="M126" s="215">
        <v>45011</v>
      </c>
      <c r="N126" s="104">
        <v>2274850</v>
      </c>
      <c r="O126" s="104">
        <v>3353710</v>
      </c>
      <c r="P126" s="104">
        <v>5628560</v>
      </c>
      <c r="Q126" s="104">
        <v>40.42</v>
      </c>
      <c r="S126" s="215">
        <v>45011</v>
      </c>
      <c r="T126" s="104">
        <v>194143</v>
      </c>
      <c r="U126" s="104">
        <v>71149</v>
      </c>
      <c r="V126" s="104">
        <v>265292</v>
      </c>
      <c r="W126" s="104">
        <v>73.180000000000007</v>
      </c>
      <c r="Y126" s="215">
        <v>45011</v>
      </c>
      <c r="Z126" s="104">
        <v>2128372</v>
      </c>
      <c r="AA126" s="104">
        <v>364495</v>
      </c>
      <c r="AB126" s="104">
        <v>2492867</v>
      </c>
      <c r="AC126" s="104">
        <v>85.38</v>
      </c>
      <c r="AE126" s="1"/>
      <c r="AF126" s="1"/>
      <c r="AG126" s="1"/>
      <c r="AH126" s="1"/>
      <c r="AI126" s="1"/>
      <c r="AK126" s="48"/>
      <c r="AL126" s="48"/>
      <c r="AM126" s="48"/>
      <c r="AN126" s="48"/>
      <c r="AO126" s="48"/>
      <c r="AQ126" s="48"/>
      <c r="AR126" s="48"/>
      <c r="AS126" s="48"/>
      <c r="AT126" s="48"/>
      <c r="AU126" s="48"/>
      <c r="AX126" s="48"/>
      <c r="AY126" s="48"/>
      <c r="AZ126" s="48"/>
      <c r="BA126" s="48"/>
      <c r="BB126" s="48"/>
    </row>
    <row r="127" spans="1:54" hidden="1" x14ac:dyDescent="0.25">
      <c r="A127" s="215">
        <v>45012</v>
      </c>
      <c r="B127" s="104">
        <v>12257055</v>
      </c>
      <c r="C127" s="104">
        <v>963137</v>
      </c>
      <c r="D127" s="104">
        <v>13220192</v>
      </c>
      <c r="E127" s="104">
        <v>92.71</v>
      </c>
      <c r="G127" s="215">
        <v>45012</v>
      </c>
      <c r="H127" s="104">
        <v>5742923</v>
      </c>
      <c r="I127" s="104">
        <v>2588602</v>
      </c>
      <c r="J127" s="104">
        <v>8331525</v>
      </c>
      <c r="K127" s="104">
        <v>68.930000000000007</v>
      </c>
      <c r="M127" s="215">
        <v>45012</v>
      </c>
      <c r="N127" s="104">
        <v>3184809</v>
      </c>
      <c r="O127" s="104">
        <v>4348005</v>
      </c>
      <c r="P127" s="104">
        <v>7532814</v>
      </c>
      <c r="Q127" s="104">
        <v>42.28</v>
      </c>
      <c r="S127" s="215">
        <v>45012</v>
      </c>
      <c r="T127" s="104">
        <v>708123</v>
      </c>
      <c r="U127" s="104">
        <v>1022014</v>
      </c>
      <c r="V127" s="104">
        <v>1730137</v>
      </c>
      <c r="W127" s="104">
        <v>40.93</v>
      </c>
      <c r="Y127" s="215">
        <v>45012</v>
      </c>
      <c r="Z127" s="104">
        <v>2610177</v>
      </c>
      <c r="AA127" s="104">
        <v>357153</v>
      </c>
      <c r="AB127" s="104">
        <v>2967330</v>
      </c>
      <c r="AC127" s="104">
        <v>87.96</v>
      </c>
      <c r="AE127" s="1"/>
      <c r="AF127" s="1"/>
      <c r="AG127" s="1"/>
      <c r="AH127" s="1"/>
      <c r="AI127" s="1"/>
      <c r="AK127" s="48"/>
      <c r="AL127" s="48"/>
      <c r="AM127" s="48"/>
      <c r="AN127" s="48"/>
      <c r="AO127" s="48"/>
      <c r="AQ127" s="48"/>
      <c r="AR127" s="48"/>
      <c r="AS127" s="48"/>
      <c r="AT127" s="48"/>
      <c r="AU127" s="48"/>
      <c r="AX127" s="48"/>
      <c r="AY127" s="48"/>
      <c r="AZ127" s="48"/>
      <c r="BA127" s="48"/>
      <c r="BB127" s="48"/>
    </row>
    <row r="128" spans="1:54" hidden="1" x14ac:dyDescent="0.25">
      <c r="A128" s="215">
        <v>45013</v>
      </c>
      <c r="B128" s="104">
        <v>13682254</v>
      </c>
      <c r="C128" s="104">
        <v>1131972</v>
      </c>
      <c r="D128" s="104">
        <v>14814226</v>
      </c>
      <c r="E128" s="104">
        <v>92.36</v>
      </c>
      <c r="G128" s="215">
        <v>45013</v>
      </c>
      <c r="H128" s="104">
        <v>4779391</v>
      </c>
      <c r="I128" s="104">
        <v>2172281</v>
      </c>
      <c r="J128" s="104">
        <v>6951672</v>
      </c>
      <c r="K128" s="104">
        <v>68.75</v>
      </c>
      <c r="M128" s="215">
        <v>45013</v>
      </c>
      <c r="N128" s="104">
        <v>3489526</v>
      </c>
      <c r="O128" s="104">
        <v>4040933</v>
      </c>
      <c r="P128" s="104">
        <v>7530459</v>
      </c>
      <c r="Q128" s="104">
        <v>46.34</v>
      </c>
      <c r="S128" s="215">
        <v>45013</v>
      </c>
      <c r="T128" s="104">
        <v>926699</v>
      </c>
      <c r="U128" s="104">
        <v>839599</v>
      </c>
      <c r="V128" s="104">
        <v>1766298</v>
      </c>
      <c r="W128" s="104">
        <v>52.47</v>
      </c>
      <c r="Y128" s="215">
        <v>45013</v>
      </c>
      <c r="Z128" s="104">
        <v>2630920</v>
      </c>
      <c r="AA128" s="104">
        <v>380283</v>
      </c>
      <c r="AB128" s="104">
        <v>3011203</v>
      </c>
      <c r="AC128" s="104">
        <v>87.37</v>
      </c>
      <c r="AE128" s="1"/>
      <c r="AF128" s="1"/>
      <c r="AG128" s="1"/>
      <c r="AH128" s="1"/>
      <c r="AI128" s="1"/>
      <c r="AK128" s="48"/>
      <c r="AL128" s="48"/>
      <c r="AM128" s="48"/>
      <c r="AN128" s="48"/>
      <c r="AO128" s="48"/>
      <c r="AQ128" s="48"/>
      <c r="AR128" s="48"/>
      <c r="AS128" s="48"/>
      <c r="AT128" s="48"/>
      <c r="AU128" s="48"/>
      <c r="AX128" s="48"/>
      <c r="AY128" s="48"/>
      <c r="AZ128" s="48"/>
      <c r="BA128" s="48"/>
      <c r="BB128" s="48"/>
    </row>
    <row r="129" spans="1:54" hidden="1" x14ac:dyDescent="0.25">
      <c r="A129" s="215">
        <v>45014</v>
      </c>
      <c r="B129" s="104">
        <v>11874822</v>
      </c>
      <c r="C129" s="104">
        <v>1218539</v>
      </c>
      <c r="D129" s="104">
        <v>13093361</v>
      </c>
      <c r="E129" s="104">
        <v>90.69</v>
      </c>
      <c r="G129" s="215">
        <v>45014</v>
      </c>
      <c r="H129" s="104">
        <v>2429360</v>
      </c>
      <c r="I129" s="104">
        <v>1105858</v>
      </c>
      <c r="J129" s="104">
        <v>3535218</v>
      </c>
      <c r="K129" s="104">
        <v>68.72</v>
      </c>
      <c r="M129" s="215">
        <v>45014</v>
      </c>
      <c r="N129" s="104">
        <v>3842268</v>
      </c>
      <c r="O129" s="104">
        <v>3885342</v>
      </c>
      <c r="P129" s="104">
        <v>7727610</v>
      </c>
      <c r="Q129" s="104">
        <v>49.72</v>
      </c>
      <c r="S129" s="215">
        <v>45014</v>
      </c>
      <c r="T129" s="104">
        <v>1033183</v>
      </c>
      <c r="U129" s="104">
        <v>875792</v>
      </c>
      <c r="V129" s="104">
        <v>1908975</v>
      </c>
      <c r="W129" s="104">
        <v>54.12</v>
      </c>
      <c r="Y129" s="215">
        <v>45014</v>
      </c>
      <c r="Z129" s="104">
        <v>2165388</v>
      </c>
      <c r="AA129" s="104">
        <v>375944</v>
      </c>
      <c r="AB129" s="104">
        <v>2541332</v>
      </c>
      <c r="AC129" s="104">
        <v>85.21</v>
      </c>
      <c r="AE129" s="1"/>
      <c r="AF129" s="1"/>
      <c r="AG129" s="1"/>
      <c r="AH129" s="1"/>
      <c r="AI129" s="1"/>
      <c r="AK129" s="48"/>
      <c r="AL129" s="48"/>
      <c r="AM129" s="48"/>
      <c r="AN129" s="48"/>
      <c r="AO129" s="48"/>
      <c r="AQ129" s="48"/>
      <c r="AR129" s="48"/>
      <c r="AS129" s="48"/>
      <c r="AT129" s="48"/>
      <c r="AU129" s="48"/>
      <c r="AX129" s="48"/>
      <c r="AY129" s="48"/>
      <c r="AZ129" s="48"/>
      <c r="BA129" s="48"/>
      <c r="BB129" s="48"/>
    </row>
    <row r="130" spans="1:54" hidden="1" x14ac:dyDescent="0.25">
      <c r="A130" s="215">
        <v>45015</v>
      </c>
      <c r="B130" s="104">
        <v>12177615</v>
      </c>
      <c r="C130" s="104">
        <v>1103492</v>
      </c>
      <c r="D130" s="104">
        <v>13281107</v>
      </c>
      <c r="E130" s="104">
        <v>91.69</v>
      </c>
      <c r="G130" s="215">
        <v>45015</v>
      </c>
      <c r="H130" s="104">
        <v>4376936</v>
      </c>
      <c r="I130" s="104">
        <v>1818063</v>
      </c>
      <c r="J130" s="104">
        <v>6194999</v>
      </c>
      <c r="K130" s="104">
        <v>70.650000000000006</v>
      </c>
      <c r="M130" s="215">
        <v>45015</v>
      </c>
      <c r="N130" s="104">
        <v>4199118</v>
      </c>
      <c r="O130" s="104">
        <v>4521502</v>
      </c>
      <c r="P130" s="104">
        <v>8720620</v>
      </c>
      <c r="Q130" s="104">
        <v>48.15</v>
      </c>
      <c r="R130" s="236"/>
      <c r="S130" s="215">
        <v>45015</v>
      </c>
      <c r="T130" s="104">
        <v>969985</v>
      </c>
      <c r="U130" s="104">
        <v>907513</v>
      </c>
      <c r="V130" s="104">
        <v>1877498</v>
      </c>
      <c r="W130" s="104">
        <v>51.66</v>
      </c>
      <c r="Y130" s="215">
        <v>45015</v>
      </c>
      <c r="Z130" s="104">
        <v>2710844</v>
      </c>
      <c r="AA130" s="104">
        <v>388763</v>
      </c>
      <c r="AB130" s="104">
        <v>3099607</v>
      </c>
      <c r="AC130" s="104">
        <v>87.46</v>
      </c>
      <c r="AE130" s="1"/>
      <c r="AF130" s="1"/>
      <c r="AG130" s="1"/>
      <c r="AH130" s="1"/>
      <c r="AI130" s="1"/>
      <c r="AK130" s="48"/>
      <c r="AL130" s="48"/>
      <c r="AM130" s="48"/>
      <c r="AN130" s="48"/>
      <c r="AO130" s="48"/>
      <c r="AQ130" s="48"/>
      <c r="AR130" s="48"/>
      <c r="AS130" s="48"/>
      <c r="AT130" s="48"/>
      <c r="AU130" s="48"/>
      <c r="AX130" s="48"/>
      <c r="AY130" s="48"/>
      <c r="AZ130" s="48"/>
      <c r="BA130" s="48"/>
      <c r="BB130" s="48"/>
    </row>
    <row r="131" spans="1:54" hidden="1" x14ac:dyDescent="0.25">
      <c r="A131" s="215">
        <v>45016</v>
      </c>
      <c r="B131" s="104">
        <v>13746665</v>
      </c>
      <c r="C131" s="104">
        <v>1214129</v>
      </c>
      <c r="D131" s="104">
        <v>14960794</v>
      </c>
      <c r="E131" s="104">
        <v>91.88</v>
      </c>
      <c r="G131" s="215">
        <v>45016</v>
      </c>
      <c r="H131" s="104">
        <v>7421913</v>
      </c>
      <c r="I131" s="104">
        <v>3097753</v>
      </c>
      <c r="J131" s="104">
        <v>10519666</v>
      </c>
      <c r="K131" s="104">
        <v>70.55</v>
      </c>
      <c r="M131" s="215">
        <v>45016</v>
      </c>
      <c r="N131" s="104">
        <v>3130777</v>
      </c>
      <c r="O131" s="104">
        <v>2486355</v>
      </c>
      <c r="P131" s="104">
        <v>5617132</v>
      </c>
      <c r="Q131" s="104">
        <v>55.74</v>
      </c>
      <c r="S131" s="215">
        <v>45016</v>
      </c>
      <c r="T131" s="104">
        <v>637526</v>
      </c>
      <c r="U131" s="104">
        <v>682498</v>
      </c>
      <c r="V131" s="104">
        <v>1320024</v>
      </c>
      <c r="W131" s="104">
        <v>48.3</v>
      </c>
      <c r="Y131" s="215">
        <v>45016</v>
      </c>
      <c r="Z131" s="104">
        <v>2953721</v>
      </c>
      <c r="AA131" s="104">
        <v>407661</v>
      </c>
      <c r="AB131" s="104">
        <v>3361382</v>
      </c>
      <c r="AC131" s="104">
        <v>87.87</v>
      </c>
      <c r="AE131" s="215">
        <v>45016</v>
      </c>
      <c r="AF131" s="1">
        <v>1226951</v>
      </c>
      <c r="AG131" s="1">
        <v>13521</v>
      </c>
      <c r="AH131" s="1">
        <v>1240472</v>
      </c>
      <c r="AI131" s="46">
        <v>98.91</v>
      </c>
      <c r="AK131" s="215">
        <v>45016</v>
      </c>
      <c r="AL131" s="48">
        <v>1203828</v>
      </c>
      <c r="AM131" s="48">
        <v>4</v>
      </c>
      <c r="AN131" s="48">
        <v>1203832</v>
      </c>
      <c r="AO131" s="190">
        <v>99.999667700000003</v>
      </c>
      <c r="AQ131" s="215">
        <v>45016</v>
      </c>
      <c r="AR131" s="48">
        <v>2793283</v>
      </c>
      <c r="AS131" s="48">
        <v>0</v>
      </c>
      <c r="AT131" s="48">
        <v>2793283</v>
      </c>
      <c r="AU131" s="48">
        <v>100</v>
      </c>
      <c r="AX131" s="215">
        <v>45016</v>
      </c>
      <c r="AY131" s="48">
        <v>2793283</v>
      </c>
      <c r="AZ131" s="48">
        <v>0</v>
      </c>
      <c r="BA131" s="48">
        <v>2793283</v>
      </c>
      <c r="BB131" s="48">
        <v>100</v>
      </c>
    </row>
    <row r="132" spans="1:54" hidden="1" x14ac:dyDescent="0.25">
      <c r="A132" s="215">
        <v>45017</v>
      </c>
      <c r="B132" s="104">
        <v>13922814</v>
      </c>
      <c r="C132" s="104">
        <v>1208160</v>
      </c>
      <c r="D132" s="104">
        <v>15130974</v>
      </c>
      <c r="E132" s="104">
        <v>92.02</v>
      </c>
      <c r="G132" s="215">
        <v>45017</v>
      </c>
      <c r="H132" s="104">
        <v>1982917</v>
      </c>
      <c r="I132" s="104">
        <v>978410</v>
      </c>
      <c r="J132" s="104">
        <v>2961327</v>
      </c>
      <c r="K132" s="104">
        <v>66.959999999999994</v>
      </c>
      <c r="M132" s="215">
        <v>45017</v>
      </c>
      <c r="N132" s="104">
        <v>3604804</v>
      </c>
      <c r="O132" s="104">
        <v>3249898</v>
      </c>
      <c r="P132" s="104">
        <v>6854702</v>
      </c>
      <c r="Q132" s="104">
        <v>52.59</v>
      </c>
      <c r="S132" s="215">
        <v>45017</v>
      </c>
      <c r="T132" s="104">
        <v>378141</v>
      </c>
      <c r="U132" s="104">
        <v>558147</v>
      </c>
      <c r="V132" s="104">
        <v>936288</v>
      </c>
      <c r="W132" s="104">
        <v>40.39</v>
      </c>
      <c r="Y132" s="215">
        <v>45017</v>
      </c>
      <c r="Z132" s="104">
        <v>2572044</v>
      </c>
      <c r="AA132" s="104">
        <v>408836</v>
      </c>
      <c r="AB132" s="104">
        <v>2980880</v>
      </c>
      <c r="AC132" s="104">
        <v>86.28</v>
      </c>
      <c r="AD132" s="236"/>
      <c r="AE132" s="215">
        <v>45017</v>
      </c>
      <c r="AF132" s="1">
        <v>1262281</v>
      </c>
      <c r="AG132" s="1">
        <v>13005</v>
      </c>
      <c r="AH132" s="1">
        <v>1275286</v>
      </c>
      <c r="AI132" s="46">
        <v>98.980228699999998</v>
      </c>
      <c r="AK132" s="215">
        <v>45017</v>
      </c>
      <c r="AL132" s="48">
        <v>1017772</v>
      </c>
      <c r="AM132" s="48">
        <v>0</v>
      </c>
      <c r="AN132" s="48">
        <v>1017772</v>
      </c>
      <c r="AO132" s="190">
        <v>99.999667700000003</v>
      </c>
      <c r="AQ132" s="215">
        <v>45017</v>
      </c>
      <c r="AR132" s="48">
        <v>727645</v>
      </c>
      <c r="AS132" s="48">
        <v>12</v>
      </c>
      <c r="AT132" s="48">
        <v>727657</v>
      </c>
      <c r="AU132" s="190">
        <v>99.998350900000005</v>
      </c>
      <c r="AX132" s="215">
        <v>45017</v>
      </c>
      <c r="AY132" s="48">
        <v>727645</v>
      </c>
      <c r="AZ132" s="48">
        <v>12</v>
      </c>
      <c r="BA132" s="48">
        <v>727657</v>
      </c>
      <c r="BB132" s="190">
        <v>99.998350900000005</v>
      </c>
    </row>
    <row r="133" spans="1:54" hidden="1" x14ac:dyDescent="0.25">
      <c r="A133" s="215">
        <v>45018</v>
      </c>
      <c r="B133" s="104">
        <v>11442849</v>
      </c>
      <c r="C133" s="104">
        <v>1170247</v>
      </c>
      <c r="D133" s="104">
        <v>12613096</v>
      </c>
      <c r="E133" s="104">
        <v>90.72</v>
      </c>
      <c r="G133" s="215">
        <v>45018</v>
      </c>
      <c r="H133" s="104">
        <v>604540</v>
      </c>
      <c r="I133" s="104">
        <v>394231</v>
      </c>
      <c r="J133" s="104">
        <v>998771</v>
      </c>
      <c r="K133" s="104">
        <v>60.53</v>
      </c>
      <c r="L133" s="231"/>
      <c r="M133" s="215">
        <v>45018</v>
      </c>
      <c r="N133" s="104">
        <v>1971950</v>
      </c>
      <c r="O133" s="104">
        <v>3133427</v>
      </c>
      <c r="P133" s="104">
        <v>5105377</v>
      </c>
      <c r="Q133" s="104">
        <v>38.619999999999997</v>
      </c>
      <c r="R133" s="236"/>
      <c r="S133" s="215">
        <v>45018</v>
      </c>
      <c r="T133" s="104">
        <v>67654</v>
      </c>
      <c r="U133" s="104">
        <v>17129</v>
      </c>
      <c r="V133" s="104">
        <v>84783</v>
      </c>
      <c r="W133" s="104">
        <v>79.8</v>
      </c>
      <c r="Y133" s="215">
        <v>45018</v>
      </c>
      <c r="Z133" s="104">
        <v>2155661</v>
      </c>
      <c r="AA133" s="104">
        <v>383631</v>
      </c>
      <c r="AB133" s="104">
        <v>2539292</v>
      </c>
      <c r="AC133" s="104">
        <v>84.89</v>
      </c>
      <c r="AE133" s="215">
        <v>45018</v>
      </c>
      <c r="AF133" s="1">
        <v>1183242</v>
      </c>
      <c r="AG133" s="1">
        <v>12166</v>
      </c>
      <c r="AH133" s="1">
        <v>1195408</v>
      </c>
      <c r="AI133" s="46">
        <v>98.982272199999997</v>
      </c>
      <c r="AK133" s="215">
        <v>45018</v>
      </c>
      <c r="AL133" s="48">
        <v>1163127</v>
      </c>
      <c r="AM133" s="48">
        <v>0</v>
      </c>
      <c r="AN133" s="48">
        <v>1163127</v>
      </c>
      <c r="AO133" s="190">
        <v>99.999667700000003</v>
      </c>
      <c r="AQ133" s="215">
        <v>45018</v>
      </c>
      <c r="AR133" s="48">
        <v>233689</v>
      </c>
      <c r="AS133" s="48">
        <v>0</v>
      </c>
      <c r="AT133" s="48">
        <v>233689</v>
      </c>
      <c r="AU133" s="48">
        <v>100</v>
      </c>
      <c r="AX133" s="215">
        <v>45018</v>
      </c>
      <c r="AY133" s="48">
        <v>233689</v>
      </c>
      <c r="AZ133" s="48">
        <v>0</v>
      </c>
      <c r="BA133" s="48">
        <v>233689</v>
      </c>
      <c r="BB133" s="48">
        <v>100</v>
      </c>
    </row>
    <row r="134" spans="1:54" hidden="1" x14ac:dyDescent="0.25">
      <c r="A134" s="215">
        <v>45019</v>
      </c>
      <c r="B134" s="104">
        <v>13576341</v>
      </c>
      <c r="C134" s="104">
        <v>1107844</v>
      </c>
      <c r="D134" s="104">
        <v>14684185</v>
      </c>
      <c r="E134" s="104">
        <v>92.46</v>
      </c>
      <c r="G134" s="215">
        <v>45019</v>
      </c>
      <c r="H134" s="104">
        <v>634064</v>
      </c>
      <c r="I134" s="104">
        <v>416495</v>
      </c>
      <c r="J134" s="104">
        <v>1050559</v>
      </c>
      <c r="K134" s="104">
        <v>60.35</v>
      </c>
      <c r="M134" s="215">
        <v>45019</v>
      </c>
      <c r="N134" s="104">
        <v>2809120</v>
      </c>
      <c r="O134" s="104">
        <v>3662606</v>
      </c>
      <c r="P134" s="104">
        <v>6471726</v>
      </c>
      <c r="Q134" s="104">
        <v>43.41</v>
      </c>
      <c r="S134" s="215">
        <v>45019</v>
      </c>
      <c r="T134" s="104">
        <v>360321</v>
      </c>
      <c r="U134" s="104">
        <v>554063</v>
      </c>
      <c r="V134" s="104">
        <v>914384</v>
      </c>
      <c r="W134" s="104">
        <v>39.409999999999997</v>
      </c>
      <c r="Y134" s="215">
        <v>45019</v>
      </c>
      <c r="Z134" s="104">
        <v>2351337</v>
      </c>
      <c r="AA134" s="104">
        <v>367844</v>
      </c>
      <c r="AB134" s="104">
        <v>2719181</v>
      </c>
      <c r="AC134" s="104">
        <v>86.47</v>
      </c>
      <c r="AE134" s="215">
        <v>45019</v>
      </c>
      <c r="AF134" s="1">
        <v>1126263</v>
      </c>
      <c r="AG134" s="1">
        <v>11691</v>
      </c>
      <c r="AH134" s="1">
        <v>1137954</v>
      </c>
      <c r="AI134" s="46">
        <v>98.972629800000007</v>
      </c>
      <c r="AK134" s="215">
        <v>45019</v>
      </c>
      <c r="AL134" s="48">
        <v>960325</v>
      </c>
      <c r="AM134" s="48">
        <v>13</v>
      </c>
      <c r="AN134" s="48">
        <v>960338</v>
      </c>
      <c r="AO134" s="190">
        <v>99.999667700000003</v>
      </c>
      <c r="AQ134" s="215">
        <v>45019</v>
      </c>
      <c r="AR134" s="48">
        <v>245753</v>
      </c>
      <c r="AS134" s="48">
        <v>1</v>
      </c>
      <c r="AT134" s="48">
        <v>245754</v>
      </c>
      <c r="AU134" s="190">
        <v>99.999593099999998</v>
      </c>
      <c r="AX134" s="215">
        <v>45019</v>
      </c>
      <c r="AY134" s="48">
        <v>245753</v>
      </c>
      <c r="AZ134" s="48">
        <v>1</v>
      </c>
      <c r="BA134" s="48">
        <v>245754</v>
      </c>
      <c r="BB134" s="190">
        <v>99.999593099999998</v>
      </c>
    </row>
    <row r="135" spans="1:54" hidden="1" x14ac:dyDescent="0.25">
      <c r="A135" s="215">
        <v>45020</v>
      </c>
      <c r="B135" s="104">
        <v>13704314</v>
      </c>
      <c r="C135" s="104">
        <v>1243020</v>
      </c>
      <c r="D135" s="104">
        <v>14947334</v>
      </c>
      <c r="E135" s="104">
        <v>91.68</v>
      </c>
      <c r="G135" s="215">
        <v>45020</v>
      </c>
      <c r="H135" s="104">
        <v>624292</v>
      </c>
      <c r="I135" s="104">
        <v>410909</v>
      </c>
      <c r="J135" s="104">
        <v>1035201</v>
      </c>
      <c r="K135" s="104">
        <v>60.31</v>
      </c>
      <c r="M135" s="215">
        <v>45020</v>
      </c>
      <c r="N135" s="104">
        <v>2072071</v>
      </c>
      <c r="O135" s="104">
        <v>2117921</v>
      </c>
      <c r="P135" s="104">
        <v>4189992</v>
      </c>
      <c r="Q135" s="104">
        <v>49.45</v>
      </c>
      <c r="S135" s="215">
        <v>45020</v>
      </c>
      <c r="T135" s="104">
        <v>359330</v>
      </c>
      <c r="U135" s="104">
        <v>563016</v>
      </c>
      <c r="V135" s="104">
        <v>922346</v>
      </c>
      <c r="W135" s="104">
        <v>38.96</v>
      </c>
      <c r="Y135" s="215">
        <v>45020</v>
      </c>
      <c r="Z135" s="104">
        <v>2480521</v>
      </c>
      <c r="AA135" s="104">
        <v>382337</v>
      </c>
      <c r="AB135" s="104">
        <v>2862858</v>
      </c>
      <c r="AC135" s="104">
        <v>86.64</v>
      </c>
      <c r="AE135" s="215">
        <v>45020</v>
      </c>
      <c r="AF135" s="1">
        <v>1121882</v>
      </c>
      <c r="AG135" s="1">
        <v>11887</v>
      </c>
      <c r="AH135" s="1">
        <v>1133769</v>
      </c>
      <c r="AI135" s="46">
        <v>98.951550100000006</v>
      </c>
      <c r="AK135" s="215">
        <v>45020</v>
      </c>
      <c r="AL135" s="48">
        <v>1262828</v>
      </c>
      <c r="AM135" s="48">
        <v>73</v>
      </c>
      <c r="AN135" s="48">
        <v>1262901</v>
      </c>
      <c r="AO135" s="190">
        <v>99.999667700000003</v>
      </c>
      <c r="AQ135" s="215">
        <v>45020</v>
      </c>
      <c r="AR135" s="48">
        <v>240454</v>
      </c>
      <c r="AS135" s="48">
        <v>0</v>
      </c>
      <c r="AT135" s="48">
        <v>240454</v>
      </c>
      <c r="AU135" s="48">
        <v>100</v>
      </c>
      <c r="AX135" s="215">
        <v>45020</v>
      </c>
      <c r="AY135" s="48">
        <v>240454</v>
      </c>
      <c r="AZ135" s="48">
        <v>0</v>
      </c>
      <c r="BA135" s="48">
        <v>240454</v>
      </c>
      <c r="BB135" s="48">
        <v>100</v>
      </c>
    </row>
    <row r="136" spans="1:54" hidden="1" x14ac:dyDescent="0.25">
      <c r="A136" s="215">
        <v>45021</v>
      </c>
      <c r="B136" s="104">
        <v>13528435</v>
      </c>
      <c r="C136" s="104">
        <v>1166358</v>
      </c>
      <c r="D136" s="104">
        <v>14694793</v>
      </c>
      <c r="E136" s="104">
        <v>92.06</v>
      </c>
      <c r="G136" s="215">
        <v>45021</v>
      </c>
      <c r="H136" s="104">
        <v>626752</v>
      </c>
      <c r="I136" s="104">
        <v>409930</v>
      </c>
      <c r="J136" s="104">
        <v>1036682</v>
      </c>
      <c r="K136" s="104">
        <v>60.46</v>
      </c>
      <c r="M136" s="215">
        <v>45021</v>
      </c>
      <c r="N136" s="104">
        <v>1100903</v>
      </c>
      <c r="O136" s="104">
        <v>1386072</v>
      </c>
      <c r="P136" s="104">
        <v>2486975</v>
      </c>
      <c r="Q136" s="104">
        <v>44.27</v>
      </c>
      <c r="S136" s="215">
        <v>45021</v>
      </c>
      <c r="T136" s="104">
        <v>349888</v>
      </c>
      <c r="U136" s="104">
        <v>550990</v>
      </c>
      <c r="V136" s="104">
        <v>900878</v>
      </c>
      <c r="W136" s="104">
        <v>38.840000000000003</v>
      </c>
      <c r="Y136" s="215">
        <v>45021</v>
      </c>
      <c r="Z136" s="104">
        <v>2171235</v>
      </c>
      <c r="AA136" s="104">
        <v>367262</v>
      </c>
      <c r="AB136" s="104">
        <v>2538497</v>
      </c>
      <c r="AC136" s="104">
        <v>85.53</v>
      </c>
      <c r="AE136" s="215">
        <v>45021</v>
      </c>
      <c r="AF136" s="1">
        <v>1129473</v>
      </c>
      <c r="AG136" s="1">
        <v>12358</v>
      </c>
      <c r="AH136" s="1">
        <v>1141831</v>
      </c>
      <c r="AI136" s="46">
        <v>98.917703200000005</v>
      </c>
      <c r="AK136" s="215">
        <v>45021</v>
      </c>
      <c r="AL136" s="48">
        <v>953015</v>
      </c>
      <c r="AM136" s="48">
        <v>0</v>
      </c>
      <c r="AN136" s="48">
        <v>953015</v>
      </c>
      <c r="AO136" s="190">
        <v>99.999667700000003</v>
      </c>
      <c r="AQ136" s="215">
        <v>45021</v>
      </c>
      <c r="AR136" s="48">
        <v>242833</v>
      </c>
      <c r="AS136" s="48"/>
      <c r="AT136" s="48">
        <v>242833</v>
      </c>
      <c r="AU136" s="190">
        <v>100</v>
      </c>
      <c r="AX136" s="215">
        <v>45021</v>
      </c>
      <c r="AY136" s="48">
        <v>242833</v>
      </c>
      <c r="AZ136" s="48"/>
      <c r="BA136" s="48">
        <v>242833</v>
      </c>
      <c r="BB136" s="190">
        <v>100</v>
      </c>
    </row>
    <row r="137" spans="1:54" hidden="1" x14ac:dyDescent="0.25">
      <c r="A137" s="215">
        <v>45022</v>
      </c>
      <c r="B137" s="104">
        <v>14138271</v>
      </c>
      <c r="C137" s="104">
        <v>1270008</v>
      </c>
      <c r="D137" s="104">
        <v>15408279</v>
      </c>
      <c r="E137" s="104">
        <v>91.76</v>
      </c>
      <c r="G137" s="215">
        <v>45022</v>
      </c>
      <c r="H137" s="104">
        <v>629149</v>
      </c>
      <c r="I137" s="104">
        <v>408370</v>
      </c>
      <c r="J137" s="104">
        <v>1037519</v>
      </c>
      <c r="K137" s="104">
        <v>60.64</v>
      </c>
      <c r="M137" s="215">
        <v>45022</v>
      </c>
      <c r="N137" s="104">
        <v>1233528</v>
      </c>
      <c r="O137" s="104">
        <v>464457</v>
      </c>
      <c r="P137" s="104">
        <v>1697985</v>
      </c>
      <c r="Q137" s="104">
        <v>72.650000000000006</v>
      </c>
      <c r="S137" s="215">
        <v>45022</v>
      </c>
      <c r="T137" s="104">
        <v>344714</v>
      </c>
      <c r="U137" s="104">
        <v>548544</v>
      </c>
      <c r="V137" s="104">
        <v>893258</v>
      </c>
      <c r="W137" s="104">
        <v>38.590000000000003</v>
      </c>
      <c r="Y137" s="215">
        <v>45022</v>
      </c>
      <c r="Z137" s="104">
        <v>2346530</v>
      </c>
      <c r="AA137" s="104">
        <v>365804</v>
      </c>
      <c r="AB137" s="104">
        <v>2712334</v>
      </c>
      <c r="AC137" s="104">
        <v>86.51</v>
      </c>
      <c r="AE137" s="215">
        <v>45022</v>
      </c>
      <c r="AF137" s="1">
        <v>1263311</v>
      </c>
      <c r="AG137" s="1">
        <v>11723</v>
      </c>
      <c r="AH137" s="1">
        <v>1275034</v>
      </c>
      <c r="AI137" s="46">
        <v>99.08</v>
      </c>
      <c r="AK137" s="215">
        <v>45022</v>
      </c>
      <c r="AL137" s="67">
        <v>1035318</v>
      </c>
      <c r="AM137" s="67">
        <v>0</v>
      </c>
      <c r="AN137" s="67">
        <v>1035318</v>
      </c>
      <c r="AO137" s="190">
        <v>99.999667700000003</v>
      </c>
      <c r="AQ137" s="215">
        <v>45022</v>
      </c>
      <c r="AR137" s="67">
        <v>246160</v>
      </c>
      <c r="AS137" s="67">
        <v>-11</v>
      </c>
      <c r="AT137" s="67">
        <v>246160</v>
      </c>
      <c r="AU137" s="190">
        <v>100</v>
      </c>
      <c r="AX137" s="215">
        <v>45022</v>
      </c>
      <c r="AY137" s="67">
        <v>246160</v>
      </c>
      <c r="AZ137" s="67">
        <v>-11</v>
      </c>
      <c r="BA137" s="67">
        <v>246160</v>
      </c>
      <c r="BB137" s="190">
        <v>100</v>
      </c>
    </row>
    <row r="138" spans="1:54" hidden="1" x14ac:dyDescent="0.25">
      <c r="A138" s="215">
        <v>45023</v>
      </c>
      <c r="B138" s="104">
        <v>15311479</v>
      </c>
      <c r="C138" s="104">
        <v>1339255</v>
      </c>
      <c r="D138" s="104">
        <v>16650734</v>
      </c>
      <c r="E138" s="104">
        <v>91.96</v>
      </c>
      <c r="G138" s="215">
        <v>45023</v>
      </c>
      <c r="H138" s="104">
        <v>3597500</v>
      </c>
      <c r="I138" s="104">
        <v>1433745</v>
      </c>
      <c r="J138" s="104">
        <v>5031245</v>
      </c>
      <c r="K138" s="104">
        <v>71.5</v>
      </c>
      <c r="M138" s="215">
        <v>45023</v>
      </c>
      <c r="N138" s="104">
        <v>3599013</v>
      </c>
      <c r="O138" s="104">
        <v>1677905</v>
      </c>
      <c r="P138" s="104">
        <v>5276918</v>
      </c>
      <c r="Q138" s="104">
        <v>68.2</v>
      </c>
      <c r="S138" s="215">
        <v>45023</v>
      </c>
      <c r="T138" s="104">
        <v>352440</v>
      </c>
      <c r="U138" s="104">
        <v>544095</v>
      </c>
      <c r="V138" s="104">
        <v>896535</v>
      </c>
      <c r="W138" s="104">
        <v>39.31</v>
      </c>
      <c r="Y138" s="215">
        <v>45023</v>
      </c>
      <c r="Z138" s="104">
        <v>2385381</v>
      </c>
      <c r="AA138" s="104">
        <v>357406</v>
      </c>
      <c r="AB138" s="104">
        <v>2742787</v>
      </c>
      <c r="AC138" s="104">
        <v>86.97</v>
      </c>
      <c r="AE138" s="215">
        <v>45023</v>
      </c>
      <c r="AF138" s="1">
        <v>1340136</v>
      </c>
      <c r="AG138" s="1">
        <v>13888</v>
      </c>
      <c r="AH138" s="1">
        <v>1354024</v>
      </c>
      <c r="AI138" s="46">
        <v>98.97</v>
      </c>
      <c r="AK138" s="215">
        <v>45023</v>
      </c>
      <c r="AL138" s="67">
        <v>1198273</v>
      </c>
      <c r="AM138" s="67">
        <v>1</v>
      </c>
      <c r="AN138" s="67">
        <v>1198274</v>
      </c>
      <c r="AO138" s="190">
        <v>99.999667700000003</v>
      </c>
      <c r="AQ138" s="215">
        <v>45023</v>
      </c>
      <c r="AR138" s="67">
        <v>1426695</v>
      </c>
      <c r="AS138" s="67">
        <v>104</v>
      </c>
      <c r="AT138" s="67">
        <v>1426799</v>
      </c>
      <c r="AU138" s="190">
        <v>100</v>
      </c>
      <c r="AX138" s="215">
        <v>45023</v>
      </c>
      <c r="AY138" s="67">
        <v>1426695</v>
      </c>
      <c r="AZ138" s="67">
        <v>104</v>
      </c>
      <c r="BA138" s="67">
        <v>1426799</v>
      </c>
      <c r="BB138" s="190">
        <v>100</v>
      </c>
    </row>
    <row r="139" spans="1:54" hidden="1" x14ac:dyDescent="0.25">
      <c r="A139" s="215">
        <v>45024</v>
      </c>
      <c r="B139" s="104">
        <v>15395792</v>
      </c>
      <c r="C139" s="104">
        <v>1458759</v>
      </c>
      <c r="D139" s="104">
        <v>16854551</v>
      </c>
      <c r="E139" s="104">
        <v>91.35</v>
      </c>
      <c r="G139" s="215">
        <v>45024</v>
      </c>
      <c r="H139" s="104">
        <v>652589</v>
      </c>
      <c r="I139" s="104">
        <v>413810</v>
      </c>
      <c r="J139" s="104">
        <v>1066399</v>
      </c>
      <c r="K139" s="104">
        <v>61.2</v>
      </c>
      <c r="M139" s="215">
        <v>45024</v>
      </c>
      <c r="N139" s="104">
        <v>3347489</v>
      </c>
      <c r="O139" s="104">
        <v>1748698</v>
      </c>
      <c r="P139" s="104">
        <v>5096187</v>
      </c>
      <c r="Q139" s="104">
        <v>65.69</v>
      </c>
      <c r="S139" s="215">
        <v>45024</v>
      </c>
      <c r="T139" s="104">
        <v>352717</v>
      </c>
      <c r="U139" s="104">
        <v>553308</v>
      </c>
      <c r="V139" s="104">
        <v>906025</v>
      </c>
      <c r="W139" s="104">
        <v>38.93</v>
      </c>
      <c r="Y139" s="215">
        <v>45024</v>
      </c>
      <c r="Z139" s="104">
        <v>2384260</v>
      </c>
      <c r="AA139" s="104">
        <v>383111</v>
      </c>
      <c r="AB139" s="104">
        <v>2767371</v>
      </c>
      <c r="AC139" s="104">
        <v>86.16</v>
      </c>
      <c r="AE139" s="215">
        <v>45024</v>
      </c>
      <c r="AF139" s="1">
        <v>1258596</v>
      </c>
      <c r="AG139" s="1">
        <v>12190</v>
      </c>
      <c r="AH139" s="1">
        <v>1270786</v>
      </c>
      <c r="AI139" s="46">
        <v>99.04</v>
      </c>
      <c r="AK139" s="215">
        <v>45024</v>
      </c>
      <c r="AL139" s="67">
        <v>1062386</v>
      </c>
      <c r="AM139" s="67">
        <v>8</v>
      </c>
      <c r="AN139" s="67">
        <v>1062394</v>
      </c>
      <c r="AO139" s="190">
        <v>99.999667700000003</v>
      </c>
      <c r="AQ139" s="215">
        <v>45024</v>
      </c>
      <c r="AR139" s="67">
        <v>261984</v>
      </c>
      <c r="AS139" s="67">
        <v>-1</v>
      </c>
      <c r="AT139" s="67">
        <v>261983</v>
      </c>
      <c r="AU139" s="190">
        <v>100</v>
      </c>
      <c r="AX139" s="215">
        <v>45024</v>
      </c>
      <c r="AY139" s="67">
        <v>261984</v>
      </c>
      <c r="AZ139" s="67">
        <v>-1</v>
      </c>
      <c r="BA139" s="67">
        <v>261983</v>
      </c>
      <c r="BB139" s="190">
        <v>100</v>
      </c>
    </row>
    <row r="140" spans="1:54" hidden="1" x14ac:dyDescent="0.25">
      <c r="A140" s="215">
        <v>45025</v>
      </c>
      <c r="B140" s="104">
        <v>12078718</v>
      </c>
      <c r="C140" s="104">
        <v>1299654</v>
      </c>
      <c r="D140" s="104">
        <v>13378372</v>
      </c>
      <c r="E140" s="104">
        <v>90.29</v>
      </c>
      <c r="G140" s="215">
        <v>45025</v>
      </c>
      <c r="H140" s="104">
        <v>622762</v>
      </c>
      <c r="I140" s="104">
        <v>421576</v>
      </c>
      <c r="J140" s="104">
        <v>1044338</v>
      </c>
      <c r="K140" s="104">
        <v>59.63</v>
      </c>
      <c r="M140" s="215">
        <v>45025</v>
      </c>
      <c r="N140" s="104">
        <v>2714154</v>
      </c>
      <c r="O140" s="104">
        <v>1917931</v>
      </c>
      <c r="P140" s="104">
        <v>4632085</v>
      </c>
      <c r="Q140" s="104">
        <v>58.59</v>
      </c>
      <c r="S140" s="215">
        <v>45025</v>
      </c>
      <c r="T140" s="104">
        <v>65222</v>
      </c>
      <c r="U140" s="104">
        <v>17746</v>
      </c>
      <c r="V140" s="104">
        <v>82968</v>
      </c>
      <c r="W140" s="104">
        <v>78.61</v>
      </c>
      <c r="Y140" s="215">
        <v>45025</v>
      </c>
      <c r="Z140" s="104">
        <v>2246202</v>
      </c>
      <c r="AA140" s="104">
        <v>385250</v>
      </c>
      <c r="AB140" s="104">
        <v>2631452</v>
      </c>
      <c r="AC140" s="104">
        <v>85.36</v>
      </c>
      <c r="AE140" s="215">
        <v>45025</v>
      </c>
      <c r="AF140" s="1">
        <v>1221560</v>
      </c>
      <c r="AG140" s="1">
        <v>11551</v>
      </c>
      <c r="AH140" s="1">
        <v>1233111</v>
      </c>
      <c r="AI140" s="46">
        <v>99.06</v>
      </c>
      <c r="AK140" s="215">
        <v>45025</v>
      </c>
      <c r="AL140" s="67">
        <v>1109486</v>
      </c>
      <c r="AM140" s="67">
        <v>0</v>
      </c>
      <c r="AN140" s="67">
        <v>1109486</v>
      </c>
      <c r="AO140" s="190">
        <v>99.999667700000003</v>
      </c>
      <c r="AQ140" s="215">
        <v>45025</v>
      </c>
      <c r="AR140" s="67">
        <v>237225</v>
      </c>
      <c r="AS140" s="67">
        <v>0</v>
      </c>
      <c r="AT140" s="67">
        <v>237225</v>
      </c>
      <c r="AU140" s="190">
        <v>100</v>
      </c>
      <c r="AX140" s="215">
        <v>45025</v>
      </c>
      <c r="AY140" s="67">
        <v>237225</v>
      </c>
      <c r="AZ140" s="67">
        <v>0</v>
      </c>
      <c r="BA140" s="67">
        <v>237225</v>
      </c>
      <c r="BB140" s="190">
        <v>100</v>
      </c>
    </row>
    <row r="141" spans="1:54" hidden="1" x14ac:dyDescent="0.25">
      <c r="A141" s="215">
        <v>45026</v>
      </c>
      <c r="B141" s="104">
        <v>13564603</v>
      </c>
      <c r="C141" s="104">
        <v>1203730</v>
      </c>
      <c r="D141" s="104">
        <v>14768333</v>
      </c>
      <c r="E141" s="104">
        <v>91.85</v>
      </c>
      <c r="G141" s="215">
        <v>45026</v>
      </c>
      <c r="H141" s="104">
        <v>1650334</v>
      </c>
      <c r="I141" s="104">
        <v>736483</v>
      </c>
      <c r="J141" s="104">
        <v>2386817</v>
      </c>
      <c r="K141" s="104">
        <v>69.14</v>
      </c>
      <c r="M141" s="215">
        <v>45026</v>
      </c>
      <c r="N141" s="104">
        <v>638435</v>
      </c>
      <c r="O141" s="104">
        <v>634748</v>
      </c>
      <c r="P141" s="104">
        <v>1273183</v>
      </c>
      <c r="Q141" s="104">
        <v>50.14</v>
      </c>
      <c r="S141" s="215">
        <v>45026</v>
      </c>
      <c r="T141" s="104">
        <v>68274</v>
      </c>
      <c r="U141" s="104">
        <v>19394</v>
      </c>
      <c r="V141" s="104">
        <v>87668</v>
      </c>
      <c r="W141" s="104">
        <v>77.88</v>
      </c>
      <c r="Y141" s="215">
        <v>45026</v>
      </c>
      <c r="Z141" s="104">
        <v>2113665</v>
      </c>
      <c r="AA141" s="104">
        <v>359257</v>
      </c>
      <c r="AB141" s="104">
        <v>2472922</v>
      </c>
      <c r="AC141" s="104">
        <v>85.47</v>
      </c>
      <c r="AE141" s="215">
        <v>45026</v>
      </c>
      <c r="AF141" s="1">
        <v>1248715</v>
      </c>
      <c r="AG141" s="1">
        <v>10445</v>
      </c>
      <c r="AH141" s="1">
        <v>1259160</v>
      </c>
      <c r="AI141" s="46">
        <v>99.17</v>
      </c>
      <c r="AK141" s="215">
        <v>45026</v>
      </c>
      <c r="AL141" s="67">
        <v>846385</v>
      </c>
      <c r="AM141" s="67">
        <v>5</v>
      </c>
      <c r="AN141" s="67">
        <v>846390</v>
      </c>
      <c r="AO141" s="190">
        <v>99.999667700000003</v>
      </c>
      <c r="AQ141" s="215">
        <v>45026</v>
      </c>
      <c r="AR141" s="67">
        <v>682381</v>
      </c>
      <c r="AS141" s="67">
        <v>0</v>
      </c>
      <c r="AT141" s="67">
        <v>682281</v>
      </c>
      <c r="AU141" s="190">
        <v>100</v>
      </c>
      <c r="AX141" s="215">
        <v>45026</v>
      </c>
      <c r="AY141" s="67">
        <v>682381</v>
      </c>
      <c r="AZ141" s="67">
        <v>0</v>
      </c>
      <c r="BA141" s="67">
        <v>682281</v>
      </c>
      <c r="BB141" s="190">
        <v>100</v>
      </c>
    </row>
    <row r="142" spans="1:54" hidden="1" x14ac:dyDescent="0.25">
      <c r="A142" s="215">
        <v>45027</v>
      </c>
      <c r="B142" s="104">
        <v>14485063</v>
      </c>
      <c r="C142" s="104">
        <v>1245792</v>
      </c>
      <c r="D142" s="104">
        <v>15730855</v>
      </c>
      <c r="E142" s="104">
        <v>92.08</v>
      </c>
      <c r="G142" s="215">
        <v>45027</v>
      </c>
      <c r="H142" s="104">
        <v>9211165</v>
      </c>
      <c r="I142" s="104">
        <v>3530564</v>
      </c>
      <c r="J142" s="104">
        <v>12741729</v>
      </c>
      <c r="K142" s="104">
        <v>72.290000000000006</v>
      </c>
      <c r="M142" s="215">
        <v>45027</v>
      </c>
      <c r="N142" s="104">
        <v>2783756</v>
      </c>
      <c r="O142" s="104">
        <v>1307979</v>
      </c>
      <c r="P142" s="104">
        <v>4091735</v>
      </c>
      <c r="Q142" s="104">
        <v>68.03</v>
      </c>
      <c r="S142" s="215">
        <v>45027</v>
      </c>
      <c r="T142" s="104">
        <v>1742637</v>
      </c>
      <c r="U142" s="104">
        <v>777852</v>
      </c>
      <c r="V142" s="104">
        <v>2520489</v>
      </c>
      <c r="W142" s="104">
        <v>69.14</v>
      </c>
      <c r="Y142" s="215">
        <v>45027</v>
      </c>
      <c r="Z142" s="104">
        <v>2394353</v>
      </c>
      <c r="AA142" s="104">
        <v>352831</v>
      </c>
      <c r="AB142" s="104">
        <v>2747184</v>
      </c>
      <c r="AC142" s="104">
        <v>87.16</v>
      </c>
      <c r="AE142" s="215">
        <v>45027</v>
      </c>
      <c r="AF142" s="1">
        <v>1368404</v>
      </c>
      <c r="AG142" s="1">
        <v>12462</v>
      </c>
      <c r="AH142" s="1">
        <v>1380866</v>
      </c>
      <c r="AI142" s="46">
        <v>99.1</v>
      </c>
      <c r="AK142" s="215">
        <v>45027</v>
      </c>
      <c r="AL142" s="67">
        <v>1263798</v>
      </c>
      <c r="AM142" s="67">
        <v>0</v>
      </c>
      <c r="AN142" s="67">
        <v>1263798</v>
      </c>
      <c r="AO142" s="190">
        <v>99.999667700000003</v>
      </c>
      <c r="AQ142" s="215">
        <v>45027</v>
      </c>
      <c r="AR142" s="67">
        <v>4006660</v>
      </c>
      <c r="AS142" s="67">
        <v>0</v>
      </c>
      <c r="AT142" s="67">
        <v>4006660</v>
      </c>
      <c r="AU142" s="190">
        <v>100</v>
      </c>
      <c r="AX142" s="215">
        <v>45027</v>
      </c>
      <c r="AY142" s="67">
        <v>4006660</v>
      </c>
      <c r="AZ142" s="67">
        <v>0</v>
      </c>
      <c r="BA142" s="67">
        <v>4006660</v>
      </c>
      <c r="BB142" s="190">
        <v>100</v>
      </c>
    </row>
    <row r="143" spans="1:54" hidden="1" x14ac:dyDescent="0.25">
      <c r="A143" s="215">
        <v>45028</v>
      </c>
      <c r="B143" s="104">
        <v>13829791</v>
      </c>
      <c r="C143" s="104">
        <v>1199902</v>
      </c>
      <c r="D143" s="104">
        <v>15029693</v>
      </c>
      <c r="E143" s="104">
        <v>92.02</v>
      </c>
      <c r="G143" s="215">
        <v>45028</v>
      </c>
      <c r="H143" s="104">
        <v>3533855</v>
      </c>
      <c r="I143" s="104">
        <v>1658211</v>
      </c>
      <c r="J143" s="104">
        <v>5192066</v>
      </c>
      <c r="K143" s="104">
        <v>68.06</v>
      </c>
      <c r="M143" s="215">
        <v>45028</v>
      </c>
      <c r="N143" s="104">
        <v>2036213</v>
      </c>
      <c r="O143" s="104">
        <v>2048218</v>
      </c>
      <c r="P143" s="104">
        <v>4084431</v>
      </c>
      <c r="Q143" s="104">
        <v>49.85</v>
      </c>
      <c r="S143" s="215">
        <v>45028</v>
      </c>
      <c r="T143" s="104">
        <v>1802836</v>
      </c>
      <c r="U143" s="104">
        <v>757418</v>
      </c>
      <c r="V143" s="104">
        <v>2560254</v>
      </c>
      <c r="W143" s="104">
        <v>70.42</v>
      </c>
      <c r="Y143" s="215">
        <v>45028</v>
      </c>
      <c r="Z143" s="104">
        <v>2188585</v>
      </c>
      <c r="AA143" s="104">
        <v>352123</v>
      </c>
      <c r="AB143" s="104">
        <v>2540708</v>
      </c>
      <c r="AC143" s="104">
        <v>86.14</v>
      </c>
      <c r="AE143" s="215">
        <v>45028</v>
      </c>
      <c r="AF143" s="1">
        <v>1270517</v>
      </c>
      <c r="AG143" s="1">
        <v>12357</v>
      </c>
      <c r="AH143" s="1">
        <v>1282874</v>
      </c>
      <c r="AI143" s="1">
        <v>99.04</v>
      </c>
      <c r="AK143" s="215">
        <v>45028</v>
      </c>
      <c r="AL143" s="67">
        <v>889349</v>
      </c>
      <c r="AM143" s="67">
        <v>0</v>
      </c>
      <c r="AN143" s="67">
        <v>889349</v>
      </c>
      <c r="AO143" s="190">
        <v>99.999667700000003</v>
      </c>
      <c r="AQ143" s="215">
        <v>45028</v>
      </c>
      <c r="AR143" s="67">
        <v>1336189</v>
      </c>
      <c r="AS143" s="67">
        <v>0</v>
      </c>
      <c r="AT143" s="67">
        <v>1336189</v>
      </c>
      <c r="AU143" s="67">
        <v>100</v>
      </c>
      <c r="AX143" s="215">
        <v>45028</v>
      </c>
      <c r="AY143" s="67">
        <v>1336189</v>
      </c>
      <c r="AZ143" s="67">
        <v>0</v>
      </c>
      <c r="BA143" s="67">
        <v>1336189</v>
      </c>
      <c r="BB143" s="67">
        <v>100</v>
      </c>
    </row>
    <row r="144" spans="1:54" hidden="1" x14ac:dyDescent="0.25">
      <c r="A144" s="215">
        <v>45029</v>
      </c>
      <c r="B144" s="104">
        <v>13600994</v>
      </c>
      <c r="C144" s="104">
        <v>1212542</v>
      </c>
      <c r="D144" s="104">
        <v>14813536</v>
      </c>
      <c r="E144" s="104">
        <v>91.81</v>
      </c>
      <c r="G144" s="215">
        <v>45029</v>
      </c>
      <c r="H144" s="104">
        <v>3943651</v>
      </c>
      <c r="I144" s="104">
        <v>1829262</v>
      </c>
      <c r="J144" s="104">
        <v>5772913</v>
      </c>
      <c r="K144" s="104">
        <v>68.31</v>
      </c>
      <c r="M144" s="215">
        <v>45029</v>
      </c>
      <c r="N144" s="104">
        <v>1653529</v>
      </c>
      <c r="O144" s="104">
        <v>1338777</v>
      </c>
      <c r="P144" s="104">
        <v>2992306</v>
      </c>
      <c r="Q144" s="104">
        <v>55.26</v>
      </c>
      <c r="S144" s="215">
        <v>45029</v>
      </c>
      <c r="T144" s="104">
        <v>1788594</v>
      </c>
      <c r="U144" s="104">
        <v>752110</v>
      </c>
      <c r="V144" s="104">
        <v>2540704</v>
      </c>
      <c r="W144" s="104">
        <v>70.400000000000006</v>
      </c>
      <c r="Y144" s="215">
        <v>45029</v>
      </c>
      <c r="Z144" s="104">
        <v>2412978</v>
      </c>
      <c r="AA144" s="104">
        <v>338237</v>
      </c>
      <c r="AB144" s="104">
        <v>2751215</v>
      </c>
      <c r="AC144" s="104">
        <v>87.71</v>
      </c>
      <c r="AE144" s="215">
        <v>45029</v>
      </c>
      <c r="AF144" s="1">
        <v>1374577</v>
      </c>
      <c r="AG144" s="1">
        <v>11826</v>
      </c>
      <c r="AH144" s="1">
        <v>1386403</v>
      </c>
      <c r="AI144" s="1">
        <v>99.15</v>
      </c>
      <c r="AK144" s="215">
        <v>45029</v>
      </c>
      <c r="AL144" s="67">
        <v>1098032</v>
      </c>
      <c r="AM144" s="67">
        <v>0</v>
      </c>
      <c r="AN144" s="67">
        <v>1098032</v>
      </c>
      <c r="AO144" s="190">
        <v>99.999667700000003</v>
      </c>
      <c r="AQ144" s="215">
        <v>45029</v>
      </c>
      <c r="AR144" s="67">
        <v>1509497</v>
      </c>
      <c r="AS144" s="67">
        <v>0</v>
      </c>
      <c r="AT144" s="67">
        <v>1509497</v>
      </c>
      <c r="AU144" s="67">
        <v>100</v>
      </c>
      <c r="AX144" s="215">
        <v>45029</v>
      </c>
      <c r="AY144" s="67">
        <v>1509497</v>
      </c>
      <c r="AZ144" s="67">
        <v>0</v>
      </c>
      <c r="BA144" s="67">
        <v>1509497</v>
      </c>
      <c r="BB144" s="67">
        <v>100</v>
      </c>
    </row>
    <row r="145" spans="1:54" hidden="1" x14ac:dyDescent="0.25">
      <c r="A145" s="215">
        <v>45030</v>
      </c>
      <c r="B145" s="104">
        <v>13909777</v>
      </c>
      <c r="C145" s="104">
        <v>1260252</v>
      </c>
      <c r="D145" s="104">
        <v>15170029</v>
      </c>
      <c r="E145" s="104">
        <v>91.69</v>
      </c>
      <c r="G145" s="215">
        <v>45030</v>
      </c>
      <c r="H145" s="104">
        <v>1814296</v>
      </c>
      <c r="I145" s="104">
        <v>825703</v>
      </c>
      <c r="J145" s="104">
        <v>2639999</v>
      </c>
      <c r="K145" s="104">
        <v>68.72</v>
      </c>
      <c r="M145" s="215">
        <v>45030</v>
      </c>
      <c r="N145" s="104">
        <v>2036821</v>
      </c>
      <c r="O145" s="104">
        <v>2001559</v>
      </c>
      <c r="P145" s="104">
        <v>4038380</v>
      </c>
      <c r="Q145" s="104">
        <v>50.44</v>
      </c>
      <c r="S145" s="215">
        <v>45030</v>
      </c>
      <c r="T145" s="104">
        <v>1596420</v>
      </c>
      <c r="U145" s="104">
        <v>422433</v>
      </c>
      <c r="V145" s="104">
        <v>2018853</v>
      </c>
      <c r="W145" s="104">
        <v>79.08</v>
      </c>
      <c r="Y145" s="215">
        <v>45030</v>
      </c>
      <c r="Z145" s="104">
        <v>2279705</v>
      </c>
      <c r="AA145" s="104">
        <v>309553</v>
      </c>
      <c r="AB145" s="104">
        <v>2589258</v>
      </c>
      <c r="AC145" s="104">
        <v>88.04</v>
      </c>
      <c r="AE145" s="215">
        <v>45030</v>
      </c>
      <c r="AF145" s="1">
        <v>1389168</v>
      </c>
      <c r="AG145" s="1">
        <v>13388</v>
      </c>
      <c r="AH145" s="1">
        <v>1402556</v>
      </c>
      <c r="AI145" s="1">
        <v>99.05</v>
      </c>
      <c r="AK145" s="215">
        <v>45030</v>
      </c>
      <c r="AL145" s="67">
        <v>1085233</v>
      </c>
      <c r="AM145" s="67">
        <v>1270</v>
      </c>
      <c r="AN145" s="67">
        <v>1086503</v>
      </c>
      <c r="AO145" s="69">
        <v>99.88</v>
      </c>
      <c r="AQ145" s="215">
        <v>45030</v>
      </c>
      <c r="AR145" s="67">
        <v>827313</v>
      </c>
      <c r="AS145" s="67">
        <v>182</v>
      </c>
      <c r="AT145" s="67">
        <v>827495</v>
      </c>
      <c r="AU145" s="67">
        <v>99.98</v>
      </c>
      <c r="AX145" s="215">
        <v>45030</v>
      </c>
      <c r="AY145" s="67">
        <v>827313</v>
      </c>
      <c r="AZ145" s="67">
        <v>182</v>
      </c>
      <c r="BA145" s="67">
        <v>827495</v>
      </c>
      <c r="BB145" s="67">
        <v>99.98</v>
      </c>
    </row>
    <row r="146" spans="1:54" hidden="1" x14ac:dyDescent="0.25">
      <c r="A146" s="215">
        <v>45031</v>
      </c>
      <c r="B146" s="104">
        <v>13695431</v>
      </c>
      <c r="C146" s="104">
        <v>1304583</v>
      </c>
      <c r="D146" s="104">
        <v>15000014</v>
      </c>
      <c r="E146" s="104">
        <v>91.3</v>
      </c>
      <c r="G146" s="215">
        <v>45031</v>
      </c>
      <c r="H146" s="104">
        <v>2566907</v>
      </c>
      <c r="I146" s="104">
        <v>1257332</v>
      </c>
      <c r="J146" s="104">
        <v>3824239</v>
      </c>
      <c r="K146" s="104">
        <v>67.12</v>
      </c>
      <c r="M146" s="215">
        <v>45031</v>
      </c>
      <c r="N146" s="104">
        <v>1979007</v>
      </c>
      <c r="O146" s="104">
        <v>2050159</v>
      </c>
      <c r="P146" s="104">
        <v>4029166</v>
      </c>
      <c r="Q146" s="104">
        <v>49.12</v>
      </c>
      <c r="S146" s="215">
        <v>45031</v>
      </c>
      <c r="T146" s="104">
        <v>1691743</v>
      </c>
      <c r="U146" s="104">
        <v>817437</v>
      </c>
      <c r="V146" s="104">
        <v>2509180</v>
      </c>
      <c r="W146" s="104">
        <v>67.42</v>
      </c>
      <c r="Y146" s="215">
        <v>45031</v>
      </c>
      <c r="Z146" s="104">
        <v>2476017</v>
      </c>
      <c r="AA146" s="104">
        <v>342968</v>
      </c>
      <c r="AB146" s="104">
        <v>2818985</v>
      </c>
      <c r="AC146" s="104">
        <v>87.83</v>
      </c>
      <c r="AE146" s="215">
        <v>45031</v>
      </c>
      <c r="AF146" s="1">
        <v>1334438</v>
      </c>
      <c r="AG146" s="1">
        <v>13226</v>
      </c>
      <c r="AH146" s="1">
        <v>1347664</v>
      </c>
      <c r="AI146" s="1">
        <v>99.02</v>
      </c>
      <c r="AK146" s="215">
        <v>45031</v>
      </c>
      <c r="AL146" s="67">
        <v>1005273</v>
      </c>
      <c r="AM146" s="67">
        <v>0</v>
      </c>
      <c r="AN146" s="67">
        <v>1005273</v>
      </c>
      <c r="AO146" s="238">
        <v>100</v>
      </c>
      <c r="AQ146" s="215">
        <v>45031</v>
      </c>
      <c r="AR146" s="67">
        <v>1015712</v>
      </c>
      <c r="AS146" s="67">
        <v>0</v>
      </c>
      <c r="AT146" s="67">
        <v>1015712</v>
      </c>
      <c r="AU146" s="67">
        <v>100</v>
      </c>
      <c r="AX146" s="215">
        <v>45031</v>
      </c>
      <c r="AY146" s="67">
        <v>1015712</v>
      </c>
      <c r="AZ146" s="67">
        <v>0</v>
      </c>
      <c r="BA146" s="67">
        <v>1015712</v>
      </c>
      <c r="BB146" s="67">
        <v>100</v>
      </c>
    </row>
    <row r="147" spans="1:54" hidden="1" x14ac:dyDescent="0.25">
      <c r="A147" s="215">
        <v>45032</v>
      </c>
      <c r="B147" s="104">
        <v>11555440</v>
      </c>
      <c r="C147" s="104">
        <v>1170130</v>
      </c>
      <c r="D147" s="104">
        <v>12725570</v>
      </c>
      <c r="E147" s="104">
        <v>90.8</v>
      </c>
      <c r="G147" s="215">
        <v>45032</v>
      </c>
      <c r="H147" s="104">
        <v>1778052</v>
      </c>
      <c r="I147" s="104">
        <v>841610</v>
      </c>
      <c r="J147" s="104">
        <v>2619662</v>
      </c>
      <c r="K147" s="104">
        <v>67.87</v>
      </c>
      <c r="M147" s="215">
        <v>45032</v>
      </c>
      <c r="N147" s="104">
        <v>673</v>
      </c>
      <c r="O147" s="104">
        <v>190</v>
      </c>
      <c r="P147" s="104">
        <v>863</v>
      </c>
      <c r="Q147" s="104">
        <v>77.98</v>
      </c>
      <c r="S147" s="215">
        <v>45032</v>
      </c>
      <c r="T147" s="104">
        <v>70778</v>
      </c>
      <c r="U147" s="104">
        <v>18136</v>
      </c>
      <c r="V147" s="104">
        <v>88914</v>
      </c>
      <c r="W147" s="104">
        <v>79.599999999999994</v>
      </c>
      <c r="Y147" s="215">
        <v>45032</v>
      </c>
      <c r="Z147" s="104">
        <v>2353879</v>
      </c>
      <c r="AA147" s="104">
        <v>390957</v>
      </c>
      <c r="AB147" s="104">
        <v>2744836</v>
      </c>
      <c r="AC147" s="104">
        <v>85.76</v>
      </c>
      <c r="AE147" s="215">
        <v>45032</v>
      </c>
      <c r="AF147" s="1">
        <v>1286345</v>
      </c>
      <c r="AG147" s="1">
        <v>10402</v>
      </c>
      <c r="AH147" s="1">
        <v>1296747</v>
      </c>
      <c r="AI147" s="1">
        <v>99.2</v>
      </c>
      <c r="AK147" s="215">
        <v>45032</v>
      </c>
      <c r="AL147" s="67">
        <v>1017883</v>
      </c>
      <c r="AM147" s="67">
        <v>0</v>
      </c>
      <c r="AN147" s="67">
        <v>1017883</v>
      </c>
      <c r="AO147" s="238">
        <v>100</v>
      </c>
      <c r="AQ147" s="215">
        <v>45032</v>
      </c>
      <c r="AR147" s="67">
        <v>788288</v>
      </c>
      <c r="AS147" s="67">
        <v>0</v>
      </c>
      <c r="AT147" s="67">
        <v>788288</v>
      </c>
      <c r="AU147" s="67">
        <v>100</v>
      </c>
      <c r="AX147" s="215">
        <v>45032</v>
      </c>
      <c r="AY147" s="67">
        <v>788288</v>
      </c>
      <c r="AZ147" s="67">
        <v>0</v>
      </c>
      <c r="BA147" s="67">
        <v>788288</v>
      </c>
      <c r="BB147" s="67">
        <v>100</v>
      </c>
    </row>
    <row r="148" spans="1:54" hidden="1" x14ac:dyDescent="0.25">
      <c r="A148" s="215">
        <v>45033</v>
      </c>
      <c r="B148" s="104">
        <v>14298885</v>
      </c>
      <c r="C148" s="104">
        <v>1197462</v>
      </c>
      <c r="D148" s="104">
        <v>15496347</v>
      </c>
      <c r="E148" s="104">
        <v>92.27</v>
      </c>
      <c r="G148" s="215">
        <v>45033</v>
      </c>
      <c r="H148" s="104">
        <v>2649419</v>
      </c>
      <c r="I148" s="104">
        <v>1230266</v>
      </c>
      <c r="J148" s="104">
        <v>3879685</v>
      </c>
      <c r="K148" s="104">
        <v>68.290000000000006</v>
      </c>
      <c r="M148" s="215">
        <v>45033</v>
      </c>
      <c r="N148" s="104">
        <v>1590065</v>
      </c>
      <c r="O148" s="104">
        <v>1285166</v>
      </c>
      <c r="P148" s="104">
        <v>2875231</v>
      </c>
      <c r="Q148" s="104">
        <v>55.3</v>
      </c>
      <c r="S148" s="215">
        <v>45033</v>
      </c>
      <c r="T148" s="104">
        <v>1445067</v>
      </c>
      <c r="U148" s="104">
        <v>275667</v>
      </c>
      <c r="V148" s="104">
        <v>1720734</v>
      </c>
      <c r="W148" s="104">
        <v>83.98</v>
      </c>
      <c r="Y148" s="215">
        <v>45033</v>
      </c>
      <c r="Z148" s="104">
        <v>2130354</v>
      </c>
      <c r="AA148" s="104">
        <v>344612</v>
      </c>
      <c r="AB148" s="104">
        <v>2474966</v>
      </c>
      <c r="AC148" s="104">
        <v>86.08</v>
      </c>
      <c r="AE148" s="215">
        <v>45033</v>
      </c>
      <c r="AF148" s="1">
        <v>1334335</v>
      </c>
      <c r="AG148" s="1">
        <v>12047</v>
      </c>
      <c r="AH148" s="1">
        <v>1346382</v>
      </c>
      <c r="AI148" s="1">
        <v>99.11</v>
      </c>
      <c r="AK148" s="215">
        <v>45033</v>
      </c>
      <c r="AL148" s="67">
        <v>938532</v>
      </c>
      <c r="AM148" s="67">
        <v>0</v>
      </c>
      <c r="AN148" s="67">
        <v>938532</v>
      </c>
      <c r="AO148" s="67">
        <v>100</v>
      </c>
      <c r="AQ148" s="215">
        <v>45033</v>
      </c>
      <c r="AR148" s="67">
        <v>1051787</v>
      </c>
      <c r="AS148" s="67">
        <v>0</v>
      </c>
      <c r="AT148" s="67">
        <v>1051787</v>
      </c>
      <c r="AU148" s="67">
        <v>100</v>
      </c>
      <c r="AX148" s="215">
        <v>45033</v>
      </c>
      <c r="AY148" s="67">
        <v>1051787</v>
      </c>
      <c r="AZ148" s="67">
        <v>0</v>
      </c>
      <c r="BA148" s="67">
        <v>1051787</v>
      </c>
      <c r="BB148" s="67">
        <v>100</v>
      </c>
    </row>
    <row r="149" spans="1:54" hidden="1" x14ac:dyDescent="0.25">
      <c r="A149" s="215">
        <v>45034</v>
      </c>
      <c r="B149" s="104">
        <v>13333871</v>
      </c>
      <c r="C149" s="104">
        <v>1337951</v>
      </c>
      <c r="D149" s="104">
        <v>14671822</v>
      </c>
      <c r="E149" s="104">
        <v>90.88</v>
      </c>
      <c r="G149" s="215">
        <v>45034</v>
      </c>
      <c r="H149" s="104">
        <v>3485731</v>
      </c>
      <c r="I149" s="104">
        <v>1611887</v>
      </c>
      <c r="J149" s="104">
        <v>5097618</v>
      </c>
      <c r="K149" s="104">
        <v>68.38</v>
      </c>
      <c r="M149" s="215">
        <v>45034</v>
      </c>
      <c r="N149" s="104">
        <v>2008670</v>
      </c>
      <c r="O149" s="104">
        <v>2033036</v>
      </c>
      <c r="P149" s="104">
        <v>4041706</v>
      </c>
      <c r="Q149" s="104">
        <v>49.7</v>
      </c>
      <c r="S149" s="215">
        <v>45034</v>
      </c>
      <c r="T149" s="104">
        <v>1432729</v>
      </c>
      <c r="U149" s="104">
        <v>278734</v>
      </c>
      <c r="V149" s="104">
        <v>1711463</v>
      </c>
      <c r="W149" s="104">
        <v>83.71</v>
      </c>
      <c r="Y149" s="215">
        <v>45034</v>
      </c>
      <c r="Z149" s="104">
        <v>2359683</v>
      </c>
      <c r="AA149" s="104">
        <v>323062</v>
      </c>
      <c r="AB149" s="104">
        <v>2682745</v>
      </c>
      <c r="AC149" s="104">
        <v>87.96</v>
      </c>
      <c r="AE149" s="215">
        <v>45034</v>
      </c>
      <c r="AF149" s="1">
        <v>1352139</v>
      </c>
      <c r="AG149" s="1">
        <v>13023</v>
      </c>
      <c r="AH149" s="1">
        <v>1365162</v>
      </c>
      <c r="AI149" s="1">
        <v>99.05</v>
      </c>
      <c r="AK149" s="215">
        <v>45034</v>
      </c>
      <c r="AL149" s="67">
        <v>1158226</v>
      </c>
      <c r="AM149" s="67">
        <v>0</v>
      </c>
      <c r="AN149" s="67">
        <v>1158226</v>
      </c>
      <c r="AO149" s="67">
        <v>100</v>
      </c>
      <c r="AQ149" s="215">
        <v>45034</v>
      </c>
      <c r="AR149" s="67">
        <v>1389955</v>
      </c>
      <c r="AS149" s="67">
        <v>0</v>
      </c>
      <c r="AT149" s="67">
        <v>1389955</v>
      </c>
      <c r="AU149" s="67">
        <v>100</v>
      </c>
      <c r="AX149" s="215">
        <v>45034</v>
      </c>
      <c r="AY149" s="67">
        <v>1389955</v>
      </c>
      <c r="AZ149" s="67">
        <v>0</v>
      </c>
      <c r="BA149" s="67">
        <v>1389955</v>
      </c>
      <c r="BB149" s="67">
        <v>100</v>
      </c>
    </row>
    <row r="150" spans="1:54" hidden="1" x14ac:dyDescent="0.25">
      <c r="A150" s="215">
        <v>45035</v>
      </c>
      <c r="B150" s="104">
        <v>13148267</v>
      </c>
      <c r="C150" s="104">
        <v>1174203</v>
      </c>
      <c r="D150" s="104">
        <v>14322470</v>
      </c>
      <c r="E150" s="104">
        <v>91.8</v>
      </c>
      <c r="G150" s="215">
        <v>45035</v>
      </c>
      <c r="H150" s="104">
        <v>2456330</v>
      </c>
      <c r="I150" s="104">
        <v>1131782</v>
      </c>
      <c r="J150" s="104">
        <v>3588112</v>
      </c>
      <c r="K150" s="104">
        <v>68.459999999999994</v>
      </c>
      <c r="L150" s="231"/>
      <c r="M150" s="215">
        <v>45035</v>
      </c>
      <c r="N150" s="104">
        <v>2020642</v>
      </c>
      <c r="O150" s="104">
        <v>2031936</v>
      </c>
      <c r="P150" s="104">
        <v>4052578</v>
      </c>
      <c r="Q150" s="104">
        <v>49.86</v>
      </c>
      <c r="S150" s="215">
        <v>45035</v>
      </c>
      <c r="T150" s="104">
        <v>1449729</v>
      </c>
      <c r="U150" s="104">
        <v>278001</v>
      </c>
      <c r="V150" s="104">
        <v>1727730</v>
      </c>
      <c r="W150" s="104">
        <v>83.91</v>
      </c>
      <c r="Y150" s="215">
        <v>45035</v>
      </c>
      <c r="Z150" s="104">
        <v>1999057</v>
      </c>
      <c r="AA150" s="104">
        <v>347989</v>
      </c>
      <c r="AB150" s="104">
        <v>2347046</v>
      </c>
      <c r="AC150" s="104">
        <v>85.17</v>
      </c>
      <c r="AE150" s="215">
        <v>45035</v>
      </c>
      <c r="AF150" s="1">
        <v>1246375</v>
      </c>
      <c r="AG150" s="1">
        <v>12598</v>
      </c>
      <c r="AH150" s="1">
        <v>1258973</v>
      </c>
      <c r="AI150" s="1">
        <v>99</v>
      </c>
      <c r="AK150" s="215">
        <v>45035</v>
      </c>
      <c r="AL150" s="67">
        <v>1412842</v>
      </c>
      <c r="AM150" s="67">
        <v>0</v>
      </c>
      <c r="AN150" s="67">
        <v>1412842</v>
      </c>
      <c r="AO150" s="67">
        <v>100</v>
      </c>
      <c r="AQ150" s="215">
        <v>45035</v>
      </c>
      <c r="AR150" s="67">
        <v>1039066</v>
      </c>
      <c r="AS150" s="67">
        <v>0</v>
      </c>
      <c r="AT150" s="67">
        <v>1039066</v>
      </c>
      <c r="AU150" s="67">
        <v>100</v>
      </c>
      <c r="AX150" s="215">
        <v>45035</v>
      </c>
      <c r="AY150" s="67">
        <v>1039066</v>
      </c>
      <c r="AZ150" s="67">
        <v>0</v>
      </c>
      <c r="BA150" s="67">
        <v>1039066</v>
      </c>
      <c r="BB150" s="67">
        <v>100</v>
      </c>
    </row>
    <row r="151" spans="1:54" hidden="1" x14ac:dyDescent="0.25">
      <c r="A151" s="215">
        <v>45036</v>
      </c>
      <c r="B151" s="104">
        <v>15776307</v>
      </c>
      <c r="C151" s="104">
        <v>1323286</v>
      </c>
      <c r="D151" s="104">
        <v>17099593</v>
      </c>
      <c r="E151" s="104">
        <v>92.26</v>
      </c>
      <c r="G151" s="215">
        <v>45036</v>
      </c>
      <c r="H151" s="104">
        <v>6714935</v>
      </c>
      <c r="I151" s="104">
        <v>2630368</v>
      </c>
      <c r="J151" s="104">
        <v>9345303</v>
      </c>
      <c r="K151" s="104">
        <v>71.849999999999994</v>
      </c>
      <c r="M151" s="215">
        <v>45036</v>
      </c>
      <c r="N151" s="104">
        <v>1712549</v>
      </c>
      <c r="O151" s="104">
        <v>1337374</v>
      </c>
      <c r="P151" s="104">
        <v>3049923</v>
      </c>
      <c r="Q151" s="104">
        <v>56.15</v>
      </c>
      <c r="S151" s="215">
        <v>45036</v>
      </c>
      <c r="T151" s="104">
        <v>1431591</v>
      </c>
      <c r="U151" s="104">
        <v>281647</v>
      </c>
      <c r="V151" s="104">
        <v>1713238</v>
      </c>
      <c r="W151" s="104">
        <v>83.56</v>
      </c>
      <c r="Y151" s="215">
        <v>45036</v>
      </c>
      <c r="Z151" s="104">
        <v>2284941</v>
      </c>
      <c r="AA151" s="104">
        <v>384465</v>
      </c>
      <c r="AB151" s="104">
        <v>2669406</v>
      </c>
      <c r="AC151" s="104">
        <v>85.6</v>
      </c>
      <c r="AE151" s="215">
        <v>45036</v>
      </c>
      <c r="AF151" s="1">
        <v>1385867</v>
      </c>
      <c r="AG151" s="1">
        <v>13995</v>
      </c>
      <c r="AH151" s="1">
        <v>1399862</v>
      </c>
      <c r="AI151" s="1">
        <v>99</v>
      </c>
      <c r="AK151" s="215">
        <v>45036</v>
      </c>
      <c r="AL151" s="67">
        <v>1284447</v>
      </c>
      <c r="AM151" s="67">
        <v>0</v>
      </c>
      <c r="AN151" s="67">
        <v>1284447</v>
      </c>
      <c r="AO151" s="67">
        <v>100</v>
      </c>
      <c r="AQ151" s="215">
        <v>45036</v>
      </c>
      <c r="AR151" s="67">
        <v>2921356</v>
      </c>
      <c r="AS151" s="67">
        <v>0</v>
      </c>
      <c r="AT151" s="67">
        <v>2921356</v>
      </c>
      <c r="AU151" s="67">
        <v>100</v>
      </c>
      <c r="AX151" s="215">
        <v>45036</v>
      </c>
      <c r="AY151" s="67">
        <v>2921356</v>
      </c>
      <c r="AZ151" s="67">
        <v>0</v>
      </c>
      <c r="BA151" s="67">
        <v>2921356</v>
      </c>
      <c r="BB151" s="67">
        <v>100</v>
      </c>
    </row>
    <row r="152" spans="1:54" hidden="1" x14ac:dyDescent="0.25">
      <c r="A152" s="237">
        <v>45037</v>
      </c>
      <c r="B152" s="104">
        <v>13817574</v>
      </c>
      <c r="C152" s="104">
        <v>1643864</v>
      </c>
      <c r="D152" s="104">
        <v>15461438</v>
      </c>
      <c r="E152" s="104">
        <v>89.37</v>
      </c>
      <c r="G152" s="215">
        <v>45037</v>
      </c>
      <c r="H152" s="104">
        <v>5290608</v>
      </c>
      <c r="I152" s="104">
        <v>2075367</v>
      </c>
      <c r="J152" s="104">
        <v>7365975</v>
      </c>
      <c r="K152" s="104">
        <v>71.819999999999993</v>
      </c>
      <c r="M152" s="215">
        <v>45037</v>
      </c>
      <c r="N152" s="104">
        <v>504</v>
      </c>
      <c r="O152" s="104">
        <v>135</v>
      </c>
      <c r="P152" s="104">
        <v>639</v>
      </c>
      <c r="Q152" s="104">
        <v>78.87</v>
      </c>
      <c r="S152" s="215">
        <v>45037</v>
      </c>
      <c r="T152" s="104">
        <v>1708404</v>
      </c>
      <c r="U152" s="104">
        <v>752457</v>
      </c>
      <c r="V152" s="104">
        <v>2460861</v>
      </c>
      <c r="W152" s="104">
        <v>69.42</v>
      </c>
      <c r="Y152" s="215">
        <v>45037</v>
      </c>
      <c r="Z152" s="104">
        <v>2386874</v>
      </c>
      <c r="AA152" s="104">
        <v>350558</v>
      </c>
      <c r="AB152" s="104">
        <v>2737432</v>
      </c>
      <c r="AC152" s="114">
        <v>87.192999999999998</v>
      </c>
      <c r="AE152" s="215">
        <v>45037</v>
      </c>
      <c r="AF152" s="48">
        <v>1523786</v>
      </c>
      <c r="AG152" s="48">
        <v>13716</v>
      </c>
      <c r="AH152" s="48">
        <v>1537502</v>
      </c>
      <c r="AI152" s="71">
        <v>99.106999999999999</v>
      </c>
      <c r="AK152" s="215">
        <v>45037</v>
      </c>
      <c r="AL152" s="67">
        <v>1004707</v>
      </c>
      <c r="AM152" s="67">
        <v>0</v>
      </c>
      <c r="AN152" s="67">
        <v>1004707</v>
      </c>
      <c r="AO152" s="67">
        <v>100</v>
      </c>
      <c r="AQ152" s="215">
        <v>45037</v>
      </c>
      <c r="AR152" s="67">
        <v>2280993</v>
      </c>
      <c r="AS152" s="67">
        <v>0</v>
      </c>
      <c r="AT152" s="67">
        <v>2280993</v>
      </c>
      <c r="AU152" s="67">
        <v>100</v>
      </c>
      <c r="AX152" s="215">
        <v>45037</v>
      </c>
      <c r="AY152" s="67">
        <v>2280993</v>
      </c>
      <c r="AZ152" s="67">
        <v>0</v>
      </c>
      <c r="BA152" s="67">
        <v>2280993</v>
      </c>
      <c r="BB152" s="67">
        <v>100</v>
      </c>
    </row>
    <row r="153" spans="1:54" hidden="1" x14ac:dyDescent="0.25">
      <c r="A153" s="237">
        <v>45038</v>
      </c>
      <c r="B153" s="104">
        <v>13132427</v>
      </c>
      <c r="C153" s="104">
        <v>1298540</v>
      </c>
      <c r="D153" s="104">
        <v>14430967</v>
      </c>
      <c r="E153" s="104">
        <v>91</v>
      </c>
      <c r="G153" s="215">
        <v>45038</v>
      </c>
      <c r="H153" s="104">
        <v>1313015</v>
      </c>
      <c r="I153" s="104">
        <v>668266</v>
      </c>
      <c r="J153" s="104">
        <v>1981281</v>
      </c>
      <c r="K153" s="104">
        <v>66.27</v>
      </c>
      <c r="M153" s="215">
        <v>45038</v>
      </c>
      <c r="N153" s="104">
        <v>2401460</v>
      </c>
      <c r="O153" s="104">
        <v>2492222</v>
      </c>
      <c r="P153" s="104">
        <v>4893682</v>
      </c>
      <c r="Q153" s="104">
        <v>49.07</v>
      </c>
      <c r="S153" s="215">
        <v>45038</v>
      </c>
      <c r="T153" s="104">
        <v>116205</v>
      </c>
      <c r="U153" s="104">
        <v>35165</v>
      </c>
      <c r="V153" s="104">
        <v>151370</v>
      </c>
      <c r="W153" s="104">
        <v>76.768000000000001</v>
      </c>
      <c r="Y153" s="215">
        <v>45038</v>
      </c>
      <c r="Z153" s="104">
        <v>2413978</v>
      </c>
      <c r="AA153" s="104">
        <v>347719</v>
      </c>
      <c r="AB153" s="104">
        <v>2761697</v>
      </c>
      <c r="AC153" s="104">
        <v>87.4</v>
      </c>
      <c r="AE153" s="215">
        <v>45038</v>
      </c>
      <c r="AF153" s="48">
        <v>1415933</v>
      </c>
      <c r="AG153" s="48">
        <v>13659</v>
      </c>
      <c r="AH153" s="48">
        <v>1429592</v>
      </c>
      <c r="AI153" s="71">
        <v>99.043999999999997</v>
      </c>
      <c r="AK153" s="215">
        <v>45038</v>
      </c>
      <c r="AL153" s="67">
        <v>1059200</v>
      </c>
      <c r="AM153" s="67">
        <v>0</v>
      </c>
      <c r="AN153" s="67">
        <v>1059200</v>
      </c>
      <c r="AO153" s="67">
        <v>100</v>
      </c>
      <c r="AQ153" s="215">
        <v>45038</v>
      </c>
      <c r="AR153" s="67">
        <v>497667</v>
      </c>
      <c r="AS153" s="67">
        <v>0</v>
      </c>
      <c r="AT153" s="67">
        <v>497667</v>
      </c>
      <c r="AU153" s="67">
        <v>100</v>
      </c>
      <c r="AX153" s="215">
        <v>45038</v>
      </c>
      <c r="AY153" s="67">
        <v>497667</v>
      </c>
      <c r="AZ153" s="67">
        <v>0</v>
      </c>
      <c r="BA153" s="67">
        <v>497667</v>
      </c>
      <c r="BB153" s="67">
        <v>100</v>
      </c>
    </row>
    <row r="154" spans="1:54" hidden="1" x14ac:dyDescent="0.25">
      <c r="A154" s="237">
        <v>45039</v>
      </c>
      <c r="B154" s="104">
        <v>11314586</v>
      </c>
      <c r="C154" s="104">
        <v>1200744</v>
      </c>
      <c r="D154" s="104">
        <v>12515330</v>
      </c>
      <c r="E154" s="104">
        <v>90.4</v>
      </c>
      <c r="G154" s="215">
        <v>45039</v>
      </c>
      <c r="H154" s="104">
        <v>1328180</v>
      </c>
      <c r="I154" s="104">
        <v>656815</v>
      </c>
      <c r="J154" s="104">
        <v>1984995</v>
      </c>
      <c r="K154" s="104">
        <v>66.91</v>
      </c>
      <c r="M154" s="215">
        <v>45039</v>
      </c>
      <c r="N154" s="104">
        <v>498</v>
      </c>
      <c r="O154" s="104">
        <v>152</v>
      </c>
      <c r="P154" s="104">
        <v>650</v>
      </c>
      <c r="Q154" s="104">
        <v>76.61</v>
      </c>
      <c r="S154" s="215">
        <v>45039</v>
      </c>
      <c r="T154" s="104">
        <v>147536</v>
      </c>
      <c r="U154" s="104">
        <v>55464</v>
      </c>
      <c r="V154" s="104">
        <v>203000</v>
      </c>
      <c r="W154" s="104">
        <v>72.677000000000007</v>
      </c>
      <c r="Y154" s="215">
        <v>45039</v>
      </c>
      <c r="Z154" s="104">
        <v>2252300</v>
      </c>
      <c r="AA154" s="104">
        <v>358732</v>
      </c>
      <c r="AB154" s="104">
        <v>2611032</v>
      </c>
      <c r="AC154" s="104">
        <v>86.26</v>
      </c>
      <c r="AE154" s="215">
        <v>45039</v>
      </c>
      <c r="AF154" s="48">
        <v>1353109</v>
      </c>
      <c r="AG154" s="48">
        <v>10929</v>
      </c>
      <c r="AH154" s="48">
        <v>1364038</v>
      </c>
      <c r="AI154" s="48">
        <v>99.19</v>
      </c>
      <c r="AK154" s="215">
        <v>45039</v>
      </c>
      <c r="AL154" s="67">
        <v>1002301</v>
      </c>
      <c r="AM154" s="67">
        <v>0</v>
      </c>
      <c r="AN154" s="67">
        <v>1002301</v>
      </c>
      <c r="AO154" s="67">
        <v>100</v>
      </c>
      <c r="AQ154" s="215">
        <v>45039</v>
      </c>
      <c r="AR154" s="67">
        <v>494080</v>
      </c>
      <c r="AS154" s="67">
        <v>0</v>
      </c>
      <c r="AT154" s="67">
        <v>494080</v>
      </c>
      <c r="AU154" s="67">
        <v>100</v>
      </c>
      <c r="AX154" s="215">
        <v>45039</v>
      </c>
      <c r="AY154" s="67">
        <v>494080</v>
      </c>
      <c r="AZ154" s="67">
        <v>0</v>
      </c>
      <c r="BA154" s="67">
        <v>494080</v>
      </c>
      <c r="BB154" s="67">
        <v>100</v>
      </c>
    </row>
    <row r="155" spans="1:54" hidden="1" x14ac:dyDescent="0.25">
      <c r="A155" s="237">
        <v>45040</v>
      </c>
      <c r="B155" s="104">
        <v>13914985</v>
      </c>
      <c r="C155" s="104">
        <v>1172833</v>
      </c>
      <c r="D155" s="104">
        <v>15087818</v>
      </c>
      <c r="E155" s="104">
        <v>92.23</v>
      </c>
      <c r="G155" s="215">
        <v>45040</v>
      </c>
      <c r="H155" s="104">
        <v>1971668</v>
      </c>
      <c r="I155" s="104">
        <v>793037</v>
      </c>
      <c r="J155" s="104">
        <v>2764705</v>
      </c>
      <c r="K155" s="104">
        <v>71.319999999999993</v>
      </c>
      <c r="M155" s="215">
        <v>45040</v>
      </c>
      <c r="N155" s="104">
        <v>2556573</v>
      </c>
      <c r="O155" s="104">
        <v>1981790</v>
      </c>
      <c r="P155" s="104">
        <v>4538363</v>
      </c>
      <c r="Q155" s="104">
        <v>56.33</v>
      </c>
      <c r="S155" s="215">
        <v>45040</v>
      </c>
      <c r="T155" s="104">
        <v>436271</v>
      </c>
      <c r="U155" s="104">
        <v>605788</v>
      </c>
      <c r="V155" s="104">
        <v>1042059</v>
      </c>
      <c r="W155" s="104">
        <v>41.87</v>
      </c>
      <c r="Y155" s="215">
        <v>45040</v>
      </c>
      <c r="Z155" s="104">
        <v>2400367</v>
      </c>
      <c r="AA155" s="104">
        <v>359374</v>
      </c>
      <c r="AB155" s="104">
        <v>2759741</v>
      </c>
      <c r="AC155" s="104">
        <v>86.98</v>
      </c>
      <c r="AE155" s="215">
        <v>45040</v>
      </c>
      <c r="AF155" s="48">
        <v>1395580</v>
      </c>
      <c r="AG155" s="48">
        <v>11959</v>
      </c>
      <c r="AH155" s="48">
        <v>1407539</v>
      </c>
      <c r="AI155" s="48">
        <v>99.15</v>
      </c>
      <c r="AK155" s="215">
        <v>45040</v>
      </c>
      <c r="AL155" s="67">
        <v>873092</v>
      </c>
      <c r="AM155" s="67">
        <v>11</v>
      </c>
      <c r="AN155" s="67">
        <v>873103</v>
      </c>
      <c r="AO155" s="67">
        <v>100</v>
      </c>
      <c r="AQ155" s="215">
        <v>45040</v>
      </c>
      <c r="AR155" s="67">
        <v>820598</v>
      </c>
      <c r="AS155" s="67">
        <v>0</v>
      </c>
      <c r="AT155" s="67">
        <v>820598</v>
      </c>
      <c r="AU155" s="67">
        <v>100</v>
      </c>
      <c r="AX155" s="215">
        <v>45040</v>
      </c>
      <c r="AY155" s="67">
        <v>820598</v>
      </c>
      <c r="AZ155" s="67">
        <v>0</v>
      </c>
      <c r="BA155" s="67">
        <v>820598</v>
      </c>
      <c r="BB155" s="67">
        <v>100</v>
      </c>
    </row>
    <row r="156" spans="1:54" hidden="1" x14ac:dyDescent="0.25">
      <c r="A156" s="237">
        <v>45041</v>
      </c>
      <c r="B156" s="104">
        <f>5414466+6604586</f>
        <v>12019052</v>
      </c>
      <c r="C156" s="104">
        <f>500637+341944</f>
        <v>842581</v>
      </c>
      <c r="D156" s="104">
        <f>5915103+6946530</f>
        <v>12861633</v>
      </c>
      <c r="E156" s="114">
        <f>B156/D156%</f>
        <v>93.448880091664876</v>
      </c>
      <c r="G156" s="215">
        <v>45041</v>
      </c>
      <c r="H156" s="104">
        <f>4118338+871068</f>
        <v>4989406</v>
      </c>
      <c r="I156" s="104">
        <f>1403861+268253</f>
        <v>1672114</v>
      </c>
      <c r="J156" s="104">
        <f>5522199+1139321</f>
        <v>6661520</v>
      </c>
      <c r="K156" s="114">
        <f>H156/J156%</f>
        <v>74.898911960033146</v>
      </c>
      <c r="M156" s="215">
        <v>45041</v>
      </c>
      <c r="N156" s="104">
        <f>1264815+1197625</f>
        <v>2462440</v>
      </c>
      <c r="O156" s="104">
        <f>830438+410647</f>
        <v>1241085</v>
      </c>
      <c r="P156" s="104">
        <f>2095253+1608272</f>
        <v>3703525</v>
      </c>
      <c r="Q156" s="114">
        <f>N156/P156%</f>
        <v>66.489088098500758</v>
      </c>
      <c r="S156" s="215">
        <v>45041</v>
      </c>
      <c r="T156" s="104">
        <f>324386+14065</f>
        <v>338451</v>
      </c>
      <c r="U156" s="104">
        <f>547075+1436</f>
        <v>548511</v>
      </c>
      <c r="V156" s="104">
        <f>871461+15501</f>
        <v>886962</v>
      </c>
      <c r="W156" s="114">
        <f>T156/V156%</f>
        <v>38.158455491892546</v>
      </c>
      <c r="Y156" s="215">
        <v>45041</v>
      </c>
      <c r="Z156" s="104">
        <f>1432721+564073</f>
        <v>1996794</v>
      </c>
      <c r="AA156" s="104">
        <f>173777+12398</f>
        <v>186175</v>
      </c>
      <c r="AB156" s="104">
        <f>1606498+576471</f>
        <v>2182969</v>
      </c>
      <c r="AC156" s="114">
        <f>Z156/AB156%</f>
        <v>91.471477606873947</v>
      </c>
      <c r="AE156" s="215">
        <v>45041</v>
      </c>
      <c r="AF156" s="48">
        <f>530420+769013</f>
        <v>1299433</v>
      </c>
      <c r="AG156" s="48">
        <f>4563+13960</f>
        <v>18523</v>
      </c>
      <c r="AH156" s="48">
        <f>534983+782973</f>
        <v>1317956</v>
      </c>
      <c r="AI156" s="71">
        <f>AF156/AH156%</f>
        <v>98.59456613119103</v>
      </c>
      <c r="AK156" s="215">
        <v>45041</v>
      </c>
      <c r="AL156" s="67">
        <f>417374+473814</f>
        <v>891188</v>
      </c>
      <c r="AM156" s="67">
        <v>36</v>
      </c>
      <c r="AN156" s="67">
        <f>417374+473850</f>
        <v>891224</v>
      </c>
      <c r="AO156" s="238">
        <f>AL156/AN156%</f>
        <v>99.995960611473663</v>
      </c>
      <c r="AQ156" s="215">
        <v>45041</v>
      </c>
      <c r="AR156" s="67">
        <f>1534179+291648</f>
        <v>1825827</v>
      </c>
      <c r="AS156" s="67">
        <v>0</v>
      </c>
      <c r="AT156" s="67">
        <f>1534179+291648</f>
        <v>1825827</v>
      </c>
      <c r="AU156" s="67">
        <v>100</v>
      </c>
      <c r="AX156" s="215">
        <v>45041</v>
      </c>
      <c r="AY156" s="67">
        <f>1534179+291648</f>
        <v>1825827</v>
      </c>
      <c r="AZ156" s="67">
        <v>0</v>
      </c>
      <c r="BA156" s="67">
        <f>1534179+291648</f>
        <v>1825827</v>
      </c>
      <c r="BB156" s="67">
        <v>100</v>
      </c>
    </row>
    <row r="157" spans="1:54" hidden="1" x14ac:dyDescent="0.25">
      <c r="A157" s="237">
        <v>45042</v>
      </c>
      <c r="B157" s="104">
        <f>5192258+5578887</f>
        <v>10771145</v>
      </c>
      <c r="C157" s="104">
        <f>283425+385714</f>
        <v>669139</v>
      </c>
      <c r="D157" s="104">
        <f>5475683+5964601</f>
        <v>11440284</v>
      </c>
      <c r="E157" s="114">
        <f>B157/D157%</f>
        <v>94.151028068883605</v>
      </c>
      <c r="G157" s="215">
        <v>45042</v>
      </c>
      <c r="H157" s="104">
        <f>1332445+1292989</f>
        <v>2625434</v>
      </c>
      <c r="I157" s="104">
        <f>477182+1600370</f>
        <v>2077552</v>
      </c>
      <c r="J157" s="104">
        <f>1809627+2893359</f>
        <v>4702986</v>
      </c>
      <c r="K157" s="114">
        <f>H157/J157%</f>
        <v>55.824831288037004</v>
      </c>
      <c r="M157" s="215">
        <v>45042</v>
      </c>
      <c r="N157" s="104">
        <f>1611641+457267</f>
        <v>2068908</v>
      </c>
      <c r="O157" s="104">
        <f>1291866+908975</f>
        <v>2200841</v>
      </c>
      <c r="P157" s="104">
        <f>2903507+1366242</f>
        <v>4269749</v>
      </c>
      <c r="Q157" s="114">
        <f>N157/P157%</f>
        <v>48.455026279062309</v>
      </c>
      <c r="S157" s="215">
        <v>45042</v>
      </c>
      <c r="T157" s="104">
        <f>323802+18047</f>
        <v>341849</v>
      </c>
      <c r="U157" s="104">
        <f>537921+12975</f>
        <v>550896</v>
      </c>
      <c r="V157" s="104">
        <f>861723+31022</f>
        <v>892745</v>
      </c>
      <c r="W157" s="114">
        <f>T157/V157%</f>
        <v>38.291897462321266</v>
      </c>
      <c r="Y157" s="215">
        <v>45042</v>
      </c>
      <c r="Z157" s="104">
        <f>1333269+599853</f>
        <v>1933122</v>
      </c>
      <c r="AA157" s="104">
        <f>159581+81964</f>
        <v>241545</v>
      </c>
      <c r="AB157" s="104">
        <f>1492850+681817</f>
        <v>2174667</v>
      </c>
      <c r="AC157" s="114">
        <f>Z157/AB157%</f>
        <v>88.89278220527558</v>
      </c>
      <c r="AE157" s="215">
        <v>45042</v>
      </c>
      <c r="AF157" s="48">
        <f>31332+66569</f>
        <v>97901</v>
      </c>
      <c r="AG157" s="48">
        <f>1134+72019</f>
        <v>73153</v>
      </c>
      <c r="AH157" s="48">
        <f>32466+138588</f>
        <v>171054</v>
      </c>
      <c r="AI157" s="71">
        <f>AF157/AH157%</f>
        <v>57.233972897447593</v>
      </c>
      <c r="AK157" s="215">
        <v>45042</v>
      </c>
      <c r="AL157" s="67">
        <f>343654+31542</f>
        <v>375196</v>
      </c>
      <c r="AM157" s="67">
        <f>475+131</f>
        <v>606</v>
      </c>
      <c r="AN157" s="67">
        <f>344129+31673</f>
        <v>375802</v>
      </c>
      <c r="AO157" s="69">
        <f>AL157/AN157%</f>
        <v>99.838744870969293</v>
      </c>
      <c r="AQ157" s="215">
        <v>45042</v>
      </c>
      <c r="AR157" s="67">
        <f>607937+2059</f>
        <v>609996</v>
      </c>
      <c r="AS157" s="67">
        <f>1566+67</f>
        <v>1633</v>
      </c>
      <c r="AT157" s="67">
        <f>609503+2126</f>
        <v>611629</v>
      </c>
      <c r="AU157" s="69">
        <f>AR157/AT157%</f>
        <v>99.733008081696582</v>
      </c>
      <c r="AX157" s="215">
        <v>45042</v>
      </c>
      <c r="AY157" s="67">
        <f>607937+2059</f>
        <v>609996</v>
      </c>
      <c r="AZ157" s="67">
        <f>1566+67</f>
        <v>1633</v>
      </c>
      <c r="BA157" s="67">
        <f>609503+2126</f>
        <v>611629</v>
      </c>
      <c r="BB157" s="69">
        <f>AY157/BA157%</f>
        <v>99.733008081696582</v>
      </c>
    </row>
    <row r="158" spans="1:54" hidden="1" x14ac:dyDescent="0.25">
      <c r="A158" s="237">
        <v>45043</v>
      </c>
      <c r="B158" s="104">
        <v>12838547</v>
      </c>
      <c r="C158" s="104">
        <v>892020</v>
      </c>
      <c r="D158" s="104">
        <v>13730567</v>
      </c>
      <c r="E158" s="104">
        <v>93.5</v>
      </c>
      <c r="G158" s="215">
        <v>45043</v>
      </c>
      <c r="H158" s="104">
        <v>2523261</v>
      </c>
      <c r="I158" s="104">
        <v>937974</v>
      </c>
      <c r="J158" s="104">
        <v>3461235</v>
      </c>
      <c r="K158" s="104">
        <v>72.900000000000006</v>
      </c>
      <c r="M158" s="215">
        <v>45043</v>
      </c>
      <c r="N158" s="104">
        <v>2064331</v>
      </c>
      <c r="O158" s="104">
        <v>2216577</v>
      </c>
      <c r="P158" s="104">
        <v>4280908</v>
      </c>
      <c r="Q158" s="104">
        <v>48.22</v>
      </c>
      <c r="S158" s="215">
        <v>45043</v>
      </c>
      <c r="T158" s="104">
        <v>356402</v>
      </c>
      <c r="U158" s="104">
        <v>553986</v>
      </c>
      <c r="V158" s="104">
        <v>910388</v>
      </c>
      <c r="W158" s="104">
        <v>39.15</v>
      </c>
      <c r="Y158" s="215">
        <v>45043</v>
      </c>
      <c r="Z158" s="104">
        <v>2025428</v>
      </c>
      <c r="AA158" s="104">
        <v>237429</v>
      </c>
      <c r="AB158" s="104">
        <v>2262857</v>
      </c>
      <c r="AC158" s="104">
        <v>89.51</v>
      </c>
      <c r="AE158" s="215">
        <v>45043</v>
      </c>
      <c r="AF158" s="48">
        <v>81546</v>
      </c>
      <c r="AG158" s="48">
        <v>3352</v>
      </c>
      <c r="AH158" s="48">
        <v>84898</v>
      </c>
      <c r="AI158" s="48">
        <v>96.05</v>
      </c>
      <c r="AK158" s="215">
        <v>45043</v>
      </c>
      <c r="AL158" s="67">
        <v>1211515</v>
      </c>
      <c r="AM158" s="67">
        <v>0</v>
      </c>
      <c r="AN158" s="67">
        <v>1211515</v>
      </c>
      <c r="AO158" s="67">
        <v>100</v>
      </c>
      <c r="AQ158" s="215">
        <v>45043</v>
      </c>
      <c r="AR158" s="67">
        <v>1109960</v>
      </c>
      <c r="AS158" s="67">
        <v>0</v>
      </c>
      <c r="AT158" s="67">
        <v>1109960</v>
      </c>
      <c r="AU158" s="67">
        <v>100</v>
      </c>
      <c r="AX158" s="215">
        <v>45043</v>
      </c>
      <c r="AY158" s="67">
        <v>1109960</v>
      </c>
      <c r="AZ158" s="67">
        <v>0</v>
      </c>
      <c r="BA158" s="67">
        <v>1109960</v>
      </c>
      <c r="BB158" s="67">
        <v>100</v>
      </c>
    </row>
    <row r="159" spans="1:54" hidden="1" x14ac:dyDescent="0.25">
      <c r="A159" s="237">
        <v>45044</v>
      </c>
      <c r="B159" s="104">
        <v>13853435</v>
      </c>
      <c r="C159" s="104">
        <v>1212114</v>
      </c>
      <c r="D159" s="104">
        <v>15065549</v>
      </c>
      <c r="E159" s="104">
        <v>91.95</v>
      </c>
      <c r="G159" s="215">
        <v>45044</v>
      </c>
      <c r="H159" s="104">
        <v>3225644</v>
      </c>
      <c r="I159" s="104">
        <v>1261644</v>
      </c>
      <c r="J159" s="104">
        <v>4487288</v>
      </c>
      <c r="K159" s="104">
        <v>71.88</v>
      </c>
      <c r="M159" s="215">
        <v>45044</v>
      </c>
      <c r="N159" s="104">
        <v>2493246</v>
      </c>
      <c r="O159" s="104">
        <v>2664468</v>
      </c>
      <c r="P159" s="104">
        <v>5157714</v>
      </c>
      <c r="Q159" s="104">
        <v>48.34</v>
      </c>
      <c r="S159" s="215">
        <v>45044</v>
      </c>
      <c r="T159" s="104">
        <v>503388</v>
      </c>
      <c r="U159" s="104">
        <v>574352</v>
      </c>
      <c r="V159" s="104">
        <v>1077740</v>
      </c>
      <c r="W159" s="104">
        <v>46.7</v>
      </c>
      <c r="Y159" s="215">
        <v>45044</v>
      </c>
      <c r="Z159" s="104">
        <v>2263910</v>
      </c>
      <c r="AA159" s="104">
        <v>368395</v>
      </c>
      <c r="AB159" s="104">
        <v>2632305</v>
      </c>
      <c r="AC159" s="104">
        <v>86</v>
      </c>
      <c r="AE159" s="215">
        <v>45044</v>
      </c>
      <c r="AF159" s="48">
        <v>1462929</v>
      </c>
      <c r="AG159" s="48">
        <v>13483</v>
      </c>
      <c r="AH159" s="48">
        <v>1476412</v>
      </c>
      <c r="AI159" s="48">
        <v>99.08</v>
      </c>
      <c r="AK159" s="215">
        <v>45044</v>
      </c>
      <c r="AL159" s="67">
        <v>1322578</v>
      </c>
      <c r="AM159" s="67">
        <v>0</v>
      </c>
      <c r="AN159" s="67">
        <v>1322578</v>
      </c>
      <c r="AO159" s="67">
        <v>100</v>
      </c>
      <c r="AQ159" s="215">
        <v>45044</v>
      </c>
      <c r="AR159" s="67">
        <v>1418333</v>
      </c>
      <c r="AS159" s="67">
        <v>0</v>
      </c>
      <c r="AT159" s="67">
        <v>1418333</v>
      </c>
      <c r="AU159" s="67">
        <v>100</v>
      </c>
      <c r="AX159" s="215">
        <v>45044</v>
      </c>
      <c r="AY159" s="67">
        <v>1418333</v>
      </c>
      <c r="AZ159" s="67">
        <v>0</v>
      </c>
      <c r="BA159" s="67">
        <v>1418333</v>
      </c>
      <c r="BB159" s="67">
        <v>100</v>
      </c>
    </row>
    <row r="160" spans="1:54" hidden="1" x14ac:dyDescent="0.25">
      <c r="A160" s="237">
        <v>45045</v>
      </c>
      <c r="B160" s="104">
        <v>13449023</v>
      </c>
      <c r="C160" s="104">
        <v>1314725</v>
      </c>
      <c r="D160" s="104">
        <v>14763748</v>
      </c>
      <c r="E160" s="104">
        <v>91.09</v>
      </c>
      <c r="G160" s="215">
        <v>45045</v>
      </c>
      <c r="H160" s="104">
        <v>5160458</v>
      </c>
      <c r="I160" s="104">
        <v>2262828</v>
      </c>
      <c r="J160" s="104">
        <v>7423286</v>
      </c>
      <c r="K160" s="104">
        <v>69.510000000000005</v>
      </c>
      <c r="M160" s="215">
        <v>45045</v>
      </c>
      <c r="N160" s="104">
        <v>4108142</v>
      </c>
      <c r="O160" s="104">
        <v>2460889</v>
      </c>
      <c r="P160" s="104">
        <v>6569031</v>
      </c>
      <c r="Q160" s="104">
        <v>62.53</v>
      </c>
      <c r="S160" s="215">
        <v>45045</v>
      </c>
      <c r="T160" s="104">
        <v>421312</v>
      </c>
      <c r="U160" s="104">
        <v>584340</v>
      </c>
      <c r="V160" s="104">
        <v>1005652</v>
      </c>
      <c r="W160" s="104">
        <v>41.89</v>
      </c>
      <c r="Y160" s="215">
        <v>45045</v>
      </c>
      <c r="Z160" s="104">
        <v>2391311</v>
      </c>
      <c r="AA160" s="104">
        <v>391740</v>
      </c>
      <c r="AB160" s="104">
        <v>2783051</v>
      </c>
      <c r="AC160" s="104">
        <v>85.92</v>
      </c>
      <c r="AE160" s="215">
        <v>45045</v>
      </c>
      <c r="AF160" s="48">
        <v>1430314</v>
      </c>
      <c r="AG160" s="48">
        <v>13103</v>
      </c>
      <c r="AH160" s="48">
        <v>1443417</v>
      </c>
      <c r="AI160" s="48">
        <v>99.09</v>
      </c>
      <c r="AK160" s="215">
        <v>45045</v>
      </c>
      <c r="AL160" s="67">
        <v>1190695</v>
      </c>
      <c r="AM160" s="67">
        <v>0</v>
      </c>
      <c r="AN160" s="67">
        <v>1190695</v>
      </c>
      <c r="AO160" s="67">
        <v>100</v>
      </c>
      <c r="AQ160" s="215">
        <v>45045</v>
      </c>
      <c r="AR160" s="67">
        <v>2042510</v>
      </c>
      <c r="AS160" s="67">
        <v>0</v>
      </c>
      <c r="AT160" s="67">
        <v>2042510</v>
      </c>
      <c r="AU160" s="67">
        <v>100</v>
      </c>
      <c r="AX160" s="215">
        <v>45045</v>
      </c>
      <c r="AY160" s="67">
        <v>2042510</v>
      </c>
      <c r="AZ160" s="67">
        <v>0</v>
      </c>
      <c r="BA160" s="67">
        <v>2042510</v>
      </c>
      <c r="BB160" s="67">
        <v>100</v>
      </c>
    </row>
    <row r="161" spans="1:54" hidden="1" x14ac:dyDescent="0.25">
      <c r="A161" s="237">
        <v>45046</v>
      </c>
      <c r="B161" s="104">
        <v>11475187</v>
      </c>
      <c r="C161" s="104">
        <v>1172472</v>
      </c>
      <c r="D161" s="104">
        <v>12647659</v>
      </c>
      <c r="E161" s="104">
        <v>90.72</v>
      </c>
      <c r="G161" s="215">
        <v>45046</v>
      </c>
      <c r="H161" s="104">
        <v>3619177</v>
      </c>
      <c r="I161" s="104">
        <v>1580873</v>
      </c>
      <c r="J161" s="104">
        <v>5200050</v>
      </c>
      <c r="K161" s="104">
        <v>69.59</v>
      </c>
      <c r="M161" s="215">
        <v>45046</v>
      </c>
      <c r="N161" s="104">
        <v>1181223</v>
      </c>
      <c r="O161" s="104">
        <v>1008518</v>
      </c>
      <c r="P161" s="104">
        <v>2189741</v>
      </c>
      <c r="Q161" s="104">
        <v>53.94</v>
      </c>
      <c r="S161" s="215">
        <v>45046</v>
      </c>
      <c r="T161" s="104">
        <v>86458</v>
      </c>
      <c r="U161" s="104">
        <v>23677</v>
      </c>
      <c r="V161" s="104">
        <v>110135</v>
      </c>
      <c r="W161" s="104">
        <v>78.5</v>
      </c>
      <c r="Y161" s="215">
        <v>45046</v>
      </c>
      <c r="Z161" s="104">
        <v>2313779</v>
      </c>
      <c r="AA161" s="104">
        <v>398642</v>
      </c>
      <c r="AB161" s="104">
        <v>2712421</v>
      </c>
      <c r="AC161" s="104">
        <v>85.3</v>
      </c>
      <c r="AE161" s="215">
        <v>45046</v>
      </c>
      <c r="AF161" s="48">
        <v>1360795</v>
      </c>
      <c r="AG161" s="48">
        <v>11937</v>
      </c>
      <c r="AH161" s="48">
        <v>1372732</v>
      </c>
      <c r="AI161" s="48">
        <v>99.13</v>
      </c>
      <c r="AK161" s="215">
        <v>45046</v>
      </c>
      <c r="AL161" s="67">
        <v>1303485</v>
      </c>
      <c r="AM161" s="67">
        <v>0</v>
      </c>
      <c r="AN161" s="67">
        <v>1303485</v>
      </c>
      <c r="AO161" s="67">
        <v>100</v>
      </c>
      <c r="AQ161" s="215">
        <v>45046</v>
      </c>
      <c r="AR161" s="67">
        <v>1484699</v>
      </c>
      <c r="AS161" s="67">
        <v>2</v>
      </c>
      <c r="AT161" s="67">
        <v>1484701</v>
      </c>
      <c r="AU161" s="67">
        <v>100</v>
      </c>
      <c r="AX161" s="215">
        <v>45046</v>
      </c>
      <c r="AY161" s="67">
        <v>1484699</v>
      </c>
      <c r="AZ161" s="67">
        <v>2</v>
      </c>
      <c r="BA161" s="67">
        <v>1484701</v>
      </c>
      <c r="BB161" s="67">
        <v>100</v>
      </c>
    </row>
    <row r="162" spans="1:54" hidden="1" x14ac:dyDescent="0.25">
      <c r="A162" s="237">
        <v>45047</v>
      </c>
      <c r="B162" s="104">
        <v>12957803</v>
      </c>
      <c r="C162" s="104">
        <v>1097045</v>
      </c>
      <c r="D162" s="104">
        <v>14054848</v>
      </c>
      <c r="E162" s="104">
        <v>92.19</v>
      </c>
      <c r="G162" s="215">
        <v>45047</v>
      </c>
      <c r="H162" s="104">
        <v>695758</v>
      </c>
      <c r="I162" s="104">
        <v>400273</v>
      </c>
      <c r="J162" s="104">
        <v>1096031</v>
      </c>
      <c r="K162" s="104">
        <v>63.48</v>
      </c>
      <c r="M162" s="215">
        <v>45047</v>
      </c>
      <c r="N162" s="104">
        <v>2021972</v>
      </c>
      <c r="O162" s="104">
        <v>2147987</v>
      </c>
      <c r="P162" s="104">
        <v>4169959</v>
      </c>
      <c r="Q162" s="104">
        <v>48.49</v>
      </c>
      <c r="S162" s="215">
        <v>45047</v>
      </c>
      <c r="T162" s="104">
        <v>376039</v>
      </c>
      <c r="U162" s="104">
        <v>552036</v>
      </c>
      <c r="V162" s="104">
        <v>928075</v>
      </c>
      <c r="W162" s="104">
        <v>40.520000000000003</v>
      </c>
      <c r="Y162" s="215">
        <v>45047</v>
      </c>
      <c r="Z162" s="104">
        <v>2398452</v>
      </c>
      <c r="AA162" s="104">
        <v>370849</v>
      </c>
      <c r="AB162" s="104">
        <v>2769301</v>
      </c>
      <c r="AC162" s="104">
        <v>86.61</v>
      </c>
      <c r="AE162" s="215">
        <v>45047</v>
      </c>
      <c r="AF162" s="48">
        <v>1318592</v>
      </c>
      <c r="AG162" s="48">
        <v>12159</v>
      </c>
      <c r="AH162" s="48">
        <v>1330751</v>
      </c>
      <c r="AI162" s="48">
        <v>99.09</v>
      </c>
      <c r="AK162" s="215">
        <v>45047</v>
      </c>
      <c r="AL162" s="67">
        <v>931355</v>
      </c>
      <c r="AM162" s="67">
        <v>1</v>
      </c>
      <c r="AN162" s="67">
        <v>931356</v>
      </c>
      <c r="AO162" s="67">
        <v>100</v>
      </c>
      <c r="AQ162" s="215">
        <v>45047</v>
      </c>
      <c r="AR162" s="67">
        <v>286830</v>
      </c>
      <c r="AS162" s="67">
        <v>0</v>
      </c>
      <c r="AT162" s="67">
        <v>286830</v>
      </c>
      <c r="AU162" s="67">
        <v>100</v>
      </c>
      <c r="AX162" s="215">
        <v>45047</v>
      </c>
      <c r="AY162" s="67">
        <v>286830</v>
      </c>
      <c r="AZ162" s="67">
        <v>0</v>
      </c>
      <c r="BA162" s="67">
        <v>286830</v>
      </c>
      <c r="BB162" s="67">
        <v>100</v>
      </c>
    </row>
    <row r="163" spans="1:54" hidden="1" x14ac:dyDescent="0.25">
      <c r="A163" s="237">
        <v>45048</v>
      </c>
      <c r="B163" s="104">
        <v>14220869</v>
      </c>
      <c r="C163" s="104">
        <v>1160514</v>
      </c>
      <c r="D163" s="104">
        <v>15381383</v>
      </c>
      <c r="E163" s="104">
        <v>92.46</v>
      </c>
      <c r="G163" s="215">
        <v>45048</v>
      </c>
      <c r="H163" s="104">
        <v>1848631</v>
      </c>
      <c r="I163" s="104">
        <v>886751</v>
      </c>
      <c r="J163" s="104">
        <v>2735382</v>
      </c>
      <c r="K163" s="104">
        <v>67.58</v>
      </c>
      <c r="M163" s="215">
        <v>45048</v>
      </c>
      <c r="N163" s="104">
        <v>1998080</v>
      </c>
      <c r="O163" s="104">
        <v>2029602</v>
      </c>
      <c r="P163" s="104">
        <v>4027682</v>
      </c>
      <c r="Q163" s="104">
        <v>49.61</v>
      </c>
      <c r="S163" s="215">
        <v>45048</v>
      </c>
      <c r="T163" s="104">
        <v>348716</v>
      </c>
      <c r="U163" s="104">
        <v>548498</v>
      </c>
      <c r="V163" s="104">
        <v>897214</v>
      </c>
      <c r="W163" s="104">
        <v>38.869999999999997</v>
      </c>
      <c r="Y163" s="215">
        <v>45048</v>
      </c>
      <c r="Z163" s="104">
        <v>2186469</v>
      </c>
      <c r="AA163" s="104">
        <v>372546</v>
      </c>
      <c r="AB163" s="104">
        <v>2559015</v>
      </c>
      <c r="AC163" s="104">
        <v>85.44</v>
      </c>
      <c r="AE163" s="215">
        <v>45048</v>
      </c>
      <c r="AF163" s="48">
        <v>1429557</v>
      </c>
      <c r="AG163" s="48">
        <v>13958</v>
      </c>
      <c r="AH163" s="48">
        <v>1443515</v>
      </c>
      <c r="AI163" s="48">
        <v>99.03</v>
      </c>
      <c r="AK163" s="215">
        <v>45048</v>
      </c>
      <c r="AL163" s="67">
        <v>1339766</v>
      </c>
      <c r="AM163" s="67">
        <v>0</v>
      </c>
      <c r="AN163" s="67">
        <v>1339766</v>
      </c>
      <c r="AO163" s="67">
        <v>100</v>
      </c>
      <c r="AQ163" s="215">
        <v>45048</v>
      </c>
      <c r="AR163" s="67">
        <v>766547</v>
      </c>
      <c r="AS163" s="67">
        <v>0</v>
      </c>
      <c r="AT163" s="67">
        <v>766547</v>
      </c>
      <c r="AU163" s="67">
        <v>100</v>
      </c>
      <c r="AX163" s="215">
        <v>45048</v>
      </c>
      <c r="AY163" s="67">
        <v>766547</v>
      </c>
      <c r="AZ163" s="67">
        <v>0</v>
      </c>
      <c r="BA163" s="67">
        <v>766547</v>
      </c>
      <c r="BB163" s="67">
        <v>100</v>
      </c>
    </row>
    <row r="164" spans="1:54" hidden="1" x14ac:dyDescent="0.25">
      <c r="A164" s="237">
        <v>45049</v>
      </c>
      <c r="B164" s="104">
        <v>13438223</v>
      </c>
      <c r="C164" s="104">
        <v>1161094</v>
      </c>
      <c r="D164" s="104">
        <v>14599317</v>
      </c>
      <c r="E164" s="104">
        <v>92.05</v>
      </c>
      <c r="G164" s="215">
        <v>45049</v>
      </c>
      <c r="H164" s="104">
        <v>1850882</v>
      </c>
      <c r="I164" s="104">
        <v>819869</v>
      </c>
      <c r="J164" s="104">
        <v>2670751</v>
      </c>
      <c r="K164" s="104">
        <v>69.3</v>
      </c>
      <c r="M164" s="215">
        <v>45049</v>
      </c>
      <c r="N164" s="104">
        <v>2729592</v>
      </c>
      <c r="O164" s="104">
        <v>1758789</v>
      </c>
      <c r="P164" s="104">
        <v>4488381</v>
      </c>
      <c r="Q164" s="104">
        <v>60.81</v>
      </c>
      <c r="S164" s="215">
        <v>45049</v>
      </c>
      <c r="T164" s="104">
        <v>1427764</v>
      </c>
      <c r="U164" s="104">
        <v>753948</v>
      </c>
      <c r="V164" s="104">
        <v>2181712</v>
      </c>
      <c r="W164" s="104">
        <v>65.44</v>
      </c>
      <c r="Y164" s="215">
        <v>45049</v>
      </c>
      <c r="Z164" s="104">
        <v>2130197</v>
      </c>
      <c r="AA164" s="104">
        <v>378266</v>
      </c>
      <c r="AB164" s="104">
        <v>2508463</v>
      </c>
      <c r="AC164" s="104">
        <v>84.92</v>
      </c>
      <c r="AE164" s="215">
        <v>45049</v>
      </c>
      <c r="AF164" s="48">
        <v>1301151</v>
      </c>
      <c r="AG164" s="48">
        <v>12232</v>
      </c>
      <c r="AH164" s="48">
        <v>1313383</v>
      </c>
      <c r="AI164" s="48">
        <v>99.07</v>
      </c>
      <c r="AK164" s="215">
        <v>45049</v>
      </c>
      <c r="AL164" s="67">
        <v>1030802</v>
      </c>
      <c r="AM164" s="67">
        <v>0</v>
      </c>
      <c r="AN164" s="67">
        <v>1030802</v>
      </c>
      <c r="AO164" s="67">
        <v>100</v>
      </c>
      <c r="AQ164" s="215">
        <v>45049</v>
      </c>
      <c r="AR164" s="67">
        <v>772316</v>
      </c>
      <c r="AS164" s="67">
        <v>0</v>
      </c>
      <c r="AT164" s="67">
        <v>772316</v>
      </c>
      <c r="AU164" s="67">
        <v>100</v>
      </c>
      <c r="AX164" s="215">
        <v>45049</v>
      </c>
      <c r="AY164" s="67">
        <v>772316</v>
      </c>
      <c r="AZ164" s="67">
        <v>0</v>
      </c>
      <c r="BA164" s="67">
        <v>772316</v>
      </c>
      <c r="BB164" s="67">
        <v>100</v>
      </c>
    </row>
    <row r="165" spans="1:54" hidden="1" x14ac:dyDescent="0.25">
      <c r="A165" s="237">
        <v>45050</v>
      </c>
      <c r="B165" s="104">
        <v>13419094</v>
      </c>
      <c r="C165" s="104">
        <v>1148849</v>
      </c>
      <c r="D165" s="104">
        <v>14567943</v>
      </c>
      <c r="E165" s="104">
        <v>92.11</v>
      </c>
      <c r="G165" s="215">
        <v>45050</v>
      </c>
      <c r="H165" s="104">
        <v>1921043</v>
      </c>
      <c r="I165" s="104">
        <v>840935</v>
      </c>
      <c r="J165" s="104">
        <v>2761978</v>
      </c>
      <c r="K165" s="104">
        <v>69.55</v>
      </c>
      <c r="M165" s="215">
        <v>45050</v>
      </c>
      <c r="N165" s="104">
        <v>2853960</v>
      </c>
      <c r="O165" s="104">
        <v>2346305</v>
      </c>
      <c r="P165" s="104">
        <v>5200265</v>
      </c>
      <c r="Q165" s="104">
        <v>54.88</v>
      </c>
      <c r="S165" s="215">
        <v>45050</v>
      </c>
      <c r="T165" s="104">
        <v>1088423</v>
      </c>
      <c r="U165" s="104">
        <v>774884</v>
      </c>
      <c r="V165" s="104">
        <v>1863307</v>
      </c>
      <c r="W165" s="104">
        <v>58.41</v>
      </c>
      <c r="Y165" s="215">
        <v>45050</v>
      </c>
      <c r="Z165" s="104">
        <v>2571306</v>
      </c>
      <c r="AA165" s="104">
        <v>372406</v>
      </c>
      <c r="AB165" s="104">
        <v>2943712</v>
      </c>
      <c r="AC165" s="104">
        <v>87.35</v>
      </c>
      <c r="AE165" s="215">
        <v>45050</v>
      </c>
      <c r="AF165" s="48">
        <v>1207708</v>
      </c>
      <c r="AG165" s="48">
        <v>10469</v>
      </c>
      <c r="AH165" s="48">
        <v>1218177</v>
      </c>
      <c r="AI165" s="48">
        <v>99.14</v>
      </c>
      <c r="AK165" s="215">
        <v>45050</v>
      </c>
      <c r="AL165" s="67">
        <v>948172</v>
      </c>
      <c r="AM165" s="67">
        <v>0</v>
      </c>
      <c r="AN165" s="67">
        <v>948172</v>
      </c>
      <c r="AO165" s="67">
        <v>100</v>
      </c>
      <c r="AQ165" s="215">
        <v>45050</v>
      </c>
      <c r="AR165" s="67">
        <v>776934</v>
      </c>
      <c r="AS165" s="67">
        <v>0</v>
      </c>
      <c r="AT165" s="67">
        <v>776934</v>
      </c>
      <c r="AU165" s="67">
        <v>100</v>
      </c>
      <c r="AX165" s="215">
        <v>45050</v>
      </c>
      <c r="AY165" s="67">
        <v>776934</v>
      </c>
      <c r="AZ165" s="67">
        <v>0</v>
      </c>
      <c r="BA165" s="67">
        <v>776934</v>
      </c>
      <c r="BB165" s="67">
        <v>100</v>
      </c>
    </row>
    <row r="166" spans="1:54" hidden="1" x14ac:dyDescent="0.25">
      <c r="A166" s="237">
        <v>45051</v>
      </c>
      <c r="B166" s="104">
        <v>13951252</v>
      </c>
      <c r="C166" s="104">
        <v>1229592</v>
      </c>
      <c r="D166" s="104">
        <v>15180844</v>
      </c>
      <c r="E166" s="104">
        <v>91.9</v>
      </c>
      <c r="G166" s="215">
        <v>45051</v>
      </c>
      <c r="H166" s="104">
        <v>3459150</v>
      </c>
      <c r="I166" s="104">
        <v>1426942</v>
      </c>
      <c r="J166" s="104">
        <v>4886092</v>
      </c>
      <c r="K166" s="104">
        <v>70.790000000000006</v>
      </c>
      <c r="M166" s="215">
        <v>45051</v>
      </c>
      <c r="N166" s="104">
        <v>2853960</v>
      </c>
      <c r="O166" s="104">
        <v>2346305</v>
      </c>
      <c r="P166" s="104">
        <v>5200265</v>
      </c>
      <c r="Q166" s="104">
        <v>54.88</v>
      </c>
      <c r="S166" s="215">
        <v>45051</v>
      </c>
      <c r="T166" s="104">
        <v>2639722</v>
      </c>
      <c r="U166" s="104">
        <v>1026999</v>
      </c>
      <c r="V166" s="104">
        <v>3666721</v>
      </c>
      <c r="W166" s="104">
        <v>71.989999999999995</v>
      </c>
      <c r="Y166" s="215">
        <v>45051</v>
      </c>
      <c r="Z166" s="104">
        <v>2184699</v>
      </c>
      <c r="AA166" s="104">
        <v>378972</v>
      </c>
      <c r="AB166" s="104">
        <v>2563671</v>
      </c>
      <c r="AC166" s="104">
        <v>85.21</v>
      </c>
      <c r="AE166" s="215">
        <v>45051</v>
      </c>
      <c r="AF166" s="48">
        <v>1254655</v>
      </c>
      <c r="AG166" s="48">
        <v>11389</v>
      </c>
      <c r="AH166" s="48">
        <v>1266044</v>
      </c>
      <c r="AI166" s="48">
        <v>99.1</v>
      </c>
      <c r="AK166" s="215">
        <v>45051</v>
      </c>
      <c r="AL166" s="67">
        <v>1161925</v>
      </c>
      <c r="AM166" s="67">
        <v>0</v>
      </c>
      <c r="AN166" s="67">
        <v>1161925</v>
      </c>
      <c r="AO166" s="67">
        <v>100</v>
      </c>
      <c r="AQ166" s="215">
        <v>45051</v>
      </c>
      <c r="AR166" s="67">
        <v>1521262</v>
      </c>
      <c r="AS166" s="67">
        <v>0</v>
      </c>
      <c r="AT166" s="67">
        <v>1521262</v>
      </c>
      <c r="AU166" s="67">
        <v>100</v>
      </c>
      <c r="AX166" s="215">
        <v>45051</v>
      </c>
      <c r="AY166" s="67">
        <v>1521262</v>
      </c>
      <c r="AZ166" s="67">
        <v>0</v>
      </c>
      <c r="BA166" s="67">
        <v>1521262</v>
      </c>
      <c r="BB166" s="67">
        <v>100</v>
      </c>
    </row>
    <row r="167" spans="1:54" hidden="1" x14ac:dyDescent="0.25">
      <c r="A167" s="237">
        <v>45052</v>
      </c>
      <c r="B167" s="104">
        <v>13689757</v>
      </c>
      <c r="C167" s="104">
        <v>1192915</v>
      </c>
      <c r="D167" s="104">
        <v>14882672</v>
      </c>
      <c r="E167" s="104">
        <v>91.98</v>
      </c>
      <c r="G167" s="215">
        <v>45052</v>
      </c>
      <c r="H167" s="104">
        <v>2424099</v>
      </c>
      <c r="I167" s="104">
        <v>1182136</v>
      </c>
      <c r="J167" s="104">
        <v>3606235</v>
      </c>
      <c r="K167" s="104">
        <v>67.209999999999994</v>
      </c>
      <c r="M167" s="215">
        <v>45052</v>
      </c>
      <c r="N167" s="104">
        <v>2064288</v>
      </c>
      <c r="O167" s="104">
        <v>1882278</v>
      </c>
      <c r="P167" s="104">
        <v>3946566</v>
      </c>
      <c r="Q167" s="104">
        <v>52.3</v>
      </c>
      <c r="S167" s="215">
        <v>45052</v>
      </c>
      <c r="T167" s="104">
        <v>2595362</v>
      </c>
      <c r="U167" s="104">
        <v>803394</v>
      </c>
      <c r="V167" s="104">
        <v>3398756</v>
      </c>
      <c r="W167" s="104">
        <v>76.36</v>
      </c>
      <c r="Y167" s="215">
        <v>45052</v>
      </c>
      <c r="Z167" s="104">
        <v>2041625</v>
      </c>
      <c r="AA167" s="104">
        <v>358604</v>
      </c>
      <c r="AB167" s="104">
        <v>2400229</v>
      </c>
      <c r="AC167" s="104">
        <v>85.05</v>
      </c>
      <c r="AE167" s="215">
        <v>45052</v>
      </c>
      <c r="AF167" s="48">
        <v>1248532</v>
      </c>
      <c r="AG167" s="48">
        <v>9571</v>
      </c>
      <c r="AH167" s="48">
        <v>1258103</v>
      </c>
      <c r="AI167" s="48">
        <v>99.23</v>
      </c>
      <c r="AK167" s="215">
        <v>45052</v>
      </c>
      <c r="AL167" s="67">
        <v>1145748</v>
      </c>
      <c r="AM167" s="67">
        <v>0</v>
      </c>
      <c r="AN167" s="67">
        <v>1145748</v>
      </c>
      <c r="AO167" s="67">
        <v>100</v>
      </c>
      <c r="AQ167" s="215">
        <v>45052</v>
      </c>
      <c r="AR167" s="67">
        <v>1034152</v>
      </c>
      <c r="AS167" s="67">
        <v>0</v>
      </c>
      <c r="AT167" s="67">
        <v>1034152</v>
      </c>
      <c r="AU167" s="67">
        <v>100</v>
      </c>
      <c r="AX167" s="215">
        <v>45052</v>
      </c>
      <c r="AY167" s="67">
        <v>1034152</v>
      </c>
      <c r="AZ167" s="67">
        <v>0</v>
      </c>
      <c r="BA167" s="67">
        <v>1034152</v>
      </c>
      <c r="BB167" s="67">
        <v>100</v>
      </c>
    </row>
    <row r="168" spans="1:54" hidden="1" x14ac:dyDescent="0.25">
      <c r="A168" s="237">
        <v>45053</v>
      </c>
      <c r="B168" s="104">
        <v>11477213</v>
      </c>
      <c r="C168" s="104">
        <v>1140081</v>
      </c>
      <c r="D168" s="104">
        <v>12617294</v>
      </c>
      <c r="E168" s="104">
        <v>90.96</v>
      </c>
      <c r="G168" s="215">
        <v>45053</v>
      </c>
      <c r="H168" s="104">
        <v>2360825</v>
      </c>
      <c r="I168" s="104">
        <v>1085541</v>
      </c>
      <c r="J168" s="104">
        <v>3446366</v>
      </c>
      <c r="K168" s="104">
        <v>68.5</v>
      </c>
      <c r="M168" s="215">
        <v>45053</v>
      </c>
      <c r="N168" s="104">
        <v>1604388</v>
      </c>
      <c r="O168" s="104">
        <v>1030602</v>
      </c>
      <c r="P168" s="104">
        <v>2634990</v>
      </c>
      <c r="Q168" s="104">
        <v>60.88</v>
      </c>
      <c r="S168" s="215">
        <v>45053</v>
      </c>
      <c r="T168" s="104">
        <v>92150</v>
      </c>
      <c r="U168" s="104">
        <v>17523</v>
      </c>
      <c r="V168" s="104">
        <v>109673</v>
      </c>
      <c r="W168" s="104">
        <v>84.02</v>
      </c>
      <c r="Y168" s="215">
        <v>45053</v>
      </c>
      <c r="Z168" s="104">
        <v>2059039</v>
      </c>
      <c r="AA168" s="104">
        <v>328769</v>
      </c>
      <c r="AB168" s="104">
        <v>2387808</v>
      </c>
      <c r="AC168" s="104">
        <v>86.23</v>
      </c>
      <c r="AE168" s="215">
        <v>45053</v>
      </c>
      <c r="AF168" s="48">
        <v>1223527</v>
      </c>
      <c r="AG168" s="48">
        <v>10286</v>
      </c>
      <c r="AH168" s="48">
        <v>1233813</v>
      </c>
      <c r="AI168" s="48">
        <v>99.16</v>
      </c>
      <c r="AK168" s="215">
        <v>45053</v>
      </c>
      <c r="AL168" s="67">
        <v>1034095</v>
      </c>
      <c r="AM168" s="67">
        <v>0</v>
      </c>
      <c r="AN168" s="67">
        <v>1034095</v>
      </c>
      <c r="AO168" s="67">
        <v>100</v>
      </c>
      <c r="AQ168" s="215">
        <v>45053</v>
      </c>
      <c r="AR168" s="67">
        <v>1016083</v>
      </c>
      <c r="AS168" s="67">
        <v>0</v>
      </c>
      <c r="AT168" s="67">
        <v>1016083</v>
      </c>
      <c r="AU168" s="67">
        <v>100</v>
      </c>
      <c r="AX168" s="215">
        <v>45053</v>
      </c>
      <c r="AY168" s="67">
        <v>1016083</v>
      </c>
      <c r="AZ168" s="67">
        <v>0</v>
      </c>
      <c r="BA168" s="67">
        <v>1016083</v>
      </c>
      <c r="BB168" s="67">
        <v>100</v>
      </c>
    </row>
    <row r="169" spans="1:54" hidden="1" x14ac:dyDescent="0.25">
      <c r="A169" s="237">
        <v>45054</v>
      </c>
      <c r="B169" s="104">
        <v>14267269</v>
      </c>
      <c r="C169" s="104">
        <v>1158617</v>
      </c>
      <c r="D169" s="104">
        <v>15425886</v>
      </c>
      <c r="E169" s="104">
        <v>92.49</v>
      </c>
      <c r="G169" s="215">
        <v>45054</v>
      </c>
      <c r="H169" s="104">
        <v>2358816</v>
      </c>
      <c r="I169" s="104">
        <v>1052509</v>
      </c>
      <c r="J169" s="104">
        <v>3411325</v>
      </c>
      <c r="K169" s="104">
        <v>69.150000000000006</v>
      </c>
      <c r="M169" s="215">
        <v>45054</v>
      </c>
      <c r="N169" s="104">
        <v>2786366</v>
      </c>
      <c r="O169" s="104">
        <v>2351809</v>
      </c>
      <c r="P169" s="104">
        <v>5138175</v>
      </c>
      <c r="Q169" s="104">
        <v>54.23</v>
      </c>
      <c r="S169" s="215">
        <v>45054</v>
      </c>
      <c r="T169" s="104">
        <v>2425696</v>
      </c>
      <c r="U169" s="104">
        <v>1005127</v>
      </c>
      <c r="V169" s="104">
        <v>3430823</v>
      </c>
      <c r="W169" s="104">
        <v>70.7</v>
      </c>
      <c r="Y169" s="215">
        <v>45054</v>
      </c>
      <c r="Z169" s="104">
        <v>1873921</v>
      </c>
      <c r="AA169" s="104">
        <v>324950</v>
      </c>
      <c r="AB169" s="104">
        <v>2198871</v>
      </c>
      <c r="AC169" s="104">
        <v>85.22</v>
      </c>
      <c r="AE169" s="215">
        <v>45054</v>
      </c>
      <c r="AF169" s="48">
        <v>1262892</v>
      </c>
      <c r="AG169" s="48">
        <v>11075</v>
      </c>
      <c r="AH169" s="48">
        <v>1273967</v>
      </c>
      <c r="AI169" s="48">
        <v>99.13</v>
      </c>
      <c r="AK169" s="215">
        <v>45054</v>
      </c>
      <c r="AL169" s="67">
        <v>950284</v>
      </c>
      <c r="AM169" s="67">
        <v>0</v>
      </c>
      <c r="AN169" s="67">
        <v>950284</v>
      </c>
      <c r="AO169" s="67">
        <v>100</v>
      </c>
      <c r="AQ169" s="215">
        <v>45054</v>
      </c>
      <c r="AR169" s="67">
        <v>1024792</v>
      </c>
      <c r="AS169" s="67">
        <v>0</v>
      </c>
      <c r="AT169" s="67">
        <v>1024792</v>
      </c>
      <c r="AU169" s="67">
        <v>100</v>
      </c>
      <c r="AX169" s="215">
        <v>45054</v>
      </c>
      <c r="AY169" s="67">
        <v>1024792</v>
      </c>
      <c r="AZ169" s="67">
        <v>0</v>
      </c>
      <c r="BA169" s="67">
        <v>1024792</v>
      </c>
      <c r="BB169" s="67">
        <v>100</v>
      </c>
    </row>
    <row r="170" spans="1:54" hidden="1" x14ac:dyDescent="0.25">
      <c r="A170" s="237">
        <v>45055</v>
      </c>
      <c r="B170" s="104">
        <v>14186023</v>
      </c>
      <c r="C170" s="104">
        <v>1279409</v>
      </c>
      <c r="D170" s="104">
        <v>15465432</v>
      </c>
      <c r="E170" s="104">
        <v>91.73</v>
      </c>
      <c r="G170" s="215">
        <v>45055</v>
      </c>
      <c r="H170" s="104">
        <v>5091616</v>
      </c>
      <c r="I170" s="104">
        <v>1965865</v>
      </c>
      <c r="J170" s="104">
        <v>7057481</v>
      </c>
      <c r="K170" s="104">
        <v>72.14</v>
      </c>
      <c r="M170" s="215">
        <v>45055</v>
      </c>
      <c r="N170" s="104">
        <v>3303482</v>
      </c>
      <c r="O170" s="104">
        <v>3671126</v>
      </c>
      <c r="P170" s="104">
        <v>6974608</v>
      </c>
      <c r="Q170" s="104">
        <v>47.36</v>
      </c>
      <c r="S170" s="215">
        <v>45055</v>
      </c>
      <c r="T170" s="104">
        <v>2351910</v>
      </c>
      <c r="U170" s="104">
        <v>869813</v>
      </c>
      <c r="V170" s="104">
        <v>3221723</v>
      </c>
      <c r="W170" s="104">
        <v>73</v>
      </c>
      <c r="Y170" s="215">
        <v>45055</v>
      </c>
      <c r="Z170" s="104">
        <v>2146681</v>
      </c>
      <c r="AA170" s="104">
        <v>313820</v>
      </c>
      <c r="AB170" s="104">
        <v>2460501</v>
      </c>
      <c r="AC170" s="104">
        <v>87.25</v>
      </c>
      <c r="AE170" s="215">
        <v>45055</v>
      </c>
      <c r="AF170" s="48">
        <v>1430512</v>
      </c>
      <c r="AG170" s="48">
        <v>12234</v>
      </c>
      <c r="AH170" s="48">
        <v>1442746</v>
      </c>
      <c r="AI170" s="48">
        <v>99.15</v>
      </c>
      <c r="AK170" s="215">
        <v>45055</v>
      </c>
      <c r="AL170" s="67">
        <v>741804</v>
      </c>
      <c r="AM170" s="67">
        <v>0</v>
      </c>
      <c r="AN170" s="67">
        <v>741804</v>
      </c>
      <c r="AO170" s="67">
        <v>100</v>
      </c>
      <c r="AQ170" s="215">
        <v>45055</v>
      </c>
      <c r="AR170" s="67">
        <v>2065106</v>
      </c>
      <c r="AS170" s="67">
        <v>0</v>
      </c>
      <c r="AT170" s="67">
        <v>2065106</v>
      </c>
      <c r="AU170" s="67">
        <v>100</v>
      </c>
      <c r="AX170" s="215">
        <v>45055</v>
      </c>
      <c r="AY170" s="67">
        <v>2065106</v>
      </c>
      <c r="AZ170" s="67">
        <v>0</v>
      </c>
      <c r="BA170" s="67">
        <v>2065106</v>
      </c>
      <c r="BB170" s="67">
        <v>100</v>
      </c>
    </row>
    <row r="171" spans="1:54" hidden="1" x14ac:dyDescent="0.25">
      <c r="A171" s="237">
        <v>45056</v>
      </c>
      <c r="B171" s="104">
        <v>13272120</v>
      </c>
      <c r="C171" s="104">
        <v>1167023</v>
      </c>
      <c r="D171" s="104">
        <v>14439143</v>
      </c>
      <c r="E171" s="104">
        <v>91.92</v>
      </c>
      <c r="G171" s="215">
        <v>45056</v>
      </c>
      <c r="H171" s="104">
        <v>3812938</v>
      </c>
      <c r="I171" s="104">
        <v>1643181</v>
      </c>
      <c r="J171" s="104">
        <v>5456119</v>
      </c>
      <c r="K171" s="104">
        <v>69.88</v>
      </c>
      <c r="M171" s="215">
        <v>45056</v>
      </c>
      <c r="N171" s="104">
        <v>2999952</v>
      </c>
      <c r="O171" s="104">
        <v>2513766</v>
      </c>
      <c r="P171" s="104">
        <v>5513718</v>
      </c>
      <c r="Q171" s="104">
        <v>54.41</v>
      </c>
      <c r="S171" s="215">
        <v>45056</v>
      </c>
      <c r="T171" s="104">
        <v>2281397</v>
      </c>
      <c r="U171" s="104">
        <v>838363</v>
      </c>
      <c r="V171" s="104">
        <v>3119760</v>
      </c>
      <c r="W171" s="104">
        <v>73.13</v>
      </c>
      <c r="Y171" s="215">
        <v>45056</v>
      </c>
      <c r="Z171" s="104">
        <v>1955436</v>
      </c>
      <c r="AA171" s="104">
        <v>321761</v>
      </c>
      <c r="AB171" s="104">
        <v>2277197</v>
      </c>
      <c r="AC171" s="104">
        <v>85.87</v>
      </c>
      <c r="AE171" s="215">
        <v>45056</v>
      </c>
      <c r="AF171" s="48">
        <v>1262222</v>
      </c>
      <c r="AG171" s="48">
        <v>12006</v>
      </c>
      <c r="AH171" s="48">
        <v>1274228</v>
      </c>
      <c r="AI171" s="48">
        <v>99.06</v>
      </c>
      <c r="AK171" s="215">
        <v>45056</v>
      </c>
      <c r="AL171" s="67">
        <v>1082955</v>
      </c>
      <c r="AM171" s="67">
        <v>1050</v>
      </c>
      <c r="AN171" s="67">
        <v>1084005</v>
      </c>
      <c r="AO171" s="67">
        <v>99.9</v>
      </c>
      <c r="AQ171" s="215">
        <v>45056</v>
      </c>
      <c r="AR171" s="67">
        <v>1668369</v>
      </c>
      <c r="AS171" s="67">
        <v>0</v>
      </c>
      <c r="AT171" s="67">
        <v>1668369</v>
      </c>
      <c r="AU171" s="67">
        <v>100</v>
      </c>
      <c r="AX171" s="215">
        <v>45056</v>
      </c>
      <c r="AY171" s="67">
        <v>1668369</v>
      </c>
      <c r="AZ171" s="67">
        <v>0</v>
      </c>
      <c r="BA171" s="67">
        <v>1668369</v>
      </c>
      <c r="BB171" s="67">
        <v>100</v>
      </c>
    </row>
    <row r="172" spans="1:54" hidden="1" x14ac:dyDescent="0.25">
      <c r="A172" s="237">
        <v>45057</v>
      </c>
      <c r="B172" s="104">
        <v>13090090</v>
      </c>
      <c r="C172" s="104">
        <v>1148903</v>
      </c>
      <c r="D172" s="104">
        <v>14238993</v>
      </c>
      <c r="E172" s="104">
        <v>91.93</v>
      </c>
      <c r="G172" s="215">
        <v>45057</v>
      </c>
      <c r="H172" s="104">
        <v>3106456</v>
      </c>
      <c r="I172" s="104">
        <v>1268389</v>
      </c>
      <c r="J172" s="104">
        <v>4374845</v>
      </c>
      <c r="K172" s="104">
        <v>71.010000000000005</v>
      </c>
      <c r="M172" s="215">
        <v>45057</v>
      </c>
      <c r="N172" s="104">
        <v>2806614</v>
      </c>
      <c r="O172" s="104">
        <v>2410243</v>
      </c>
      <c r="P172" s="104">
        <v>5216857</v>
      </c>
      <c r="Q172" s="104">
        <v>53.8</v>
      </c>
      <c r="S172" s="215">
        <v>45057</v>
      </c>
      <c r="T172" s="104">
        <v>2469382</v>
      </c>
      <c r="U172" s="104">
        <v>985663</v>
      </c>
      <c r="V172" s="104">
        <v>3455045</v>
      </c>
      <c r="W172" s="104">
        <v>71.47</v>
      </c>
      <c r="Y172" s="215">
        <v>45057</v>
      </c>
      <c r="Z172" s="104">
        <v>2181175</v>
      </c>
      <c r="AA172" s="104">
        <v>379963</v>
      </c>
      <c r="AB172" s="104">
        <v>2561138</v>
      </c>
      <c r="AC172" s="104">
        <v>85.16</v>
      </c>
      <c r="AE172" s="215">
        <v>45057</v>
      </c>
      <c r="AF172" s="48">
        <v>1226831</v>
      </c>
      <c r="AG172" s="48">
        <v>11581</v>
      </c>
      <c r="AH172" s="48">
        <v>1238412</v>
      </c>
      <c r="AI172" s="48">
        <v>99.06</v>
      </c>
      <c r="AK172" s="215">
        <v>45057</v>
      </c>
      <c r="AL172" s="67">
        <v>1180261</v>
      </c>
      <c r="AM172" s="67">
        <v>0</v>
      </c>
      <c r="AN172" s="67">
        <v>1180261</v>
      </c>
      <c r="AO172" s="67">
        <v>100</v>
      </c>
      <c r="AQ172" s="215">
        <v>45057</v>
      </c>
      <c r="AR172" s="67">
        <v>1373047</v>
      </c>
      <c r="AS172" s="67">
        <v>8</v>
      </c>
      <c r="AT172" s="67">
        <v>1373055</v>
      </c>
      <c r="AU172" s="67">
        <v>100</v>
      </c>
      <c r="AX172" s="215">
        <v>45057</v>
      </c>
      <c r="AY172" s="67">
        <v>1373047</v>
      </c>
      <c r="AZ172" s="67">
        <v>8</v>
      </c>
      <c r="BA172" s="67">
        <v>1373055</v>
      </c>
      <c r="BB172" s="67">
        <v>100</v>
      </c>
    </row>
    <row r="173" spans="1:54" hidden="1" x14ac:dyDescent="0.25">
      <c r="A173" s="237">
        <v>45058</v>
      </c>
      <c r="B173" s="104">
        <v>14058625</v>
      </c>
      <c r="C173" s="104">
        <v>1227526</v>
      </c>
      <c r="D173" s="104">
        <v>15286151</v>
      </c>
      <c r="E173" s="104">
        <v>91.96</v>
      </c>
      <c r="G173" s="215">
        <v>45058</v>
      </c>
      <c r="H173" s="104">
        <v>3754452</v>
      </c>
      <c r="I173" s="104">
        <v>1560997</v>
      </c>
      <c r="J173" s="104">
        <v>5315449</v>
      </c>
      <c r="K173" s="104">
        <v>70.63</v>
      </c>
      <c r="M173" s="215">
        <v>45058</v>
      </c>
      <c r="N173" s="104">
        <v>3143781</v>
      </c>
      <c r="O173" s="104">
        <v>3658154</v>
      </c>
      <c r="P173" s="104">
        <v>6801935</v>
      </c>
      <c r="Q173" s="104">
        <v>46.21</v>
      </c>
      <c r="S173" s="215">
        <v>45058</v>
      </c>
      <c r="T173" s="104">
        <v>2035702</v>
      </c>
      <c r="U173" s="104">
        <v>426955</v>
      </c>
      <c r="V173" s="104">
        <v>2462657</v>
      </c>
      <c r="W173" s="104">
        <v>82.66</v>
      </c>
      <c r="Y173" s="215">
        <v>45058</v>
      </c>
      <c r="Z173" s="104">
        <v>2289273</v>
      </c>
      <c r="AA173" s="104">
        <v>357318</v>
      </c>
      <c r="AB173" s="104">
        <v>2646591</v>
      </c>
      <c r="AC173" s="104">
        <v>86.49</v>
      </c>
      <c r="AE173" s="215">
        <v>45058</v>
      </c>
      <c r="AF173" s="48">
        <v>1373802</v>
      </c>
      <c r="AG173" s="48">
        <v>13329</v>
      </c>
      <c r="AH173" s="48">
        <v>1387131</v>
      </c>
      <c r="AI173" s="48">
        <v>99.03</v>
      </c>
      <c r="AK173" s="215">
        <v>45058</v>
      </c>
      <c r="AL173" s="67">
        <v>1310576</v>
      </c>
      <c r="AM173" s="67">
        <v>0</v>
      </c>
      <c r="AN173" s="67">
        <v>1310576</v>
      </c>
      <c r="AO173" s="67">
        <v>100</v>
      </c>
      <c r="AQ173" s="215">
        <v>45058</v>
      </c>
      <c r="AR173" s="67">
        <v>1536071</v>
      </c>
      <c r="AS173" s="67">
        <v>0</v>
      </c>
      <c r="AT173" s="67">
        <v>1536071</v>
      </c>
      <c r="AU173" s="67">
        <v>100</v>
      </c>
      <c r="AX173" s="215">
        <v>45058</v>
      </c>
      <c r="AY173" s="67">
        <v>1536071</v>
      </c>
      <c r="AZ173" s="67">
        <v>0</v>
      </c>
      <c r="BA173" s="67">
        <v>1536071</v>
      </c>
      <c r="BB173" s="67">
        <v>100</v>
      </c>
    </row>
    <row r="174" spans="1:54" hidden="1" x14ac:dyDescent="0.25">
      <c r="A174" s="237">
        <v>45059</v>
      </c>
      <c r="B174" s="104">
        <v>14794399</v>
      </c>
      <c r="C174" s="104">
        <v>1436029</v>
      </c>
      <c r="D174" s="104">
        <v>16230428</v>
      </c>
      <c r="E174" s="104">
        <v>91.15</v>
      </c>
      <c r="G174" s="215">
        <v>45059</v>
      </c>
      <c r="H174" s="104">
        <v>9200648</v>
      </c>
      <c r="I174" s="104">
        <v>3606181</v>
      </c>
      <c r="J174" s="104">
        <v>12806829</v>
      </c>
      <c r="K174" s="104">
        <v>71.84</v>
      </c>
      <c r="M174" s="215">
        <v>45059</v>
      </c>
      <c r="N174" s="104">
        <v>3319377</v>
      </c>
      <c r="O174" s="104">
        <v>3210515</v>
      </c>
      <c r="P174" s="104">
        <v>6529892</v>
      </c>
      <c r="Q174" s="104">
        <v>50.83</v>
      </c>
      <c r="S174" s="215">
        <v>45059</v>
      </c>
      <c r="T174" s="104">
        <v>1590905</v>
      </c>
      <c r="U174" s="104">
        <v>758896</v>
      </c>
      <c r="V174" s="104">
        <v>2349801</v>
      </c>
      <c r="W174" s="104">
        <v>67.7</v>
      </c>
      <c r="Y174" s="215">
        <v>45059</v>
      </c>
      <c r="Z174" s="104">
        <v>2196770</v>
      </c>
      <c r="AA174" s="104">
        <v>372410</v>
      </c>
      <c r="AB174" s="104">
        <v>2569180</v>
      </c>
      <c r="AC174" s="104">
        <v>85.5</v>
      </c>
      <c r="AE174" s="215">
        <v>45059</v>
      </c>
      <c r="AF174" s="48">
        <v>1245928</v>
      </c>
      <c r="AG174" s="48">
        <v>12442</v>
      </c>
      <c r="AH174" s="48">
        <v>1258370</v>
      </c>
      <c r="AI174" s="48">
        <v>99.01</v>
      </c>
      <c r="AK174" s="215">
        <v>45059</v>
      </c>
      <c r="AL174" s="67">
        <v>1116657</v>
      </c>
      <c r="AM174" s="67">
        <v>0</v>
      </c>
      <c r="AN174" s="67">
        <v>1116657</v>
      </c>
      <c r="AO174" s="67">
        <v>100</v>
      </c>
      <c r="AQ174" s="215">
        <v>45059</v>
      </c>
      <c r="AR174" s="67">
        <v>3900713</v>
      </c>
      <c r="AS174" s="67">
        <v>0</v>
      </c>
      <c r="AT174" s="67">
        <v>3900713</v>
      </c>
      <c r="AU174" s="67">
        <v>100</v>
      </c>
      <c r="AX174" s="215">
        <v>45059</v>
      </c>
      <c r="AY174" s="67">
        <v>3900713</v>
      </c>
      <c r="AZ174" s="67">
        <v>0</v>
      </c>
      <c r="BA174" s="67">
        <v>3900713</v>
      </c>
      <c r="BB174" s="67">
        <v>100</v>
      </c>
    </row>
    <row r="175" spans="1:54" hidden="1" x14ac:dyDescent="0.25">
      <c r="A175" s="237">
        <v>45060</v>
      </c>
      <c r="B175" s="104">
        <v>12458183</v>
      </c>
      <c r="C175" s="104">
        <v>1546551</v>
      </c>
      <c r="D175" s="104">
        <v>14004734</v>
      </c>
      <c r="E175" s="104">
        <v>88.95</v>
      </c>
      <c r="G175" s="215">
        <v>45060</v>
      </c>
      <c r="H175" s="104">
        <v>3258581</v>
      </c>
      <c r="I175" s="104">
        <v>1371237</v>
      </c>
      <c r="J175" s="104">
        <v>4629818</v>
      </c>
      <c r="K175" s="104">
        <v>70.38</v>
      </c>
      <c r="M175" s="215">
        <v>45060</v>
      </c>
      <c r="N175" s="104">
        <v>756581</v>
      </c>
      <c r="O175" s="104">
        <v>420845</v>
      </c>
      <c r="P175" s="104">
        <v>1177426</v>
      </c>
      <c r="Q175" s="104">
        <v>64.25</v>
      </c>
      <c r="S175" s="215">
        <v>45060</v>
      </c>
      <c r="T175" s="104">
        <v>96815</v>
      </c>
      <c r="U175" s="104">
        <v>22616</v>
      </c>
      <c r="V175" s="104">
        <v>119431</v>
      </c>
      <c r="W175" s="104">
        <v>81.06</v>
      </c>
      <c r="Y175" s="215">
        <v>45060</v>
      </c>
      <c r="Z175" s="104">
        <v>2249948</v>
      </c>
      <c r="AA175" s="104">
        <v>358249</v>
      </c>
      <c r="AB175" s="104">
        <v>2608197</v>
      </c>
      <c r="AC175" s="104">
        <v>86.26</v>
      </c>
      <c r="AE175" s="215">
        <v>45060</v>
      </c>
      <c r="AF175" s="48">
        <v>1200161</v>
      </c>
      <c r="AG175" s="48">
        <v>10128</v>
      </c>
      <c r="AH175" s="48">
        <v>1210289</v>
      </c>
      <c r="AI175" s="48">
        <v>99.16</v>
      </c>
      <c r="AK175" s="215">
        <v>45060</v>
      </c>
      <c r="AL175" s="67">
        <v>1168989</v>
      </c>
      <c r="AM175" s="67">
        <v>0</v>
      </c>
      <c r="AN175" s="67">
        <v>1168989</v>
      </c>
      <c r="AO175" s="67">
        <v>100</v>
      </c>
      <c r="AQ175" s="215">
        <v>45060</v>
      </c>
      <c r="AR175" s="67">
        <v>1421882</v>
      </c>
      <c r="AS175" s="67">
        <v>0</v>
      </c>
      <c r="AT175" s="67">
        <v>1421882</v>
      </c>
      <c r="AU175" s="67">
        <v>100</v>
      </c>
      <c r="AX175" s="215">
        <v>45060</v>
      </c>
      <c r="AY175" s="67">
        <v>1421882</v>
      </c>
      <c r="AZ175" s="67">
        <v>0</v>
      </c>
      <c r="BA175" s="67">
        <v>1421882</v>
      </c>
      <c r="BB175" s="67">
        <v>100</v>
      </c>
    </row>
    <row r="176" spans="1:54" hidden="1" x14ac:dyDescent="0.25">
      <c r="A176" s="237">
        <v>45061</v>
      </c>
      <c r="B176" s="104">
        <v>13660145</v>
      </c>
      <c r="C176" s="104">
        <v>1291948</v>
      </c>
      <c r="D176" s="104">
        <v>14952093</v>
      </c>
      <c r="E176" s="104">
        <v>91.36</v>
      </c>
      <c r="G176" s="215">
        <v>45061</v>
      </c>
      <c r="H176" s="104">
        <v>9189559</v>
      </c>
      <c r="I176" s="104">
        <v>3650631</v>
      </c>
      <c r="J176" s="104">
        <v>12840190</v>
      </c>
      <c r="K176" s="104">
        <v>71.569999999999993</v>
      </c>
      <c r="M176" s="215">
        <v>45061</v>
      </c>
      <c r="N176" s="104">
        <v>3516133</v>
      </c>
      <c r="O176" s="104">
        <v>3195589</v>
      </c>
      <c r="P176" s="104">
        <v>6711722</v>
      </c>
      <c r="Q176" s="104">
        <v>52.39</v>
      </c>
      <c r="S176" s="215">
        <v>45061</v>
      </c>
      <c r="T176" s="104">
        <v>1248739</v>
      </c>
      <c r="U176" s="104">
        <v>412006</v>
      </c>
      <c r="V176" s="104">
        <v>1660745</v>
      </c>
      <c r="W176" s="104">
        <v>75.19</v>
      </c>
      <c r="Y176" s="215">
        <v>45061</v>
      </c>
      <c r="Z176" s="104">
        <v>2057099</v>
      </c>
      <c r="AA176" s="104">
        <v>350765</v>
      </c>
      <c r="AB176" s="104">
        <v>2407864</v>
      </c>
      <c r="AC176" s="104">
        <v>85.43</v>
      </c>
      <c r="AE176" s="215">
        <v>45061</v>
      </c>
      <c r="AF176" s="48">
        <v>1161645</v>
      </c>
      <c r="AG176" s="48">
        <v>10098</v>
      </c>
      <c r="AH176" s="48">
        <v>1171743</v>
      </c>
      <c r="AI176" s="48">
        <v>99.14</v>
      </c>
      <c r="AK176" s="215">
        <v>45061</v>
      </c>
      <c r="AL176" s="67">
        <v>871666</v>
      </c>
      <c r="AM176" s="67">
        <v>1</v>
      </c>
      <c r="AN176" s="67">
        <v>871667</v>
      </c>
      <c r="AO176" s="67">
        <v>100</v>
      </c>
      <c r="AQ176" s="215">
        <v>45061</v>
      </c>
      <c r="AR176" s="67">
        <v>3931551</v>
      </c>
      <c r="AS176" s="67">
        <v>2261</v>
      </c>
      <c r="AT176" s="67">
        <v>3933812</v>
      </c>
      <c r="AU176" s="67">
        <v>99.94</v>
      </c>
      <c r="AX176" s="215">
        <v>45061</v>
      </c>
      <c r="AY176" s="67">
        <v>3931551</v>
      </c>
      <c r="AZ176" s="67">
        <v>2261</v>
      </c>
      <c r="BA176" s="67">
        <v>3933812</v>
      </c>
      <c r="BB176" s="67">
        <v>99.94</v>
      </c>
    </row>
    <row r="177" spans="1:54" hidden="1" x14ac:dyDescent="0.25">
      <c r="A177" s="237">
        <v>45062</v>
      </c>
      <c r="B177" s="104">
        <v>16477800</v>
      </c>
      <c r="C177" s="104">
        <v>1554582</v>
      </c>
      <c r="D177" s="104">
        <v>18032382</v>
      </c>
      <c r="E177" s="104">
        <v>91.38</v>
      </c>
      <c r="G177" s="215">
        <v>45062</v>
      </c>
      <c r="H177" s="104">
        <v>9294387</v>
      </c>
      <c r="I177" s="104">
        <v>3600022</v>
      </c>
      <c r="J177" s="104">
        <v>12894409</v>
      </c>
      <c r="K177" s="104">
        <v>72.08</v>
      </c>
      <c r="M177" s="215">
        <v>45062</v>
      </c>
      <c r="N177" s="104">
        <v>2570506</v>
      </c>
      <c r="O177" s="104">
        <v>3004190</v>
      </c>
      <c r="P177" s="104">
        <v>5574696</v>
      </c>
      <c r="Q177" s="104">
        <v>46.11</v>
      </c>
      <c r="S177" s="215">
        <v>45062</v>
      </c>
      <c r="T177" s="104">
        <v>630210</v>
      </c>
      <c r="U177" s="104">
        <v>1103247</v>
      </c>
      <c r="V177" s="104">
        <v>1733457</v>
      </c>
      <c r="W177" s="104">
        <v>36.36</v>
      </c>
      <c r="Y177" s="215">
        <v>45062</v>
      </c>
      <c r="Z177" s="104">
        <v>2164021</v>
      </c>
      <c r="AA177" s="104">
        <v>335824</v>
      </c>
      <c r="AB177" s="104">
        <v>2499845</v>
      </c>
      <c r="AC177" s="104">
        <v>86.57</v>
      </c>
      <c r="AE177" s="215">
        <v>45062</v>
      </c>
      <c r="AF177" s="48">
        <v>1427118</v>
      </c>
      <c r="AG177" s="48">
        <v>12714</v>
      </c>
      <c r="AH177" s="48">
        <v>1439832</v>
      </c>
      <c r="AI177" s="48">
        <v>99.12</v>
      </c>
      <c r="AK177" s="215">
        <v>45062</v>
      </c>
      <c r="AL177" s="67">
        <v>830180</v>
      </c>
      <c r="AM177" s="67">
        <v>0</v>
      </c>
      <c r="AN177" s="67">
        <v>830180</v>
      </c>
      <c r="AO177" s="67">
        <v>100</v>
      </c>
      <c r="AQ177" s="215">
        <v>45062</v>
      </c>
      <c r="AR177" s="67">
        <v>3953308</v>
      </c>
      <c r="AS177" s="67">
        <v>0</v>
      </c>
      <c r="AT177" s="67">
        <v>3953308</v>
      </c>
      <c r="AU177" s="67">
        <v>100</v>
      </c>
      <c r="AX177" s="215">
        <v>45062</v>
      </c>
      <c r="AY177" s="67">
        <v>3953308</v>
      </c>
      <c r="AZ177" s="67">
        <v>0</v>
      </c>
      <c r="BA177" s="67">
        <v>3953308</v>
      </c>
      <c r="BB177" s="67">
        <v>100</v>
      </c>
    </row>
    <row r="178" spans="1:54" hidden="1" x14ac:dyDescent="0.25">
      <c r="A178" s="237">
        <v>45063</v>
      </c>
      <c r="B178" s="104">
        <v>14665933</v>
      </c>
      <c r="C178" s="104">
        <v>1617460</v>
      </c>
      <c r="D178" s="104">
        <v>16283393</v>
      </c>
      <c r="E178" s="104">
        <v>90.07</v>
      </c>
      <c r="G178" s="215">
        <v>45063</v>
      </c>
      <c r="H178" s="104">
        <v>9256742</v>
      </c>
      <c r="I178" s="104">
        <v>3483015</v>
      </c>
      <c r="J178" s="104">
        <v>12739757</v>
      </c>
      <c r="K178" s="104">
        <v>72.66</v>
      </c>
      <c r="M178" s="215">
        <v>45063</v>
      </c>
      <c r="N178" s="104">
        <v>2984105</v>
      </c>
      <c r="O178" s="104">
        <v>2517362</v>
      </c>
      <c r="P178" s="104">
        <v>5501467</v>
      </c>
      <c r="Q178" s="104">
        <v>54.24</v>
      </c>
      <c r="S178" s="215">
        <v>45063</v>
      </c>
      <c r="T178" s="104">
        <v>685524</v>
      </c>
      <c r="U178" s="104">
        <v>1100354</v>
      </c>
      <c r="V178" s="104">
        <v>1785878</v>
      </c>
      <c r="W178" s="104">
        <v>38.39</v>
      </c>
      <c r="Y178" s="215">
        <v>45063</v>
      </c>
      <c r="Z178" s="104">
        <v>2077347</v>
      </c>
      <c r="AA178" s="104">
        <v>324185</v>
      </c>
      <c r="AB178" s="104">
        <v>2401532</v>
      </c>
      <c r="AC178" s="104">
        <v>86.5</v>
      </c>
      <c r="AE178" s="215">
        <v>45063</v>
      </c>
      <c r="AF178" s="48">
        <v>1275277</v>
      </c>
      <c r="AG178" s="48">
        <v>12302</v>
      </c>
      <c r="AH178" s="48">
        <v>1287579</v>
      </c>
      <c r="AI178" s="48">
        <v>99.04</v>
      </c>
      <c r="AK178" s="215">
        <v>45063</v>
      </c>
      <c r="AL178" s="67">
        <v>1019916</v>
      </c>
      <c r="AM178" s="67">
        <v>270</v>
      </c>
      <c r="AN178" s="67">
        <v>1020186</v>
      </c>
      <c r="AO178" s="67">
        <v>99.97</v>
      </c>
      <c r="AQ178" s="215">
        <v>45063</v>
      </c>
      <c r="AR178" s="67">
        <v>2385</v>
      </c>
      <c r="AS178" s="67">
        <v>3866</v>
      </c>
      <c r="AT178" s="67">
        <v>4006251</v>
      </c>
      <c r="AU178" s="67">
        <v>99.9</v>
      </c>
      <c r="AX178" s="215">
        <v>45063</v>
      </c>
      <c r="AY178" s="67">
        <v>2385</v>
      </c>
      <c r="AZ178" s="67">
        <v>3866</v>
      </c>
      <c r="BA178" s="67">
        <v>4006251</v>
      </c>
      <c r="BB178" s="67">
        <v>99.9</v>
      </c>
    </row>
    <row r="179" spans="1:54" hidden="1" x14ac:dyDescent="0.25">
      <c r="A179" s="237">
        <v>45064</v>
      </c>
      <c r="B179" s="104">
        <v>12386248</v>
      </c>
      <c r="C179" s="104">
        <v>1282061</v>
      </c>
      <c r="D179" s="104">
        <v>13668309</v>
      </c>
      <c r="E179" s="104">
        <v>90.62</v>
      </c>
      <c r="G179" s="215">
        <v>45064</v>
      </c>
      <c r="H179" s="104">
        <v>5917715</v>
      </c>
      <c r="I179" s="104">
        <v>2289302</v>
      </c>
      <c r="J179" s="104">
        <v>8207017</v>
      </c>
      <c r="K179" s="104">
        <v>72.11</v>
      </c>
      <c r="M179" s="215">
        <v>45064</v>
      </c>
      <c r="N179" s="104">
        <v>2232469</v>
      </c>
      <c r="O179" s="104">
        <v>2713587</v>
      </c>
      <c r="P179" s="104">
        <v>4946056</v>
      </c>
      <c r="Q179" s="104">
        <v>45.14</v>
      </c>
      <c r="S179" s="215">
        <v>45064</v>
      </c>
      <c r="T179" s="104">
        <v>667970</v>
      </c>
      <c r="U179" s="104">
        <v>1099919</v>
      </c>
      <c r="V179" s="104">
        <v>1767889</v>
      </c>
      <c r="W179" s="104">
        <v>37.78</v>
      </c>
      <c r="Y179" s="215">
        <v>45064</v>
      </c>
      <c r="Z179" s="104">
        <v>2126444</v>
      </c>
      <c r="AA179" s="104">
        <v>391091</v>
      </c>
      <c r="AB179" s="104">
        <v>2517535</v>
      </c>
      <c r="AC179" s="104">
        <v>84.47</v>
      </c>
      <c r="AE179" s="215">
        <v>45064</v>
      </c>
      <c r="AF179" s="48">
        <v>1222064</v>
      </c>
      <c r="AG179" s="48">
        <v>11687</v>
      </c>
      <c r="AH179" s="48">
        <v>1233751</v>
      </c>
      <c r="AI179" s="48">
        <v>99.05</v>
      </c>
      <c r="AK179" s="215">
        <v>45064</v>
      </c>
      <c r="AL179" s="67">
        <v>899856</v>
      </c>
      <c r="AM179" s="67">
        <v>0</v>
      </c>
      <c r="AN179" s="67">
        <v>899856</v>
      </c>
      <c r="AO179" s="67">
        <v>100</v>
      </c>
      <c r="AQ179" s="215">
        <v>45064</v>
      </c>
      <c r="AR179" s="67">
        <v>2510380</v>
      </c>
      <c r="AS179" s="67">
        <v>0</v>
      </c>
      <c r="AT179" s="67">
        <v>2510380</v>
      </c>
      <c r="AU179" s="67">
        <v>100</v>
      </c>
      <c r="AX179" s="215">
        <v>45064</v>
      </c>
      <c r="AY179" s="67">
        <v>2510380</v>
      </c>
      <c r="AZ179" s="67">
        <v>0</v>
      </c>
      <c r="BA179" s="67">
        <v>2510380</v>
      </c>
      <c r="BB179" s="67">
        <v>100</v>
      </c>
    </row>
    <row r="180" spans="1:54" hidden="1" x14ac:dyDescent="0.25">
      <c r="A180" s="237">
        <v>45065</v>
      </c>
      <c r="B180" s="104">
        <v>14514936</v>
      </c>
      <c r="C180" s="104">
        <v>1241592</v>
      </c>
      <c r="D180" s="104">
        <v>15756528</v>
      </c>
      <c r="E180" s="104">
        <v>92.12</v>
      </c>
      <c r="G180" s="215">
        <v>45065</v>
      </c>
      <c r="H180" s="104">
        <v>3854376</v>
      </c>
      <c r="I180" s="104">
        <v>1513876</v>
      </c>
      <c r="J180" s="104">
        <v>5368252</v>
      </c>
      <c r="K180" s="104">
        <v>71.790000000000006</v>
      </c>
      <c r="M180" s="215">
        <v>45065</v>
      </c>
      <c r="N180" s="104">
        <v>2731506</v>
      </c>
      <c r="O180" s="104">
        <v>3152652</v>
      </c>
      <c r="P180" s="104">
        <v>5884158</v>
      </c>
      <c r="Q180" s="104">
        <v>46.42</v>
      </c>
      <c r="S180" s="215">
        <v>45065</v>
      </c>
      <c r="T180" s="104">
        <v>672872</v>
      </c>
      <c r="U180" s="104">
        <v>1100757</v>
      </c>
      <c r="V180" s="104">
        <v>1773629</v>
      </c>
      <c r="W180" s="104">
        <v>37.93</v>
      </c>
      <c r="Y180" s="215">
        <v>45065</v>
      </c>
      <c r="Z180" s="104">
        <v>2217428</v>
      </c>
      <c r="AA180" s="104">
        <v>337757</v>
      </c>
      <c r="AB180" s="104">
        <v>2555185</v>
      </c>
      <c r="AC180" s="104">
        <v>86.78</v>
      </c>
      <c r="AE180" s="215">
        <v>45065</v>
      </c>
      <c r="AF180" s="48">
        <v>1450050</v>
      </c>
      <c r="AG180" s="48">
        <v>13510</v>
      </c>
      <c r="AH180" s="48">
        <v>1463560</v>
      </c>
      <c r="AI180" s="48">
        <v>99.07</v>
      </c>
      <c r="AK180" s="215">
        <v>45065</v>
      </c>
      <c r="AL180" s="67">
        <v>1096794</v>
      </c>
      <c r="AM180" s="67">
        <v>0</v>
      </c>
      <c r="AN180" s="67">
        <v>1096794</v>
      </c>
      <c r="AO180" s="67">
        <v>100</v>
      </c>
      <c r="AQ180" s="215">
        <v>45065</v>
      </c>
      <c r="AR180" s="67">
        <v>1704361</v>
      </c>
      <c r="AS180" s="67">
        <v>13</v>
      </c>
      <c r="AT180" s="67">
        <v>1704374</v>
      </c>
      <c r="AU180" s="67">
        <v>100</v>
      </c>
      <c r="AX180" s="215">
        <v>45065</v>
      </c>
      <c r="AY180" s="67">
        <v>1704361</v>
      </c>
      <c r="AZ180" s="67">
        <v>13</v>
      </c>
      <c r="BA180" s="67">
        <v>1704374</v>
      </c>
      <c r="BB180" s="67">
        <v>100</v>
      </c>
    </row>
    <row r="181" spans="1:54" hidden="1" x14ac:dyDescent="0.25">
      <c r="A181" s="237">
        <v>45066</v>
      </c>
      <c r="B181" s="104">
        <v>13831168</v>
      </c>
      <c r="C181" s="104">
        <v>1264662</v>
      </c>
      <c r="D181" s="104">
        <v>15095830</v>
      </c>
      <c r="E181" s="104">
        <v>91.62</v>
      </c>
      <c r="G181" s="215">
        <v>45066</v>
      </c>
      <c r="H181" s="104">
        <v>9431272</v>
      </c>
      <c r="I181" s="104">
        <v>3516777</v>
      </c>
      <c r="J181" s="104">
        <v>12948049</v>
      </c>
      <c r="K181" s="104">
        <v>72.83</v>
      </c>
      <c r="M181" s="215">
        <v>45066</v>
      </c>
      <c r="N181" s="104">
        <v>1629513</v>
      </c>
      <c r="O181" s="104">
        <v>1323709</v>
      </c>
      <c r="P181" s="104">
        <v>2953222</v>
      </c>
      <c r="Q181" s="104">
        <v>55.17</v>
      </c>
      <c r="S181" s="215">
        <v>45066</v>
      </c>
      <c r="T181" s="104">
        <v>674479</v>
      </c>
      <c r="U181" s="104">
        <v>1107469</v>
      </c>
      <c r="V181" s="104">
        <v>1781948</v>
      </c>
      <c r="W181" s="104">
        <v>37.85</v>
      </c>
      <c r="Y181" s="215">
        <v>45066</v>
      </c>
      <c r="Z181" s="104">
        <v>2048444</v>
      </c>
      <c r="AA181" s="104">
        <v>322807</v>
      </c>
      <c r="AB181" s="104">
        <v>2371251</v>
      </c>
      <c r="AC181" s="104">
        <v>86.38</v>
      </c>
      <c r="AE181" s="215">
        <v>45066</v>
      </c>
      <c r="AF181" s="48">
        <v>1312836</v>
      </c>
      <c r="AG181" s="48">
        <v>12358</v>
      </c>
      <c r="AH181" s="48">
        <v>1325194</v>
      </c>
      <c r="AI181" s="48">
        <v>99.06</v>
      </c>
      <c r="AK181" s="215">
        <v>45066</v>
      </c>
      <c r="AL181" s="67">
        <v>1142440</v>
      </c>
      <c r="AM181" s="67">
        <v>0</v>
      </c>
      <c r="AN181" s="67">
        <v>1142440</v>
      </c>
      <c r="AO181" s="67">
        <v>100</v>
      </c>
      <c r="AQ181" s="215">
        <v>45066</v>
      </c>
      <c r="AR181" s="67">
        <v>3914101</v>
      </c>
      <c r="AS181" s="67">
        <v>0</v>
      </c>
      <c r="AT181" s="67">
        <v>3914101</v>
      </c>
      <c r="AU181" s="67">
        <v>100</v>
      </c>
      <c r="AX181" s="215">
        <v>45066</v>
      </c>
      <c r="AY181" s="67">
        <v>3914101</v>
      </c>
      <c r="AZ181" s="67">
        <v>0</v>
      </c>
      <c r="BA181" s="67">
        <v>3914101</v>
      </c>
      <c r="BB181" s="67">
        <v>100</v>
      </c>
    </row>
    <row r="182" spans="1:54" hidden="1" x14ac:dyDescent="0.25">
      <c r="A182" s="237">
        <v>45067</v>
      </c>
      <c r="B182" s="104">
        <v>12019212</v>
      </c>
      <c r="C182" s="104">
        <v>1211674</v>
      </c>
      <c r="D182" s="104">
        <v>13230886</v>
      </c>
      <c r="E182" s="104">
        <v>90.84</v>
      </c>
      <c r="G182" s="215">
        <v>45067</v>
      </c>
      <c r="H182" s="104">
        <v>755993</v>
      </c>
      <c r="I182" s="104">
        <v>411648</v>
      </c>
      <c r="J182" s="104">
        <v>1167641</v>
      </c>
      <c r="K182" s="104">
        <v>64.739999999999995</v>
      </c>
      <c r="M182" s="215">
        <v>45067</v>
      </c>
      <c r="N182" s="104">
        <v>2224621</v>
      </c>
      <c r="O182" s="104">
        <v>1412467</v>
      </c>
      <c r="P182" s="104">
        <v>3637088</v>
      </c>
      <c r="Q182" s="104">
        <v>61.16</v>
      </c>
      <c r="S182" s="215">
        <v>45067</v>
      </c>
      <c r="T182" s="104">
        <v>114341</v>
      </c>
      <c r="U182" s="104">
        <v>31346</v>
      </c>
      <c r="V182" s="104">
        <v>145687</v>
      </c>
      <c r="W182" s="104">
        <v>78.48</v>
      </c>
      <c r="Y182" s="215">
        <v>45067</v>
      </c>
      <c r="Z182" s="104">
        <v>1734647</v>
      </c>
      <c r="AA182" s="104">
        <v>307574</v>
      </c>
      <c r="AB182" s="104">
        <v>2042221</v>
      </c>
      <c r="AC182" s="104">
        <v>84.93</v>
      </c>
      <c r="AE182" s="215">
        <v>45067</v>
      </c>
      <c r="AF182" s="48">
        <v>1284813</v>
      </c>
      <c r="AG182" s="48">
        <v>11067</v>
      </c>
      <c r="AH182" s="48">
        <v>1295880</v>
      </c>
      <c r="AI182" s="48">
        <v>99.14</v>
      </c>
      <c r="AK182" s="215">
        <v>45067</v>
      </c>
      <c r="AL182" s="67">
        <v>1105944</v>
      </c>
      <c r="AM182" s="67">
        <v>0</v>
      </c>
      <c r="AN182" s="67">
        <v>1105944</v>
      </c>
      <c r="AO182" s="67">
        <v>100</v>
      </c>
      <c r="AQ182" s="215">
        <v>45067</v>
      </c>
      <c r="AR182" s="67">
        <v>325861</v>
      </c>
      <c r="AS182" s="67">
        <v>0</v>
      </c>
      <c r="AT182" s="67">
        <v>325792</v>
      </c>
      <c r="AU182" s="67">
        <v>100</v>
      </c>
      <c r="AX182" s="215">
        <v>45067</v>
      </c>
      <c r="AY182" s="67">
        <v>325861</v>
      </c>
      <c r="AZ182" s="67">
        <v>0</v>
      </c>
      <c r="BA182" s="67">
        <v>325792</v>
      </c>
      <c r="BB182" s="67">
        <v>100</v>
      </c>
    </row>
    <row r="183" spans="1:54" hidden="1" x14ac:dyDescent="0.25">
      <c r="A183" s="237">
        <v>45068</v>
      </c>
      <c r="B183" s="104">
        <v>13934879</v>
      </c>
      <c r="C183" s="104">
        <v>1148339</v>
      </c>
      <c r="D183" s="104">
        <v>15083218</v>
      </c>
      <c r="E183" s="104">
        <v>92.39</v>
      </c>
      <c r="G183" s="215">
        <v>45068</v>
      </c>
      <c r="H183" s="104">
        <v>9541790</v>
      </c>
      <c r="I183" s="104">
        <v>3492749</v>
      </c>
      <c r="J183" s="104">
        <v>13034539</v>
      </c>
      <c r="K183" s="104">
        <v>73.2</v>
      </c>
      <c r="M183" s="215">
        <v>45068</v>
      </c>
      <c r="N183" s="104">
        <v>3053961</v>
      </c>
      <c r="O183" s="104">
        <v>2693153</v>
      </c>
      <c r="P183" s="104">
        <v>5747114</v>
      </c>
      <c r="Q183" s="104">
        <v>53.14</v>
      </c>
      <c r="S183" s="215">
        <v>45068</v>
      </c>
      <c r="T183" s="104">
        <v>675698</v>
      </c>
      <c r="U183" s="104">
        <v>1104768</v>
      </c>
      <c r="V183" s="104">
        <v>1780466</v>
      </c>
      <c r="W183" s="104">
        <v>37.950000000000003</v>
      </c>
      <c r="Y183" s="215">
        <v>45068</v>
      </c>
      <c r="Z183" s="104">
        <v>1851188</v>
      </c>
      <c r="AA183" s="104">
        <v>294470</v>
      </c>
      <c r="AB183" s="104">
        <v>2145658</v>
      </c>
      <c r="AC183" s="104">
        <v>86.28</v>
      </c>
      <c r="AE183" s="215">
        <v>45068</v>
      </c>
      <c r="AF183" s="48">
        <v>1206741</v>
      </c>
      <c r="AG183" s="48">
        <v>11893</v>
      </c>
      <c r="AH183" s="48">
        <v>1218634</v>
      </c>
      <c r="AI183" s="48">
        <v>99.02</v>
      </c>
      <c r="AK183" s="215">
        <v>45068</v>
      </c>
      <c r="AL183" s="67">
        <v>928141</v>
      </c>
      <c r="AM183" s="67">
        <v>0</v>
      </c>
      <c r="AN183" s="67">
        <v>928141</v>
      </c>
      <c r="AO183" s="67">
        <v>100</v>
      </c>
      <c r="AQ183" s="215">
        <v>45068</v>
      </c>
      <c r="AR183" s="67">
        <v>3975883</v>
      </c>
      <c r="AS183" s="67">
        <v>0</v>
      </c>
      <c r="AT183" s="67">
        <v>3975883</v>
      </c>
      <c r="AU183" s="67">
        <v>100</v>
      </c>
      <c r="AX183" s="215">
        <v>45068</v>
      </c>
      <c r="AY183" s="67">
        <v>3975883</v>
      </c>
      <c r="AZ183" s="67">
        <v>0</v>
      </c>
      <c r="BA183" s="67">
        <v>3975883</v>
      </c>
      <c r="BB183" s="67">
        <v>100</v>
      </c>
    </row>
    <row r="184" spans="1:54" hidden="1" x14ac:dyDescent="0.25">
      <c r="A184" s="237">
        <v>45069</v>
      </c>
      <c r="B184" s="104">
        <v>14693727</v>
      </c>
      <c r="C184" s="104">
        <v>1267576</v>
      </c>
      <c r="D184" s="104">
        <v>15961303</v>
      </c>
      <c r="E184" s="104">
        <v>92.06</v>
      </c>
      <c r="G184" s="215">
        <v>45069</v>
      </c>
      <c r="H184" s="104">
        <v>9220485</v>
      </c>
      <c r="I184" s="104">
        <v>3604095</v>
      </c>
      <c r="J184" s="104">
        <v>12824580</v>
      </c>
      <c r="K184" s="104">
        <v>71.900000000000006</v>
      </c>
      <c r="M184" s="215">
        <v>45069</v>
      </c>
      <c r="N184" s="104">
        <v>2238722</v>
      </c>
      <c r="O184" s="104">
        <v>2880129</v>
      </c>
      <c r="P184" s="104">
        <v>5118851</v>
      </c>
      <c r="Q184" s="104">
        <v>43.73</v>
      </c>
      <c r="S184" s="215">
        <v>45069</v>
      </c>
      <c r="T184" s="104">
        <v>668145</v>
      </c>
      <c r="U184" s="104">
        <v>1117754</v>
      </c>
      <c r="V184" s="104">
        <v>1785899</v>
      </c>
      <c r="W184" s="104">
        <v>37.409999999999997</v>
      </c>
      <c r="Y184" s="215">
        <v>45069</v>
      </c>
      <c r="Z184" s="104">
        <v>2286981</v>
      </c>
      <c r="AA184" s="104">
        <v>295889</v>
      </c>
      <c r="AB184" s="104">
        <v>2582870</v>
      </c>
      <c r="AC184" s="104">
        <v>88.54</v>
      </c>
      <c r="AE184" s="215">
        <v>45069</v>
      </c>
      <c r="AF184" s="48">
        <v>1346140</v>
      </c>
      <c r="AG184" s="48">
        <v>11955</v>
      </c>
      <c r="AH184" s="48">
        <v>1358095</v>
      </c>
      <c r="AI184" s="48">
        <v>99.12</v>
      </c>
      <c r="AK184" s="215">
        <v>45069</v>
      </c>
      <c r="AL184" s="67">
        <v>1358535</v>
      </c>
      <c r="AM184" s="67">
        <v>0</v>
      </c>
      <c r="AN184" s="67">
        <v>1358535</v>
      </c>
      <c r="AO184" s="67">
        <v>100</v>
      </c>
      <c r="AQ184" s="215">
        <v>45069</v>
      </c>
      <c r="AR184" s="67">
        <v>3776517</v>
      </c>
      <c r="AS184" s="67">
        <v>23</v>
      </c>
      <c r="AT184" s="67">
        <v>3776540</v>
      </c>
      <c r="AU184" s="67">
        <v>100</v>
      </c>
      <c r="AX184" s="215">
        <v>45069</v>
      </c>
      <c r="AY184" s="67">
        <v>3776517</v>
      </c>
      <c r="AZ184" s="67">
        <v>23</v>
      </c>
      <c r="BA184" s="67">
        <v>3776540</v>
      </c>
      <c r="BB184" s="67">
        <v>100</v>
      </c>
    </row>
    <row r="185" spans="1:54" hidden="1" x14ac:dyDescent="0.25">
      <c r="A185" s="237">
        <v>45070</v>
      </c>
      <c r="B185" s="104">
        <v>13376736</v>
      </c>
      <c r="C185" s="104">
        <v>1217607</v>
      </c>
      <c r="D185" s="104">
        <v>14594343</v>
      </c>
      <c r="E185" s="104">
        <v>91.66</v>
      </c>
      <c r="G185" s="215">
        <v>45070</v>
      </c>
      <c r="H185" s="104">
        <v>9224976</v>
      </c>
      <c r="I185" s="104">
        <v>3544556</v>
      </c>
      <c r="J185" s="104">
        <v>12769532</v>
      </c>
      <c r="K185" s="104">
        <v>72.239999999999995</v>
      </c>
      <c r="M185" s="215">
        <v>45070</v>
      </c>
      <c r="N185" s="104">
        <v>2111001</v>
      </c>
      <c r="O185" s="104">
        <v>2148932</v>
      </c>
      <c r="P185" s="104">
        <v>4259933</v>
      </c>
      <c r="Q185" s="104">
        <v>49.55</v>
      </c>
      <c r="S185" s="215">
        <v>45070</v>
      </c>
      <c r="T185" s="104">
        <v>711890</v>
      </c>
      <c r="U185" s="104">
        <v>1154449</v>
      </c>
      <c r="V185" s="104">
        <v>1866339</v>
      </c>
      <c r="W185" s="104">
        <v>38.14</v>
      </c>
      <c r="Y185" s="215">
        <v>45070</v>
      </c>
      <c r="Z185" s="104">
        <v>1703843</v>
      </c>
      <c r="AA185" s="104">
        <v>263507</v>
      </c>
      <c r="AB185" s="104">
        <v>1967350</v>
      </c>
      <c r="AC185" s="104">
        <v>86.61</v>
      </c>
      <c r="AE185" s="215">
        <v>45070</v>
      </c>
      <c r="AF185" s="48">
        <v>1188084</v>
      </c>
      <c r="AG185" s="48">
        <v>11167</v>
      </c>
      <c r="AH185" s="48">
        <v>1199251</v>
      </c>
      <c r="AI185" s="48">
        <v>99.07</v>
      </c>
      <c r="AK185" s="215">
        <v>45070</v>
      </c>
      <c r="AL185" s="67">
        <v>1191588</v>
      </c>
      <c r="AM185" s="67">
        <v>0</v>
      </c>
      <c r="AN185" s="67">
        <v>1191588</v>
      </c>
      <c r="AO185" s="67">
        <v>100</v>
      </c>
      <c r="AQ185" s="215">
        <v>45070</v>
      </c>
      <c r="AR185" s="67">
        <v>3762364</v>
      </c>
      <c r="AS185" s="67">
        <v>0</v>
      </c>
      <c r="AT185" s="67">
        <v>3762364</v>
      </c>
      <c r="AU185" s="67">
        <v>100</v>
      </c>
      <c r="AX185" s="215">
        <v>45070</v>
      </c>
      <c r="AY185" s="67">
        <v>3762364</v>
      </c>
      <c r="AZ185" s="67">
        <v>0</v>
      </c>
      <c r="BA185" s="67">
        <v>3762364</v>
      </c>
      <c r="BB185" s="67">
        <v>100</v>
      </c>
    </row>
    <row r="186" spans="1:54" hidden="1" x14ac:dyDescent="0.25">
      <c r="A186" s="237">
        <v>45071</v>
      </c>
      <c r="B186" s="104">
        <v>13280598</v>
      </c>
      <c r="C186" s="104">
        <v>1186743</v>
      </c>
      <c r="D186" s="104">
        <v>14467341</v>
      </c>
      <c r="E186" s="104">
        <v>91.8</v>
      </c>
      <c r="G186" s="215">
        <v>45071</v>
      </c>
      <c r="H186" s="104">
        <v>4623170</v>
      </c>
      <c r="I186" s="104">
        <v>2027370</v>
      </c>
      <c r="J186" s="104">
        <v>6650540</v>
      </c>
      <c r="K186" s="104">
        <v>69.52</v>
      </c>
      <c r="M186" s="215">
        <v>45071</v>
      </c>
      <c r="N186" s="104">
        <v>2856066</v>
      </c>
      <c r="O186" s="104">
        <v>2804742</v>
      </c>
      <c r="P186" s="104">
        <v>5660808</v>
      </c>
      <c r="Q186" s="104">
        <v>50.45</v>
      </c>
      <c r="S186" s="215">
        <v>45071</v>
      </c>
      <c r="T186" s="104">
        <v>710415</v>
      </c>
      <c r="U186" s="104">
        <v>1135173</v>
      </c>
      <c r="V186" s="104">
        <v>1845588</v>
      </c>
      <c r="W186" s="104">
        <v>38.49</v>
      </c>
      <c r="Y186" s="215">
        <v>45071</v>
      </c>
      <c r="Z186" s="104">
        <v>2511284</v>
      </c>
      <c r="AA186" s="104">
        <v>371487</v>
      </c>
      <c r="AB186" s="104">
        <v>2882771</v>
      </c>
      <c r="AC186" s="104">
        <v>87.11</v>
      </c>
      <c r="AE186" s="215">
        <v>45071</v>
      </c>
      <c r="AF186" s="48">
        <v>1173777</v>
      </c>
      <c r="AG186" s="48">
        <v>11340</v>
      </c>
      <c r="AH186" s="48">
        <v>1185117</v>
      </c>
      <c r="AI186" s="48">
        <v>99.04</v>
      </c>
      <c r="AK186" s="215">
        <v>45071</v>
      </c>
      <c r="AL186" s="67">
        <v>904329</v>
      </c>
      <c r="AM186" s="67">
        <v>0</v>
      </c>
      <c r="AN186" s="67">
        <v>904329</v>
      </c>
      <c r="AO186" s="67">
        <v>100</v>
      </c>
      <c r="AQ186" s="215">
        <v>45071</v>
      </c>
      <c r="AR186" s="67">
        <v>1835711</v>
      </c>
      <c r="AS186" s="67">
        <v>6</v>
      </c>
      <c r="AT186" s="67">
        <v>1835717</v>
      </c>
      <c r="AU186" s="67">
        <v>100</v>
      </c>
      <c r="AX186" s="215">
        <v>45071</v>
      </c>
      <c r="AY186" s="67">
        <v>1835711</v>
      </c>
      <c r="AZ186" s="67">
        <v>6</v>
      </c>
      <c r="BA186" s="67">
        <v>1835717</v>
      </c>
      <c r="BB186" s="67">
        <v>100</v>
      </c>
    </row>
    <row r="187" spans="1:54" hidden="1" x14ac:dyDescent="0.25">
      <c r="A187" s="237">
        <v>45072</v>
      </c>
      <c r="B187" s="104">
        <v>15195501</v>
      </c>
      <c r="C187" s="104">
        <v>1332395</v>
      </c>
      <c r="D187" s="104">
        <v>16527896</v>
      </c>
      <c r="E187" s="104">
        <v>91.93</v>
      </c>
      <c r="G187" s="215">
        <v>45072</v>
      </c>
      <c r="H187" s="104">
        <v>3591312</v>
      </c>
      <c r="I187" s="104">
        <v>1435905</v>
      </c>
      <c r="J187" s="104">
        <v>5027217</v>
      </c>
      <c r="K187" s="104">
        <v>71.430000000000007</v>
      </c>
      <c r="M187" s="215">
        <v>45072</v>
      </c>
      <c r="N187" s="104">
        <v>2600966</v>
      </c>
      <c r="O187" s="104">
        <v>3287580</v>
      </c>
      <c r="P187" s="104">
        <v>5888546</v>
      </c>
      <c r="Q187" s="104">
        <v>44.16</v>
      </c>
      <c r="S187" s="215">
        <v>45072</v>
      </c>
      <c r="T187" s="104">
        <v>339596</v>
      </c>
      <c r="U187" s="104">
        <v>488014</v>
      </c>
      <c r="V187" s="104">
        <v>827610</v>
      </c>
      <c r="W187" s="104">
        <v>41.03</v>
      </c>
      <c r="Y187" s="215">
        <v>45072</v>
      </c>
      <c r="Z187" s="104">
        <v>2015233</v>
      </c>
      <c r="AA187" s="104">
        <v>293358</v>
      </c>
      <c r="AB187" s="104">
        <v>2308591</v>
      </c>
      <c r="AC187" s="104">
        <v>87.29</v>
      </c>
      <c r="AE187" s="215">
        <v>45072</v>
      </c>
      <c r="AF187" s="48">
        <v>1364059</v>
      </c>
      <c r="AG187" s="48">
        <v>12758</v>
      </c>
      <c r="AH187" s="48">
        <v>1376817</v>
      </c>
      <c r="AI187" s="48">
        <v>99.07</v>
      </c>
      <c r="AK187" s="215">
        <v>45072</v>
      </c>
      <c r="AL187" s="67">
        <v>994729</v>
      </c>
      <c r="AM187" s="67">
        <v>0</v>
      </c>
      <c r="AN187" s="67">
        <v>994729</v>
      </c>
      <c r="AO187" s="67">
        <v>100</v>
      </c>
      <c r="AQ187" s="215">
        <v>45072</v>
      </c>
      <c r="AR187" s="67">
        <v>1521603</v>
      </c>
      <c r="AS187" s="67">
        <v>0</v>
      </c>
      <c r="AT187" s="67">
        <v>1521603</v>
      </c>
      <c r="AU187" s="67">
        <v>100</v>
      </c>
      <c r="AX187" s="215">
        <v>45072</v>
      </c>
      <c r="AY187" s="67">
        <v>1521603</v>
      </c>
      <c r="AZ187" s="67">
        <v>0</v>
      </c>
      <c r="BA187" s="67">
        <v>1521603</v>
      </c>
      <c r="BB187" s="67">
        <v>100</v>
      </c>
    </row>
    <row r="188" spans="1:54" hidden="1" x14ac:dyDescent="0.25">
      <c r="A188" s="237">
        <v>45073</v>
      </c>
      <c r="B188" s="104">
        <v>14128825</v>
      </c>
      <c r="C188" s="104">
        <v>1450203</v>
      </c>
      <c r="D188" s="104">
        <v>15579028</v>
      </c>
      <c r="E188" s="104">
        <v>90.69</v>
      </c>
      <c r="G188" s="215">
        <v>45073</v>
      </c>
      <c r="H188" s="104">
        <v>9424944</v>
      </c>
      <c r="I188" s="104">
        <v>3532210</v>
      </c>
      <c r="J188" s="104">
        <v>12957154</v>
      </c>
      <c r="K188" s="104">
        <v>72.73</v>
      </c>
      <c r="M188" s="215">
        <v>45073</v>
      </c>
      <c r="N188" s="104">
        <v>4182865</v>
      </c>
      <c r="O188" s="104">
        <v>3790832</v>
      </c>
      <c r="P188" s="104">
        <v>7973697</v>
      </c>
      <c r="Q188" s="104">
        <v>52.457999999999998</v>
      </c>
      <c r="S188" s="215">
        <v>45073</v>
      </c>
      <c r="T188" s="104">
        <v>651452</v>
      </c>
      <c r="U188" s="104">
        <v>1100825</v>
      </c>
      <c r="V188" s="104">
        <v>1752277</v>
      </c>
      <c r="W188" s="104">
        <v>37.17</v>
      </c>
      <c r="Y188" s="215">
        <v>45073</v>
      </c>
      <c r="Z188" s="104">
        <v>2324279</v>
      </c>
      <c r="AA188" s="104">
        <v>320775</v>
      </c>
      <c r="AB188" s="104">
        <v>2645054</v>
      </c>
      <c r="AC188" s="104">
        <v>87.87</v>
      </c>
      <c r="AE188" s="215">
        <v>45073</v>
      </c>
      <c r="AF188" s="48">
        <v>1237742</v>
      </c>
      <c r="AG188" s="48">
        <v>11983</v>
      </c>
      <c r="AH188" s="48">
        <v>1249725</v>
      </c>
      <c r="AI188" s="48">
        <v>99.04</v>
      </c>
      <c r="AK188" s="215">
        <v>45073</v>
      </c>
      <c r="AL188" s="67">
        <v>1083264</v>
      </c>
      <c r="AM188" s="67">
        <v>4</v>
      </c>
      <c r="AN188" s="67">
        <v>1083268</v>
      </c>
      <c r="AO188" s="67">
        <v>100</v>
      </c>
      <c r="AQ188" s="215">
        <v>45073</v>
      </c>
      <c r="AR188" s="67">
        <v>3973938</v>
      </c>
      <c r="AS188" s="67">
        <v>0</v>
      </c>
      <c r="AT188" s="67">
        <v>3973938</v>
      </c>
      <c r="AU188" s="67">
        <v>100</v>
      </c>
      <c r="AX188" s="215">
        <v>45073</v>
      </c>
      <c r="AY188" s="67">
        <v>3973938</v>
      </c>
      <c r="AZ188" s="67">
        <v>0</v>
      </c>
      <c r="BA188" s="67">
        <v>3973938</v>
      </c>
      <c r="BB188" s="67">
        <v>100</v>
      </c>
    </row>
    <row r="189" spans="1:54" hidden="1" x14ac:dyDescent="0.25">
      <c r="A189" s="237">
        <v>45074</v>
      </c>
      <c r="B189" s="104">
        <v>11855029</v>
      </c>
      <c r="C189" s="104">
        <v>1252745</v>
      </c>
      <c r="D189" s="104">
        <v>13107774</v>
      </c>
      <c r="E189" s="104">
        <v>90.44</v>
      </c>
      <c r="G189" s="215">
        <v>45074</v>
      </c>
      <c r="H189" s="104">
        <v>3454569</v>
      </c>
      <c r="I189" s="104">
        <v>1452926</v>
      </c>
      <c r="J189" s="104">
        <v>4907495</v>
      </c>
      <c r="K189" s="104">
        <v>70.39</v>
      </c>
      <c r="M189" s="215">
        <v>45074</v>
      </c>
      <c r="N189" s="104">
        <v>3535766</v>
      </c>
      <c r="O189" s="104">
        <v>2695372</v>
      </c>
      <c r="P189" s="104">
        <v>6231138</v>
      </c>
      <c r="Q189" s="104">
        <v>56.743000000000002</v>
      </c>
      <c r="S189" s="215">
        <v>45074</v>
      </c>
      <c r="T189" s="104">
        <v>150364</v>
      </c>
      <c r="U189" s="104">
        <v>52826</v>
      </c>
      <c r="V189" s="104">
        <v>203190</v>
      </c>
      <c r="W189" s="104">
        <v>74</v>
      </c>
      <c r="Y189" s="215">
        <v>45074</v>
      </c>
      <c r="Z189" s="104">
        <v>2160285</v>
      </c>
      <c r="AA189" s="104">
        <v>377718</v>
      </c>
      <c r="AB189" s="104">
        <v>2538003</v>
      </c>
      <c r="AC189" s="104">
        <v>85.11</v>
      </c>
      <c r="AE189" s="215">
        <v>45074</v>
      </c>
      <c r="AF189" s="48">
        <v>1212253</v>
      </c>
      <c r="AG189" s="48">
        <v>10478</v>
      </c>
      <c r="AH189" s="48">
        <v>1222731</v>
      </c>
      <c r="AI189" s="48">
        <v>99.14</v>
      </c>
      <c r="AK189" s="215">
        <v>45074</v>
      </c>
      <c r="AL189" s="67">
        <v>1045298</v>
      </c>
      <c r="AM189" s="67">
        <v>0</v>
      </c>
      <c r="AN189" s="67">
        <v>1045298</v>
      </c>
      <c r="AO189" s="67">
        <v>100</v>
      </c>
      <c r="AQ189" s="215">
        <v>45074</v>
      </c>
      <c r="AR189" s="67">
        <v>1482089</v>
      </c>
      <c r="AS189" s="67">
        <v>0</v>
      </c>
      <c r="AT189" s="67">
        <v>1482089</v>
      </c>
      <c r="AU189" s="67">
        <v>100</v>
      </c>
      <c r="AX189" s="215">
        <v>45074</v>
      </c>
      <c r="AY189" s="67">
        <v>1482089</v>
      </c>
      <c r="AZ189" s="67">
        <v>0</v>
      </c>
      <c r="BA189" s="67">
        <v>1482089</v>
      </c>
      <c r="BB189" s="67">
        <v>100</v>
      </c>
    </row>
    <row r="190" spans="1:54" hidden="1" x14ac:dyDescent="0.25">
      <c r="A190" s="237">
        <v>45075</v>
      </c>
      <c r="B190" s="104">
        <v>13405315</v>
      </c>
      <c r="C190" s="104">
        <v>1392627</v>
      </c>
      <c r="D190" s="104">
        <v>14797942</v>
      </c>
      <c r="E190" s="104">
        <v>90.58</v>
      </c>
      <c r="G190" s="215">
        <v>45075</v>
      </c>
      <c r="H190" s="104">
        <v>9243016</v>
      </c>
      <c r="I190" s="104">
        <v>3616858</v>
      </c>
      <c r="J190" s="104">
        <v>12859874</v>
      </c>
      <c r="K190" s="104">
        <v>71.87</v>
      </c>
      <c r="M190" s="215">
        <v>45075</v>
      </c>
      <c r="N190" s="104">
        <v>3615129</v>
      </c>
      <c r="O190" s="104">
        <v>3270457</v>
      </c>
      <c r="P190" s="104">
        <v>6885586</v>
      </c>
      <c r="Q190" s="104">
        <v>52.502000000000002</v>
      </c>
      <c r="S190" s="215">
        <v>45075</v>
      </c>
      <c r="T190" s="104">
        <v>694906</v>
      </c>
      <c r="U190" s="104">
        <v>1136520</v>
      </c>
      <c r="V190" s="104">
        <v>1831426</v>
      </c>
      <c r="W190" s="104">
        <v>37.94</v>
      </c>
      <c r="Y190" s="215">
        <v>45075</v>
      </c>
      <c r="Z190" s="104">
        <v>2126265</v>
      </c>
      <c r="AA190" s="104">
        <v>363963</v>
      </c>
      <c r="AB190" s="104">
        <v>2490228</v>
      </c>
      <c r="AC190" s="104">
        <v>85.38</v>
      </c>
      <c r="AE190" s="215">
        <v>45075</v>
      </c>
      <c r="AF190" s="48">
        <v>1196842</v>
      </c>
      <c r="AG190" s="48">
        <v>15335</v>
      </c>
      <c r="AH190" s="48">
        <v>1212177</v>
      </c>
      <c r="AI190" s="48">
        <v>98.73</v>
      </c>
      <c r="AK190" s="215">
        <v>45075</v>
      </c>
      <c r="AL190" s="67">
        <v>1060535</v>
      </c>
      <c r="AM190" s="67">
        <v>4</v>
      </c>
      <c r="AN190" s="67">
        <v>1060539</v>
      </c>
      <c r="AO190" s="67">
        <v>100</v>
      </c>
      <c r="AQ190" s="215">
        <v>45075</v>
      </c>
      <c r="AR190" s="67">
        <v>3862433</v>
      </c>
      <c r="AS190" s="67">
        <v>0</v>
      </c>
      <c r="AT190" s="67">
        <v>3862433</v>
      </c>
      <c r="AU190" s="67">
        <v>100</v>
      </c>
      <c r="AX190" s="215">
        <v>45075</v>
      </c>
      <c r="AY190" s="67">
        <v>3862433</v>
      </c>
      <c r="AZ190" s="67">
        <v>0</v>
      </c>
      <c r="BA190" s="67">
        <v>3862433</v>
      </c>
      <c r="BB190" s="67">
        <v>100</v>
      </c>
    </row>
    <row r="191" spans="1:54" hidden="1" x14ac:dyDescent="0.25">
      <c r="A191" s="237">
        <v>45076</v>
      </c>
      <c r="B191" s="104">
        <v>14879271</v>
      </c>
      <c r="C191" s="104">
        <v>1327872</v>
      </c>
      <c r="D191" s="104">
        <v>16207143</v>
      </c>
      <c r="E191" s="104">
        <v>91.81</v>
      </c>
      <c r="G191" s="215">
        <v>45076</v>
      </c>
      <c r="H191" s="104">
        <v>9170769</v>
      </c>
      <c r="I191" s="104">
        <v>3439399</v>
      </c>
      <c r="J191" s="104">
        <v>12610168</v>
      </c>
      <c r="K191" s="104">
        <v>72.73</v>
      </c>
      <c r="M191" s="215">
        <v>45076</v>
      </c>
      <c r="N191" s="104">
        <v>2662637</v>
      </c>
      <c r="O191" s="104">
        <v>3238241</v>
      </c>
      <c r="P191" s="104">
        <v>5900878</v>
      </c>
      <c r="Q191" s="104">
        <v>45.12</v>
      </c>
      <c r="S191" s="215">
        <v>45076</v>
      </c>
      <c r="T191" s="104">
        <v>840201</v>
      </c>
      <c r="U191" s="104">
        <v>950418</v>
      </c>
      <c r="V191" s="104">
        <v>1790619</v>
      </c>
      <c r="W191" s="104">
        <v>46.92</v>
      </c>
      <c r="Y191" s="215">
        <v>45076</v>
      </c>
      <c r="Z191" s="104">
        <v>2086000</v>
      </c>
      <c r="AA191" s="104">
        <v>341643</v>
      </c>
      <c r="AB191" s="104">
        <v>2427643</v>
      </c>
      <c r="AC191" s="104">
        <v>85.93</v>
      </c>
      <c r="AE191" s="215">
        <v>45076</v>
      </c>
      <c r="AF191" s="48">
        <v>1309494</v>
      </c>
      <c r="AG191" s="48">
        <v>11516</v>
      </c>
      <c r="AH191" s="48">
        <v>1321010</v>
      </c>
      <c r="AI191" s="48">
        <v>99.13</v>
      </c>
      <c r="AK191" s="215">
        <v>45076</v>
      </c>
      <c r="AL191" s="67">
        <v>1217086</v>
      </c>
      <c r="AM191" s="67">
        <v>0</v>
      </c>
      <c r="AN191" s="67">
        <v>1217086</v>
      </c>
      <c r="AO191" s="67">
        <v>100</v>
      </c>
      <c r="AQ191" s="215">
        <v>45076</v>
      </c>
      <c r="AR191" s="67">
        <v>3877765</v>
      </c>
      <c r="AS191" s="67">
        <v>13679</v>
      </c>
      <c r="AT191" s="67">
        <v>3891444</v>
      </c>
      <c r="AU191" s="67">
        <v>99.65</v>
      </c>
      <c r="AX191" s="215">
        <v>45076</v>
      </c>
      <c r="AY191" s="67">
        <v>3877765</v>
      </c>
      <c r="AZ191" s="67">
        <v>13679</v>
      </c>
      <c r="BA191" s="67">
        <v>3891444</v>
      </c>
      <c r="BB191" s="67">
        <v>99.65</v>
      </c>
    </row>
    <row r="192" spans="1:54" hidden="1" x14ac:dyDescent="0.25">
      <c r="A192" s="237">
        <v>45077</v>
      </c>
      <c r="B192" s="104">
        <v>14059581</v>
      </c>
      <c r="C192" s="104">
        <v>1293712</v>
      </c>
      <c r="D192" s="104">
        <v>15353293</v>
      </c>
      <c r="E192" s="104">
        <v>91.57</v>
      </c>
      <c r="G192" s="215">
        <v>45077</v>
      </c>
      <c r="H192" s="104">
        <v>8230550</v>
      </c>
      <c r="I192" s="104">
        <v>3207462</v>
      </c>
      <c r="J192" s="104">
        <v>11438012</v>
      </c>
      <c r="K192" s="104">
        <v>71.959999999999994</v>
      </c>
      <c r="M192" s="215">
        <v>45077</v>
      </c>
      <c r="N192" s="104">
        <v>3037187</v>
      </c>
      <c r="O192" s="104">
        <v>2606155</v>
      </c>
      <c r="P192" s="104">
        <v>5643342</v>
      </c>
      <c r="Q192" s="104">
        <v>53.82</v>
      </c>
      <c r="S192" s="215">
        <v>45077</v>
      </c>
      <c r="T192" s="104">
        <v>889311</v>
      </c>
      <c r="U192" s="104">
        <v>871886</v>
      </c>
      <c r="V192" s="104">
        <v>1761197</v>
      </c>
      <c r="W192" s="104">
        <v>50.49</v>
      </c>
      <c r="Y192" s="215">
        <v>45077</v>
      </c>
      <c r="Z192" s="104">
        <v>1680736</v>
      </c>
      <c r="AA192" s="104">
        <v>283902</v>
      </c>
      <c r="AB192" s="104">
        <v>1964638</v>
      </c>
      <c r="AC192" s="104">
        <v>85.55</v>
      </c>
      <c r="AE192" s="215">
        <v>45077</v>
      </c>
      <c r="AF192" s="48">
        <v>1172495</v>
      </c>
      <c r="AG192" s="48">
        <v>11025</v>
      </c>
      <c r="AH192" s="48">
        <v>1183520</v>
      </c>
      <c r="AI192" s="48">
        <v>99.07</v>
      </c>
      <c r="AK192" s="215">
        <v>45077</v>
      </c>
      <c r="AL192" s="67">
        <v>954114</v>
      </c>
      <c r="AM192" s="67">
        <v>0</v>
      </c>
      <c r="AN192" s="67">
        <v>954114</v>
      </c>
      <c r="AO192" s="67">
        <v>100</v>
      </c>
      <c r="AQ192" s="215">
        <v>45077</v>
      </c>
      <c r="AR192" s="67">
        <v>3435426</v>
      </c>
      <c r="AS192" s="67">
        <v>0</v>
      </c>
      <c r="AT192" s="67">
        <v>3435426</v>
      </c>
      <c r="AU192" s="67">
        <v>100</v>
      </c>
      <c r="AX192" s="215">
        <v>45077</v>
      </c>
      <c r="AY192" s="67">
        <v>3435426</v>
      </c>
      <c r="AZ192" s="67">
        <v>0</v>
      </c>
      <c r="BA192" s="67">
        <v>3435426</v>
      </c>
      <c r="BB192" s="67">
        <v>100</v>
      </c>
    </row>
    <row r="193" spans="1:54" hidden="1" x14ac:dyDescent="0.25">
      <c r="A193" s="237">
        <v>45078</v>
      </c>
      <c r="B193" s="104">
        <v>13407013</v>
      </c>
      <c r="C193" s="104">
        <v>1345976</v>
      </c>
      <c r="D193" s="104">
        <v>14752989</v>
      </c>
      <c r="E193" s="104">
        <v>90.88</v>
      </c>
      <c r="G193" s="215">
        <v>45078</v>
      </c>
      <c r="H193" s="104">
        <v>766973</v>
      </c>
      <c r="I193" s="104">
        <v>363264</v>
      </c>
      <c r="J193" s="104">
        <v>1130237</v>
      </c>
      <c r="K193" s="104">
        <v>67.86</v>
      </c>
      <c r="M193" s="215">
        <v>45078</v>
      </c>
      <c r="N193" s="104">
        <v>3586839</v>
      </c>
      <c r="O193" s="104">
        <v>2116695</v>
      </c>
      <c r="P193" s="104">
        <v>5703534</v>
      </c>
      <c r="Q193" s="104">
        <v>62.89</v>
      </c>
      <c r="S193" s="215">
        <v>45078</v>
      </c>
      <c r="T193" s="104">
        <v>1130559</v>
      </c>
      <c r="U193" s="104">
        <v>909602</v>
      </c>
      <c r="V193" s="104">
        <v>2040161</v>
      </c>
      <c r="W193" s="104">
        <v>55.42</v>
      </c>
      <c r="Y193" s="215">
        <v>45078</v>
      </c>
      <c r="Z193" s="104">
        <v>1657894</v>
      </c>
      <c r="AA193" s="104">
        <v>297020</v>
      </c>
      <c r="AB193" s="104">
        <v>1954914</v>
      </c>
      <c r="AC193" s="104">
        <v>84.81</v>
      </c>
      <c r="AE193" s="215">
        <v>45078</v>
      </c>
      <c r="AF193" s="48">
        <v>1143180</v>
      </c>
      <c r="AG193" s="48">
        <v>11444</v>
      </c>
      <c r="AH193" s="48">
        <v>1154624</v>
      </c>
      <c r="AI193" s="48">
        <v>99.01</v>
      </c>
      <c r="AK193" s="215">
        <v>45078</v>
      </c>
      <c r="AL193" s="67">
        <v>746692</v>
      </c>
      <c r="AM193" s="67">
        <v>6</v>
      </c>
      <c r="AN193" s="67">
        <v>746698</v>
      </c>
      <c r="AO193" s="67">
        <v>100</v>
      </c>
      <c r="AQ193" s="215">
        <v>45078</v>
      </c>
      <c r="AR193" s="67">
        <v>354004</v>
      </c>
      <c r="AS193" s="67">
        <v>0</v>
      </c>
      <c r="AT193" s="67">
        <v>354004</v>
      </c>
      <c r="AU193" s="67">
        <v>100</v>
      </c>
      <c r="AX193" s="215">
        <v>45078</v>
      </c>
      <c r="AY193" s="67">
        <v>354004</v>
      </c>
      <c r="AZ193" s="67">
        <v>0</v>
      </c>
      <c r="BA193" s="67">
        <v>354004</v>
      </c>
      <c r="BB193" s="67">
        <v>100</v>
      </c>
    </row>
    <row r="194" spans="1:54" hidden="1" x14ac:dyDescent="0.25">
      <c r="A194" s="237">
        <v>45079</v>
      </c>
      <c r="B194" s="104">
        <v>14483414</v>
      </c>
      <c r="C194" s="104">
        <v>1274972</v>
      </c>
      <c r="D194" s="104">
        <v>15758386</v>
      </c>
      <c r="E194" s="104">
        <v>91.9</v>
      </c>
      <c r="G194" s="215">
        <v>45079</v>
      </c>
      <c r="H194" s="104">
        <v>806349</v>
      </c>
      <c r="I194" s="104">
        <v>373605</v>
      </c>
      <c r="J194" s="104">
        <v>1179954</v>
      </c>
      <c r="K194" s="104">
        <v>68.33</v>
      </c>
      <c r="M194" s="215">
        <v>45079</v>
      </c>
      <c r="N194" s="104">
        <v>2462110</v>
      </c>
      <c r="O194" s="104">
        <v>2981165</v>
      </c>
      <c r="P194" s="104">
        <v>5443275</v>
      </c>
      <c r="Q194" s="104">
        <v>45.23</v>
      </c>
      <c r="S194" s="215">
        <v>45079</v>
      </c>
      <c r="T194" s="104">
        <v>895892</v>
      </c>
      <c r="U194" s="104">
        <v>872342</v>
      </c>
      <c r="V194" s="104">
        <v>1768234</v>
      </c>
      <c r="W194" s="104">
        <v>50.66</v>
      </c>
      <c r="Y194" s="215">
        <v>45079</v>
      </c>
      <c r="Z194" s="104">
        <v>1604762</v>
      </c>
      <c r="AA194" s="104">
        <v>267737</v>
      </c>
      <c r="AB194" s="104">
        <v>1872499</v>
      </c>
      <c r="AC194" s="104">
        <v>85.7</v>
      </c>
      <c r="AE194" s="215">
        <v>45079</v>
      </c>
      <c r="AF194" s="48">
        <v>1162443</v>
      </c>
      <c r="AG194" s="48">
        <v>11402</v>
      </c>
      <c r="AH194" s="48">
        <v>1173845</v>
      </c>
      <c r="AI194" s="48">
        <v>99.02</v>
      </c>
      <c r="AK194" s="215">
        <v>45079</v>
      </c>
      <c r="AL194" s="67">
        <v>1158651</v>
      </c>
      <c r="AM194" s="67">
        <v>0</v>
      </c>
      <c r="AN194" s="67">
        <v>1158651</v>
      </c>
      <c r="AO194" s="67">
        <v>100</v>
      </c>
      <c r="AQ194" s="215">
        <v>45079</v>
      </c>
      <c r="AR194" s="67">
        <v>370899</v>
      </c>
      <c r="AS194" s="67">
        <v>0</v>
      </c>
      <c r="AT194" s="67">
        <v>370899</v>
      </c>
      <c r="AU194" s="67">
        <v>100</v>
      </c>
      <c r="AX194" s="215">
        <v>45079</v>
      </c>
      <c r="AY194" s="67">
        <v>370899</v>
      </c>
      <c r="AZ194" s="67">
        <v>0</v>
      </c>
      <c r="BA194" s="67">
        <v>370899</v>
      </c>
      <c r="BB194" s="67">
        <v>100</v>
      </c>
    </row>
    <row r="195" spans="1:54" hidden="1" x14ac:dyDescent="0.25">
      <c r="A195" s="237">
        <v>45080</v>
      </c>
      <c r="B195" s="104">
        <v>15015497</v>
      </c>
      <c r="C195" s="104">
        <v>1317162</v>
      </c>
      <c r="D195" s="104">
        <v>16332659</v>
      </c>
      <c r="E195" s="104">
        <v>91.93</v>
      </c>
      <c r="G195" s="215">
        <v>45080</v>
      </c>
      <c r="H195" s="104">
        <v>9317653</v>
      </c>
      <c r="I195" s="104">
        <v>3639596</v>
      </c>
      <c r="J195" s="104">
        <v>12957249</v>
      </c>
      <c r="K195" s="104">
        <v>71.91</v>
      </c>
      <c r="M195" s="215">
        <v>45080</v>
      </c>
      <c r="N195" s="104">
        <v>3640688</v>
      </c>
      <c r="O195" s="104">
        <v>3047297</v>
      </c>
      <c r="P195" s="104">
        <v>6687985</v>
      </c>
      <c r="Q195" s="104">
        <v>54.43</v>
      </c>
      <c r="S195" s="215">
        <v>45080</v>
      </c>
      <c r="T195" s="104">
        <v>320024</v>
      </c>
      <c r="U195" s="104">
        <v>165874</v>
      </c>
      <c r="V195" s="104">
        <v>485898</v>
      </c>
      <c r="W195" s="104">
        <v>65.86</v>
      </c>
      <c r="Y195" s="215">
        <v>45080</v>
      </c>
      <c r="Z195" s="104">
        <v>1852059</v>
      </c>
      <c r="AA195" s="104">
        <v>286169</v>
      </c>
      <c r="AB195" s="104">
        <v>2138228</v>
      </c>
      <c r="AC195" s="104">
        <v>86.61</v>
      </c>
      <c r="AE195" s="215">
        <v>45080</v>
      </c>
      <c r="AF195" s="48">
        <v>1167707</v>
      </c>
      <c r="AG195" s="48">
        <v>10673</v>
      </c>
      <c r="AH195" s="48">
        <v>1178380</v>
      </c>
      <c r="AI195" s="48">
        <v>99.09</v>
      </c>
      <c r="AK195" s="215">
        <v>45080</v>
      </c>
      <c r="AL195" s="67">
        <v>1088651</v>
      </c>
      <c r="AM195" s="67">
        <v>0</v>
      </c>
      <c r="AN195" s="67">
        <v>1088651</v>
      </c>
      <c r="AO195" s="67">
        <v>100</v>
      </c>
      <c r="AQ195" s="215">
        <v>45080</v>
      </c>
      <c r="AR195" s="67">
        <v>3964211</v>
      </c>
      <c r="AS195" s="67">
        <v>20</v>
      </c>
      <c r="AT195" s="67">
        <v>3964231</v>
      </c>
      <c r="AU195" s="67">
        <v>100</v>
      </c>
      <c r="AX195" s="215">
        <v>45080</v>
      </c>
      <c r="AY195" s="67">
        <v>3964211</v>
      </c>
      <c r="AZ195" s="67">
        <v>20</v>
      </c>
      <c r="BA195" s="67">
        <v>3964231</v>
      </c>
      <c r="BB195" s="67">
        <v>100</v>
      </c>
    </row>
    <row r="196" spans="1:54" hidden="1" x14ac:dyDescent="0.25">
      <c r="A196" s="237">
        <v>45081</v>
      </c>
      <c r="B196" s="104">
        <v>12798276</v>
      </c>
      <c r="C196" s="104">
        <v>1390260</v>
      </c>
      <c r="D196" s="104">
        <v>14188536</v>
      </c>
      <c r="E196" s="104">
        <v>90.2</v>
      </c>
      <c r="G196" s="215">
        <v>45081</v>
      </c>
      <c r="H196" s="104">
        <v>794911</v>
      </c>
      <c r="I196" s="104">
        <v>376183</v>
      </c>
      <c r="J196" s="104">
        <v>1171094</v>
      </c>
      <c r="K196" s="104">
        <v>67.87</v>
      </c>
      <c r="M196" s="215">
        <v>45081</v>
      </c>
      <c r="N196" s="104">
        <v>3415374</v>
      </c>
      <c r="O196" s="104">
        <v>2564483</v>
      </c>
      <c r="P196" s="104">
        <v>5979857</v>
      </c>
      <c r="Q196" s="104">
        <v>57.11</v>
      </c>
      <c r="S196" s="215">
        <v>45081</v>
      </c>
      <c r="T196" s="104">
        <v>500483</v>
      </c>
      <c r="U196" s="104">
        <v>338759</v>
      </c>
      <c r="V196" s="104">
        <v>839242</v>
      </c>
      <c r="W196" s="104">
        <v>59.63</v>
      </c>
      <c r="Y196" s="215">
        <v>45081</v>
      </c>
      <c r="Z196" s="104">
        <v>2264649</v>
      </c>
      <c r="AA196" s="104">
        <v>283227</v>
      </c>
      <c r="AB196" s="104">
        <v>2547876</v>
      </c>
      <c r="AC196" s="104">
        <v>88.88</v>
      </c>
      <c r="AE196" s="215">
        <v>45081</v>
      </c>
      <c r="AF196" s="48">
        <v>1207856</v>
      </c>
      <c r="AG196" s="48">
        <v>11222</v>
      </c>
      <c r="AH196" s="48">
        <v>1219078</v>
      </c>
      <c r="AI196" s="48">
        <v>99.07</v>
      </c>
      <c r="AK196" s="215">
        <v>45081</v>
      </c>
      <c r="AL196" s="67">
        <v>1230842</v>
      </c>
      <c r="AM196" s="67">
        <v>0</v>
      </c>
      <c r="AN196" s="67">
        <v>1230842</v>
      </c>
      <c r="AO196" s="67">
        <v>100</v>
      </c>
      <c r="AQ196" s="215">
        <v>45081</v>
      </c>
      <c r="AR196" s="67">
        <v>365301</v>
      </c>
      <c r="AS196" s="67">
        <v>5</v>
      </c>
      <c r="AT196" s="67">
        <v>365306</v>
      </c>
      <c r="AU196" s="67">
        <v>100</v>
      </c>
      <c r="AX196" s="215">
        <v>45081</v>
      </c>
      <c r="AY196" s="67">
        <v>365301</v>
      </c>
      <c r="AZ196" s="67">
        <v>5</v>
      </c>
      <c r="BA196" s="67">
        <v>365306</v>
      </c>
      <c r="BB196" s="67">
        <v>100</v>
      </c>
    </row>
    <row r="197" spans="1:54" hidden="1" x14ac:dyDescent="0.25">
      <c r="A197" s="237">
        <v>45082</v>
      </c>
      <c r="B197" s="104">
        <v>14739961</v>
      </c>
      <c r="C197" s="104">
        <v>1288116</v>
      </c>
      <c r="D197" s="104">
        <v>16028077</v>
      </c>
      <c r="E197" s="104">
        <v>91.96</v>
      </c>
      <c r="G197" s="215">
        <v>45082</v>
      </c>
      <c r="H197" s="104">
        <v>9344609</v>
      </c>
      <c r="I197" s="104">
        <v>3582661</v>
      </c>
      <c r="J197" s="104">
        <v>12927270</v>
      </c>
      <c r="K197" s="104">
        <v>72.290000000000006</v>
      </c>
      <c r="M197" s="215">
        <v>45082</v>
      </c>
      <c r="N197" s="104">
        <v>3954678</v>
      </c>
      <c r="O197" s="104">
        <v>3514428</v>
      </c>
      <c r="P197" s="104">
        <v>7469106</v>
      </c>
      <c r="Q197" s="104">
        <v>52.95</v>
      </c>
      <c r="S197" s="215">
        <v>45082</v>
      </c>
      <c r="T197" s="104">
        <v>374937</v>
      </c>
      <c r="U197" s="104">
        <v>567355</v>
      </c>
      <c r="V197" s="104">
        <v>942292</v>
      </c>
      <c r="W197" s="104">
        <v>39.79</v>
      </c>
      <c r="Y197" s="215">
        <v>45082</v>
      </c>
      <c r="Z197" s="104">
        <v>2188291</v>
      </c>
      <c r="AA197" s="104">
        <v>551568</v>
      </c>
      <c r="AB197" s="104">
        <v>2739859</v>
      </c>
      <c r="AC197" s="104">
        <v>79.87</v>
      </c>
      <c r="AE197" s="215">
        <v>45082</v>
      </c>
      <c r="AF197" s="48">
        <v>1214925</v>
      </c>
      <c r="AG197" s="48">
        <v>11423</v>
      </c>
      <c r="AH197" s="48">
        <v>1226348</v>
      </c>
      <c r="AI197" s="48">
        <v>99.07</v>
      </c>
      <c r="AK197" s="215">
        <v>45082</v>
      </c>
      <c r="AL197" s="67">
        <v>945782</v>
      </c>
      <c r="AM197" s="67">
        <v>75</v>
      </c>
      <c r="AN197" s="67">
        <v>945857</v>
      </c>
      <c r="AO197" s="67">
        <v>99.99</v>
      </c>
      <c r="AQ197" s="215">
        <v>45082</v>
      </c>
      <c r="AR197" s="67">
        <v>4041207</v>
      </c>
      <c r="AS197" s="67">
        <v>0</v>
      </c>
      <c r="AT197" s="67">
        <v>4041207</v>
      </c>
      <c r="AU197" s="67">
        <v>100</v>
      </c>
      <c r="AX197" s="215">
        <v>45082</v>
      </c>
      <c r="AY197" s="67">
        <v>4041207</v>
      </c>
      <c r="AZ197" s="67">
        <v>0</v>
      </c>
      <c r="BA197" s="67">
        <v>4041207</v>
      </c>
      <c r="BB197" s="67">
        <v>100</v>
      </c>
    </row>
    <row r="198" spans="1:54" hidden="1" x14ac:dyDescent="0.25">
      <c r="A198" s="237">
        <v>45083</v>
      </c>
      <c r="B198" s="104">
        <v>15219614</v>
      </c>
      <c r="C198" s="104">
        <v>1527189</v>
      </c>
      <c r="D198" s="104">
        <v>16746803</v>
      </c>
      <c r="E198" s="104">
        <v>90.88</v>
      </c>
      <c r="G198" s="215">
        <v>45083</v>
      </c>
      <c r="H198" s="104">
        <v>5209418</v>
      </c>
      <c r="I198" s="104">
        <v>2082718</v>
      </c>
      <c r="J198" s="104">
        <v>7292136</v>
      </c>
      <c r="K198" s="104">
        <v>71.44</v>
      </c>
      <c r="M198" s="215">
        <v>45083</v>
      </c>
      <c r="N198" s="104">
        <v>2549995</v>
      </c>
      <c r="O198" s="104">
        <v>3108546</v>
      </c>
      <c r="P198" s="104">
        <v>5658541</v>
      </c>
      <c r="Q198" s="104">
        <v>45.06</v>
      </c>
      <c r="S198" s="215">
        <v>45083</v>
      </c>
      <c r="T198" s="104">
        <v>341111</v>
      </c>
      <c r="U198" s="104">
        <v>557926</v>
      </c>
      <c r="V198" s="104">
        <v>899037</v>
      </c>
      <c r="W198" s="104">
        <v>37.94</v>
      </c>
      <c r="Y198" s="215">
        <v>45083</v>
      </c>
      <c r="Z198" s="104">
        <v>2186240</v>
      </c>
      <c r="AA198" s="104">
        <v>323683</v>
      </c>
      <c r="AB198" s="104">
        <v>2509923</v>
      </c>
      <c r="AC198" s="104">
        <v>87.1</v>
      </c>
      <c r="AE198" s="215">
        <v>45083</v>
      </c>
      <c r="AF198" s="48">
        <v>1280735</v>
      </c>
      <c r="AG198" s="48">
        <v>11914</v>
      </c>
      <c r="AH198" s="48">
        <v>1292649</v>
      </c>
      <c r="AI198" s="48">
        <v>99.08</v>
      </c>
      <c r="AK198" s="215">
        <v>45083</v>
      </c>
      <c r="AL198" s="67">
        <v>1141710</v>
      </c>
      <c r="AM198" s="67">
        <v>0</v>
      </c>
      <c r="AN198" s="67">
        <v>1141710</v>
      </c>
      <c r="AO198" s="67">
        <v>100</v>
      </c>
      <c r="AQ198" s="215">
        <v>45083</v>
      </c>
      <c r="AR198" s="67">
        <v>2274209</v>
      </c>
      <c r="AS198" s="67">
        <v>0</v>
      </c>
      <c r="AT198" s="67">
        <v>2274209</v>
      </c>
      <c r="AU198" s="67">
        <v>100</v>
      </c>
      <c r="AX198" s="215">
        <v>45083</v>
      </c>
      <c r="AY198" s="67">
        <v>2274209</v>
      </c>
      <c r="AZ198" s="67">
        <v>0</v>
      </c>
      <c r="BA198" s="67">
        <v>2274209</v>
      </c>
      <c r="BB198" s="67">
        <v>100</v>
      </c>
    </row>
    <row r="199" spans="1:54" hidden="1" x14ac:dyDescent="0.25">
      <c r="A199" s="237">
        <v>45084</v>
      </c>
      <c r="B199" s="104">
        <v>13819215</v>
      </c>
      <c r="C199" s="104">
        <v>1262120</v>
      </c>
      <c r="D199" s="104">
        <v>15081335</v>
      </c>
      <c r="E199" s="104">
        <v>91.63</v>
      </c>
      <c r="G199" s="215">
        <v>45084</v>
      </c>
      <c r="H199" s="104">
        <v>9182086</v>
      </c>
      <c r="I199" s="104">
        <v>4203428</v>
      </c>
      <c r="J199" s="104">
        <v>13385514</v>
      </c>
      <c r="K199" s="104">
        <v>68.599999999999994</v>
      </c>
      <c r="M199" s="215">
        <v>45084</v>
      </c>
      <c r="N199" s="104">
        <v>3423568</v>
      </c>
      <c r="O199" s="104">
        <v>2774496</v>
      </c>
      <c r="P199" s="104">
        <v>6198064</v>
      </c>
      <c r="Q199" s="104">
        <v>55.23</v>
      </c>
      <c r="S199" s="215">
        <v>45084</v>
      </c>
      <c r="T199" s="104">
        <v>381489</v>
      </c>
      <c r="U199" s="104">
        <v>565562</v>
      </c>
      <c r="V199" s="104">
        <v>947051</v>
      </c>
      <c r="W199" s="104">
        <v>40.28</v>
      </c>
      <c r="Y199" s="215">
        <v>45084</v>
      </c>
      <c r="Z199" s="104">
        <v>1874662</v>
      </c>
      <c r="AA199" s="104">
        <v>343343</v>
      </c>
      <c r="AB199" s="104">
        <v>2218005</v>
      </c>
      <c r="AC199" s="104">
        <v>84.52</v>
      </c>
      <c r="AE199" s="215">
        <v>45084</v>
      </c>
      <c r="AF199" s="48">
        <v>1165270</v>
      </c>
      <c r="AG199" s="48">
        <v>11031</v>
      </c>
      <c r="AH199" s="48">
        <v>1176301</v>
      </c>
      <c r="AI199" s="48">
        <v>99.06</v>
      </c>
      <c r="AK199" s="215">
        <v>45084</v>
      </c>
      <c r="AL199" s="67">
        <v>1144932</v>
      </c>
      <c r="AM199" s="67">
        <v>0</v>
      </c>
      <c r="AN199" s="67">
        <v>1144932</v>
      </c>
      <c r="AO199" s="67">
        <v>100</v>
      </c>
      <c r="AQ199" s="215">
        <v>45084</v>
      </c>
      <c r="AR199" s="67">
        <v>1717612</v>
      </c>
      <c r="AS199" s="67">
        <v>0</v>
      </c>
      <c r="AT199" s="67">
        <v>1717612</v>
      </c>
      <c r="AU199" s="67">
        <v>100</v>
      </c>
      <c r="AX199" s="215">
        <v>45084</v>
      </c>
      <c r="AY199" s="67">
        <v>1717612</v>
      </c>
      <c r="AZ199" s="67">
        <v>0</v>
      </c>
      <c r="BA199" s="67">
        <v>1717612</v>
      </c>
      <c r="BB199" s="67">
        <v>100</v>
      </c>
    </row>
    <row r="200" spans="1:54" hidden="1" x14ac:dyDescent="0.25">
      <c r="A200" s="237">
        <v>45085</v>
      </c>
      <c r="B200" s="104">
        <v>14434563</v>
      </c>
      <c r="C200" s="104">
        <v>1268217</v>
      </c>
      <c r="D200" s="104">
        <v>15702780</v>
      </c>
      <c r="E200" s="104">
        <v>91.92</v>
      </c>
      <c r="G200" s="215">
        <v>45085</v>
      </c>
      <c r="H200" s="104">
        <v>4467707</v>
      </c>
      <c r="I200" s="104">
        <v>3085218</v>
      </c>
      <c r="J200" s="104">
        <v>7552925</v>
      </c>
      <c r="K200" s="104">
        <v>59.15</v>
      </c>
      <c r="M200" s="215">
        <v>45085</v>
      </c>
      <c r="N200" s="104">
        <v>4584028</v>
      </c>
      <c r="O200" s="104">
        <v>2761584</v>
      </c>
      <c r="P200" s="104">
        <v>7345612</v>
      </c>
      <c r="Q200" s="104">
        <v>62.4</v>
      </c>
      <c r="S200" s="215">
        <v>45085</v>
      </c>
      <c r="T200" s="104">
        <v>387932</v>
      </c>
      <c r="U200" s="104">
        <v>569091</v>
      </c>
      <c r="V200" s="104">
        <v>957023</v>
      </c>
      <c r="W200" s="104">
        <v>40.54</v>
      </c>
      <c r="Y200" s="215">
        <v>45085</v>
      </c>
      <c r="Z200" s="104">
        <v>2053468</v>
      </c>
      <c r="AA200" s="104">
        <v>319535</v>
      </c>
      <c r="AB200" s="104">
        <v>2373003</v>
      </c>
      <c r="AC200" s="104">
        <v>86.53</v>
      </c>
      <c r="AE200" s="215">
        <v>45085</v>
      </c>
      <c r="AF200" s="48">
        <v>1187431</v>
      </c>
      <c r="AG200" s="48">
        <v>11107</v>
      </c>
      <c r="AH200" s="48">
        <v>1198538</v>
      </c>
      <c r="AI200" s="48">
        <v>99.07</v>
      </c>
      <c r="AK200" s="215">
        <v>45085</v>
      </c>
      <c r="AL200" s="67">
        <v>817416</v>
      </c>
      <c r="AM200" s="67">
        <v>0</v>
      </c>
      <c r="AN200" s="67">
        <v>817416</v>
      </c>
      <c r="AO200" s="67">
        <v>100</v>
      </c>
      <c r="AQ200" s="215">
        <v>45085</v>
      </c>
      <c r="AR200" s="67">
        <v>1573086</v>
      </c>
      <c r="AS200" s="67">
        <v>0</v>
      </c>
      <c r="AT200" s="67">
        <v>1573086</v>
      </c>
      <c r="AU200" s="67">
        <v>100</v>
      </c>
      <c r="AX200" s="215">
        <v>45085</v>
      </c>
      <c r="AY200" s="67">
        <v>1573086</v>
      </c>
      <c r="AZ200" s="67">
        <v>0</v>
      </c>
      <c r="BA200" s="67">
        <v>1573086</v>
      </c>
      <c r="BB200" s="67">
        <v>100</v>
      </c>
    </row>
    <row r="201" spans="1:54" hidden="1" x14ac:dyDescent="0.25">
      <c r="A201" s="237">
        <v>45086</v>
      </c>
      <c r="B201" s="104">
        <v>14808970</v>
      </c>
      <c r="C201" s="104">
        <v>1392030</v>
      </c>
      <c r="D201" s="104">
        <v>16201000</v>
      </c>
      <c r="E201" s="104">
        <v>91.4</v>
      </c>
      <c r="G201" s="215">
        <v>45086</v>
      </c>
      <c r="H201" s="104">
        <v>6676344</v>
      </c>
      <c r="I201" s="104">
        <v>4078590</v>
      </c>
      <c r="J201" s="104">
        <v>10754934</v>
      </c>
      <c r="K201" s="104">
        <v>62.07</v>
      </c>
      <c r="M201" s="215">
        <v>45086</v>
      </c>
      <c r="N201" s="104">
        <v>2319042</v>
      </c>
      <c r="O201" s="104">
        <v>2549971</v>
      </c>
      <c r="P201" s="104">
        <v>4869013</v>
      </c>
      <c r="Q201" s="104">
        <v>47.62</v>
      </c>
      <c r="S201" s="215">
        <v>45086</v>
      </c>
      <c r="T201" s="104">
        <v>1521602</v>
      </c>
      <c r="U201" s="104">
        <v>818513</v>
      </c>
      <c r="V201" s="104">
        <v>2340115</v>
      </c>
      <c r="W201" s="104">
        <v>65.02</v>
      </c>
      <c r="Y201" s="215">
        <v>45086</v>
      </c>
      <c r="Z201" s="104">
        <v>2237984</v>
      </c>
      <c r="AA201" s="104">
        <v>294289</v>
      </c>
      <c r="AB201" s="104">
        <v>2532273</v>
      </c>
      <c r="AC201" s="104">
        <v>88.37</v>
      </c>
      <c r="AE201" s="215">
        <v>45086</v>
      </c>
      <c r="AF201" s="48">
        <v>1293100</v>
      </c>
      <c r="AG201" s="48">
        <v>12640</v>
      </c>
      <c r="AH201" s="48">
        <v>1305740</v>
      </c>
      <c r="AI201" s="48">
        <v>99.03</v>
      </c>
      <c r="AK201" s="215">
        <v>45086</v>
      </c>
      <c r="AL201" s="67">
        <v>980131</v>
      </c>
      <c r="AM201" s="67">
        <v>0</v>
      </c>
      <c r="AN201" s="67">
        <v>980131</v>
      </c>
      <c r="AO201" s="67">
        <v>100</v>
      </c>
      <c r="AQ201" s="215">
        <v>45086</v>
      </c>
      <c r="AR201" s="67">
        <v>1530253</v>
      </c>
      <c r="AS201" s="67">
        <v>0</v>
      </c>
      <c r="AT201" s="67">
        <v>1530253</v>
      </c>
      <c r="AU201" s="67">
        <v>100</v>
      </c>
      <c r="AX201" s="215">
        <v>45086</v>
      </c>
      <c r="AY201" s="67">
        <v>1530253</v>
      </c>
      <c r="AZ201" s="67">
        <v>0</v>
      </c>
      <c r="BA201" s="67">
        <v>1530253</v>
      </c>
      <c r="BB201" s="67">
        <v>100</v>
      </c>
    </row>
    <row r="202" spans="1:54" hidden="1" x14ac:dyDescent="0.25">
      <c r="A202" s="237">
        <v>45087</v>
      </c>
      <c r="B202" s="104">
        <v>13400111</v>
      </c>
      <c r="C202" s="104">
        <v>1289964</v>
      </c>
      <c r="D202" s="104">
        <v>14690075</v>
      </c>
      <c r="E202" s="104">
        <v>91.21</v>
      </c>
      <c r="G202" s="215">
        <v>45087</v>
      </c>
      <c r="H202" s="104">
        <v>1576215</v>
      </c>
      <c r="I202" s="104">
        <v>1547548</v>
      </c>
      <c r="J202" s="104">
        <v>3123763</v>
      </c>
      <c r="K202" s="104">
        <v>50.45</v>
      </c>
      <c r="M202" s="215">
        <v>45087</v>
      </c>
      <c r="N202" s="104">
        <v>3249633</v>
      </c>
      <c r="O202" s="104">
        <v>2701577</v>
      </c>
      <c r="P202" s="104">
        <v>5951210</v>
      </c>
      <c r="Q202" s="104">
        <v>54.6</v>
      </c>
      <c r="S202" s="215">
        <v>45087</v>
      </c>
      <c r="T202" s="104">
        <v>1538432</v>
      </c>
      <c r="U202" s="104">
        <v>830715</v>
      </c>
      <c r="V202" s="104">
        <v>2369147</v>
      </c>
      <c r="W202" s="104">
        <v>64.930000000000007</v>
      </c>
      <c r="Y202" s="215">
        <v>45087</v>
      </c>
      <c r="Z202" s="104">
        <v>2137634</v>
      </c>
      <c r="AA202" s="104">
        <v>357795</v>
      </c>
      <c r="AB202" s="104">
        <v>2495429</v>
      </c>
      <c r="AC202" s="104">
        <v>85.66</v>
      </c>
      <c r="AE202" s="215">
        <v>45087</v>
      </c>
      <c r="AF202" s="48">
        <v>1176812</v>
      </c>
      <c r="AG202" s="48">
        <v>11055</v>
      </c>
      <c r="AH202" s="48">
        <v>1187867</v>
      </c>
      <c r="AI202" s="48">
        <v>99.06</v>
      </c>
      <c r="AK202" s="215">
        <v>45087</v>
      </c>
      <c r="AL202" s="67">
        <v>1002888</v>
      </c>
      <c r="AM202" s="67">
        <v>0</v>
      </c>
      <c r="AN202" s="67">
        <v>1002888</v>
      </c>
      <c r="AO202" s="67">
        <v>100</v>
      </c>
      <c r="AQ202" s="215">
        <v>45087</v>
      </c>
      <c r="AR202" s="67">
        <v>625231</v>
      </c>
      <c r="AS202" s="67">
        <v>0</v>
      </c>
      <c r="AT202" s="67">
        <v>625231</v>
      </c>
      <c r="AU202" s="67">
        <v>100</v>
      </c>
      <c r="AX202" s="215">
        <v>45087</v>
      </c>
      <c r="AY202" s="67">
        <v>625231</v>
      </c>
      <c r="AZ202" s="67">
        <v>0</v>
      </c>
      <c r="BA202" s="67">
        <v>625231</v>
      </c>
      <c r="BB202" s="67">
        <v>100</v>
      </c>
    </row>
    <row r="203" spans="1:54" hidden="1" x14ac:dyDescent="0.25">
      <c r="A203" s="237">
        <v>45088</v>
      </c>
      <c r="B203" s="104">
        <v>11913758</v>
      </c>
      <c r="C203" s="104">
        <v>1246151</v>
      </c>
      <c r="D203" s="104">
        <v>13159909</v>
      </c>
      <c r="E203" s="104">
        <v>90.53</v>
      </c>
      <c r="G203" s="215">
        <v>45088</v>
      </c>
      <c r="H203" s="104">
        <v>630780</v>
      </c>
      <c r="I203" s="104">
        <v>359616</v>
      </c>
      <c r="J203" s="104">
        <v>990396</v>
      </c>
      <c r="K203" s="104">
        <v>63.68</v>
      </c>
      <c r="M203" s="215">
        <v>45088</v>
      </c>
      <c r="N203" s="104">
        <v>3804643</v>
      </c>
      <c r="O203" s="104">
        <v>2590821</v>
      </c>
      <c r="P203" s="104">
        <v>6395464</v>
      </c>
      <c r="Q203" s="104">
        <v>59.48</v>
      </c>
      <c r="S203" s="215">
        <v>45088</v>
      </c>
      <c r="T203" s="104">
        <v>103973</v>
      </c>
      <c r="U203" s="104">
        <v>27814</v>
      </c>
      <c r="V203" s="104">
        <v>131787</v>
      </c>
      <c r="W203" s="104">
        <v>78.89</v>
      </c>
      <c r="Y203" s="215">
        <v>45088</v>
      </c>
      <c r="Z203" s="104">
        <v>2201465</v>
      </c>
      <c r="AA203" s="104">
        <v>400760</v>
      </c>
      <c r="AB203" s="104">
        <v>2602225</v>
      </c>
      <c r="AC203" s="104">
        <v>84.59</v>
      </c>
      <c r="AE203" s="215">
        <v>45088</v>
      </c>
      <c r="AF203" s="48">
        <v>1185886</v>
      </c>
      <c r="AG203" s="48">
        <v>10451</v>
      </c>
      <c r="AH203" s="48">
        <v>1196337</v>
      </c>
      <c r="AI203" s="48">
        <v>99.12</v>
      </c>
      <c r="AK203" s="215">
        <v>45088</v>
      </c>
      <c r="AL203" s="67">
        <v>946738</v>
      </c>
      <c r="AM203" s="67">
        <v>0</v>
      </c>
      <c r="AN203" s="67">
        <v>946738</v>
      </c>
      <c r="AO203" s="67">
        <v>100</v>
      </c>
      <c r="AQ203" s="215">
        <v>45088</v>
      </c>
      <c r="AR203" s="67">
        <v>244203</v>
      </c>
      <c r="AS203" s="67">
        <v>0</v>
      </c>
      <c r="AT203" s="67">
        <v>244203</v>
      </c>
      <c r="AU203" s="67">
        <v>100</v>
      </c>
      <c r="AX203" s="215">
        <v>45088</v>
      </c>
      <c r="AY203" s="67">
        <v>244203</v>
      </c>
      <c r="AZ203" s="67">
        <v>0</v>
      </c>
      <c r="BA203" s="67">
        <v>244203</v>
      </c>
      <c r="BB203" s="67">
        <v>100</v>
      </c>
    </row>
    <row r="204" spans="1:54" hidden="1" x14ac:dyDescent="0.25">
      <c r="A204" s="237">
        <v>45089</v>
      </c>
      <c r="B204" s="104">
        <v>14505728</v>
      </c>
      <c r="C204" s="104">
        <v>1229662</v>
      </c>
      <c r="D204" s="104">
        <v>15735390</v>
      </c>
      <c r="E204" s="104">
        <v>92.19</v>
      </c>
      <c r="G204" s="215">
        <v>45089</v>
      </c>
      <c r="H204" s="104">
        <v>1971667</v>
      </c>
      <c r="I204" s="104">
        <v>874748</v>
      </c>
      <c r="J204" s="104">
        <v>2846415</v>
      </c>
      <c r="K204" s="104">
        <v>69.27</v>
      </c>
      <c r="M204" s="215">
        <v>45089</v>
      </c>
      <c r="N204" s="104">
        <v>3475702</v>
      </c>
      <c r="O204" s="104">
        <v>2925948</v>
      </c>
      <c r="P204" s="104">
        <v>6401650</v>
      </c>
      <c r="Q204" s="104">
        <v>54.29</v>
      </c>
      <c r="S204" s="215">
        <v>45089</v>
      </c>
      <c r="T204" s="104">
        <v>1525489</v>
      </c>
      <c r="U204" s="104">
        <v>824036</v>
      </c>
      <c r="V204" s="104">
        <v>2349525</v>
      </c>
      <c r="W204" s="104">
        <v>64.930000000000007</v>
      </c>
      <c r="Y204" s="215">
        <v>45089</v>
      </c>
      <c r="Z204" s="104">
        <v>2156153</v>
      </c>
      <c r="AA204" s="104">
        <v>354041</v>
      </c>
      <c r="AB204" s="104">
        <v>2510194</v>
      </c>
      <c r="AC204" s="104">
        <v>85.9</v>
      </c>
      <c r="AE204" s="215">
        <v>45089</v>
      </c>
      <c r="AF204" s="48">
        <v>1199213</v>
      </c>
      <c r="AG204" s="48">
        <v>11113</v>
      </c>
      <c r="AH204" s="48">
        <v>1210326</v>
      </c>
      <c r="AI204" s="48">
        <v>99.08</v>
      </c>
      <c r="AK204" s="215">
        <v>45089</v>
      </c>
      <c r="AL204" s="67">
        <v>1326927</v>
      </c>
      <c r="AM204" s="67">
        <v>0</v>
      </c>
      <c r="AN204" s="67">
        <v>1326927</v>
      </c>
      <c r="AO204" s="67">
        <v>100</v>
      </c>
      <c r="AQ204" s="215">
        <v>45089</v>
      </c>
      <c r="AR204" s="67">
        <v>855810</v>
      </c>
      <c r="AS204" s="67">
        <v>0</v>
      </c>
      <c r="AT204" s="67">
        <v>855810</v>
      </c>
      <c r="AU204" s="67">
        <v>100</v>
      </c>
      <c r="AX204" s="215">
        <v>45089</v>
      </c>
      <c r="AY204" s="67">
        <v>855810</v>
      </c>
      <c r="AZ204" s="67">
        <v>0</v>
      </c>
      <c r="BA204" s="67">
        <v>855810</v>
      </c>
      <c r="BB204" s="67">
        <v>100</v>
      </c>
    </row>
    <row r="205" spans="1:54" hidden="1" x14ac:dyDescent="0.25">
      <c r="A205" s="237">
        <v>45090</v>
      </c>
      <c r="B205" s="104">
        <v>14568900</v>
      </c>
      <c r="C205" s="104">
        <v>1408383</v>
      </c>
      <c r="D205" s="104">
        <v>15977283</v>
      </c>
      <c r="E205" s="104">
        <v>91.19</v>
      </c>
      <c r="G205" s="215">
        <v>45090</v>
      </c>
      <c r="H205" s="104">
        <v>5565656</v>
      </c>
      <c r="I205" s="104">
        <v>2064356</v>
      </c>
      <c r="J205" s="104">
        <v>7630012</v>
      </c>
      <c r="K205" s="104">
        <v>72.94</v>
      </c>
      <c r="M205" s="215">
        <v>45090</v>
      </c>
      <c r="N205" s="104">
        <v>3436437</v>
      </c>
      <c r="O205" s="104">
        <v>3789388</v>
      </c>
      <c r="P205" s="104">
        <v>7225825</v>
      </c>
      <c r="Q205" s="104">
        <v>47.55</v>
      </c>
      <c r="S205" s="215">
        <v>45090</v>
      </c>
      <c r="T205" s="104">
        <v>1496445</v>
      </c>
      <c r="U205" s="104">
        <v>821383</v>
      </c>
      <c r="V205" s="104">
        <v>2317828</v>
      </c>
      <c r="W205" s="104">
        <v>64.56</v>
      </c>
      <c r="Y205" s="215">
        <v>45090</v>
      </c>
      <c r="Z205" s="104">
        <v>2297676</v>
      </c>
      <c r="AA205" s="104">
        <v>347579</v>
      </c>
      <c r="AB205" s="104">
        <v>2645255</v>
      </c>
      <c r="AC205" s="104">
        <v>86.86</v>
      </c>
      <c r="AE205" s="215">
        <v>45090</v>
      </c>
      <c r="AF205" s="48">
        <v>1275672</v>
      </c>
      <c r="AG205" s="48">
        <v>11801</v>
      </c>
      <c r="AH205" s="48">
        <v>1287473</v>
      </c>
      <c r="AI205" s="48">
        <v>99.08</v>
      </c>
      <c r="AK205" s="215">
        <v>45090</v>
      </c>
      <c r="AL205" s="67">
        <v>769834</v>
      </c>
      <c r="AM205" s="67">
        <v>3</v>
      </c>
      <c r="AN205" s="67">
        <v>769837</v>
      </c>
      <c r="AO205" s="67">
        <v>100</v>
      </c>
      <c r="AQ205" s="215">
        <v>45090</v>
      </c>
      <c r="AR205" s="67">
        <v>1998793</v>
      </c>
      <c r="AS205" s="67">
        <v>0</v>
      </c>
      <c r="AT205" s="67">
        <v>1998793</v>
      </c>
      <c r="AU205" s="67">
        <v>100</v>
      </c>
      <c r="AX205" s="215">
        <v>45090</v>
      </c>
      <c r="AY205" s="67">
        <v>1998793</v>
      </c>
      <c r="AZ205" s="67">
        <v>0</v>
      </c>
      <c r="BA205" s="67">
        <v>1998793</v>
      </c>
      <c r="BB205" s="67">
        <v>100</v>
      </c>
    </row>
    <row r="206" spans="1:54" hidden="1" x14ac:dyDescent="0.25">
      <c r="A206" s="237">
        <v>45091</v>
      </c>
      <c r="B206" s="104">
        <v>13537791</v>
      </c>
      <c r="C206" s="104">
        <v>1255750</v>
      </c>
      <c r="D206" s="104">
        <v>14793541</v>
      </c>
      <c r="E206" s="104">
        <v>91.51</v>
      </c>
      <c r="G206" s="215">
        <v>45091</v>
      </c>
      <c r="H206" s="104">
        <v>2369197</v>
      </c>
      <c r="I206" s="104">
        <v>1720035</v>
      </c>
      <c r="J206" s="104">
        <v>4089232</v>
      </c>
      <c r="K206" s="104">
        <v>57.94</v>
      </c>
      <c r="M206" s="215">
        <v>45091</v>
      </c>
      <c r="N206" s="104">
        <v>4056166</v>
      </c>
      <c r="O206" s="104">
        <v>3553220</v>
      </c>
      <c r="P206" s="104">
        <v>7609386</v>
      </c>
      <c r="Q206" s="104">
        <v>53.3</v>
      </c>
      <c r="S206" s="215">
        <v>45091</v>
      </c>
      <c r="T206" s="104">
        <v>1548321</v>
      </c>
      <c r="U206" s="104">
        <v>818299</v>
      </c>
      <c r="V206" s="104">
        <v>2366620</v>
      </c>
      <c r="W206" s="104">
        <v>65.42</v>
      </c>
      <c r="Y206" s="215">
        <v>45091</v>
      </c>
      <c r="Z206" s="104">
        <v>2098445</v>
      </c>
      <c r="AA206" s="104">
        <v>359016</v>
      </c>
      <c r="AB206" s="104">
        <v>2457461</v>
      </c>
      <c r="AC206" s="104">
        <v>85.39</v>
      </c>
      <c r="AE206" s="215">
        <v>45091</v>
      </c>
      <c r="AF206" s="48">
        <v>1157709</v>
      </c>
      <c r="AG206" s="48">
        <v>11326</v>
      </c>
      <c r="AH206" s="48">
        <v>1169035</v>
      </c>
      <c r="AI206" s="48">
        <v>99.03</v>
      </c>
      <c r="AK206" s="215">
        <v>45091</v>
      </c>
      <c r="AL206" s="67">
        <v>1026173</v>
      </c>
      <c r="AM206" s="67">
        <v>0</v>
      </c>
      <c r="AN206" s="67">
        <v>1026173</v>
      </c>
      <c r="AO206" s="67">
        <v>100</v>
      </c>
      <c r="AQ206" s="215">
        <v>45091</v>
      </c>
      <c r="AR206" s="67">
        <v>971228</v>
      </c>
      <c r="AS206" s="67">
        <v>0</v>
      </c>
      <c r="AT206" s="67">
        <v>971228</v>
      </c>
      <c r="AU206" s="67">
        <v>100</v>
      </c>
      <c r="AX206" s="215">
        <v>45091</v>
      </c>
      <c r="AY206" s="67">
        <v>971228</v>
      </c>
      <c r="AZ206" s="67">
        <v>0</v>
      </c>
      <c r="BA206" s="67">
        <v>971228</v>
      </c>
      <c r="BB206" s="67">
        <v>100</v>
      </c>
    </row>
    <row r="207" spans="1:54" hidden="1" x14ac:dyDescent="0.25">
      <c r="A207" s="237">
        <v>45092</v>
      </c>
      <c r="B207" s="104">
        <v>13378361</v>
      </c>
      <c r="C207" s="104">
        <v>1205343</v>
      </c>
      <c r="D207" s="104">
        <v>14583704</v>
      </c>
      <c r="E207" s="104">
        <v>91.74</v>
      </c>
      <c r="G207" s="215">
        <v>45092</v>
      </c>
      <c r="H207" s="104">
        <v>2124610</v>
      </c>
      <c r="I207" s="104">
        <v>1026568</v>
      </c>
      <c r="J207" s="104">
        <v>3151178</v>
      </c>
      <c r="K207" s="104">
        <v>67.42</v>
      </c>
      <c r="M207" s="215">
        <v>45092</v>
      </c>
      <c r="N207" s="104">
        <v>2513627</v>
      </c>
      <c r="O207" s="104">
        <v>2047933</v>
      </c>
      <c r="P207" s="104">
        <v>4561560</v>
      </c>
      <c r="Q207" s="104">
        <v>55.1</v>
      </c>
      <c r="S207" s="215">
        <v>45092</v>
      </c>
      <c r="T207" s="104">
        <v>2102465</v>
      </c>
      <c r="U207" s="104">
        <v>942654</v>
      </c>
      <c r="V207" s="104">
        <v>3045119</v>
      </c>
      <c r="W207" s="104">
        <v>69.040000000000006</v>
      </c>
      <c r="Y207" s="215">
        <v>45092</v>
      </c>
      <c r="Z207" s="104">
        <v>2144752</v>
      </c>
      <c r="AA207" s="104">
        <v>331016</v>
      </c>
      <c r="AB207" s="104">
        <v>2475768</v>
      </c>
      <c r="AC207" s="104">
        <v>86.63</v>
      </c>
      <c r="AE207" s="215">
        <v>45092</v>
      </c>
      <c r="AF207" s="104">
        <v>1147108</v>
      </c>
      <c r="AG207" s="104">
        <v>11370</v>
      </c>
      <c r="AH207" s="104">
        <v>1158478</v>
      </c>
      <c r="AI207" s="104">
        <v>99.02</v>
      </c>
      <c r="AK207" s="215">
        <v>45092</v>
      </c>
      <c r="AL207" s="48">
        <v>1238225</v>
      </c>
      <c r="AM207" s="67">
        <v>0</v>
      </c>
      <c r="AN207" s="48">
        <v>1238225</v>
      </c>
      <c r="AO207" s="67">
        <v>100</v>
      </c>
      <c r="AQ207" s="215">
        <v>45092</v>
      </c>
      <c r="AR207" s="48">
        <v>801241</v>
      </c>
      <c r="AS207" s="67">
        <v>1</v>
      </c>
      <c r="AT207" s="48">
        <v>801242</v>
      </c>
      <c r="AU207" s="67">
        <v>100</v>
      </c>
      <c r="AX207" s="215">
        <v>45092</v>
      </c>
      <c r="AY207" s="48">
        <v>801241</v>
      </c>
      <c r="AZ207" s="67">
        <v>1</v>
      </c>
      <c r="BA207" s="48">
        <v>801242</v>
      </c>
      <c r="BB207" s="67">
        <v>100</v>
      </c>
    </row>
    <row r="208" spans="1:54" hidden="1" x14ac:dyDescent="0.25">
      <c r="A208" s="237">
        <v>45093</v>
      </c>
      <c r="B208" s="104">
        <v>14586233</v>
      </c>
      <c r="C208" s="104">
        <v>1356323</v>
      </c>
      <c r="D208" s="104">
        <v>15942556</v>
      </c>
      <c r="E208" s="104">
        <v>91.49</v>
      </c>
      <c r="G208" s="215">
        <v>45093</v>
      </c>
      <c r="H208" s="104">
        <v>3189172</v>
      </c>
      <c r="I208" s="104">
        <v>1399833</v>
      </c>
      <c r="J208" s="104">
        <v>4589005</v>
      </c>
      <c r="K208" s="104">
        <v>69.489999999999995</v>
      </c>
      <c r="M208" s="215">
        <v>45093</v>
      </c>
      <c r="N208" s="104">
        <v>2566432</v>
      </c>
      <c r="O208" s="104">
        <v>2725368</v>
      </c>
      <c r="P208" s="104">
        <v>5291800</v>
      </c>
      <c r="Q208" s="104">
        <v>48.49</v>
      </c>
      <c r="S208" s="215">
        <v>45093</v>
      </c>
      <c r="T208" s="104">
        <v>2517294</v>
      </c>
      <c r="U208" s="104">
        <v>1031262</v>
      </c>
      <c r="V208" s="104">
        <v>3548556</v>
      </c>
      <c r="W208" s="104">
        <v>70.930000000000007</v>
      </c>
      <c r="Y208" s="215">
        <v>45093</v>
      </c>
      <c r="Z208" s="104">
        <v>2278449</v>
      </c>
      <c r="AA208" s="104">
        <v>321340</v>
      </c>
      <c r="AB208" s="104">
        <v>2599789</v>
      </c>
      <c r="AC208" s="104">
        <v>87.63</v>
      </c>
      <c r="AE208" s="215">
        <v>45093</v>
      </c>
      <c r="AF208" s="48">
        <v>1337913</v>
      </c>
      <c r="AG208" s="48">
        <v>12705</v>
      </c>
      <c r="AH208" s="48">
        <v>1350618</v>
      </c>
      <c r="AI208" s="48">
        <v>99.05</v>
      </c>
      <c r="AK208" s="215">
        <v>45093</v>
      </c>
      <c r="AL208" s="67">
        <v>1072457</v>
      </c>
      <c r="AM208" s="67">
        <v>7</v>
      </c>
      <c r="AN208" s="67">
        <v>1072464</v>
      </c>
      <c r="AO208" s="67">
        <v>100</v>
      </c>
      <c r="AQ208" s="215">
        <v>45093</v>
      </c>
      <c r="AR208" s="67">
        <v>1292848</v>
      </c>
      <c r="AS208" s="67">
        <v>0</v>
      </c>
      <c r="AT208" s="67">
        <v>1292848</v>
      </c>
      <c r="AU208" s="67">
        <v>100</v>
      </c>
      <c r="AX208" s="215">
        <v>45093</v>
      </c>
      <c r="AY208" s="67">
        <v>1292848</v>
      </c>
      <c r="AZ208" s="67">
        <v>0</v>
      </c>
      <c r="BA208" s="67">
        <v>1292848</v>
      </c>
      <c r="BB208" s="67">
        <v>100</v>
      </c>
    </row>
    <row r="209" spans="1:54" hidden="1" x14ac:dyDescent="0.25">
      <c r="A209" s="237">
        <v>45094</v>
      </c>
      <c r="B209" s="104">
        <v>13469216</v>
      </c>
      <c r="C209" s="104">
        <v>1257814</v>
      </c>
      <c r="D209" s="104">
        <v>14727030</v>
      </c>
      <c r="E209" s="104">
        <v>91.45</v>
      </c>
      <c r="G209" s="215">
        <v>45094</v>
      </c>
      <c r="H209" s="104">
        <v>1591320</v>
      </c>
      <c r="I209" s="104">
        <v>793893</v>
      </c>
      <c r="J209" s="104">
        <v>2385213</v>
      </c>
      <c r="K209" s="104">
        <v>66.709999999999994</v>
      </c>
      <c r="M209" s="215">
        <v>45094</v>
      </c>
      <c r="N209" s="104">
        <v>3743597</v>
      </c>
      <c r="O209" s="104">
        <v>4041153</v>
      </c>
      <c r="P209" s="104">
        <v>7784750</v>
      </c>
      <c r="Q209" s="104">
        <v>48.08</v>
      </c>
      <c r="S209" s="215">
        <v>45094</v>
      </c>
      <c r="T209" s="104">
        <v>2125650</v>
      </c>
      <c r="U209" s="104">
        <v>941631</v>
      </c>
      <c r="V209" s="104">
        <v>3067281</v>
      </c>
      <c r="W209" s="104">
        <v>69.3</v>
      </c>
      <c r="Y209" s="215">
        <v>45094</v>
      </c>
      <c r="Z209" s="104">
        <v>2206437</v>
      </c>
      <c r="AA209" s="104">
        <v>354544</v>
      </c>
      <c r="AB209" s="104">
        <v>2560981</v>
      </c>
      <c r="AC209" s="104">
        <v>86.15</v>
      </c>
      <c r="AE209" s="215">
        <v>45094</v>
      </c>
      <c r="AF209" s="48">
        <v>1234353</v>
      </c>
      <c r="AG209" s="48">
        <v>11954</v>
      </c>
      <c r="AH209" s="48">
        <v>1246307</v>
      </c>
      <c r="AI209" s="48">
        <v>99.04</v>
      </c>
      <c r="AK209" s="215">
        <v>45094</v>
      </c>
      <c r="AL209" s="67">
        <v>1030603</v>
      </c>
      <c r="AM209" s="67">
        <v>1</v>
      </c>
      <c r="AN209" s="67">
        <v>1030604</v>
      </c>
      <c r="AO209" s="67">
        <v>100</v>
      </c>
      <c r="AQ209" s="215">
        <v>45094</v>
      </c>
      <c r="AR209" s="67">
        <v>616602</v>
      </c>
      <c r="AS209" s="67">
        <v>0</v>
      </c>
      <c r="AT209" s="67">
        <v>616602</v>
      </c>
      <c r="AU209" s="67">
        <v>100</v>
      </c>
      <c r="AX209" s="215">
        <v>45094</v>
      </c>
      <c r="AY209" s="67">
        <v>616602</v>
      </c>
      <c r="AZ209" s="67">
        <v>0</v>
      </c>
      <c r="BA209" s="67">
        <v>616602</v>
      </c>
      <c r="BB209" s="67">
        <v>100</v>
      </c>
    </row>
    <row r="210" spans="1:54" hidden="1" x14ac:dyDescent="0.25">
      <c r="A210" s="237">
        <v>45095</v>
      </c>
      <c r="B210" s="104">
        <v>11769453</v>
      </c>
      <c r="C210" s="104">
        <v>1257666</v>
      </c>
      <c r="D210" s="104">
        <v>13027119</v>
      </c>
      <c r="E210" s="104">
        <v>90.34</v>
      </c>
      <c r="G210" s="215">
        <v>45095</v>
      </c>
      <c r="H210" s="104">
        <v>1026189</v>
      </c>
      <c r="I210" s="104">
        <v>553749</v>
      </c>
      <c r="J210" s="104">
        <v>1579938</v>
      </c>
      <c r="K210" s="104">
        <v>64.95</v>
      </c>
      <c r="M210" s="215">
        <v>45095</v>
      </c>
      <c r="N210" s="104">
        <v>3436818</v>
      </c>
      <c r="O210" s="104">
        <v>3624393</v>
      </c>
      <c r="P210" s="104">
        <v>7061211</v>
      </c>
      <c r="Q210" s="104">
        <v>48.67</v>
      </c>
      <c r="S210" s="215">
        <v>45095</v>
      </c>
      <c r="T210" s="104">
        <v>98003</v>
      </c>
      <c r="U210" s="104">
        <v>24985</v>
      </c>
      <c r="V210" s="104">
        <v>122988</v>
      </c>
      <c r="W210" s="104">
        <v>79.680000000000007</v>
      </c>
      <c r="Y210" s="215">
        <v>45095</v>
      </c>
      <c r="Z210" s="104">
        <v>2198035</v>
      </c>
      <c r="AA210" s="104">
        <v>349355</v>
      </c>
      <c r="AB210" s="104">
        <v>2547390</v>
      </c>
      <c r="AC210" s="104">
        <v>86.28</v>
      </c>
      <c r="AE210" s="215">
        <v>45095</v>
      </c>
      <c r="AF210" s="48">
        <v>1256156</v>
      </c>
      <c r="AG210" s="48">
        <v>11569</v>
      </c>
      <c r="AH210" s="48">
        <v>1267725</v>
      </c>
      <c r="AI210" s="48">
        <v>99.08</v>
      </c>
      <c r="AK210" s="215">
        <v>45095</v>
      </c>
      <c r="AL210" s="67">
        <v>901589</v>
      </c>
      <c r="AM210" s="67">
        <v>3</v>
      </c>
      <c r="AN210" s="67">
        <v>901592</v>
      </c>
      <c r="AO210" s="67">
        <v>100</v>
      </c>
      <c r="AQ210" s="215">
        <v>45095</v>
      </c>
      <c r="AR210" s="67">
        <v>417719</v>
      </c>
      <c r="AS210" s="67">
        <v>63</v>
      </c>
      <c r="AT210" s="67">
        <v>417782</v>
      </c>
      <c r="AU210" s="67">
        <v>99.98</v>
      </c>
      <c r="AX210" s="215">
        <v>45095</v>
      </c>
      <c r="AY210" s="67">
        <v>417719</v>
      </c>
      <c r="AZ210" s="67">
        <v>63</v>
      </c>
      <c r="BA210" s="67">
        <v>417782</v>
      </c>
      <c r="BB210" s="67">
        <v>99.98</v>
      </c>
    </row>
    <row r="211" spans="1:54" hidden="1" x14ac:dyDescent="0.25">
      <c r="A211" s="237">
        <v>45096</v>
      </c>
      <c r="B211" s="104">
        <v>13230192</v>
      </c>
      <c r="C211" s="104">
        <v>1209447</v>
      </c>
      <c r="D211" s="104">
        <v>14439639</v>
      </c>
      <c r="E211" s="104">
        <v>91.62</v>
      </c>
      <c r="G211" s="215">
        <v>45096</v>
      </c>
      <c r="H211" s="104">
        <v>990149</v>
      </c>
      <c r="I211" s="104">
        <v>566288</v>
      </c>
      <c r="J211" s="104">
        <v>1556437</v>
      </c>
      <c r="K211" s="104">
        <v>63.62</v>
      </c>
      <c r="M211" s="215">
        <v>45096</v>
      </c>
      <c r="N211" s="104">
        <v>4457347</v>
      </c>
      <c r="O211" s="104">
        <v>3933442</v>
      </c>
      <c r="P211" s="104">
        <v>8390789</v>
      </c>
      <c r="Q211" s="104">
        <v>53.12</v>
      </c>
      <c r="S211" s="215">
        <v>45096</v>
      </c>
      <c r="T211" s="104">
        <v>2164827</v>
      </c>
      <c r="U211" s="104">
        <v>914146</v>
      </c>
      <c r="V211" s="104">
        <v>3078973</v>
      </c>
      <c r="W211" s="104">
        <v>70.31</v>
      </c>
      <c r="Y211" s="215">
        <v>45096</v>
      </c>
      <c r="Z211" s="104">
        <v>2032098</v>
      </c>
      <c r="AA211" s="104">
        <v>349962</v>
      </c>
      <c r="AB211" s="104">
        <v>2382060</v>
      </c>
      <c r="AC211" s="104">
        <v>85.31</v>
      </c>
      <c r="AE211" s="215">
        <v>45096</v>
      </c>
      <c r="AF211" s="48">
        <v>1217897</v>
      </c>
      <c r="AG211" s="48">
        <v>11256</v>
      </c>
      <c r="AH211" s="48">
        <v>1229153</v>
      </c>
      <c r="AI211" s="48">
        <v>99.08</v>
      </c>
      <c r="AK211" s="215">
        <v>45096</v>
      </c>
      <c r="AL211" s="67">
        <v>1141585</v>
      </c>
      <c r="AM211" s="67">
        <v>13</v>
      </c>
      <c r="AN211" s="67">
        <v>1141598</v>
      </c>
      <c r="AO211" s="67">
        <v>100</v>
      </c>
      <c r="AQ211" s="215">
        <v>45096</v>
      </c>
      <c r="AR211" s="67">
        <v>363330</v>
      </c>
      <c r="AS211" s="67">
        <v>42453</v>
      </c>
      <c r="AT211" s="67">
        <v>405783</v>
      </c>
      <c r="AU211" s="67">
        <v>89.54</v>
      </c>
      <c r="AX211" s="215">
        <v>45096</v>
      </c>
      <c r="AY211" s="67">
        <v>363330</v>
      </c>
      <c r="AZ211" s="67">
        <v>42453</v>
      </c>
      <c r="BA211" s="67">
        <v>405783</v>
      </c>
      <c r="BB211" s="67">
        <v>89.54</v>
      </c>
    </row>
    <row r="212" spans="1:54" hidden="1" x14ac:dyDescent="0.25">
      <c r="A212" s="237">
        <v>45097</v>
      </c>
      <c r="B212" s="104">
        <v>14093254</v>
      </c>
      <c r="C212" s="104">
        <v>1396494</v>
      </c>
      <c r="D212" s="104">
        <v>15489748</v>
      </c>
      <c r="E212" s="104">
        <v>90.98</v>
      </c>
      <c r="G212" s="215">
        <v>45097</v>
      </c>
      <c r="H212" s="104">
        <v>1810265</v>
      </c>
      <c r="I212" s="104">
        <v>864275</v>
      </c>
      <c r="J212" s="104">
        <v>2674540</v>
      </c>
      <c r="K212" s="104">
        <v>67.69</v>
      </c>
      <c r="M212" s="215">
        <v>45097</v>
      </c>
      <c r="N212" s="104">
        <v>3517098</v>
      </c>
      <c r="O212" s="104">
        <v>4479578</v>
      </c>
      <c r="P212" s="104">
        <v>7996676</v>
      </c>
      <c r="Q212" s="104">
        <v>43.98</v>
      </c>
      <c r="S212" s="215">
        <v>45097</v>
      </c>
      <c r="T212" s="104">
        <v>1914102</v>
      </c>
      <c r="U212" s="104">
        <v>1045908</v>
      </c>
      <c r="V212" s="104">
        <v>2960010</v>
      </c>
      <c r="W212" s="104">
        <v>64.67</v>
      </c>
      <c r="Y212" s="215">
        <v>45097</v>
      </c>
      <c r="Z212" s="104">
        <v>2530036</v>
      </c>
      <c r="AA212" s="104">
        <v>380284</v>
      </c>
      <c r="AB212" s="104">
        <v>2910320</v>
      </c>
      <c r="AC212" s="104">
        <v>86.93</v>
      </c>
      <c r="AE212" s="215">
        <v>45097</v>
      </c>
      <c r="AF212" s="48">
        <v>1374413</v>
      </c>
      <c r="AG212" s="48">
        <v>13322</v>
      </c>
      <c r="AH212" s="48">
        <v>1387735</v>
      </c>
      <c r="AI212" s="48">
        <v>99.04</v>
      </c>
      <c r="AK212" s="215">
        <v>45097</v>
      </c>
      <c r="AL212" s="67">
        <v>904669</v>
      </c>
      <c r="AM212" s="67">
        <v>2</v>
      </c>
      <c r="AN212" s="67">
        <v>904671</v>
      </c>
      <c r="AO212" s="67">
        <v>100</v>
      </c>
      <c r="AQ212" s="215">
        <v>45097</v>
      </c>
      <c r="AR212" s="67">
        <v>741802</v>
      </c>
      <c r="AS212" s="67">
        <v>42060</v>
      </c>
      <c r="AT212" s="67">
        <v>783862</v>
      </c>
      <c r="AU212" s="67">
        <v>94.63</v>
      </c>
      <c r="AX212" s="215">
        <v>45097</v>
      </c>
      <c r="AY212" s="67">
        <v>741802</v>
      </c>
      <c r="AZ212" s="67">
        <v>42060</v>
      </c>
      <c r="BA212" s="67">
        <v>783862</v>
      </c>
      <c r="BB212" s="67">
        <v>94.63</v>
      </c>
    </row>
    <row r="213" spans="1:54" hidden="1" x14ac:dyDescent="0.25">
      <c r="A213" s="237">
        <v>45098</v>
      </c>
      <c r="B213" s="104">
        <v>12548354</v>
      </c>
      <c r="C213" s="104">
        <v>1166359</v>
      </c>
      <c r="D213" s="104">
        <v>13714713</v>
      </c>
      <c r="E213" s="104">
        <v>91.5</v>
      </c>
      <c r="G213" s="215">
        <v>45098</v>
      </c>
      <c r="H213" s="104">
        <v>1223975</v>
      </c>
      <c r="I213" s="104">
        <v>609702</v>
      </c>
      <c r="J213" s="104">
        <v>1833677</v>
      </c>
      <c r="K213" s="104">
        <v>66.75</v>
      </c>
      <c r="M213" s="215">
        <v>45098</v>
      </c>
      <c r="N213" s="104">
        <v>3258792</v>
      </c>
      <c r="O213" s="104">
        <v>3492098</v>
      </c>
      <c r="P213" s="104">
        <v>6750890</v>
      </c>
      <c r="Q213" s="104">
        <v>48.27</v>
      </c>
      <c r="S213" s="215">
        <v>45098</v>
      </c>
      <c r="T213" s="104">
        <v>1122378</v>
      </c>
      <c r="U213" s="104">
        <v>617655</v>
      </c>
      <c r="V213" s="104">
        <v>1740033</v>
      </c>
      <c r="W213" s="104">
        <v>64.5</v>
      </c>
      <c r="Y213" s="215">
        <v>45098</v>
      </c>
      <c r="Z213" s="104">
        <v>2029300</v>
      </c>
      <c r="AA213" s="104">
        <v>410687</v>
      </c>
      <c r="AB213" s="104">
        <v>2439987</v>
      </c>
      <c r="AC213" s="104">
        <v>83.17</v>
      </c>
      <c r="AE213" s="215">
        <v>45098</v>
      </c>
      <c r="AF213" s="48">
        <v>1229631</v>
      </c>
      <c r="AG213" s="48">
        <v>13445</v>
      </c>
      <c r="AH213" s="48">
        <v>1243076</v>
      </c>
      <c r="AI213" s="48">
        <v>98.92</v>
      </c>
      <c r="AK213" s="215">
        <v>45098</v>
      </c>
      <c r="AL213" s="67">
        <v>954710</v>
      </c>
      <c r="AM213" s="67">
        <v>542</v>
      </c>
      <c r="AN213" s="67">
        <v>955252</v>
      </c>
      <c r="AO213" s="67">
        <v>99.94</v>
      </c>
      <c r="AQ213" s="215">
        <v>45098</v>
      </c>
      <c r="AR213" s="67">
        <v>514746</v>
      </c>
      <c r="AS213" s="67">
        <v>1550</v>
      </c>
      <c r="AT213" s="67">
        <v>516296</v>
      </c>
      <c r="AU213" s="67">
        <v>99.7</v>
      </c>
      <c r="AX213" s="215">
        <v>45098</v>
      </c>
      <c r="AY213" s="67">
        <v>514746</v>
      </c>
      <c r="AZ213" s="67">
        <v>1550</v>
      </c>
      <c r="BA213" s="67">
        <v>516296</v>
      </c>
      <c r="BB213" s="67">
        <v>99.7</v>
      </c>
    </row>
    <row r="214" spans="1:54" hidden="1" x14ac:dyDescent="0.25">
      <c r="A214" s="237">
        <v>45099</v>
      </c>
      <c r="B214" s="104">
        <v>1136923</v>
      </c>
      <c r="C214" s="104">
        <v>14401783</v>
      </c>
      <c r="D214" s="104">
        <v>14401783</v>
      </c>
      <c r="E214" s="104">
        <v>92.1</v>
      </c>
      <c r="G214" s="215">
        <v>45099</v>
      </c>
      <c r="H214" s="104">
        <v>1142873</v>
      </c>
      <c r="I214" s="104">
        <v>580634</v>
      </c>
      <c r="J214" s="104">
        <v>1723507</v>
      </c>
      <c r="K214" s="104">
        <v>66.31</v>
      </c>
      <c r="M214" s="215">
        <v>45099</v>
      </c>
      <c r="N214" s="104">
        <v>2722033</v>
      </c>
      <c r="O214" s="104">
        <v>3301657</v>
      </c>
      <c r="P214" s="104">
        <v>6023690</v>
      </c>
      <c r="Q214" s="104">
        <v>45.19</v>
      </c>
      <c r="S214" s="215">
        <v>45099</v>
      </c>
      <c r="T214" s="104">
        <v>629616</v>
      </c>
      <c r="U214" s="104">
        <v>302493</v>
      </c>
      <c r="V214" s="104">
        <v>932109</v>
      </c>
      <c r="W214" s="104">
        <v>67.55</v>
      </c>
      <c r="Y214" s="215">
        <v>45099</v>
      </c>
      <c r="Z214" s="104">
        <v>2172464</v>
      </c>
      <c r="AA214" s="104">
        <v>372564</v>
      </c>
      <c r="AB214" s="104">
        <v>2545028</v>
      </c>
      <c r="AC214" s="104">
        <v>85.36</v>
      </c>
      <c r="AE214" s="215">
        <v>45099</v>
      </c>
      <c r="AF214" s="48">
        <v>1357387</v>
      </c>
      <c r="AG214" s="48">
        <v>13537</v>
      </c>
      <c r="AH214" s="48">
        <v>1370924</v>
      </c>
      <c r="AI214" s="48">
        <v>99.01</v>
      </c>
      <c r="AK214" s="215">
        <v>45099</v>
      </c>
      <c r="AL214" s="67">
        <v>1068628</v>
      </c>
      <c r="AM214" s="67">
        <v>0</v>
      </c>
      <c r="AN214" s="67">
        <v>1068628</v>
      </c>
      <c r="AO214" s="67">
        <v>100</v>
      </c>
      <c r="AQ214" s="215">
        <v>45099</v>
      </c>
      <c r="AR214" s="67">
        <v>477714</v>
      </c>
      <c r="AS214" s="67">
        <v>0</v>
      </c>
      <c r="AT214" s="67">
        <v>477714</v>
      </c>
      <c r="AU214" s="67">
        <v>100</v>
      </c>
      <c r="AX214" s="215">
        <v>45099</v>
      </c>
      <c r="AY214" s="67">
        <v>477714</v>
      </c>
      <c r="AZ214" s="67">
        <v>0</v>
      </c>
      <c r="BA214" s="67">
        <v>477714</v>
      </c>
      <c r="BB214" s="67">
        <v>100</v>
      </c>
    </row>
    <row r="215" spans="1:54" hidden="1" x14ac:dyDescent="0.25">
      <c r="A215" s="237">
        <v>45100</v>
      </c>
      <c r="B215" s="104">
        <v>13899281</v>
      </c>
      <c r="C215" s="104">
        <v>1267347</v>
      </c>
      <c r="D215" s="104">
        <v>15166628</v>
      </c>
      <c r="E215" s="104">
        <v>91.64</v>
      </c>
      <c r="G215" s="215">
        <v>45100</v>
      </c>
      <c r="H215" s="104">
        <v>4965447</v>
      </c>
      <c r="I215" s="104">
        <v>2237173</v>
      </c>
      <c r="J215" s="104">
        <v>7202620</v>
      </c>
      <c r="K215" s="104">
        <v>68.930000000000007</v>
      </c>
      <c r="M215" s="215">
        <v>45100</v>
      </c>
      <c r="N215" s="104">
        <v>4423241</v>
      </c>
      <c r="O215" s="104">
        <v>3969899</v>
      </c>
      <c r="P215" s="104">
        <v>8393140</v>
      </c>
      <c r="Q215" s="104">
        <v>52.7</v>
      </c>
      <c r="S215" s="215">
        <v>45100</v>
      </c>
      <c r="T215" s="104">
        <v>673575</v>
      </c>
      <c r="U215" s="104">
        <v>639743</v>
      </c>
      <c r="V215" s="104">
        <v>1313318</v>
      </c>
      <c r="W215" s="104">
        <v>51.28</v>
      </c>
      <c r="Y215" s="215">
        <v>45100</v>
      </c>
      <c r="Z215" s="104">
        <v>2109460</v>
      </c>
      <c r="AA215" s="104">
        <v>351971</v>
      </c>
      <c r="AB215" s="104">
        <v>2461431</v>
      </c>
      <c r="AC215" s="104">
        <v>85.7</v>
      </c>
      <c r="AE215" s="215">
        <v>45100</v>
      </c>
      <c r="AF215" s="48">
        <v>1459854</v>
      </c>
      <c r="AG215" s="48">
        <v>15107</v>
      </c>
      <c r="AH215" s="48">
        <v>1474961</v>
      </c>
      <c r="AI215" s="48">
        <v>98.97</v>
      </c>
      <c r="AK215" s="215">
        <v>45100</v>
      </c>
      <c r="AL215" s="67">
        <v>1102282</v>
      </c>
      <c r="AM215" s="67">
        <v>0</v>
      </c>
      <c r="AN215" s="67">
        <v>1102282</v>
      </c>
      <c r="AO215" s="67">
        <v>100</v>
      </c>
      <c r="AQ215" s="215">
        <v>45100</v>
      </c>
      <c r="AR215" s="67">
        <v>3632209</v>
      </c>
      <c r="AS215" s="67">
        <v>216</v>
      </c>
      <c r="AT215" s="67">
        <v>3632425</v>
      </c>
      <c r="AU215" s="67">
        <v>99.99</v>
      </c>
      <c r="AX215" s="215">
        <v>45100</v>
      </c>
      <c r="AY215" s="67">
        <v>3632209</v>
      </c>
      <c r="AZ215" s="67">
        <v>216</v>
      </c>
      <c r="BA215" s="67">
        <v>3632425</v>
      </c>
      <c r="BB215" s="67">
        <v>99.99</v>
      </c>
    </row>
    <row r="216" spans="1:54" hidden="1" x14ac:dyDescent="0.25">
      <c r="A216" s="237">
        <v>45101</v>
      </c>
      <c r="B216" s="104">
        <v>13486464</v>
      </c>
      <c r="C216" s="104">
        <v>1383257</v>
      </c>
      <c r="D216" s="104">
        <v>14869721</v>
      </c>
      <c r="E216" s="104">
        <v>90.69</v>
      </c>
      <c r="G216" s="215">
        <v>45101</v>
      </c>
      <c r="H216" s="104">
        <v>8981939</v>
      </c>
      <c r="I216" s="104">
        <v>3463451</v>
      </c>
      <c r="J216" s="104">
        <v>12445390</v>
      </c>
      <c r="K216" s="104">
        <v>72.17</v>
      </c>
      <c r="M216" s="215">
        <v>45101</v>
      </c>
      <c r="N216" s="104">
        <v>1999480</v>
      </c>
      <c r="O216" s="104">
        <v>2122232</v>
      </c>
      <c r="P216" s="104">
        <v>4121712</v>
      </c>
      <c r="Q216" s="104">
        <v>48.51</v>
      </c>
      <c r="S216" s="215">
        <v>45101</v>
      </c>
      <c r="T216" s="104">
        <v>689858</v>
      </c>
      <c r="U216" s="104">
        <v>775878</v>
      </c>
      <c r="V216" s="104">
        <v>1465736</v>
      </c>
      <c r="W216" s="104">
        <v>47.06</v>
      </c>
      <c r="Y216" s="215">
        <v>45101</v>
      </c>
      <c r="Z216" s="104">
        <v>1860012</v>
      </c>
      <c r="AA216" s="104">
        <v>364289</v>
      </c>
      <c r="AB216" s="104">
        <v>2224301</v>
      </c>
      <c r="AC216" s="104">
        <v>83.62</v>
      </c>
      <c r="AE216" s="215">
        <v>45101</v>
      </c>
      <c r="AF216" s="48">
        <v>1335222</v>
      </c>
      <c r="AG216" s="48">
        <v>13682</v>
      </c>
      <c r="AH216" s="48">
        <v>1348904</v>
      </c>
      <c r="AI216" s="48">
        <v>98.98</v>
      </c>
      <c r="AK216" s="215">
        <v>45101</v>
      </c>
      <c r="AL216" s="67">
        <v>1024177</v>
      </c>
      <c r="AM216" s="67">
        <v>7</v>
      </c>
      <c r="AN216" s="67">
        <v>1024184</v>
      </c>
      <c r="AO216" s="67">
        <v>100</v>
      </c>
      <c r="AQ216" s="215">
        <v>45101</v>
      </c>
      <c r="AR216" s="67">
        <v>3844535</v>
      </c>
      <c r="AS216" s="67">
        <v>8694</v>
      </c>
      <c r="AT216" s="67">
        <v>3853229</v>
      </c>
      <c r="AU216" s="67">
        <v>99.77</v>
      </c>
      <c r="AX216" s="215">
        <v>45101</v>
      </c>
      <c r="AY216" s="67">
        <v>3844535</v>
      </c>
      <c r="AZ216" s="67">
        <v>8694</v>
      </c>
      <c r="BA216" s="67">
        <v>3853229</v>
      </c>
      <c r="BB216" s="67">
        <v>99.77</v>
      </c>
    </row>
    <row r="217" spans="1:54" hidden="1" x14ac:dyDescent="0.25">
      <c r="A217" s="237">
        <v>45102</v>
      </c>
      <c r="B217" s="104">
        <v>11357405</v>
      </c>
      <c r="C217" s="104">
        <v>1198192</v>
      </c>
      <c r="D217" s="104">
        <v>12555597</v>
      </c>
      <c r="E217" s="104">
        <v>90.45</v>
      </c>
      <c r="G217" s="215">
        <v>45102</v>
      </c>
      <c r="H217" s="104">
        <v>574565</v>
      </c>
      <c r="I217" s="104">
        <v>355341</v>
      </c>
      <c r="J217" s="104">
        <v>929906</v>
      </c>
      <c r="K217" s="104">
        <v>61.78</v>
      </c>
      <c r="M217" s="215">
        <v>45102</v>
      </c>
      <c r="N217" s="104">
        <v>4056728</v>
      </c>
      <c r="O217" s="104">
        <v>4219669</v>
      </c>
      <c r="P217" s="104">
        <v>8276397</v>
      </c>
      <c r="Q217" s="104">
        <v>49.01</v>
      </c>
      <c r="S217" s="215">
        <v>45102</v>
      </c>
      <c r="T217" s="104">
        <v>101353</v>
      </c>
      <c r="U217" s="104">
        <v>21745</v>
      </c>
      <c r="V217" s="104">
        <v>123098</v>
      </c>
      <c r="W217" s="104">
        <v>82.33</v>
      </c>
      <c r="Y217" s="215">
        <v>45102</v>
      </c>
      <c r="Z217" s="104">
        <v>1593991</v>
      </c>
      <c r="AA217" s="104">
        <v>310300</v>
      </c>
      <c r="AB217" s="104">
        <v>1904291</v>
      </c>
      <c r="AC217" s="104">
        <v>83.7</v>
      </c>
      <c r="AE217" s="215">
        <v>45102</v>
      </c>
      <c r="AF217" s="48">
        <v>1307850</v>
      </c>
      <c r="AG217" s="48">
        <v>13933</v>
      </c>
      <c r="AH217" s="48">
        <v>1321783</v>
      </c>
      <c r="AI217" s="48">
        <v>98.94</v>
      </c>
      <c r="AK217" s="215">
        <v>45102</v>
      </c>
      <c r="AL217" s="67">
        <v>944867</v>
      </c>
      <c r="AM217" s="67">
        <v>246</v>
      </c>
      <c r="AN217" s="67">
        <v>945113</v>
      </c>
      <c r="AO217" s="67">
        <v>99.97</v>
      </c>
      <c r="AQ217" s="215">
        <v>45102</v>
      </c>
      <c r="AR217" s="67">
        <v>227862</v>
      </c>
      <c r="AS217" s="67">
        <v>37</v>
      </c>
      <c r="AT217" s="67">
        <v>227899</v>
      </c>
      <c r="AU217" s="67">
        <v>99.98</v>
      </c>
      <c r="AX217" s="215">
        <v>45102</v>
      </c>
      <c r="AY217" s="67">
        <v>227862</v>
      </c>
      <c r="AZ217" s="67">
        <v>37</v>
      </c>
      <c r="BA217" s="67">
        <v>227899</v>
      </c>
      <c r="BB217" s="67">
        <v>99.98</v>
      </c>
    </row>
    <row r="218" spans="1:54" hidden="1" x14ac:dyDescent="0.25">
      <c r="A218" s="237">
        <v>45103</v>
      </c>
      <c r="B218" s="104">
        <v>14784779</v>
      </c>
      <c r="C218" s="104">
        <v>1229789</v>
      </c>
      <c r="D218" s="104">
        <v>16014568</v>
      </c>
      <c r="E218" s="104">
        <v>92.32</v>
      </c>
      <c r="G218" s="215">
        <v>45103</v>
      </c>
      <c r="H218" s="104">
        <v>9137128</v>
      </c>
      <c r="I218" s="104">
        <v>3444004</v>
      </c>
      <c r="J218" s="104">
        <v>12581132</v>
      </c>
      <c r="K218" s="104">
        <v>72.63</v>
      </c>
      <c r="M218" s="215">
        <v>45103</v>
      </c>
      <c r="N218" s="104">
        <v>3718650</v>
      </c>
      <c r="O218" s="104">
        <v>4130850</v>
      </c>
      <c r="P218" s="104">
        <v>7849500</v>
      </c>
      <c r="Q218" s="104">
        <v>47.37</v>
      </c>
      <c r="S218" s="215">
        <v>45103</v>
      </c>
      <c r="T218" s="104">
        <v>427802</v>
      </c>
      <c r="U218" s="104">
        <v>546986</v>
      </c>
      <c r="V218" s="104">
        <v>974788</v>
      </c>
      <c r="W218" s="104">
        <v>43.89</v>
      </c>
      <c r="Y218" s="215">
        <v>45103</v>
      </c>
      <c r="Z218" s="104">
        <v>1925760</v>
      </c>
      <c r="AA218" s="104">
        <v>324863</v>
      </c>
      <c r="AB218" s="104">
        <v>2250623</v>
      </c>
      <c r="AC218" s="104">
        <v>85.57</v>
      </c>
      <c r="AE218" s="215">
        <v>45103</v>
      </c>
      <c r="AF218" s="48">
        <v>1308073</v>
      </c>
      <c r="AG218" s="48">
        <v>12980</v>
      </c>
      <c r="AH218" s="48">
        <v>1321053</v>
      </c>
      <c r="AI218" s="48">
        <v>99.02</v>
      </c>
      <c r="AK218" s="215">
        <v>45103</v>
      </c>
      <c r="AL218" s="67">
        <v>1040234</v>
      </c>
      <c r="AM218" s="67">
        <v>1</v>
      </c>
      <c r="AN218" s="67">
        <v>1040235</v>
      </c>
      <c r="AO218" s="67">
        <v>100</v>
      </c>
      <c r="AQ218" s="215">
        <v>45103</v>
      </c>
      <c r="AR218" s="67">
        <v>3918948</v>
      </c>
      <c r="AS218" s="67">
        <v>629</v>
      </c>
      <c r="AT218" s="67">
        <v>3919577</v>
      </c>
      <c r="AU218" s="67">
        <v>99.98</v>
      </c>
      <c r="AX218" s="215">
        <v>45103</v>
      </c>
      <c r="AY218" s="67">
        <v>3918948</v>
      </c>
      <c r="AZ218" s="67">
        <v>629</v>
      </c>
      <c r="BA218" s="67">
        <v>3919577</v>
      </c>
      <c r="BB218" s="67">
        <v>99.98</v>
      </c>
    </row>
    <row r="219" spans="1:54" hidden="1" x14ac:dyDescent="0.25">
      <c r="A219" s="237">
        <v>45104</v>
      </c>
      <c r="B219" s="104">
        <v>16897988</v>
      </c>
      <c r="C219" s="104">
        <v>1475168</v>
      </c>
      <c r="D219" s="104">
        <v>18373156</v>
      </c>
      <c r="E219" s="104">
        <v>91.97</v>
      </c>
      <c r="G219" s="215">
        <v>45104</v>
      </c>
      <c r="H219" s="104">
        <v>8926424</v>
      </c>
      <c r="I219" s="104">
        <v>3490710</v>
      </c>
      <c r="J219" s="104">
        <v>12417134</v>
      </c>
      <c r="K219" s="104">
        <v>71.89</v>
      </c>
      <c r="M219" s="215">
        <v>45104</v>
      </c>
      <c r="N219" s="104">
        <v>4021643</v>
      </c>
      <c r="O219" s="104">
        <v>4332786</v>
      </c>
      <c r="P219" s="104">
        <v>8354429</v>
      </c>
      <c r="Q219" s="104">
        <v>48.14</v>
      </c>
      <c r="S219" s="215">
        <v>45104</v>
      </c>
      <c r="T219" s="104">
        <v>455864</v>
      </c>
      <c r="U219" s="104">
        <v>556503</v>
      </c>
      <c r="V219" s="104">
        <v>1012367</v>
      </c>
      <c r="W219" s="104">
        <v>45.03</v>
      </c>
      <c r="Y219" s="215">
        <v>45104</v>
      </c>
      <c r="Z219" s="104">
        <v>2280091</v>
      </c>
      <c r="AA219" s="104">
        <v>340547</v>
      </c>
      <c r="AB219" s="104">
        <v>2620638</v>
      </c>
      <c r="AC219" s="104">
        <v>87.01</v>
      </c>
      <c r="AE219" s="215">
        <v>45104</v>
      </c>
      <c r="AF219" s="48">
        <v>1406277</v>
      </c>
      <c r="AG219" s="48">
        <v>14163</v>
      </c>
      <c r="AH219" s="48">
        <v>1420440</v>
      </c>
      <c r="AI219" s="48">
        <v>99</v>
      </c>
      <c r="AK219" s="215">
        <v>45104</v>
      </c>
      <c r="AL219" s="67">
        <v>1075981</v>
      </c>
      <c r="AM219" s="67">
        <v>0</v>
      </c>
      <c r="AN219" s="67">
        <v>1075981</v>
      </c>
      <c r="AO219" s="67">
        <v>100</v>
      </c>
      <c r="AQ219" s="215">
        <v>45104</v>
      </c>
      <c r="AR219" s="67">
        <v>3555837</v>
      </c>
      <c r="AS219" s="67">
        <v>272057</v>
      </c>
      <c r="AT219" s="67">
        <v>3827894</v>
      </c>
      <c r="AU219" s="67">
        <v>92.89</v>
      </c>
      <c r="AX219" s="215">
        <v>45104</v>
      </c>
      <c r="AY219" s="67">
        <v>3555837</v>
      </c>
      <c r="AZ219" s="67">
        <v>272057</v>
      </c>
      <c r="BA219" s="67">
        <v>3827894</v>
      </c>
      <c r="BB219" s="67">
        <v>92.89</v>
      </c>
    </row>
    <row r="220" spans="1:54" hidden="1" x14ac:dyDescent="0.25">
      <c r="A220" s="237">
        <v>45105</v>
      </c>
      <c r="B220" s="104">
        <v>12413313</v>
      </c>
      <c r="C220" s="104">
        <v>1564341</v>
      </c>
      <c r="D220" s="104">
        <v>13977654</v>
      </c>
      <c r="E220" s="104">
        <v>88.81</v>
      </c>
      <c r="G220" s="215">
        <v>45105</v>
      </c>
      <c r="H220" s="104">
        <v>9105578</v>
      </c>
      <c r="I220" s="104">
        <v>3458260</v>
      </c>
      <c r="J220" s="104">
        <v>12563838</v>
      </c>
      <c r="K220" s="104">
        <v>72.47</v>
      </c>
      <c r="M220" s="215">
        <v>45105</v>
      </c>
      <c r="N220" s="104">
        <v>2463238</v>
      </c>
      <c r="O220" s="104">
        <v>2259763</v>
      </c>
      <c r="P220" s="104">
        <v>4723001</v>
      </c>
      <c r="Q220" s="104">
        <v>52.15</v>
      </c>
      <c r="S220" s="215">
        <v>45105</v>
      </c>
      <c r="T220" s="104">
        <v>458894</v>
      </c>
      <c r="U220" s="104">
        <v>550198</v>
      </c>
      <c r="V220" s="104">
        <v>1009092</v>
      </c>
      <c r="W220" s="104">
        <v>45.48</v>
      </c>
      <c r="Y220" s="215">
        <v>45105</v>
      </c>
      <c r="Z220" s="104">
        <v>3181621</v>
      </c>
      <c r="AA220" s="104">
        <v>412132</v>
      </c>
      <c r="AB220" s="104">
        <v>3593753</v>
      </c>
      <c r="AC220" s="104">
        <v>88.53</v>
      </c>
      <c r="AE220" s="215">
        <v>45105</v>
      </c>
      <c r="AF220" s="48">
        <v>1375729</v>
      </c>
      <c r="AG220" s="48">
        <v>13971</v>
      </c>
      <c r="AH220" s="48">
        <v>1389700</v>
      </c>
      <c r="AI220" s="48">
        <v>98.99</v>
      </c>
      <c r="AK220" s="215">
        <v>45105</v>
      </c>
      <c r="AL220" s="67">
        <v>1037476</v>
      </c>
      <c r="AM220" s="67">
        <v>0</v>
      </c>
      <c r="AN220" s="67">
        <v>1037476</v>
      </c>
      <c r="AO220" s="67">
        <v>100</v>
      </c>
      <c r="AQ220" s="215">
        <v>45105</v>
      </c>
      <c r="AR220" s="67">
        <v>3851146</v>
      </c>
      <c r="AS220" s="67">
        <v>0</v>
      </c>
      <c r="AT220" s="67">
        <v>3851146</v>
      </c>
      <c r="AU220" s="67">
        <v>100</v>
      </c>
      <c r="AX220" s="215">
        <v>45105</v>
      </c>
      <c r="AY220" s="67">
        <v>3851146</v>
      </c>
      <c r="AZ220" s="67">
        <v>0</v>
      </c>
      <c r="BA220" s="67">
        <v>3851146</v>
      </c>
      <c r="BB220" s="67">
        <v>100</v>
      </c>
    </row>
    <row r="221" spans="1:54" hidden="1" x14ac:dyDescent="0.25">
      <c r="A221" s="237">
        <v>45107</v>
      </c>
      <c r="B221" s="104">
        <v>14074529</v>
      </c>
      <c r="C221" s="104">
        <v>1319229</v>
      </c>
      <c r="D221" s="104">
        <v>15393758</v>
      </c>
      <c r="E221" s="104">
        <v>91.43</v>
      </c>
      <c r="G221" s="215">
        <v>45107</v>
      </c>
      <c r="H221" s="104">
        <v>2057384</v>
      </c>
      <c r="I221" s="104">
        <v>900436</v>
      </c>
      <c r="J221" s="104">
        <v>2957820</v>
      </c>
      <c r="K221" s="104">
        <v>69.55</v>
      </c>
      <c r="M221" s="215">
        <v>45107</v>
      </c>
      <c r="N221" s="104">
        <v>2050823</v>
      </c>
      <c r="O221" s="104">
        <v>2635255</v>
      </c>
      <c r="P221" s="104">
        <v>4686078</v>
      </c>
      <c r="Q221" s="104">
        <v>43.76</v>
      </c>
      <c r="S221" s="215">
        <v>45107</v>
      </c>
      <c r="T221" s="104">
        <v>521335</v>
      </c>
      <c r="U221" s="104">
        <v>678550</v>
      </c>
      <c r="V221" s="104">
        <v>1199885</v>
      </c>
      <c r="W221" s="104">
        <v>43.44</v>
      </c>
      <c r="Y221" s="215">
        <v>45107</v>
      </c>
      <c r="Z221" s="104">
        <v>2652346</v>
      </c>
      <c r="AA221" s="104">
        <v>402521</v>
      </c>
      <c r="AB221" s="104">
        <v>3054867</v>
      </c>
      <c r="AC221" s="104">
        <v>86.82</v>
      </c>
      <c r="AE221" s="215">
        <v>45107</v>
      </c>
      <c r="AF221" s="48">
        <v>1519988</v>
      </c>
      <c r="AG221" s="48">
        <v>15414</v>
      </c>
      <c r="AH221" s="48">
        <v>1535402</v>
      </c>
      <c r="AI221" s="48">
        <v>98.99</v>
      </c>
      <c r="AK221" s="215">
        <v>45107</v>
      </c>
      <c r="AL221" s="67">
        <v>928112</v>
      </c>
      <c r="AM221" s="67">
        <v>0</v>
      </c>
      <c r="AN221" s="67">
        <v>928112</v>
      </c>
      <c r="AO221" s="67">
        <v>100</v>
      </c>
      <c r="AQ221" s="215">
        <v>45107</v>
      </c>
      <c r="AR221" s="67">
        <v>915261</v>
      </c>
      <c r="AS221" s="67">
        <v>0</v>
      </c>
      <c r="AT221" s="67">
        <v>915261</v>
      </c>
      <c r="AU221" s="67">
        <v>100</v>
      </c>
      <c r="AX221" s="215">
        <v>45107</v>
      </c>
      <c r="AY221" s="67">
        <v>915261</v>
      </c>
      <c r="AZ221" s="67">
        <v>0</v>
      </c>
      <c r="BA221" s="67">
        <v>915261</v>
      </c>
      <c r="BB221" s="67">
        <v>100</v>
      </c>
    </row>
    <row r="222" spans="1:54" hidden="1" x14ac:dyDescent="0.25">
      <c r="A222" s="237">
        <v>45108</v>
      </c>
      <c r="B222" s="104">
        <v>12960188</v>
      </c>
      <c r="C222" s="104">
        <v>1248611</v>
      </c>
      <c r="D222" s="104">
        <v>14208799</v>
      </c>
      <c r="E222" s="104">
        <v>91.21</v>
      </c>
      <c r="G222" s="215">
        <v>45108</v>
      </c>
      <c r="H222" s="104">
        <v>594013</v>
      </c>
      <c r="I222" s="104">
        <v>358135</v>
      </c>
      <c r="J222" s="104">
        <v>952148</v>
      </c>
      <c r="K222" s="104">
        <v>62.38</v>
      </c>
      <c r="M222" s="215">
        <v>45108</v>
      </c>
      <c r="N222" s="104">
        <v>3810115</v>
      </c>
      <c r="O222" s="104">
        <v>3096618</v>
      </c>
      <c r="P222" s="104">
        <v>6906733</v>
      </c>
      <c r="Q222" s="104">
        <v>55.16</v>
      </c>
      <c r="S222" s="215">
        <v>45108</v>
      </c>
      <c r="T222" s="104">
        <v>430461</v>
      </c>
      <c r="U222" s="104">
        <v>550284</v>
      </c>
      <c r="V222" s="104">
        <v>980745</v>
      </c>
      <c r="W222" s="104">
        <v>43.89</v>
      </c>
      <c r="Y222" s="215">
        <v>45108</v>
      </c>
      <c r="Z222" s="104">
        <v>2565227</v>
      </c>
      <c r="AA222" s="104">
        <v>411815</v>
      </c>
      <c r="AB222" s="104">
        <v>2977042</v>
      </c>
      <c r="AC222" s="104">
        <v>86.16</v>
      </c>
      <c r="AE222" s="215">
        <v>45108</v>
      </c>
      <c r="AF222" s="48">
        <v>1380860</v>
      </c>
      <c r="AG222" s="48">
        <v>13906</v>
      </c>
      <c r="AH222" s="48">
        <v>1394766</v>
      </c>
      <c r="AI222" s="48">
        <v>99</v>
      </c>
      <c r="AK222" s="215">
        <v>45108</v>
      </c>
      <c r="AL222" s="67">
        <v>1102472</v>
      </c>
      <c r="AM222" s="67">
        <v>0</v>
      </c>
      <c r="AN222" s="67">
        <v>1102472</v>
      </c>
      <c r="AO222" s="67">
        <v>100</v>
      </c>
      <c r="AQ222" s="215">
        <v>45108</v>
      </c>
      <c r="AR222" s="67">
        <v>237415</v>
      </c>
      <c r="AS222" s="67">
        <v>0</v>
      </c>
      <c r="AT222" s="67">
        <v>237415</v>
      </c>
      <c r="AU222" s="67">
        <v>100</v>
      </c>
      <c r="AX222" s="215">
        <v>45108</v>
      </c>
      <c r="AY222" s="67">
        <v>237415</v>
      </c>
      <c r="AZ222" s="67">
        <v>0</v>
      </c>
      <c r="BA222" s="67">
        <v>237415</v>
      </c>
      <c r="BB222" s="67">
        <v>100</v>
      </c>
    </row>
    <row r="223" spans="1:54" hidden="1" x14ac:dyDescent="0.25">
      <c r="A223" s="237">
        <v>45109</v>
      </c>
      <c r="B223" s="104">
        <v>10779438</v>
      </c>
      <c r="C223" s="104">
        <v>1173220</v>
      </c>
      <c r="D223" s="104">
        <v>11952658</v>
      </c>
      <c r="E223" s="104">
        <v>90.18</v>
      </c>
      <c r="G223" s="215">
        <v>45109</v>
      </c>
      <c r="H223" s="104">
        <v>568217</v>
      </c>
      <c r="I223" s="104">
        <v>361230</v>
      </c>
      <c r="J223" s="104">
        <v>929447</v>
      </c>
      <c r="K223" s="104">
        <v>61.13</v>
      </c>
      <c r="M223" s="215">
        <v>45109</v>
      </c>
      <c r="N223" s="104">
        <v>3727439</v>
      </c>
      <c r="O223" s="104">
        <v>4372052</v>
      </c>
      <c r="P223" s="104">
        <v>8099491</v>
      </c>
      <c r="Q223" s="104">
        <v>46.02</v>
      </c>
      <c r="S223" s="215">
        <v>45109</v>
      </c>
      <c r="T223" s="104">
        <v>121306</v>
      </c>
      <c r="U223" s="104">
        <v>30369</v>
      </c>
      <c r="V223" s="104">
        <v>151675</v>
      </c>
      <c r="W223" s="104">
        <v>79.97</v>
      </c>
      <c r="Y223" s="215">
        <v>45109</v>
      </c>
      <c r="Z223" s="104">
        <v>2577537</v>
      </c>
      <c r="AA223" s="104">
        <v>406899</v>
      </c>
      <c r="AB223" s="104">
        <v>2984436</v>
      </c>
      <c r="AC223" s="104">
        <v>86.36</v>
      </c>
      <c r="AE223" s="215">
        <v>45109</v>
      </c>
      <c r="AF223" s="48">
        <v>1317460</v>
      </c>
      <c r="AG223" s="48">
        <v>12969</v>
      </c>
      <c r="AH223" s="48">
        <v>1330429</v>
      </c>
      <c r="AI223" s="48">
        <v>99.02</v>
      </c>
      <c r="AK223" s="215">
        <v>45109</v>
      </c>
      <c r="AL223" s="67">
        <v>1035584</v>
      </c>
      <c r="AM223" s="67">
        <v>0</v>
      </c>
      <c r="AN223" s="67">
        <v>1035584</v>
      </c>
      <c r="AO223" s="67">
        <v>100</v>
      </c>
      <c r="AQ223" s="215">
        <v>45109</v>
      </c>
      <c r="AR223" s="67">
        <v>220795</v>
      </c>
      <c r="AS223" s="67">
        <v>0</v>
      </c>
      <c r="AT223" s="67">
        <v>220795</v>
      </c>
      <c r="AU223" s="67">
        <v>100</v>
      </c>
      <c r="AX223" s="215">
        <v>45109</v>
      </c>
      <c r="AY223" s="67">
        <v>220795</v>
      </c>
      <c r="AZ223" s="67">
        <v>0</v>
      </c>
      <c r="BA223" s="67">
        <v>220795</v>
      </c>
      <c r="BB223" s="67">
        <v>100</v>
      </c>
    </row>
    <row r="224" spans="1:54" hidden="1" x14ac:dyDescent="0.25">
      <c r="A224" s="237">
        <v>45110</v>
      </c>
      <c r="B224" s="104">
        <v>13436664</v>
      </c>
      <c r="C224" s="104">
        <v>1150537</v>
      </c>
      <c r="D224" s="104">
        <v>14587201</v>
      </c>
      <c r="E224" s="104">
        <v>92.11</v>
      </c>
      <c r="G224" s="215">
        <v>45110</v>
      </c>
      <c r="H224" s="104">
        <v>612432</v>
      </c>
      <c r="I224" s="104">
        <v>370433</v>
      </c>
      <c r="J224" s="104">
        <v>982865</v>
      </c>
      <c r="K224" s="104">
        <v>62.31</v>
      </c>
      <c r="M224" s="215">
        <v>45110</v>
      </c>
      <c r="N224" s="104">
        <v>3855661</v>
      </c>
      <c r="O224" s="104">
        <v>4243127</v>
      </c>
      <c r="P224" s="104">
        <v>8098788</v>
      </c>
      <c r="Q224" s="104">
        <v>47.61</v>
      </c>
      <c r="S224" s="215">
        <v>45110</v>
      </c>
      <c r="T224" s="104">
        <v>472033</v>
      </c>
      <c r="U224" s="104">
        <v>584522</v>
      </c>
      <c r="V224" s="104">
        <v>1056555</v>
      </c>
      <c r="W224" s="104">
        <v>44.68</v>
      </c>
      <c r="Y224" s="215">
        <v>45110</v>
      </c>
      <c r="Z224" s="104">
        <v>2378106</v>
      </c>
      <c r="AA224" s="104">
        <v>383732</v>
      </c>
      <c r="AB224" s="104">
        <v>2761838</v>
      </c>
      <c r="AC224" s="104">
        <v>86.11</v>
      </c>
      <c r="AE224" s="215">
        <v>45110</v>
      </c>
      <c r="AF224" s="48">
        <v>1294007</v>
      </c>
      <c r="AG224" s="48">
        <v>12673</v>
      </c>
      <c r="AH224" s="48">
        <v>1306680</v>
      </c>
      <c r="AI224" s="48">
        <v>99.03</v>
      </c>
      <c r="AK224" s="215">
        <v>45110</v>
      </c>
      <c r="AL224" s="67">
        <v>989751</v>
      </c>
      <c r="AM224" s="67">
        <v>0</v>
      </c>
      <c r="AN224" s="67">
        <v>989751</v>
      </c>
      <c r="AO224" s="67">
        <v>100</v>
      </c>
      <c r="AQ224" s="215">
        <v>45110</v>
      </c>
      <c r="AR224" s="67">
        <v>244359</v>
      </c>
      <c r="AS224" s="67">
        <v>0</v>
      </c>
      <c r="AT224" s="67">
        <v>244359</v>
      </c>
      <c r="AU224" s="67">
        <v>100</v>
      </c>
      <c r="AX224" s="215">
        <v>45110</v>
      </c>
      <c r="AY224" s="67">
        <v>244359</v>
      </c>
      <c r="AZ224" s="67">
        <v>0</v>
      </c>
      <c r="BA224" s="67">
        <v>244359</v>
      </c>
      <c r="BB224" s="67">
        <v>100</v>
      </c>
    </row>
    <row r="225" spans="1:54" hidden="1" x14ac:dyDescent="0.25">
      <c r="A225" s="237">
        <v>45111</v>
      </c>
      <c r="B225" s="104">
        <v>14208715</v>
      </c>
      <c r="C225" s="104">
        <v>1354053</v>
      </c>
      <c r="D225" s="104">
        <v>15562768</v>
      </c>
      <c r="E225" s="104">
        <v>91.3</v>
      </c>
      <c r="G225" s="215">
        <v>45111</v>
      </c>
      <c r="H225" s="104">
        <v>613865</v>
      </c>
      <c r="I225" s="104">
        <v>352623</v>
      </c>
      <c r="J225" s="104">
        <v>966488</v>
      </c>
      <c r="K225" s="104">
        <v>63.52</v>
      </c>
      <c r="M225" s="215">
        <v>45111</v>
      </c>
      <c r="N225" s="104">
        <v>3346567</v>
      </c>
      <c r="O225" s="104">
        <v>3300823</v>
      </c>
      <c r="P225" s="104">
        <v>6647390</v>
      </c>
      <c r="Q225" s="104">
        <v>50.34</v>
      </c>
      <c r="S225" s="215">
        <v>45111</v>
      </c>
      <c r="T225" s="104">
        <v>794511</v>
      </c>
      <c r="U225" s="104">
        <v>879909</v>
      </c>
      <c r="V225" s="104">
        <v>1674420</v>
      </c>
      <c r="W225" s="104">
        <v>47.45</v>
      </c>
      <c r="Y225" s="215">
        <v>45111</v>
      </c>
      <c r="Z225" s="104">
        <v>2600940</v>
      </c>
      <c r="AA225" s="104">
        <v>365313</v>
      </c>
      <c r="AB225" s="104">
        <v>2966253</v>
      </c>
      <c r="AC225" s="104">
        <v>87.68</v>
      </c>
      <c r="AE225" s="215">
        <v>45111</v>
      </c>
      <c r="AF225" s="48">
        <v>1405408</v>
      </c>
      <c r="AG225" s="48">
        <v>12720</v>
      </c>
      <c r="AH225" s="48">
        <v>1418128</v>
      </c>
      <c r="AI225" s="48">
        <v>99.1</v>
      </c>
      <c r="AK225" s="215">
        <v>45111</v>
      </c>
      <c r="AL225" s="67">
        <v>997024</v>
      </c>
      <c r="AM225" s="67">
        <v>8</v>
      </c>
      <c r="AN225" s="67">
        <v>997032</v>
      </c>
      <c r="AO225" s="67">
        <v>100</v>
      </c>
      <c r="AQ225" s="215">
        <v>45111</v>
      </c>
      <c r="AR225" s="67">
        <v>245214</v>
      </c>
      <c r="AS225" s="67">
        <v>0</v>
      </c>
      <c r="AT225" s="67">
        <v>245214</v>
      </c>
      <c r="AU225" s="67">
        <v>100</v>
      </c>
      <c r="AX225" s="215">
        <v>45111</v>
      </c>
      <c r="AY225" s="67">
        <v>245214</v>
      </c>
      <c r="AZ225" s="67">
        <v>0</v>
      </c>
      <c r="BA225" s="67">
        <v>245214</v>
      </c>
      <c r="BB225" s="67">
        <v>100</v>
      </c>
    </row>
    <row r="226" spans="1:54" hidden="1" x14ac:dyDescent="0.25">
      <c r="A226" s="237">
        <v>45112</v>
      </c>
      <c r="B226" s="104">
        <v>13855062</v>
      </c>
      <c r="C226" s="104">
        <v>1362061</v>
      </c>
      <c r="D226" s="104">
        <v>15217123</v>
      </c>
      <c r="E226" s="104">
        <v>91.05</v>
      </c>
      <c r="G226" s="215">
        <v>45112</v>
      </c>
      <c r="H226" s="104">
        <v>629471</v>
      </c>
      <c r="I226" s="104">
        <v>330173</v>
      </c>
      <c r="J226" s="104">
        <v>959644</v>
      </c>
      <c r="K226" s="104">
        <v>65.59</v>
      </c>
      <c r="M226" s="215">
        <v>45112</v>
      </c>
      <c r="N226" s="104">
        <v>4034323</v>
      </c>
      <c r="O226" s="104">
        <v>4029450</v>
      </c>
      <c r="P226" s="104">
        <v>8063773</v>
      </c>
      <c r="Q226" s="104">
        <v>50.03</v>
      </c>
      <c r="S226" s="215">
        <v>45112</v>
      </c>
      <c r="T226" s="104">
        <v>446332</v>
      </c>
      <c r="U226" s="104">
        <v>553521</v>
      </c>
      <c r="V226" s="104">
        <v>999853</v>
      </c>
      <c r="W226" s="104">
        <v>44.64</v>
      </c>
      <c r="Y226" s="215">
        <v>45112</v>
      </c>
      <c r="Z226" s="104">
        <v>2267371</v>
      </c>
      <c r="AA226" s="104">
        <v>361527</v>
      </c>
      <c r="AB226" s="104">
        <v>2628898</v>
      </c>
      <c r="AC226" s="104">
        <v>86.25</v>
      </c>
      <c r="AE226" s="215">
        <v>45112</v>
      </c>
      <c r="AF226" s="48">
        <v>1349094</v>
      </c>
      <c r="AG226" s="48">
        <v>13420</v>
      </c>
      <c r="AH226" s="48">
        <v>1362514</v>
      </c>
      <c r="AI226" s="48">
        <v>99.02</v>
      </c>
      <c r="AK226" s="215">
        <v>45112</v>
      </c>
      <c r="AL226" s="67">
        <v>1044933</v>
      </c>
      <c r="AM226" s="67">
        <v>0</v>
      </c>
      <c r="AN226" s="67">
        <v>1044933</v>
      </c>
      <c r="AO226" s="67">
        <v>100</v>
      </c>
      <c r="AQ226" s="215">
        <v>45112</v>
      </c>
      <c r="AR226" s="67">
        <v>258799</v>
      </c>
      <c r="AS226" s="67">
        <v>0</v>
      </c>
      <c r="AT226" s="67">
        <v>258799</v>
      </c>
      <c r="AU226" s="67">
        <v>100</v>
      </c>
      <c r="AX226" s="215">
        <v>45112</v>
      </c>
      <c r="AY226" s="67">
        <v>258799</v>
      </c>
      <c r="AZ226" s="67">
        <v>0</v>
      </c>
      <c r="BA226" s="67">
        <v>258799</v>
      </c>
      <c r="BB226" s="67">
        <v>100</v>
      </c>
    </row>
    <row r="227" spans="1:54" hidden="1" x14ac:dyDescent="0.25">
      <c r="A227" s="237">
        <v>45113</v>
      </c>
      <c r="B227" s="104">
        <v>13143967</v>
      </c>
      <c r="C227" s="104">
        <v>1254518</v>
      </c>
      <c r="D227" s="104">
        <v>14398485</v>
      </c>
      <c r="E227" s="104">
        <v>91.29</v>
      </c>
      <c r="G227" s="215">
        <v>45113</v>
      </c>
      <c r="H227" s="104">
        <v>1668990</v>
      </c>
      <c r="I227" s="104">
        <v>830280</v>
      </c>
      <c r="J227" s="104">
        <v>2499270</v>
      </c>
      <c r="K227" s="104">
        <v>66.78</v>
      </c>
      <c r="M227" s="215">
        <v>45113</v>
      </c>
      <c r="N227" s="104">
        <v>4497036</v>
      </c>
      <c r="O227" s="104">
        <v>4006620</v>
      </c>
      <c r="P227" s="104">
        <v>8503656</v>
      </c>
      <c r="Q227" s="104">
        <v>52.88</v>
      </c>
      <c r="S227" s="215">
        <v>45113</v>
      </c>
      <c r="T227" s="104">
        <v>400699</v>
      </c>
      <c r="U227" s="104">
        <v>541319</v>
      </c>
      <c r="V227" s="104">
        <v>942018</v>
      </c>
      <c r="W227" s="104">
        <v>42.54</v>
      </c>
      <c r="Y227" s="215">
        <v>45113</v>
      </c>
      <c r="Z227" s="104">
        <v>2669151</v>
      </c>
      <c r="AA227" s="104">
        <v>399632</v>
      </c>
      <c r="AB227" s="104">
        <v>3068783</v>
      </c>
      <c r="AC227" s="104">
        <v>86.98</v>
      </c>
      <c r="AE227" s="215">
        <v>45113</v>
      </c>
      <c r="AF227" s="104">
        <v>1282125</v>
      </c>
      <c r="AG227" s="104">
        <v>12731</v>
      </c>
      <c r="AH227" s="104">
        <v>1294856</v>
      </c>
      <c r="AI227" s="104">
        <v>99.02</v>
      </c>
      <c r="AK227" s="215">
        <v>45113</v>
      </c>
      <c r="AL227" s="48">
        <v>1014407</v>
      </c>
      <c r="AM227" s="67">
        <v>0</v>
      </c>
      <c r="AN227" s="48">
        <v>1014407</v>
      </c>
      <c r="AO227" s="67">
        <v>100</v>
      </c>
      <c r="AQ227" s="215">
        <v>45113</v>
      </c>
      <c r="AR227" s="48">
        <v>617273</v>
      </c>
      <c r="AS227" s="67">
        <v>0</v>
      </c>
      <c r="AT227" s="48">
        <v>617273</v>
      </c>
      <c r="AU227" s="67">
        <v>100</v>
      </c>
      <c r="AX227" s="215">
        <v>45113</v>
      </c>
      <c r="AY227" s="48">
        <v>617273</v>
      </c>
      <c r="AZ227" s="67">
        <v>0</v>
      </c>
      <c r="BA227" s="48">
        <v>617273</v>
      </c>
      <c r="BB227" s="67">
        <v>100</v>
      </c>
    </row>
    <row r="228" spans="1:54" hidden="1" x14ac:dyDescent="0.25">
      <c r="A228" s="237">
        <v>45114</v>
      </c>
      <c r="B228" s="104">
        <v>14497955</v>
      </c>
      <c r="C228" s="104">
        <v>1315090</v>
      </c>
      <c r="D228" s="104">
        <v>15813045</v>
      </c>
      <c r="E228" s="114">
        <f>B228/D228%</f>
        <v>91.683511935873199</v>
      </c>
      <c r="G228" s="215">
        <v>45114</v>
      </c>
      <c r="H228" s="104">
        <v>1687190</v>
      </c>
      <c r="I228" s="104">
        <v>841293</v>
      </c>
      <c r="J228" s="104">
        <v>2528483</v>
      </c>
      <c r="K228" s="114">
        <f>H228/J228%</f>
        <v>66.727361821297592</v>
      </c>
      <c r="M228" s="215">
        <v>45114</v>
      </c>
      <c r="N228" s="104">
        <v>3517631</v>
      </c>
      <c r="O228" s="104">
        <v>3753657</v>
      </c>
      <c r="P228" s="104">
        <v>7271288</v>
      </c>
      <c r="Q228" s="114">
        <f>N228/P228%</f>
        <v>48.377000058311538</v>
      </c>
      <c r="S228" s="215">
        <v>45114</v>
      </c>
      <c r="T228" s="104">
        <v>461991</v>
      </c>
      <c r="U228" s="104">
        <v>621932</v>
      </c>
      <c r="V228" s="104">
        <v>1083923</v>
      </c>
      <c r="W228" s="114">
        <f>T228/V228%</f>
        <v>42.622123527224723</v>
      </c>
      <c r="Y228" s="215">
        <v>45114</v>
      </c>
      <c r="Z228" s="104">
        <v>2754383</v>
      </c>
      <c r="AA228" s="104">
        <v>473777</v>
      </c>
      <c r="AB228" s="104">
        <v>3228160</v>
      </c>
      <c r="AC228" s="114">
        <f>Z228/AB228%</f>
        <v>85.323620886201425</v>
      </c>
      <c r="AE228" s="215">
        <v>45114</v>
      </c>
      <c r="AF228" s="104">
        <v>1389670</v>
      </c>
      <c r="AG228" s="104">
        <v>14850</v>
      </c>
      <c r="AH228" s="104">
        <v>1404520</v>
      </c>
      <c r="AI228" s="114">
        <f>AF228/AH228%</f>
        <v>98.942699285165034</v>
      </c>
      <c r="AK228" s="215">
        <v>45114</v>
      </c>
      <c r="AL228" s="67">
        <v>1030814</v>
      </c>
      <c r="AM228" s="67">
        <v>0</v>
      </c>
      <c r="AN228" s="67">
        <v>1030814</v>
      </c>
      <c r="AO228" s="67">
        <v>100</v>
      </c>
      <c r="AQ228" s="215">
        <v>45114</v>
      </c>
      <c r="AR228" s="67">
        <v>631255</v>
      </c>
      <c r="AS228" s="67">
        <v>0</v>
      </c>
      <c r="AT228" s="67">
        <v>631255</v>
      </c>
      <c r="AU228" s="67">
        <v>100</v>
      </c>
      <c r="AX228" s="215">
        <v>45114</v>
      </c>
      <c r="AY228" s="67">
        <v>631255</v>
      </c>
      <c r="AZ228" s="67">
        <v>0</v>
      </c>
      <c r="BA228" s="67">
        <v>631255</v>
      </c>
      <c r="BB228" s="67">
        <v>100</v>
      </c>
    </row>
    <row r="229" spans="1:54" hidden="1" x14ac:dyDescent="0.25">
      <c r="A229" s="237">
        <v>45115</v>
      </c>
      <c r="B229" s="104">
        <v>13560622</v>
      </c>
      <c r="C229" s="104">
        <v>1295012</v>
      </c>
      <c r="D229" s="104">
        <v>14855634</v>
      </c>
      <c r="E229" s="114">
        <f>B229/D229%</f>
        <v>91.282687766809545</v>
      </c>
      <c r="G229" s="215">
        <v>45115</v>
      </c>
      <c r="H229" s="104">
        <v>2526299</v>
      </c>
      <c r="I229" s="104">
        <v>1174046</v>
      </c>
      <c r="J229" s="104">
        <v>3700345</v>
      </c>
      <c r="K229" s="114">
        <f>H229/J229%</f>
        <v>68.271985450005346</v>
      </c>
      <c r="M229" s="215">
        <v>45115</v>
      </c>
      <c r="N229" s="104">
        <v>3656836</v>
      </c>
      <c r="O229" s="104">
        <v>3842464</v>
      </c>
      <c r="P229" s="104">
        <v>7499300</v>
      </c>
      <c r="Q229" s="114">
        <f>N229/P229%</f>
        <v>48.762364487352151</v>
      </c>
      <c r="S229" s="215">
        <v>45115</v>
      </c>
      <c r="T229" s="104">
        <v>427703</v>
      </c>
      <c r="U229" s="104">
        <v>558163</v>
      </c>
      <c r="V229" s="104">
        <v>985866</v>
      </c>
      <c r="W229" s="114">
        <f>T229/V229%</f>
        <v>43.383482136517543</v>
      </c>
      <c r="Y229" s="215">
        <v>45115</v>
      </c>
      <c r="Z229" s="104">
        <v>2638350</v>
      </c>
      <c r="AA229" s="104">
        <v>436792</v>
      </c>
      <c r="AB229" s="104">
        <v>3075142</v>
      </c>
      <c r="AC229" s="114">
        <f>Z229/AB229%</f>
        <v>85.796038036617503</v>
      </c>
      <c r="AE229" s="215">
        <v>45115</v>
      </c>
      <c r="AF229" s="104">
        <v>1307355</v>
      </c>
      <c r="AG229" s="104">
        <v>12927</v>
      </c>
      <c r="AH229" s="104">
        <v>1320282</v>
      </c>
      <c r="AI229" s="114">
        <f>AF229/AH229%</f>
        <v>99.020890991470011</v>
      </c>
      <c r="AK229" s="215">
        <v>45115</v>
      </c>
      <c r="AL229" s="67">
        <v>1151902</v>
      </c>
      <c r="AM229" s="67">
        <v>0</v>
      </c>
      <c r="AN229" s="67">
        <v>1151902</v>
      </c>
      <c r="AO229" s="67">
        <v>100</v>
      </c>
      <c r="AQ229" s="215">
        <v>45115</v>
      </c>
      <c r="AR229" s="67">
        <v>1001930</v>
      </c>
      <c r="AS229" s="67">
        <v>0</v>
      </c>
      <c r="AT229" s="67">
        <v>1001930</v>
      </c>
      <c r="AU229" s="67">
        <v>100</v>
      </c>
      <c r="AX229" s="215">
        <v>45115</v>
      </c>
      <c r="AY229" s="67">
        <v>1001930</v>
      </c>
      <c r="AZ229" s="67">
        <v>0</v>
      </c>
      <c r="BA229" s="67">
        <v>1001930</v>
      </c>
      <c r="BB229" s="67">
        <v>100</v>
      </c>
    </row>
    <row r="230" spans="1:54" hidden="1" x14ac:dyDescent="0.25">
      <c r="A230" s="237">
        <v>45116</v>
      </c>
      <c r="B230" s="104">
        <f>152759+10686028</f>
        <v>10838787</v>
      </c>
      <c r="C230" s="104">
        <f>432279+745179</f>
        <v>1177458</v>
      </c>
      <c r="D230" s="104">
        <f>585038+11431207</f>
        <v>12016245</v>
      </c>
      <c r="E230" s="114">
        <f>B230/D230%</f>
        <v>90.201115240243524</v>
      </c>
      <c r="G230" s="215">
        <v>45116</v>
      </c>
      <c r="H230" s="104">
        <f>12893+1370388</f>
        <v>1383281</v>
      </c>
      <c r="I230" s="104">
        <f>155374+224660</f>
        <v>380034</v>
      </c>
      <c r="J230" s="104">
        <f>168267+1595048</f>
        <v>1763315</v>
      </c>
      <c r="K230" s="114">
        <f>H230/J230%</f>
        <v>78.447753237510028</v>
      </c>
      <c r="M230" s="215">
        <v>45116</v>
      </c>
      <c r="N230" s="104">
        <v>2949526</v>
      </c>
      <c r="O230" s="104">
        <v>2792766</v>
      </c>
      <c r="P230" s="104">
        <v>5742292</v>
      </c>
      <c r="Q230" s="114">
        <f>N230/P230%</f>
        <v>51.364960193595174</v>
      </c>
      <c r="S230" s="215">
        <v>45116</v>
      </c>
      <c r="T230" s="104">
        <f>582+102618</f>
        <v>103200</v>
      </c>
      <c r="U230" s="104">
        <f>24+21518</f>
        <v>21542</v>
      </c>
      <c r="V230" s="104">
        <f>606+124136</f>
        <v>124742</v>
      </c>
      <c r="W230" s="114">
        <f>T230/V230%</f>
        <v>82.730756280963902</v>
      </c>
      <c r="Y230" s="215">
        <v>45116</v>
      </c>
      <c r="Z230" s="104">
        <f>299481+1963968</f>
        <v>2263449</v>
      </c>
      <c r="AA230" s="104">
        <f>177936+221832</f>
        <v>399768</v>
      </c>
      <c r="AB230" s="104">
        <f>477417+2185800</f>
        <v>2663217</v>
      </c>
      <c r="AC230" s="114">
        <f>Z230/AB230%</f>
        <v>84.98928175961629</v>
      </c>
      <c r="AE230" s="215">
        <v>45116</v>
      </c>
      <c r="AF230" s="104">
        <f>20867+1208972</f>
        <v>1229839</v>
      </c>
      <c r="AG230" s="104">
        <f>889+13772</f>
        <v>14661</v>
      </c>
      <c r="AH230" s="104">
        <f>21756+1222744</f>
        <v>1244500</v>
      </c>
      <c r="AI230" s="114">
        <f>AF230/AH230%</f>
        <v>98.82193652069104</v>
      </c>
      <c r="AK230" s="215">
        <v>45116</v>
      </c>
      <c r="AL230" s="67">
        <f>14385+975125</f>
        <v>989510</v>
      </c>
      <c r="AM230" s="67">
        <v>472</v>
      </c>
      <c r="AN230" s="67">
        <f>14857+975125</f>
        <v>989982</v>
      </c>
      <c r="AO230" s="69">
        <f>AL230/AN230%</f>
        <v>99.95232236545715</v>
      </c>
      <c r="AQ230" s="215">
        <v>45116</v>
      </c>
      <c r="AR230" s="67">
        <f>2361+555718</f>
        <v>558079</v>
      </c>
      <c r="AS230" s="67">
        <v>0</v>
      </c>
      <c r="AT230" s="67">
        <f>2361+555718</f>
        <v>558079</v>
      </c>
      <c r="AU230" s="238">
        <f>AR230/AT230%</f>
        <v>100</v>
      </c>
      <c r="AX230" s="215">
        <v>45116</v>
      </c>
      <c r="AY230" s="67">
        <f>2361+555718</f>
        <v>558079</v>
      </c>
      <c r="AZ230" s="67">
        <v>0</v>
      </c>
      <c r="BA230" s="67">
        <f>2361+555718</f>
        <v>558079</v>
      </c>
      <c r="BB230" s="238">
        <f>AY230/BA230%</f>
        <v>100</v>
      </c>
    </row>
    <row r="231" spans="1:54" hidden="1" x14ac:dyDescent="0.25">
      <c r="A231" s="237">
        <v>45117</v>
      </c>
      <c r="B231" s="104">
        <v>13805109</v>
      </c>
      <c r="C231" s="104">
        <v>1119739</v>
      </c>
      <c r="D231" s="104">
        <v>14924848</v>
      </c>
      <c r="E231" s="104">
        <v>92.5</v>
      </c>
      <c r="G231" s="215">
        <v>45117</v>
      </c>
      <c r="H231" s="104">
        <v>2868261</v>
      </c>
      <c r="I231" s="104">
        <v>1213709</v>
      </c>
      <c r="J231" s="104">
        <v>4081970</v>
      </c>
      <c r="K231" s="104">
        <v>70.27</v>
      </c>
      <c r="M231" s="215">
        <v>45117</v>
      </c>
      <c r="N231" s="104">
        <v>3516451</v>
      </c>
      <c r="O231" s="104">
        <v>3915759</v>
      </c>
      <c r="P231" s="104">
        <v>7432210</v>
      </c>
      <c r="Q231" s="104">
        <v>47.31</v>
      </c>
      <c r="S231" s="215">
        <v>45117</v>
      </c>
      <c r="T231" s="104">
        <v>448288</v>
      </c>
      <c r="U231" s="104">
        <v>560971</v>
      </c>
      <c r="V231" s="104">
        <v>1009259</v>
      </c>
      <c r="W231" s="104">
        <v>44.42</v>
      </c>
      <c r="Y231" s="215">
        <v>45117</v>
      </c>
      <c r="Z231" s="104">
        <v>2049668</v>
      </c>
      <c r="AA231" s="104">
        <v>339761</v>
      </c>
      <c r="AB231" s="104">
        <v>2389429</v>
      </c>
      <c r="AC231" s="104">
        <v>85.78</v>
      </c>
      <c r="AE231" s="215">
        <v>45117</v>
      </c>
      <c r="AF231" s="104">
        <v>1317752</v>
      </c>
      <c r="AG231" s="104">
        <v>25348</v>
      </c>
      <c r="AH231" s="104">
        <v>1343100</v>
      </c>
      <c r="AI231" s="104">
        <v>98.11</v>
      </c>
      <c r="AK231" s="215">
        <v>45117</v>
      </c>
      <c r="AL231" s="67">
        <v>1125841</v>
      </c>
      <c r="AM231" s="67">
        <v>0</v>
      </c>
      <c r="AN231" s="67">
        <v>1125841</v>
      </c>
      <c r="AO231" s="67">
        <v>100</v>
      </c>
      <c r="AQ231" s="215">
        <v>45117</v>
      </c>
      <c r="AR231" s="67">
        <v>1243236</v>
      </c>
      <c r="AS231" s="67">
        <v>8425</v>
      </c>
      <c r="AT231" s="67">
        <v>1251661</v>
      </c>
      <c r="AU231" s="67">
        <v>99.33</v>
      </c>
      <c r="AX231" s="215">
        <v>45117</v>
      </c>
      <c r="AY231" s="67">
        <v>1243236</v>
      </c>
      <c r="AZ231" s="67">
        <v>8425</v>
      </c>
      <c r="BA231" s="67">
        <v>1251661</v>
      </c>
      <c r="BB231" s="67">
        <v>99.33</v>
      </c>
    </row>
    <row r="232" spans="1:54" hidden="1" x14ac:dyDescent="0.25">
      <c r="A232" s="237">
        <v>45118</v>
      </c>
      <c r="B232" s="104">
        <v>14435526</v>
      </c>
      <c r="C232" s="104">
        <v>1203333</v>
      </c>
      <c r="D232" s="104">
        <v>15638859</v>
      </c>
      <c r="E232" s="104">
        <v>92.31</v>
      </c>
      <c r="G232" s="215">
        <v>45118</v>
      </c>
      <c r="H232" s="104">
        <v>2743364</v>
      </c>
      <c r="I232" s="104">
        <v>1142399</v>
      </c>
      <c r="J232" s="104">
        <v>3885763</v>
      </c>
      <c r="K232" s="104">
        <v>70.599999999999994</v>
      </c>
      <c r="M232" s="215">
        <v>45118</v>
      </c>
      <c r="N232" s="104">
        <v>3208169</v>
      </c>
      <c r="O232" s="104">
        <v>4510487</v>
      </c>
      <c r="P232" s="104">
        <v>7718656</v>
      </c>
      <c r="Q232" s="104">
        <v>41.56</v>
      </c>
      <c r="S232" s="215">
        <v>45118</v>
      </c>
      <c r="T232" s="104">
        <v>447156</v>
      </c>
      <c r="U232" s="104">
        <v>554784</v>
      </c>
      <c r="V232" s="104">
        <v>1001940</v>
      </c>
      <c r="W232" s="104">
        <v>44.63</v>
      </c>
      <c r="Y232" s="215">
        <v>45118</v>
      </c>
      <c r="Z232" s="104">
        <v>2309243</v>
      </c>
      <c r="AA232" s="104">
        <v>397119</v>
      </c>
      <c r="AB232" s="104">
        <v>2706362</v>
      </c>
      <c r="AC232" s="104">
        <v>85.33</v>
      </c>
      <c r="AE232" s="215">
        <v>45118</v>
      </c>
      <c r="AF232" s="104">
        <v>1394151</v>
      </c>
      <c r="AG232" s="104">
        <v>23379</v>
      </c>
      <c r="AH232" s="104">
        <v>1417530</v>
      </c>
      <c r="AI232" s="104">
        <v>98.35</v>
      </c>
      <c r="AK232" s="215">
        <v>45118</v>
      </c>
      <c r="AL232" s="67">
        <v>822927</v>
      </c>
      <c r="AM232" s="67">
        <v>0</v>
      </c>
      <c r="AN232" s="67">
        <v>822927</v>
      </c>
      <c r="AO232" s="67">
        <v>100</v>
      </c>
      <c r="AQ232" s="215">
        <v>45118</v>
      </c>
      <c r="AR232" s="67">
        <v>1210639</v>
      </c>
      <c r="AS232" s="67"/>
      <c r="AT232" s="67">
        <v>1210639</v>
      </c>
      <c r="AU232" s="67">
        <v>100</v>
      </c>
      <c r="AX232" s="215">
        <v>45118</v>
      </c>
      <c r="AY232" s="67">
        <v>1210639</v>
      </c>
      <c r="AZ232" s="67"/>
      <c r="BA232" s="67">
        <v>1210639</v>
      </c>
      <c r="BB232" s="67">
        <v>100</v>
      </c>
    </row>
    <row r="233" spans="1:54" hidden="1" x14ac:dyDescent="0.25">
      <c r="A233" s="237">
        <v>45119</v>
      </c>
      <c r="B233" s="104">
        <v>13184521</v>
      </c>
      <c r="C233" s="104">
        <v>1162488</v>
      </c>
      <c r="D233" s="104">
        <v>14347009</v>
      </c>
      <c r="E233" s="104">
        <v>91.9</v>
      </c>
      <c r="G233" s="215">
        <v>45119</v>
      </c>
      <c r="H233" s="104">
        <v>2324017</v>
      </c>
      <c r="I233" s="104">
        <v>984431</v>
      </c>
      <c r="J233" s="104">
        <v>3308448</v>
      </c>
      <c r="K233" s="104">
        <v>70.239999999999995</v>
      </c>
      <c r="M233" s="215">
        <v>45119</v>
      </c>
      <c r="N233" s="104">
        <v>8062</v>
      </c>
      <c r="O233" s="104">
        <v>41071</v>
      </c>
      <c r="P233" s="104">
        <v>49133</v>
      </c>
      <c r="Q233" s="104">
        <v>16.399999999999999</v>
      </c>
      <c r="S233" s="215">
        <v>45119</v>
      </c>
      <c r="T233" s="104">
        <v>686704</v>
      </c>
      <c r="U233" s="104">
        <v>1130690</v>
      </c>
      <c r="V233" s="104">
        <v>1817394</v>
      </c>
      <c r="W233" s="104">
        <v>37.79</v>
      </c>
      <c r="Y233" s="215">
        <v>45119</v>
      </c>
      <c r="Z233" s="104">
        <v>2038737</v>
      </c>
      <c r="AA233" s="104">
        <v>356097</v>
      </c>
      <c r="AB233" s="104">
        <v>2394834</v>
      </c>
      <c r="AC233" s="104">
        <v>85.13</v>
      </c>
      <c r="AE233" s="215">
        <v>45119</v>
      </c>
      <c r="AF233" s="104">
        <v>1050759</v>
      </c>
      <c r="AG233" s="104">
        <v>21032</v>
      </c>
      <c r="AH233" s="104">
        <v>1071791</v>
      </c>
      <c r="AI233" s="104">
        <v>98.04</v>
      </c>
      <c r="AK233" s="215">
        <v>45119</v>
      </c>
      <c r="AL233" s="67">
        <v>1117779</v>
      </c>
      <c r="AM233" s="67">
        <v>0</v>
      </c>
      <c r="AN233" s="67">
        <v>1117779</v>
      </c>
      <c r="AO233" s="67">
        <v>100</v>
      </c>
      <c r="AQ233" s="215">
        <v>45119</v>
      </c>
      <c r="AR233" s="67">
        <v>1016932</v>
      </c>
      <c r="AS233" s="67">
        <v>0</v>
      </c>
      <c r="AT233" s="67">
        <v>1016932</v>
      </c>
      <c r="AU233" s="67">
        <v>100</v>
      </c>
      <c r="AX233" s="215">
        <v>45119</v>
      </c>
      <c r="AY233" s="67">
        <v>1016932</v>
      </c>
      <c r="AZ233" s="67">
        <v>0</v>
      </c>
      <c r="BA233" s="67">
        <v>1016932</v>
      </c>
      <c r="BB233" s="67">
        <v>100</v>
      </c>
    </row>
    <row r="234" spans="1:54" hidden="1" x14ac:dyDescent="0.25">
      <c r="A234" s="237">
        <v>45120</v>
      </c>
      <c r="B234" s="104">
        <v>12727277</v>
      </c>
      <c r="C234" s="104">
        <v>894546</v>
      </c>
      <c r="D234" s="104">
        <v>13621823</v>
      </c>
      <c r="E234" s="104">
        <v>93.43</v>
      </c>
      <c r="G234" s="215">
        <v>45120</v>
      </c>
      <c r="H234" s="104">
        <v>8569400</v>
      </c>
      <c r="I234" s="104">
        <v>3528784</v>
      </c>
      <c r="J234" s="104">
        <v>12098184</v>
      </c>
      <c r="K234" s="104">
        <v>70.83</v>
      </c>
      <c r="M234" s="215">
        <v>45120</v>
      </c>
      <c r="N234" s="104">
        <v>4354720</v>
      </c>
      <c r="O234" s="104">
        <v>4157127</v>
      </c>
      <c r="P234" s="104">
        <v>8511847</v>
      </c>
      <c r="Q234" s="104">
        <v>51.16</v>
      </c>
      <c r="S234" s="215">
        <v>45120</v>
      </c>
      <c r="T234" s="104">
        <v>650242</v>
      </c>
      <c r="U234" s="104">
        <v>1116142</v>
      </c>
      <c r="V234" s="104">
        <v>1766384</v>
      </c>
      <c r="W234" s="104">
        <v>36.81</v>
      </c>
      <c r="Y234" s="215">
        <v>45120</v>
      </c>
      <c r="Z234" s="104">
        <v>2277982</v>
      </c>
      <c r="AA234" s="104">
        <v>281155</v>
      </c>
      <c r="AB234" s="104">
        <v>2559137</v>
      </c>
      <c r="AC234" s="104">
        <v>89.01</v>
      </c>
      <c r="AE234" s="215">
        <v>45120</v>
      </c>
      <c r="AF234" s="104">
        <v>1457444</v>
      </c>
      <c r="AG234" s="104">
        <v>26575</v>
      </c>
      <c r="AH234" s="104">
        <v>1484019</v>
      </c>
      <c r="AI234" s="104">
        <v>98.21</v>
      </c>
      <c r="AK234" s="215">
        <v>45120</v>
      </c>
      <c r="AL234" s="48">
        <v>862963</v>
      </c>
      <c r="AM234" s="104"/>
      <c r="AN234" s="48">
        <v>862963</v>
      </c>
      <c r="AO234" s="67">
        <v>100</v>
      </c>
      <c r="AQ234" s="215">
        <v>45120</v>
      </c>
      <c r="AR234" s="48">
        <v>3532928</v>
      </c>
      <c r="AS234" s="67">
        <v>0</v>
      </c>
      <c r="AT234" s="48">
        <v>3532928</v>
      </c>
      <c r="AU234" s="67">
        <v>100</v>
      </c>
      <c r="AX234" s="215">
        <v>45120</v>
      </c>
      <c r="AY234" s="48">
        <v>3532928</v>
      </c>
      <c r="AZ234" s="67">
        <v>0</v>
      </c>
      <c r="BA234" s="48">
        <v>3532928</v>
      </c>
      <c r="BB234" s="67">
        <v>100</v>
      </c>
    </row>
    <row r="235" spans="1:54" hidden="1" x14ac:dyDescent="0.25">
      <c r="A235" s="237">
        <v>45121</v>
      </c>
      <c r="B235" s="104">
        <v>13693885</v>
      </c>
      <c r="C235" s="104">
        <v>1172145</v>
      </c>
      <c r="D235" s="104">
        <v>14866030</v>
      </c>
      <c r="E235" s="104">
        <v>92.11</v>
      </c>
      <c r="G235" s="215">
        <v>45121</v>
      </c>
      <c r="H235" s="104">
        <v>4547938</v>
      </c>
      <c r="I235" s="104">
        <v>1750672</v>
      </c>
      <c r="J235" s="104">
        <v>6298610</v>
      </c>
      <c r="K235" s="104">
        <v>72.204999999999998</v>
      </c>
      <c r="M235" s="215">
        <v>45121</v>
      </c>
      <c r="N235" s="104">
        <v>3089787</v>
      </c>
      <c r="O235" s="104">
        <v>3546404</v>
      </c>
      <c r="P235" s="104">
        <v>6636191</v>
      </c>
      <c r="Q235" s="104">
        <v>46.55</v>
      </c>
      <c r="S235" s="215">
        <v>45121</v>
      </c>
      <c r="T235" s="104">
        <v>674247</v>
      </c>
      <c r="U235" s="104">
        <v>1112428</v>
      </c>
      <c r="V235" s="104">
        <v>1786675</v>
      </c>
      <c r="W235" s="104">
        <v>37.729999999999997</v>
      </c>
      <c r="Y235" s="215">
        <v>45121</v>
      </c>
      <c r="Z235" s="104">
        <v>2528496</v>
      </c>
      <c r="AA235" s="104">
        <v>347493</v>
      </c>
      <c r="AB235" s="104">
        <v>2875989</v>
      </c>
      <c r="AC235" s="104">
        <v>87.917000000000002</v>
      </c>
      <c r="AE235" s="215">
        <v>45121</v>
      </c>
      <c r="AF235" s="104">
        <v>1472911</v>
      </c>
      <c r="AG235" s="104">
        <v>13652</v>
      </c>
      <c r="AH235" s="104">
        <v>1486563</v>
      </c>
      <c r="AI235" s="104">
        <v>99.08</v>
      </c>
      <c r="AK235" s="215">
        <v>45121</v>
      </c>
      <c r="AL235" s="48">
        <v>991275</v>
      </c>
      <c r="AM235" s="48">
        <v>3</v>
      </c>
      <c r="AN235" s="48">
        <v>991278</v>
      </c>
      <c r="AO235" s="48">
        <v>100</v>
      </c>
      <c r="AQ235" s="215">
        <v>45121</v>
      </c>
      <c r="AR235" s="48">
        <v>1903073</v>
      </c>
      <c r="AS235" s="48">
        <v>0</v>
      </c>
      <c r="AT235" s="48">
        <v>1903073</v>
      </c>
      <c r="AU235" s="48">
        <v>100</v>
      </c>
      <c r="AX235" s="215">
        <v>45121</v>
      </c>
      <c r="AY235" s="48">
        <v>1903073</v>
      </c>
      <c r="AZ235" s="48">
        <v>0</v>
      </c>
      <c r="BA235" s="48">
        <v>1903073</v>
      </c>
      <c r="BB235" s="48">
        <v>100</v>
      </c>
    </row>
    <row r="236" spans="1:54" hidden="1" x14ac:dyDescent="0.25">
      <c r="A236" s="237">
        <v>45122</v>
      </c>
      <c r="B236" s="104">
        <v>13113620</v>
      </c>
      <c r="C236" s="104">
        <v>1241911</v>
      </c>
      <c r="D236" s="104">
        <v>14355531</v>
      </c>
      <c r="E236" s="104">
        <v>91.34</v>
      </c>
      <c r="G236" s="215">
        <v>45122</v>
      </c>
      <c r="H236" s="104">
        <v>8922986</v>
      </c>
      <c r="I236" s="104">
        <v>3528718</v>
      </c>
      <c r="J236" s="104">
        <v>12451704</v>
      </c>
      <c r="K236" s="104">
        <v>71.66</v>
      </c>
      <c r="M236" s="215">
        <v>45122</v>
      </c>
      <c r="N236" s="104">
        <v>3490054</v>
      </c>
      <c r="O236" s="104">
        <v>3986967</v>
      </c>
      <c r="P236" s="104">
        <v>7477021</v>
      </c>
      <c r="Q236" s="104">
        <v>46.67</v>
      </c>
      <c r="S236" s="215">
        <v>45122</v>
      </c>
      <c r="T236" s="104">
        <v>625909</v>
      </c>
      <c r="U236" s="104">
        <v>1116026</v>
      </c>
      <c r="V236" s="104">
        <v>1741935</v>
      </c>
      <c r="W236" s="104">
        <v>35.93</v>
      </c>
      <c r="Y236" s="215">
        <v>45122</v>
      </c>
      <c r="Z236" s="104">
        <v>2375285</v>
      </c>
      <c r="AA236" s="104">
        <v>370952</v>
      </c>
      <c r="AB236" s="104">
        <v>2746237</v>
      </c>
      <c r="AC236" s="104">
        <v>86.49</v>
      </c>
      <c r="AE236" s="215">
        <v>45122</v>
      </c>
      <c r="AF236" s="104">
        <v>1323285</v>
      </c>
      <c r="AG236" s="104">
        <v>12147</v>
      </c>
      <c r="AH236" s="104">
        <v>1335432</v>
      </c>
      <c r="AI236" s="104">
        <v>99.09</v>
      </c>
      <c r="AK236" s="215">
        <v>45122</v>
      </c>
      <c r="AL236" s="48">
        <v>1115916</v>
      </c>
      <c r="AM236" s="48">
        <v>0</v>
      </c>
      <c r="AN236" s="48">
        <v>1115916</v>
      </c>
      <c r="AO236" s="48">
        <v>100</v>
      </c>
      <c r="AQ236" s="215">
        <v>45122</v>
      </c>
      <c r="AR236" s="48">
        <v>3735969</v>
      </c>
      <c r="AS236" s="48">
        <v>0</v>
      </c>
      <c r="AT236" s="48">
        <v>3735969</v>
      </c>
      <c r="AU236" s="48">
        <v>100</v>
      </c>
      <c r="AX236" s="215">
        <v>45122</v>
      </c>
      <c r="AY236" s="48">
        <v>3735969</v>
      </c>
      <c r="AZ236" s="48">
        <v>0</v>
      </c>
      <c r="BA236" s="48">
        <v>3735969</v>
      </c>
      <c r="BB236" s="48">
        <v>100</v>
      </c>
    </row>
    <row r="237" spans="1:54" hidden="1" x14ac:dyDescent="0.25">
      <c r="A237" s="237">
        <v>45123</v>
      </c>
      <c r="B237" s="104">
        <v>10744445</v>
      </c>
      <c r="C237" s="104">
        <v>1088806</v>
      </c>
      <c r="D237" s="104">
        <v>11833251</v>
      </c>
      <c r="E237" s="104">
        <v>90.79</v>
      </c>
      <c r="G237" s="215">
        <v>45123</v>
      </c>
      <c r="H237" s="104">
        <v>2310398</v>
      </c>
      <c r="I237" s="104">
        <v>978123</v>
      </c>
      <c r="J237" s="104">
        <v>3288521</v>
      </c>
      <c r="K237" s="104">
        <v>70.256</v>
      </c>
      <c r="M237" s="215">
        <v>45123</v>
      </c>
      <c r="N237" s="104">
        <v>2758096</v>
      </c>
      <c r="O237" s="104">
        <v>3417024</v>
      </c>
      <c r="P237" s="104">
        <v>6175120</v>
      </c>
      <c r="Q237" s="104">
        <v>44.66</v>
      </c>
      <c r="S237" s="215">
        <v>45123</v>
      </c>
      <c r="T237" s="104">
        <v>124705</v>
      </c>
      <c r="U237" s="104">
        <v>33965</v>
      </c>
      <c r="V237" s="104">
        <v>158670</v>
      </c>
      <c r="W237" s="104">
        <v>78.59</v>
      </c>
      <c r="Y237" s="215">
        <v>45123</v>
      </c>
      <c r="Z237" s="104">
        <v>2336230</v>
      </c>
      <c r="AA237" s="104">
        <v>383680</v>
      </c>
      <c r="AB237" s="104">
        <v>2719910</v>
      </c>
      <c r="AC237" s="104">
        <v>85.893000000000001</v>
      </c>
      <c r="AE237" s="215">
        <v>45123</v>
      </c>
      <c r="AF237" s="104">
        <v>1368662</v>
      </c>
      <c r="AG237" s="104">
        <v>12357</v>
      </c>
      <c r="AH237" s="104">
        <v>1381019</v>
      </c>
      <c r="AI237" s="104">
        <v>99.1</v>
      </c>
      <c r="AK237" s="215">
        <v>45123</v>
      </c>
      <c r="AL237" s="48">
        <v>1092209</v>
      </c>
      <c r="AM237" s="48">
        <v>0</v>
      </c>
      <c r="AN237" s="48">
        <v>1092209</v>
      </c>
      <c r="AO237" s="48">
        <v>100</v>
      </c>
      <c r="AQ237" s="215">
        <v>45123</v>
      </c>
      <c r="AR237" s="48">
        <v>1008802</v>
      </c>
      <c r="AS237" s="48">
        <v>0</v>
      </c>
      <c r="AT237" s="48">
        <v>1008802</v>
      </c>
      <c r="AU237" s="48">
        <v>100</v>
      </c>
      <c r="AX237" s="215">
        <v>45123</v>
      </c>
      <c r="AY237" s="48">
        <v>1008802</v>
      </c>
      <c r="AZ237" s="48">
        <v>0</v>
      </c>
      <c r="BA237" s="48">
        <v>1008802</v>
      </c>
      <c r="BB237" s="48">
        <v>100</v>
      </c>
    </row>
    <row r="238" spans="1:54" hidden="1" x14ac:dyDescent="0.25">
      <c r="A238" s="237">
        <v>45124</v>
      </c>
      <c r="B238" s="104">
        <v>13134995</v>
      </c>
      <c r="C238" s="104">
        <v>1063528</v>
      </c>
      <c r="D238" s="104">
        <v>14198523</v>
      </c>
      <c r="E238" s="104">
        <v>92.51</v>
      </c>
      <c r="G238" s="215">
        <v>45124</v>
      </c>
      <c r="H238" s="104">
        <v>8471531</v>
      </c>
      <c r="I238" s="104">
        <v>3372678</v>
      </c>
      <c r="J238" s="104">
        <v>11844209</v>
      </c>
      <c r="K238" s="104">
        <v>71.52</v>
      </c>
      <c r="M238" s="215">
        <v>45124</v>
      </c>
      <c r="N238" s="104">
        <v>4345899</v>
      </c>
      <c r="O238" s="104">
        <v>3924729</v>
      </c>
      <c r="P238" s="104">
        <v>8270628</v>
      </c>
      <c r="Q238" s="104">
        <v>52.54</v>
      </c>
      <c r="S238" s="215">
        <v>45124</v>
      </c>
      <c r="T238" s="104">
        <v>1494477</v>
      </c>
      <c r="U238" s="104">
        <v>1655195</v>
      </c>
      <c r="V238" s="104">
        <v>3149672</v>
      </c>
      <c r="W238" s="104">
        <v>47.45</v>
      </c>
      <c r="Y238" s="215">
        <v>45124</v>
      </c>
      <c r="Z238" s="104">
        <v>1966230</v>
      </c>
      <c r="AA238" s="104">
        <v>337849</v>
      </c>
      <c r="AB238" s="104">
        <v>2304079</v>
      </c>
      <c r="AC238" s="104">
        <v>85.34</v>
      </c>
      <c r="AE238" s="215">
        <v>45124</v>
      </c>
      <c r="AF238" s="104">
        <v>1257827</v>
      </c>
      <c r="AG238" s="104">
        <v>12519</v>
      </c>
      <c r="AH238" s="104">
        <v>1270346</v>
      </c>
      <c r="AI238" s="104">
        <v>99.01</v>
      </c>
      <c r="AK238" s="215">
        <v>45124</v>
      </c>
      <c r="AL238" s="48">
        <v>1282559</v>
      </c>
      <c r="AM238" s="48">
        <v>0</v>
      </c>
      <c r="AN238" s="48">
        <v>1282559</v>
      </c>
      <c r="AO238" s="48">
        <v>100</v>
      </c>
      <c r="AQ238" s="215">
        <v>45124</v>
      </c>
      <c r="AR238" s="48">
        <v>3659991</v>
      </c>
      <c r="AS238" s="48">
        <v>0</v>
      </c>
      <c r="AT238" s="48">
        <v>3659991</v>
      </c>
      <c r="AU238" s="48">
        <v>100</v>
      </c>
      <c r="AX238" s="215">
        <v>45124</v>
      </c>
      <c r="AY238" s="48">
        <v>3659991</v>
      </c>
      <c r="AZ238" s="48">
        <v>0</v>
      </c>
      <c r="BA238" s="48">
        <v>3659991</v>
      </c>
      <c r="BB238" s="48">
        <v>100</v>
      </c>
    </row>
    <row r="239" spans="1:54" hidden="1" x14ac:dyDescent="0.25">
      <c r="A239" s="237">
        <v>45125</v>
      </c>
      <c r="B239" s="104">
        <v>13336243</v>
      </c>
      <c r="C239" s="104">
        <v>1124404</v>
      </c>
      <c r="D239" s="104">
        <v>14460647</v>
      </c>
      <c r="E239" s="104">
        <v>92.22</v>
      </c>
      <c r="G239" s="215">
        <v>45125</v>
      </c>
      <c r="H239" s="104">
        <v>6605654</v>
      </c>
      <c r="I239" s="104">
        <v>2434835</v>
      </c>
      <c r="J239" s="104">
        <v>9040489</v>
      </c>
      <c r="K239" s="104">
        <v>73.069999999999993</v>
      </c>
      <c r="M239" s="215">
        <v>45125</v>
      </c>
      <c r="N239" s="104">
        <v>3479004</v>
      </c>
      <c r="O239" s="104">
        <v>4590982</v>
      </c>
      <c r="P239" s="104">
        <v>8069986</v>
      </c>
      <c r="Q239" s="104">
        <v>43.11</v>
      </c>
      <c r="S239" s="215">
        <v>45125</v>
      </c>
      <c r="T239" s="104">
        <v>653332</v>
      </c>
      <c r="U239" s="104">
        <v>1124313</v>
      </c>
      <c r="V239" s="104">
        <v>1777645</v>
      </c>
      <c r="W239" s="104">
        <v>36.75</v>
      </c>
      <c r="Y239" s="215">
        <v>45125</v>
      </c>
      <c r="Z239" s="104">
        <v>2448582</v>
      </c>
      <c r="AA239" s="104">
        <v>303591</v>
      </c>
      <c r="AB239" s="104">
        <v>2752173</v>
      </c>
      <c r="AC239" s="104">
        <v>88.97</v>
      </c>
      <c r="AE239" s="215">
        <v>45125</v>
      </c>
      <c r="AF239" s="104">
        <v>1663568</v>
      </c>
      <c r="AG239" s="104">
        <v>15122</v>
      </c>
      <c r="AH239" s="104">
        <v>1678690</v>
      </c>
      <c r="AI239" s="104">
        <v>99.1</v>
      </c>
      <c r="AK239" s="215">
        <v>45125</v>
      </c>
      <c r="AL239" s="48">
        <v>1136723</v>
      </c>
      <c r="AM239" s="48">
        <v>0</v>
      </c>
      <c r="AN239" s="48">
        <v>1136723</v>
      </c>
      <c r="AO239" s="48">
        <v>100</v>
      </c>
      <c r="AQ239" s="215">
        <v>45125</v>
      </c>
      <c r="AR239" s="48">
        <v>2904447</v>
      </c>
      <c r="AS239" s="48">
        <v>0</v>
      </c>
      <c r="AT239" s="48">
        <v>2904447</v>
      </c>
      <c r="AU239" s="48">
        <v>100</v>
      </c>
      <c r="AX239" s="215">
        <v>45125</v>
      </c>
      <c r="AY239" s="48">
        <v>2904447</v>
      </c>
      <c r="AZ239" s="48">
        <v>0</v>
      </c>
      <c r="BA239" s="48">
        <v>2904447</v>
      </c>
      <c r="BB239" s="48">
        <v>100</v>
      </c>
    </row>
    <row r="240" spans="1:54" hidden="1" x14ac:dyDescent="0.25">
      <c r="A240" s="237">
        <v>45126</v>
      </c>
      <c r="B240" s="104">
        <v>13017706</v>
      </c>
      <c r="C240" s="104">
        <v>1070087</v>
      </c>
      <c r="D240" s="104">
        <v>14087793</v>
      </c>
      <c r="E240" s="104">
        <v>92.4</v>
      </c>
      <c r="G240" s="215">
        <v>45126</v>
      </c>
      <c r="H240" s="104">
        <v>6664012</v>
      </c>
      <c r="I240" s="104">
        <v>2476934</v>
      </c>
      <c r="J240" s="104">
        <v>9140946</v>
      </c>
      <c r="K240" s="104">
        <v>72.900000000000006</v>
      </c>
      <c r="M240" s="215">
        <v>45126</v>
      </c>
      <c r="N240" s="104">
        <v>3018012</v>
      </c>
      <c r="O240" s="104">
        <v>3126981</v>
      </c>
      <c r="P240" s="104">
        <v>6144993</v>
      </c>
      <c r="Q240" s="104">
        <v>49.11</v>
      </c>
      <c r="S240" s="215">
        <v>45126</v>
      </c>
      <c r="T240" s="104">
        <v>677271</v>
      </c>
      <c r="U240" s="104">
        <v>1126178</v>
      </c>
      <c r="V240" s="104">
        <v>1803449</v>
      </c>
      <c r="W240" s="104">
        <v>37.549999999999997</v>
      </c>
      <c r="Y240" s="215">
        <v>45126</v>
      </c>
      <c r="Z240" s="104">
        <v>2057110</v>
      </c>
      <c r="AA240" s="104">
        <v>306007</v>
      </c>
      <c r="AB240" s="104">
        <v>2363117</v>
      </c>
      <c r="AC240" s="104">
        <v>87.05</v>
      </c>
      <c r="AE240" s="215">
        <v>45126</v>
      </c>
      <c r="AF240" s="104">
        <v>1448933</v>
      </c>
      <c r="AG240" s="104">
        <v>14495</v>
      </c>
      <c r="AH240" s="104">
        <v>1463428</v>
      </c>
      <c r="AI240" s="104">
        <v>99.01</v>
      </c>
      <c r="AK240" s="215">
        <v>45126</v>
      </c>
      <c r="AL240" s="48">
        <v>845700</v>
      </c>
      <c r="AM240" s="48">
        <v>326</v>
      </c>
      <c r="AN240" s="48">
        <v>846026</v>
      </c>
      <c r="AO240" s="48">
        <v>99.96</v>
      </c>
      <c r="AQ240" s="215">
        <v>45126</v>
      </c>
      <c r="AR240" s="48">
        <v>2847500</v>
      </c>
      <c r="AS240" s="48">
        <v>0</v>
      </c>
      <c r="AT240" s="48">
        <v>2847500</v>
      </c>
      <c r="AU240" s="48">
        <v>100</v>
      </c>
      <c r="AX240" s="215">
        <v>45126</v>
      </c>
      <c r="AY240" s="48">
        <v>2847500</v>
      </c>
      <c r="AZ240" s="48">
        <v>0</v>
      </c>
      <c r="BA240" s="48">
        <v>2847500</v>
      </c>
      <c r="BB240" s="48">
        <v>100</v>
      </c>
    </row>
    <row r="241" spans="1:54" hidden="1" x14ac:dyDescent="0.25">
      <c r="A241" s="237">
        <v>45127</v>
      </c>
      <c r="B241" s="104">
        <v>12661593</v>
      </c>
      <c r="C241" s="104">
        <v>1046059</v>
      </c>
      <c r="D241" s="104">
        <v>13707652</v>
      </c>
      <c r="E241" s="104">
        <v>92.37</v>
      </c>
      <c r="G241" s="215">
        <v>45127</v>
      </c>
      <c r="H241" s="104">
        <v>6561373</v>
      </c>
      <c r="I241" s="104">
        <v>2485963</v>
      </c>
      <c r="J241" s="104">
        <v>9047336</v>
      </c>
      <c r="K241" s="104">
        <v>72.52</v>
      </c>
      <c r="M241" s="215">
        <v>45127</v>
      </c>
      <c r="N241" s="104">
        <v>2205368</v>
      </c>
      <c r="O241" s="104">
        <v>1515682</v>
      </c>
      <c r="P241" s="104">
        <v>3721050</v>
      </c>
      <c r="Q241" s="104">
        <v>59.26</v>
      </c>
      <c r="S241" s="215">
        <v>45127</v>
      </c>
      <c r="T241" s="104">
        <v>629375</v>
      </c>
      <c r="U241" s="104">
        <v>1116349</v>
      </c>
      <c r="V241" s="104">
        <v>1745724</v>
      </c>
      <c r="W241" s="104">
        <v>36.049999999999997</v>
      </c>
      <c r="Y241" s="215">
        <v>45127</v>
      </c>
      <c r="Z241" s="104">
        <v>2402165</v>
      </c>
      <c r="AA241" s="104">
        <v>321445</v>
      </c>
      <c r="AB241" s="104">
        <v>2723610</v>
      </c>
      <c r="AC241" s="104">
        <v>88.2</v>
      </c>
      <c r="AE241" s="215">
        <v>45127</v>
      </c>
      <c r="AF241" s="104">
        <v>1334255</v>
      </c>
      <c r="AG241" s="104">
        <v>13503</v>
      </c>
      <c r="AH241" s="104">
        <v>1347758</v>
      </c>
      <c r="AI241" s="104">
        <v>99</v>
      </c>
      <c r="AK241" s="215">
        <v>45127</v>
      </c>
      <c r="AL241" s="67">
        <v>1271324</v>
      </c>
      <c r="AM241" s="67">
        <v>0</v>
      </c>
      <c r="AN241" s="67">
        <v>1271324</v>
      </c>
      <c r="AO241" s="67">
        <v>100</v>
      </c>
      <c r="AQ241" s="215">
        <v>45127</v>
      </c>
      <c r="AR241" s="67">
        <v>2780397</v>
      </c>
      <c r="AS241" s="67">
        <v>0</v>
      </c>
      <c r="AT241" s="67">
        <v>2780397</v>
      </c>
      <c r="AU241" s="67">
        <v>100</v>
      </c>
      <c r="AX241" s="215">
        <v>45127</v>
      </c>
      <c r="AY241" s="67">
        <v>2780397</v>
      </c>
      <c r="AZ241" s="67">
        <v>0</v>
      </c>
      <c r="BA241" s="67">
        <v>2780397</v>
      </c>
      <c r="BB241" s="67">
        <v>100</v>
      </c>
    </row>
    <row r="242" spans="1:54" hidden="1" x14ac:dyDescent="0.25">
      <c r="A242" s="237">
        <v>45128</v>
      </c>
      <c r="B242" s="104">
        <v>12547354</v>
      </c>
      <c r="C242" s="104">
        <v>1039682</v>
      </c>
      <c r="D242" s="104">
        <v>13587036</v>
      </c>
      <c r="E242" s="104">
        <v>92.35</v>
      </c>
      <c r="G242" s="215">
        <v>45128</v>
      </c>
      <c r="H242" s="104">
        <v>6502998</v>
      </c>
      <c r="I242" s="104">
        <v>2490294</v>
      </c>
      <c r="J242" s="104">
        <v>8993292</v>
      </c>
      <c r="K242" s="104">
        <v>72.31</v>
      </c>
      <c r="M242" s="215">
        <v>45128</v>
      </c>
      <c r="N242" s="48">
        <v>3099248</v>
      </c>
      <c r="O242" s="48">
        <v>3323524</v>
      </c>
      <c r="P242" s="48">
        <v>6422772</v>
      </c>
      <c r="Q242" s="104">
        <v>48.25</v>
      </c>
      <c r="S242" s="215">
        <v>45128</v>
      </c>
      <c r="T242" s="104">
        <v>621610</v>
      </c>
      <c r="U242" s="104">
        <v>1115205</v>
      </c>
      <c r="V242" s="104">
        <v>1736815</v>
      </c>
      <c r="W242" s="104">
        <v>35.79</v>
      </c>
      <c r="Y242" s="215">
        <v>45128</v>
      </c>
      <c r="Z242" s="104">
        <v>2799648</v>
      </c>
      <c r="AA242" s="104">
        <v>321224</v>
      </c>
      <c r="AB242" s="104">
        <v>3120872</v>
      </c>
      <c r="AC242" s="104">
        <v>89.71</v>
      </c>
      <c r="AE242" s="215">
        <v>45128</v>
      </c>
      <c r="AF242" s="104">
        <v>1481413</v>
      </c>
      <c r="AG242" s="104">
        <v>14569</v>
      </c>
      <c r="AH242" s="104">
        <v>1495982</v>
      </c>
      <c r="AI242" s="104">
        <v>99.03</v>
      </c>
      <c r="AK242" s="215">
        <v>45128</v>
      </c>
      <c r="AL242" s="48">
        <v>1274388</v>
      </c>
      <c r="AM242" s="67">
        <v>0</v>
      </c>
      <c r="AN242" s="48">
        <v>1274388</v>
      </c>
      <c r="AO242" s="67">
        <v>100</v>
      </c>
      <c r="AQ242" s="215">
        <v>45128</v>
      </c>
      <c r="AR242" s="48">
        <v>2682157</v>
      </c>
      <c r="AS242" s="67">
        <v>0</v>
      </c>
      <c r="AT242" s="48">
        <v>2682157</v>
      </c>
      <c r="AU242" s="67">
        <v>100</v>
      </c>
      <c r="AX242" s="215">
        <v>45128</v>
      </c>
      <c r="AY242" s="48">
        <v>2682157</v>
      </c>
      <c r="AZ242" s="67">
        <v>0</v>
      </c>
      <c r="BA242" s="48">
        <v>2682157</v>
      </c>
      <c r="BB242" s="67">
        <v>100</v>
      </c>
    </row>
    <row r="243" spans="1:54" hidden="1" x14ac:dyDescent="0.25">
      <c r="A243" s="237">
        <v>45129</v>
      </c>
      <c r="B243" s="104">
        <v>12144973</v>
      </c>
      <c r="C243" s="104">
        <v>1111681</v>
      </c>
      <c r="D243" s="104">
        <v>13256654</v>
      </c>
      <c r="E243" s="104">
        <v>91.61</v>
      </c>
      <c r="G243" s="215">
        <v>45129</v>
      </c>
      <c r="H243" s="104">
        <v>6476386</v>
      </c>
      <c r="I243" s="104">
        <v>2467574</v>
      </c>
      <c r="J243" s="104">
        <v>8943960</v>
      </c>
      <c r="K243" s="104">
        <v>72.41</v>
      </c>
      <c r="M243" s="215">
        <v>45129</v>
      </c>
      <c r="N243" s="48">
        <v>3502166</v>
      </c>
      <c r="O243" s="48">
        <v>3964370</v>
      </c>
      <c r="P243" s="48">
        <v>7466536</v>
      </c>
      <c r="Q243" s="104">
        <v>46.904000000000003</v>
      </c>
      <c r="S243" s="215">
        <v>45129</v>
      </c>
      <c r="T243" s="104">
        <v>1196229</v>
      </c>
      <c r="U243" s="104">
        <v>1255468</v>
      </c>
      <c r="V243" s="104">
        <v>2451697</v>
      </c>
      <c r="W243" s="104">
        <v>48.79</v>
      </c>
      <c r="Y243" s="215">
        <v>45129</v>
      </c>
      <c r="Z243" s="104">
        <v>2686265</v>
      </c>
      <c r="AA243" s="104">
        <v>345704</v>
      </c>
      <c r="AB243" s="104">
        <v>3031969</v>
      </c>
      <c r="AC243" s="104">
        <v>88.6</v>
      </c>
      <c r="AE243" s="215">
        <v>45129</v>
      </c>
      <c r="AF243" s="104">
        <v>1368329</v>
      </c>
      <c r="AG243" s="104">
        <v>13035</v>
      </c>
      <c r="AH243" s="104">
        <v>1381364</v>
      </c>
      <c r="AI243" s="104">
        <v>99.06</v>
      </c>
      <c r="AK243" s="215">
        <v>45129</v>
      </c>
      <c r="AL243" s="48">
        <v>1084833</v>
      </c>
      <c r="AM243" s="67">
        <v>0</v>
      </c>
      <c r="AN243" s="48">
        <v>1084833</v>
      </c>
      <c r="AO243" s="67">
        <v>100</v>
      </c>
      <c r="AQ243" s="215">
        <v>45129</v>
      </c>
      <c r="AR243" s="48">
        <v>2691878</v>
      </c>
      <c r="AS243" s="67">
        <v>0</v>
      </c>
      <c r="AT243" s="48">
        <v>2691878</v>
      </c>
      <c r="AU243" s="67">
        <v>100</v>
      </c>
      <c r="AX243" s="215">
        <v>45129</v>
      </c>
      <c r="AY243" s="48">
        <v>2691878</v>
      </c>
      <c r="AZ243" s="67">
        <v>0</v>
      </c>
      <c r="BA243" s="48">
        <v>2691878</v>
      </c>
      <c r="BB243" s="67">
        <v>100</v>
      </c>
    </row>
    <row r="244" spans="1:54" hidden="1" x14ac:dyDescent="0.25">
      <c r="A244" s="237">
        <v>45130</v>
      </c>
      <c r="B244" s="104">
        <v>10995959</v>
      </c>
      <c r="C244" s="104">
        <v>1076648</v>
      </c>
      <c r="D244" s="104">
        <v>12072607</v>
      </c>
      <c r="E244" s="104">
        <v>91.08</v>
      </c>
      <c r="G244" s="215">
        <v>45130</v>
      </c>
      <c r="H244" s="104">
        <v>1722370</v>
      </c>
      <c r="I244" s="104">
        <v>718768</v>
      </c>
      <c r="J244" s="104">
        <v>2441138</v>
      </c>
      <c r="K244" s="104">
        <v>70.56</v>
      </c>
      <c r="M244" s="215">
        <v>45130</v>
      </c>
      <c r="N244" s="48">
        <v>3401579</v>
      </c>
      <c r="O244" s="48">
        <v>4214268</v>
      </c>
      <c r="P244" s="48">
        <v>7615847</v>
      </c>
      <c r="Q244" s="104">
        <v>44.664000000000001</v>
      </c>
      <c r="S244" s="215">
        <v>45130</v>
      </c>
      <c r="T244" s="104">
        <v>89069</v>
      </c>
      <c r="U244" s="104">
        <v>42534</v>
      </c>
      <c r="V244" s="104">
        <v>131603</v>
      </c>
      <c r="W244" s="104">
        <v>67.680000000000007</v>
      </c>
      <c r="Y244" s="215">
        <v>45130</v>
      </c>
      <c r="Z244" s="104">
        <v>2355787</v>
      </c>
      <c r="AA244" s="104">
        <v>343942</v>
      </c>
      <c r="AB244" s="104">
        <v>2699729</v>
      </c>
      <c r="AC244" s="104">
        <v>87.26</v>
      </c>
      <c r="AE244" s="215">
        <v>45130</v>
      </c>
      <c r="AF244" s="104">
        <v>1338994</v>
      </c>
      <c r="AG244" s="104">
        <v>13015</v>
      </c>
      <c r="AH244" s="104">
        <v>1352009</v>
      </c>
      <c r="AI244" s="104">
        <v>99.04</v>
      </c>
      <c r="AK244" s="215">
        <v>45130</v>
      </c>
      <c r="AL244" s="48">
        <v>1040272</v>
      </c>
      <c r="AM244" s="67">
        <v>0</v>
      </c>
      <c r="AN244" s="48">
        <v>1040272</v>
      </c>
      <c r="AO244" s="67">
        <v>100</v>
      </c>
      <c r="AQ244" s="215">
        <v>45130</v>
      </c>
      <c r="AR244" s="48">
        <v>746201</v>
      </c>
      <c r="AS244" s="67">
        <v>0</v>
      </c>
      <c r="AT244" s="48">
        <v>746201</v>
      </c>
      <c r="AU244" s="67">
        <v>100</v>
      </c>
      <c r="AX244" s="215">
        <v>45130</v>
      </c>
      <c r="AY244" s="48">
        <v>746201</v>
      </c>
      <c r="AZ244" s="67">
        <v>0</v>
      </c>
      <c r="BA244" s="48">
        <v>746201</v>
      </c>
      <c r="BB244" s="67">
        <v>100</v>
      </c>
    </row>
    <row r="245" spans="1:54" hidden="1" x14ac:dyDescent="0.25">
      <c r="A245" s="237">
        <v>45131</v>
      </c>
      <c r="B245" s="104">
        <v>13852524</v>
      </c>
      <c r="C245" s="104">
        <v>1171110</v>
      </c>
      <c r="D245" s="104">
        <v>15023634</v>
      </c>
      <c r="E245" s="104">
        <v>92.2</v>
      </c>
      <c r="G245" s="215">
        <v>45131</v>
      </c>
      <c r="H245" s="104">
        <v>6600037</v>
      </c>
      <c r="I245" s="104">
        <v>2440714</v>
      </c>
      <c r="J245" s="104">
        <v>9040751</v>
      </c>
      <c r="K245" s="104">
        <v>73</v>
      </c>
      <c r="M245" s="215">
        <v>45131</v>
      </c>
      <c r="N245" s="48">
        <v>1683995</v>
      </c>
      <c r="O245" s="48">
        <v>1750239</v>
      </c>
      <c r="P245" s="48">
        <v>3434234</v>
      </c>
      <c r="Q245" s="104">
        <v>49.03</v>
      </c>
      <c r="S245" s="215">
        <v>45131</v>
      </c>
      <c r="T245" s="104">
        <v>1189205</v>
      </c>
      <c r="U245" s="104">
        <v>1246618</v>
      </c>
      <c r="V245" s="104">
        <v>2435823</v>
      </c>
      <c r="W245" s="104">
        <v>48.82</v>
      </c>
      <c r="X245" s="231"/>
      <c r="Y245" s="215">
        <v>45131</v>
      </c>
      <c r="Z245" s="104">
        <v>2192954</v>
      </c>
      <c r="AA245" s="104">
        <v>316204</v>
      </c>
      <c r="AB245" s="104">
        <v>2509158</v>
      </c>
      <c r="AC245" s="104">
        <v>87.4</v>
      </c>
      <c r="AE245" s="215">
        <v>45131</v>
      </c>
      <c r="AF245" s="104">
        <v>1093321</v>
      </c>
      <c r="AG245" s="104">
        <v>11668</v>
      </c>
      <c r="AH245" s="104">
        <v>1104989</v>
      </c>
      <c r="AI245" s="104">
        <v>98.94</v>
      </c>
      <c r="AK245" s="215">
        <v>45131</v>
      </c>
      <c r="AL245" s="48">
        <v>1040211</v>
      </c>
      <c r="AM245" s="67">
        <v>329</v>
      </c>
      <c r="AN245" s="48">
        <v>1040540</v>
      </c>
      <c r="AO245" s="67">
        <v>99.97</v>
      </c>
      <c r="AQ245" s="215">
        <v>45131</v>
      </c>
      <c r="AR245" s="48">
        <v>2745381</v>
      </c>
      <c r="AS245" s="67">
        <v>0</v>
      </c>
      <c r="AT245" s="48">
        <v>2745381</v>
      </c>
      <c r="AU245" s="67">
        <v>100</v>
      </c>
      <c r="AX245" s="215">
        <v>45131</v>
      </c>
      <c r="AY245" s="48">
        <v>2745381</v>
      </c>
      <c r="AZ245" s="67">
        <v>0</v>
      </c>
      <c r="BA245" s="48">
        <v>2745381</v>
      </c>
      <c r="BB245" s="67">
        <v>100</v>
      </c>
    </row>
    <row r="246" spans="1:54" hidden="1" x14ac:dyDescent="0.25">
      <c r="A246" s="237">
        <v>45132</v>
      </c>
      <c r="B246" s="104">
        <v>13673938</v>
      </c>
      <c r="C246" s="104">
        <v>1165675</v>
      </c>
      <c r="D246" s="104">
        <v>14839613</v>
      </c>
      <c r="E246" s="104">
        <v>92.14</v>
      </c>
      <c r="G246" s="215">
        <v>45132</v>
      </c>
      <c r="H246" s="104">
        <v>6662356</v>
      </c>
      <c r="I246" s="104">
        <v>2519087</v>
      </c>
      <c r="J246" s="104">
        <v>9181443</v>
      </c>
      <c r="K246" s="104">
        <v>72.56</v>
      </c>
      <c r="M246" s="215">
        <v>45132</v>
      </c>
      <c r="N246" s="48">
        <v>0</v>
      </c>
      <c r="O246" s="48">
        <v>1</v>
      </c>
      <c r="P246" s="48">
        <v>1</v>
      </c>
      <c r="Q246" s="104">
        <v>0</v>
      </c>
      <c r="S246" s="215">
        <v>45132</v>
      </c>
      <c r="T246" s="104">
        <v>1111601</v>
      </c>
      <c r="U246" s="104">
        <v>1863392</v>
      </c>
      <c r="V246" s="104">
        <v>2974993</v>
      </c>
      <c r="W246" s="104">
        <v>37.36</v>
      </c>
      <c r="Y246" s="215">
        <v>45132</v>
      </c>
      <c r="Z246" s="104">
        <v>2617104</v>
      </c>
      <c r="AA246" s="104">
        <v>269720</v>
      </c>
      <c r="AB246" s="104">
        <v>2886824</v>
      </c>
      <c r="AC246" s="104">
        <v>90.66</v>
      </c>
      <c r="AE246" s="215">
        <v>45132</v>
      </c>
      <c r="AF246" s="104">
        <v>1497933</v>
      </c>
      <c r="AG246" s="104">
        <v>13297</v>
      </c>
      <c r="AH246" s="104">
        <v>1511230</v>
      </c>
      <c r="AI246" s="104">
        <v>99.12</v>
      </c>
      <c r="AK246" s="215">
        <v>45132</v>
      </c>
      <c r="AL246" s="48">
        <v>195248</v>
      </c>
      <c r="AM246" s="67">
        <v>0</v>
      </c>
      <c r="AN246" s="48">
        <v>1195248</v>
      </c>
      <c r="AO246" s="67">
        <v>100</v>
      </c>
      <c r="AQ246" s="215">
        <v>45132</v>
      </c>
      <c r="AR246" s="48">
        <v>2808942</v>
      </c>
      <c r="AS246" s="67">
        <v>0</v>
      </c>
      <c r="AT246" s="48">
        <v>2808942</v>
      </c>
      <c r="AU246" s="67">
        <v>100</v>
      </c>
      <c r="AX246" s="215">
        <v>45132</v>
      </c>
      <c r="AY246" s="48">
        <v>2808942</v>
      </c>
      <c r="AZ246" s="67">
        <v>0</v>
      </c>
      <c r="BA246" s="48">
        <v>2808942</v>
      </c>
      <c r="BB246" s="67">
        <v>100</v>
      </c>
    </row>
    <row r="247" spans="1:54" hidden="1" x14ac:dyDescent="0.25">
      <c r="A247" s="237">
        <v>45133</v>
      </c>
      <c r="B247" s="104">
        <v>12813786</v>
      </c>
      <c r="C247" s="104">
        <v>1082051</v>
      </c>
      <c r="D247" s="104">
        <v>13895837</v>
      </c>
      <c r="E247" s="104">
        <v>92.21</v>
      </c>
      <c r="G247" s="215">
        <v>45133</v>
      </c>
      <c r="H247" s="104">
        <v>6647538</v>
      </c>
      <c r="I247" s="104">
        <v>2542344</v>
      </c>
      <c r="J247" s="104">
        <v>9189882</v>
      </c>
      <c r="K247" s="104">
        <v>72.34</v>
      </c>
      <c r="M247" s="215">
        <v>45133</v>
      </c>
      <c r="N247" s="48">
        <v>0</v>
      </c>
      <c r="O247" s="48">
        <v>2</v>
      </c>
      <c r="P247" s="48">
        <v>2</v>
      </c>
      <c r="Q247" s="104">
        <v>0</v>
      </c>
      <c r="S247" s="215">
        <v>45133</v>
      </c>
      <c r="T247" s="104">
        <v>1305929</v>
      </c>
      <c r="U247" s="104">
        <v>1173163</v>
      </c>
      <c r="V247" s="104">
        <v>2479092</v>
      </c>
      <c r="W247" s="104">
        <v>52.68</v>
      </c>
      <c r="Y247" s="215">
        <v>45133</v>
      </c>
      <c r="Z247" s="104">
        <v>1984255</v>
      </c>
      <c r="AA247" s="104">
        <v>248227</v>
      </c>
      <c r="AB247" s="104">
        <v>2232482</v>
      </c>
      <c r="AC247" s="104">
        <v>88.88</v>
      </c>
      <c r="AE247" s="237">
        <v>45133</v>
      </c>
      <c r="AF247" s="104">
        <v>1376670</v>
      </c>
      <c r="AG247" s="104">
        <v>11886</v>
      </c>
      <c r="AH247" s="104">
        <v>1388556</v>
      </c>
      <c r="AI247" s="104">
        <v>99.14</v>
      </c>
      <c r="AK247" s="215">
        <v>45133</v>
      </c>
      <c r="AL247" s="48">
        <v>1239134</v>
      </c>
      <c r="AM247" s="67">
        <v>0</v>
      </c>
      <c r="AN247" s="48">
        <v>1239134</v>
      </c>
      <c r="AO247" s="67">
        <v>100</v>
      </c>
      <c r="AQ247" s="215">
        <v>45133</v>
      </c>
      <c r="AR247" s="48">
        <v>2652703</v>
      </c>
      <c r="AS247" s="67">
        <v>0</v>
      </c>
      <c r="AT247" s="48">
        <v>2652703</v>
      </c>
      <c r="AU247" s="67">
        <v>100</v>
      </c>
      <c r="AX247" s="215">
        <v>45133</v>
      </c>
      <c r="AY247" s="48">
        <v>2652703</v>
      </c>
      <c r="AZ247" s="67">
        <v>0</v>
      </c>
      <c r="BA247" s="48">
        <v>2652703</v>
      </c>
      <c r="BB247" s="67">
        <v>100</v>
      </c>
    </row>
    <row r="248" spans="1:54" hidden="1" x14ac:dyDescent="0.25">
      <c r="A248" s="237">
        <v>45134</v>
      </c>
      <c r="B248" s="104">
        <v>12419516</v>
      </c>
      <c r="C248" s="104">
        <v>1024182</v>
      </c>
      <c r="D248" s="104">
        <v>13443698</v>
      </c>
      <c r="E248" s="104">
        <v>92.38</v>
      </c>
      <c r="G248" s="215">
        <v>45134</v>
      </c>
      <c r="H248" s="104">
        <v>1835935</v>
      </c>
      <c r="I248" s="104">
        <v>770570</v>
      </c>
      <c r="J248" s="104">
        <v>2606505</v>
      </c>
      <c r="K248" s="104">
        <v>70.44</v>
      </c>
      <c r="M248" s="215">
        <v>45134</v>
      </c>
      <c r="N248" s="48">
        <v>0</v>
      </c>
      <c r="O248" s="48">
        <v>4</v>
      </c>
      <c r="P248" s="48">
        <v>4</v>
      </c>
      <c r="Q248" s="104">
        <v>0</v>
      </c>
      <c r="S248" s="215">
        <v>45134</v>
      </c>
      <c r="T248" s="104">
        <v>1386491</v>
      </c>
      <c r="U248" s="104">
        <v>1100111</v>
      </c>
      <c r="V248" s="104">
        <v>2486602</v>
      </c>
      <c r="W248" s="104">
        <v>55.76</v>
      </c>
      <c r="Y248" s="215">
        <v>45134</v>
      </c>
      <c r="Z248" s="104">
        <v>2153685</v>
      </c>
      <c r="AA248" s="104">
        <v>240614</v>
      </c>
      <c r="AB248" s="104">
        <v>2394299</v>
      </c>
      <c r="AC248" s="104">
        <v>89.95</v>
      </c>
      <c r="AE248" s="237">
        <v>45134</v>
      </c>
      <c r="AF248" s="104">
        <v>1359491</v>
      </c>
      <c r="AG248" s="104">
        <v>11449</v>
      </c>
      <c r="AH248" s="104">
        <v>1370940</v>
      </c>
      <c r="AI248" s="104">
        <v>99.16</v>
      </c>
      <c r="AK248" s="215">
        <v>45134</v>
      </c>
      <c r="AL248" s="48">
        <v>1082381</v>
      </c>
      <c r="AM248" s="48">
        <v>0</v>
      </c>
      <c r="AN248" s="48">
        <v>1082381</v>
      </c>
      <c r="AO248" s="67">
        <v>100</v>
      </c>
      <c r="AQ248" s="215">
        <v>45134</v>
      </c>
      <c r="AR248" s="48">
        <v>760978</v>
      </c>
      <c r="AS248" s="48">
        <v>0</v>
      </c>
      <c r="AT248" s="48">
        <v>760978</v>
      </c>
      <c r="AU248" s="67">
        <v>100</v>
      </c>
      <c r="AX248" s="215">
        <v>45134</v>
      </c>
      <c r="AY248" s="48">
        <v>760978</v>
      </c>
      <c r="AZ248" s="48">
        <v>0</v>
      </c>
      <c r="BA248" s="48">
        <v>760978</v>
      </c>
      <c r="BB248" s="67">
        <v>100</v>
      </c>
    </row>
    <row r="249" spans="1:54" hidden="1" x14ac:dyDescent="0.25">
      <c r="A249" s="237">
        <v>45135</v>
      </c>
      <c r="B249" s="104">
        <v>13515261</v>
      </c>
      <c r="C249" s="104">
        <v>1137224</v>
      </c>
      <c r="D249" s="104">
        <v>14652485</v>
      </c>
      <c r="E249" s="104">
        <v>92.24</v>
      </c>
      <c r="G249" s="215">
        <v>45135</v>
      </c>
      <c r="H249" s="104">
        <v>3649492</v>
      </c>
      <c r="I249" s="104">
        <v>1432443</v>
      </c>
      <c r="J249" s="104">
        <v>5081935</v>
      </c>
      <c r="K249" s="104">
        <v>71.81</v>
      </c>
      <c r="M249" s="215">
        <v>45135</v>
      </c>
      <c r="N249" s="104">
        <v>896</v>
      </c>
      <c r="O249" s="104">
        <v>301</v>
      </c>
      <c r="P249" s="104">
        <v>1197</v>
      </c>
      <c r="Q249" s="104">
        <v>74.849999999999994</v>
      </c>
      <c r="S249" s="215">
        <v>45135</v>
      </c>
      <c r="T249" s="104">
        <v>795187</v>
      </c>
      <c r="U249" s="104">
        <v>955313</v>
      </c>
      <c r="V249" s="104">
        <v>1750500</v>
      </c>
      <c r="W249" s="104">
        <v>45.43</v>
      </c>
      <c r="Y249" s="215">
        <v>45135</v>
      </c>
      <c r="Z249" s="104">
        <v>2732138</v>
      </c>
      <c r="AA249" s="104">
        <v>395080</v>
      </c>
      <c r="AB249" s="104">
        <v>3127218</v>
      </c>
      <c r="AC249" s="104">
        <v>87.37</v>
      </c>
      <c r="AD249" s="231"/>
      <c r="AE249" s="237">
        <v>45135</v>
      </c>
      <c r="AF249" s="104">
        <v>1268602</v>
      </c>
      <c r="AG249" s="104">
        <v>11087</v>
      </c>
      <c r="AH249" s="104">
        <v>1279689</v>
      </c>
      <c r="AI249" s="104">
        <v>99.13</v>
      </c>
      <c r="AK249" s="215">
        <v>45135</v>
      </c>
      <c r="AL249" s="48">
        <v>1132023</v>
      </c>
      <c r="AM249" s="48">
        <v>0</v>
      </c>
      <c r="AN249" s="48">
        <v>1132023</v>
      </c>
      <c r="AO249" s="67">
        <v>100</v>
      </c>
      <c r="AQ249" s="215">
        <v>45135</v>
      </c>
      <c r="AR249" s="48">
        <v>1602227</v>
      </c>
      <c r="AS249" s="48">
        <v>0</v>
      </c>
      <c r="AT249" s="48">
        <v>1602227</v>
      </c>
      <c r="AU249" s="67">
        <v>100</v>
      </c>
      <c r="AX249" s="215">
        <v>45135</v>
      </c>
      <c r="AY249" s="48">
        <v>1602227</v>
      </c>
      <c r="AZ249" s="48">
        <v>0</v>
      </c>
      <c r="BA249" s="48">
        <v>1602227</v>
      </c>
      <c r="BB249" s="67">
        <v>100</v>
      </c>
    </row>
    <row r="250" spans="1:54" hidden="1" x14ac:dyDescent="0.25">
      <c r="A250" s="237">
        <v>45136</v>
      </c>
      <c r="B250" s="104">
        <v>12870798</v>
      </c>
      <c r="C250" s="104">
        <v>1038131</v>
      </c>
      <c r="D250" s="104">
        <v>13908929</v>
      </c>
      <c r="E250" s="104">
        <v>92.54</v>
      </c>
      <c r="G250" s="215">
        <v>45136</v>
      </c>
      <c r="H250" s="104">
        <v>3971357</v>
      </c>
      <c r="I250" s="104">
        <v>1743108</v>
      </c>
      <c r="J250" s="104">
        <v>5714465</v>
      </c>
      <c r="K250" s="104">
        <v>69.5</v>
      </c>
      <c r="M250" s="215">
        <v>45136</v>
      </c>
      <c r="N250" s="104">
        <v>2361728</v>
      </c>
      <c r="O250" s="104">
        <v>2481748</v>
      </c>
      <c r="P250" s="104">
        <v>4843476</v>
      </c>
      <c r="Q250" s="104">
        <v>48.76</v>
      </c>
      <c r="S250" s="215">
        <v>45136</v>
      </c>
      <c r="T250" s="104">
        <v>80778</v>
      </c>
      <c r="U250" s="104">
        <v>27347</v>
      </c>
      <c r="V250" s="104">
        <v>108125</v>
      </c>
      <c r="W250" s="104">
        <v>74.709999999999994</v>
      </c>
      <c r="Y250" s="215">
        <v>45136</v>
      </c>
      <c r="Z250" s="104">
        <v>2355210</v>
      </c>
      <c r="AA250" s="104">
        <v>310551</v>
      </c>
      <c r="AB250" s="104">
        <v>2665761</v>
      </c>
      <c r="AC250" s="104">
        <v>88.35</v>
      </c>
      <c r="AE250" s="237">
        <v>45136</v>
      </c>
      <c r="AF250" s="104">
        <v>1237429</v>
      </c>
      <c r="AG250" s="104">
        <v>11395</v>
      </c>
      <c r="AH250" s="104">
        <v>1248824</v>
      </c>
      <c r="AI250" s="104">
        <v>99.09</v>
      </c>
      <c r="AK250" s="215">
        <v>45136</v>
      </c>
      <c r="AL250" s="48">
        <v>1051929</v>
      </c>
      <c r="AM250" s="48">
        <v>0</v>
      </c>
      <c r="AN250" s="48">
        <v>1051929</v>
      </c>
      <c r="AO250" s="67">
        <v>100</v>
      </c>
      <c r="AQ250" s="215">
        <v>45136</v>
      </c>
      <c r="AR250" s="48">
        <v>1546591</v>
      </c>
      <c r="AS250" s="48">
        <v>0</v>
      </c>
      <c r="AT250" s="48">
        <v>1546591</v>
      </c>
      <c r="AU250" s="67">
        <v>100</v>
      </c>
      <c r="AX250" s="215">
        <v>45136</v>
      </c>
      <c r="AY250" s="48">
        <v>1546591</v>
      </c>
      <c r="AZ250" s="48">
        <v>0</v>
      </c>
      <c r="BA250" s="48">
        <v>1546591</v>
      </c>
      <c r="BB250" s="67">
        <v>100</v>
      </c>
    </row>
    <row r="251" spans="1:54" hidden="1" x14ac:dyDescent="0.25">
      <c r="A251" s="237">
        <v>45137</v>
      </c>
      <c r="B251" s="104">
        <v>11049249</v>
      </c>
      <c r="C251" s="104">
        <v>1059247</v>
      </c>
      <c r="D251" s="104">
        <v>12108496</v>
      </c>
      <c r="E251" s="104">
        <v>91.25</v>
      </c>
      <c r="G251" s="215">
        <v>45137</v>
      </c>
      <c r="H251" s="104">
        <v>3553659</v>
      </c>
      <c r="I251" s="104">
        <v>1499277</v>
      </c>
      <c r="J251" s="104">
        <v>5052936</v>
      </c>
      <c r="K251" s="104">
        <v>70.33</v>
      </c>
      <c r="M251" s="215">
        <v>45137</v>
      </c>
      <c r="N251" s="104">
        <v>1794378</v>
      </c>
      <c r="O251" s="104">
        <v>2303658</v>
      </c>
      <c r="P251" s="104">
        <v>4098036</v>
      </c>
      <c r="Q251" s="104">
        <v>43.79</v>
      </c>
      <c r="S251" s="215">
        <v>45137</v>
      </c>
      <c r="T251" s="104">
        <v>72856</v>
      </c>
      <c r="U251" s="104">
        <v>29446</v>
      </c>
      <c r="V251" s="104">
        <v>102302</v>
      </c>
      <c r="W251" s="104">
        <v>71.22</v>
      </c>
      <c r="Y251" s="215">
        <v>45137</v>
      </c>
      <c r="Z251" s="104">
        <v>2212911</v>
      </c>
      <c r="AA251" s="104">
        <v>429107</v>
      </c>
      <c r="AB251" s="104">
        <v>2642018</v>
      </c>
      <c r="AC251" s="104">
        <v>83.76</v>
      </c>
      <c r="AE251" s="237">
        <v>45137</v>
      </c>
      <c r="AF251" s="104">
        <v>1193724</v>
      </c>
      <c r="AG251" s="104">
        <v>10678</v>
      </c>
      <c r="AH251" s="104">
        <v>1204402</v>
      </c>
      <c r="AI251" s="104">
        <v>99.11</v>
      </c>
      <c r="AK251" s="215">
        <v>45137</v>
      </c>
      <c r="AL251" s="48">
        <v>970220</v>
      </c>
      <c r="AM251" s="48">
        <v>0</v>
      </c>
      <c r="AN251" s="48">
        <v>970220</v>
      </c>
      <c r="AO251" s="67">
        <v>100</v>
      </c>
      <c r="AQ251" s="215">
        <v>45137</v>
      </c>
      <c r="AR251" s="48">
        <v>1555137</v>
      </c>
      <c r="AS251" s="48">
        <v>0</v>
      </c>
      <c r="AT251" s="48">
        <v>1555137</v>
      </c>
      <c r="AU251" s="67">
        <v>100</v>
      </c>
      <c r="AX251" s="215">
        <v>45137</v>
      </c>
      <c r="AY251" s="48">
        <v>1555137</v>
      </c>
      <c r="AZ251" s="48">
        <v>0</v>
      </c>
      <c r="BA251" s="48">
        <v>1555137</v>
      </c>
      <c r="BB251" s="67">
        <v>100</v>
      </c>
    </row>
    <row r="252" spans="1:54" hidden="1" x14ac:dyDescent="0.25">
      <c r="A252" s="237">
        <v>45138</v>
      </c>
      <c r="B252" s="104">
        <v>13303464</v>
      </c>
      <c r="C252" s="104">
        <v>1059385</v>
      </c>
      <c r="D252" s="104">
        <v>14362849</v>
      </c>
      <c r="E252" s="104">
        <v>92.62</v>
      </c>
      <c r="G252" s="237">
        <v>45138</v>
      </c>
      <c r="H252" s="104">
        <v>3571607</v>
      </c>
      <c r="I252" s="104">
        <v>1512444</v>
      </c>
      <c r="J252" s="104">
        <v>5084051</v>
      </c>
      <c r="K252" s="104">
        <v>70.25</v>
      </c>
      <c r="M252" s="237">
        <v>45138</v>
      </c>
      <c r="N252" s="104">
        <v>3365593</v>
      </c>
      <c r="O252" s="104">
        <v>2913825</v>
      </c>
      <c r="P252" s="104">
        <v>6279418</v>
      </c>
      <c r="Q252" s="104">
        <v>53.6</v>
      </c>
      <c r="S252" s="237">
        <v>45138</v>
      </c>
      <c r="T252" s="104">
        <v>87174</v>
      </c>
      <c r="U252" s="104">
        <v>21179</v>
      </c>
      <c r="V252" s="104">
        <v>108353</v>
      </c>
      <c r="W252" s="104">
        <v>80.45</v>
      </c>
      <c r="Y252" s="237">
        <v>45138</v>
      </c>
      <c r="Z252" s="104">
        <v>2223176</v>
      </c>
      <c r="AA252" s="104">
        <v>335278</v>
      </c>
      <c r="AB252" s="104">
        <v>2558454</v>
      </c>
      <c r="AC252" s="104">
        <v>86.9</v>
      </c>
      <c r="AE252" s="237">
        <v>45138</v>
      </c>
      <c r="AF252" s="104">
        <v>1186486</v>
      </c>
      <c r="AG252" s="104">
        <v>11117</v>
      </c>
      <c r="AH252" s="104">
        <v>1197603</v>
      </c>
      <c r="AI252" s="104">
        <v>99.07</v>
      </c>
      <c r="AK252" s="237">
        <v>45138</v>
      </c>
      <c r="AL252" s="48">
        <v>1005252</v>
      </c>
      <c r="AM252" s="48">
        <v>0</v>
      </c>
      <c r="AN252" s="48">
        <v>1005252</v>
      </c>
      <c r="AO252" s="67">
        <v>100</v>
      </c>
      <c r="AQ252" s="237">
        <v>45138</v>
      </c>
      <c r="AR252" s="48">
        <v>1565915</v>
      </c>
      <c r="AS252" s="48">
        <v>0</v>
      </c>
      <c r="AT252" s="48">
        <v>1565915</v>
      </c>
      <c r="AU252" s="67">
        <v>100</v>
      </c>
      <c r="AX252" s="237">
        <v>45138</v>
      </c>
      <c r="AY252" s="48">
        <v>1565915</v>
      </c>
      <c r="AZ252" s="48">
        <v>0</v>
      </c>
      <c r="BA252" s="48">
        <v>1565915</v>
      </c>
      <c r="BB252" s="67">
        <v>100</v>
      </c>
    </row>
    <row r="253" spans="1:54" hidden="1" x14ac:dyDescent="0.25">
      <c r="A253" s="237">
        <v>45139</v>
      </c>
      <c r="B253" s="104">
        <v>13849521</v>
      </c>
      <c r="C253" s="104">
        <v>1264019</v>
      </c>
      <c r="D253" s="104">
        <v>15113540</v>
      </c>
      <c r="E253" s="104">
        <v>91.64</v>
      </c>
      <c r="G253" s="237">
        <v>45139</v>
      </c>
      <c r="H253" s="104">
        <v>3695454</v>
      </c>
      <c r="I253" s="104">
        <v>1550402</v>
      </c>
      <c r="J253" s="104">
        <v>5245856</v>
      </c>
      <c r="K253" s="104">
        <v>70.45</v>
      </c>
      <c r="M253" s="237">
        <v>45139</v>
      </c>
      <c r="N253" s="104">
        <v>2498632</v>
      </c>
      <c r="O253" s="104">
        <v>2565760</v>
      </c>
      <c r="P253" s="104">
        <v>5064392</v>
      </c>
      <c r="Q253" s="104">
        <v>49.34</v>
      </c>
      <c r="S253" s="237">
        <v>45139</v>
      </c>
      <c r="T253" s="104">
        <v>592383</v>
      </c>
      <c r="U253" s="104">
        <v>704929</v>
      </c>
      <c r="V253" s="104">
        <v>1297312</v>
      </c>
      <c r="W253" s="104">
        <v>45.66</v>
      </c>
      <c r="Y253" s="237">
        <v>45139</v>
      </c>
      <c r="Z253" s="104">
        <v>2731581</v>
      </c>
      <c r="AA253" s="104">
        <v>379989</v>
      </c>
      <c r="AB253" s="104">
        <v>3111570</v>
      </c>
      <c r="AC253" s="104">
        <v>87.79</v>
      </c>
      <c r="AE253" s="237">
        <v>45139</v>
      </c>
      <c r="AF253" s="104">
        <v>1337329</v>
      </c>
      <c r="AG253" s="104">
        <v>12926</v>
      </c>
      <c r="AH253" s="104">
        <v>1350255</v>
      </c>
      <c r="AI253" s="104">
        <v>99.04</v>
      </c>
      <c r="AK253" s="237">
        <v>45139</v>
      </c>
      <c r="AL253" s="48">
        <v>1072840</v>
      </c>
      <c r="AM253" s="48">
        <v>0</v>
      </c>
      <c r="AN253" s="48">
        <v>1072840</v>
      </c>
      <c r="AO253" s="67">
        <v>100</v>
      </c>
      <c r="AQ253" s="237">
        <v>45139</v>
      </c>
      <c r="AR253" s="48">
        <v>1612833</v>
      </c>
      <c r="AS253" s="48">
        <v>0</v>
      </c>
      <c r="AT253" s="48">
        <v>1612833</v>
      </c>
      <c r="AU253" s="67">
        <v>100</v>
      </c>
      <c r="AX253" s="237">
        <v>45139</v>
      </c>
      <c r="AY253" s="48">
        <v>1612833</v>
      </c>
      <c r="AZ253" s="48">
        <v>0</v>
      </c>
      <c r="BA253" s="48">
        <v>1612833</v>
      </c>
      <c r="BB253" s="67">
        <v>100</v>
      </c>
    </row>
    <row r="254" spans="1:54" hidden="1" x14ac:dyDescent="0.25">
      <c r="A254" s="237">
        <v>45140</v>
      </c>
      <c r="B254" s="104">
        <v>13061287</v>
      </c>
      <c r="C254" s="104">
        <v>1188065</v>
      </c>
      <c r="D254" s="104">
        <v>14249352</v>
      </c>
      <c r="E254" s="104">
        <v>91.66</v>
      </c>
      <c r="G254" s="237">
        <v>45140</v>
      </c>
      <c r="H254" s="104">
        <v>6475693</v>
      </c>
      <c r="I254" s="104">
        <v>2585419</v>
      </c>
      <c r="J254" s="104">
        <v>9061112</v>
      </c>
      <c r="K254" s="104">
        <v>71.47</v>
      </c>
      <c r="M254" s="237">
        <v>45140</v>
      </c>
      <c r="N254" s="104">
        <v>1888883</v>
      </c>
      <c r="O254" s="104">
        <v>2058274</v>
      </c>
      <c r="P254" s="104">
        <v>3947157</v>
      </c>
      <c r="Q254" s="104">
        <v>47.85</v>
      </c>
      <c r="S254" s="237">
        <v>45140</v>
      </c>
      <c r="T254" s="104">
        <v>295837</v>
      </c>
      <c r="U254" s="104">
        <v>75738</v>
      </c>
      <c r="V254" s="104">
        <v>371575</v>
      </c>
      <c r="W254" s="104">
        <v>79.62</v>
      </c>
      <c r="Y254" s="237">
        <v>45140</v>
      </c>
      <c r="Z254" s="104">
        <v>2272618</v>
      </c>
      <c r="AA254" s="104">
        <v>358039</v>
      </c>
      <c r="AB254" s="104">
        <v>2630657</v>
      </c>
      <c r="AC254" s="104">
        <v>86.39</v>
      </c>
      <c r="AE254" s="237">
        <v>45140</v>
      </c>
      <c r="AF254" s="104">
        <v>1184306</v>
      </c>
      <c r="AG254" s="104">
        <v>12477</v>
      </c>
      <c r="AH254" s="104">
        <v>1196783</v>
      </c>
      <c r="AI254" s="104">
        <v>98.96</v>
      </c>
      <c r="AK254" s="237">
        <v>45140</v>
      </c>
      <c r="AL254" s="48">
        <v>1043884</v>
      </c>
      <c r="AM254" s="48">
        <v>0</v>
      </c>
      <c r="AN254" s="48">
        <v>1043884</v>
      </c>
      <c r="AO254" s="48">
        <v>100</v>
      </c>
      <c r="AQ254" s="237">
        <v>45140</v>
      </c>
      <c r="AR254" s="48">
        <v>2798335</v>
      </c>
      <c r="AS254" s="48">
        <v>0</v>
      </c>
      <c r="AT254" s="48">
        <v>2798335</v>
      </c>
      <c r="AU254" s="48">
        <v>100</v>
      </c>
      <c r="AX254" s="237">
        <v>45140</v>
      </c>
      <c r="AY254" s="48">
        <v>2798335</v>
      </c>
      <c r="AZ254" s="48">
        <v>0</v>
      </c>
      <c r="BA254" s="48">
        <v>2798335</v>
      </c>
      <c r="BB254" s="48">
        <v>100</v>
      </c>
    </row>
    <row r="255" spans="1:54" hidden="1" x14ac:dyDescent="0.25">
      <c r="A255" s="237">
        <v>45141</v>
      </c>
      <c r="B255" s="104">
        <v>13218088</v>
      </c>
      <c r="C255" s="104">
        <v>1190492</v>
      </c>
      <c r="D255" s="104">
        <v>14408580</v>
      </c>
      <c r="E255" s="104">
        <v>91.74</v>
      </c>
      <c r="G255" s="237">
        <v>45141</v>
      </c>
      <c r="H255" s="104">
        <v>6485636</v>
      </c>
      <c r="I255" s="104">
        <v>2567278</v>
      </c>
      <c r="J255" s="104">
        <v>9052914</v>
      </c>
      <c r="K255" s="104">
        <v>71.64</v>
      </c>
      <c r="M255" s="237">
        <v>45141</v>
      </c>
      <c r="N255" s="104">
        <v>3806712</v>
      </c>
      <c r="O255" s="104">
        <v>3799080</v>
      </c>
      <c r="P255" s="104">
        <v>7605792</v>
      </c>
      <c r="Q255" s="104">
        <v>50.05</v>
      </c>
      <c r="S255" s="237">
        <v>45141</v>
      </c>
      <c r="T255" s="104">
        <v>951892</v>
      </c>
      <c r="U255" s="104">
        <v>1388101</v>
      </c>
      <c r="V255" s="104">
        <v>2339993</v>
      </c>
      <c r="W255" s="104">
        <v>40.68</v>
      </c>
      <c r="Y255" s="237">
        <v>45141</v>
      </c>
      <c r="Z255" s="104">
        <v>2394353</v>
      </c>
      <c r="AA255" s="104">
        <v>361410</v>
      </c>
      <c r="AB255" s="104">
        <v>2755763</v>
      </c>
      <c r="AC255" s="104">
        <v>86.89</v>
      </c>
      <c r="AE255" s="237">
        <v>45141</v>
      </c>
      <c r="AF255" s="104">
        <v>1145008</v>
      </c>
      <c r="AG255" s="104">
        <v>11394</v>
      </c>
      <c r="AH255" s="104">
        <v>1156402</v>
      </c>
      <c r="AI255" s="104">
        <v>99.01</v>
      </c>
      <c r="AK255" s="237">
        <v>45141</v>
      </c>
      <c r="AL255" s="48">
        <v>1063834</v>
      </c>
      <c r="AM255" s="48">
        <v>0</v>
      </c>
      <c r="AN255" s="48">
        <v>1063834</v>
      </c>
      <c r="AO255" s="48">
        <v>100</v>
      </c>
      <c r="AQ255" s="237">
        <v>45141</v>
      </c>
      <c r="AR255" s="48">
        <v>2696494</v>
      </c>
      <c r="AS255" s="48">
        <v>0</v>
      </c>
      <c r="AT255" s="48">
        <v>2696494</v>
      </c>
      <c r="AU255" s="48">
        <v>100</v>
      </c>
      <c r="AX255" s="237">
        <v>45141</v>
      </c>
      <c r="AY255" s="48">
        <v>2696494</v>
      </c>
      <c r="AZ255" s="48">
        <v>0</v>
      </c>
      <c r="BA255" s="48">
        <v>2696494</v>
      </c>
      <c r="BB255" s="48">
        <v>100</v>
      </c>
    </row>
    <row r="256" spans="1:54" hidden="1" x14ac:dyDescent="0.25">
      <c r="A256" s="237">
        <v>45142</v>
      </c>
      <c r="B256" s="104">
        <v>14356755</v>
      </c>
      <c r="C256" s="104">
        <v>1344095</v>
      </c>
      <c r="D256" s="104">
        <v>15700850</v>
      </c>
      <c r="E256" s="104">
        <v>91.44</v>
      </c>
      <c r="G256" s="237">
        <v>45142</v>
      </c>
      <c r="H256" s="104">
        <v>6543279</v>
      </c>
      <c r="I256" s="104">
        <v>2534985</v>
      </c>
      <c r="J256" s="104">
        <v>9078264</v>
      </c>
      <c r="K256" s="104">
        <v>72.08</v>
      </c>
      <c r="M256" s="237">
        <v>45142</v>
      </c>
      <c r="N256" s="104">
        <v>2313100</v>
      </c>
      <c r="O256" s="104">
        <v>2653347</v>
      </c>
      <c r="P256" s="104">
        <v>4966447</v>
      </c>
      <c r="Q256" s="104">
        <v>46.57</v>
      </c>
      <c r="S256" s="237">
        <v>45142</v>
      </c>
      <c r="T256" s="104">
        <v>763627</v>
      </c>
      <c r="U256" s="104">
        <v>1066164</v>
      </c>
      <c r="V256" s="104">
        <v>1829791</v>
      </c>
      <c r="W256" s="104">
        <v>41.73</v>
      </c>
      <c r="Y256" s="237">
        <v>45142</v>
      </c>
      <c r="Z256" s="104">
        <v>2546921</v>
      </c>
      <c r="AA256" s="104">
        <v>359529</v>
      </c>
      <c r="AB256" s="104">
        <v>2906450</v>
      </c>
      <c r="AC256" s="104">
        <v>87.63</v>
      </c>
      <c r="AE256" s="237">
        <v>45142</v>
      </c>
      <c r="AF256" s="104">
        <v>1272283</v>
      </c>
      <c r="AG256" s="104">
        <v>12429</v>
      </c>
      <c r="AH256" s="104">
        <v>1284712</v>
      </c>
      <c r="AI256" s="104">
        <v>99.03</v>
      </c>
      <c r="AK256" s="237">
        <v>45142</v>
      </c>
      <c r="AL256" s="48">
        <v>1100551</v>
      </c>
      <c r="AM256" s="48">
        <v>0</v>
      </c>
      <c r="AN256" s="48">
        <v>1100551</v>
      </c>
      <c r="AO256" s="48">
        <v>100</v>
      </c>
      <c r="AQ256" s="237">
        <v>45142</v>
      </c>
      <c r="AR256" s="48">
        <v>2727642</v>
      </c>
      <c r="AS256" s="48">
        <v>0</v>
      </c>
      <c r="AT256" s="48">
        <v>2727642</v>
      </c>
      <c r="AU256" s="48">
        <v>100</v>
      </c>
      <c r="AX256" s="237">
        <v>45142</v>
      </c>
      <c r="AY256" s="48">
        <v>2727642</v>
      </c>
      <c r="AZ256" s="48">
        <v>0</v>
      </c>
      <c r="BA256" s="48">
        <v>2727642</v>
      </c>
      <c r="BB256" s="48">
        <v>100</v>
      </c>
    </row>
    <row r="257" spans="1:54" hidden="1" x14ac:dyDescent="0.25">
      <c r="A257" s="237">
        <v>45143</v>
      </c>
      <c r="B257" s="104">
        <v>13396980</v>
      </c>
      <c r="C257" s="104">
        <v>1283844</v>
      </c>
      <c r="D257" s="104">
        <v>14680824</v>
      </c>
      <c r="E257" s="104">
        <v>91.25</v>
      </c>
      <c r="G257" s="237">
        <v>45143</v>
      </c>
      <c r="H257" s="104">
        <v>4221592</v>
      </c>
      <c r="I257" s="104">
        <v>1643821</v>
      </c>
      <c r="J257" s="104">
        <v>5865413</v>
      </c>
      <c r="K257" s="104">
        <v>71.97</v>
      </c>
      <c r="M257" s="237">
        <v>45143</v>
      </c>
      <c r="N257" s="104">
        <v>3151945</v>
      </c>
      <c r="O257" s="104">
        <v>3600972</v>
      </c>
      <c r="P257" s="104">
        <v>6752917</v>
      </c>
      <c r="Q257" s="104">
        <v>46.68</v>
      </c>
      <c r="S257" s="237">
        <v>45143</v>
      </c>
      <c r="T257" s="104">
        <v>654490</v>
      </c>
      <c r="U257" s="104">
        <v>1058327</v>
      </c>
      <c r="V257" s="104">
        <v>1712817</v>
      </c>
      <c r="W257" s="104">
        <v>38.21</v>
      </c>
      <c r="Y257" s="237">
        <v>45143</v>
      </c>
      <c r="Z257" s="104">
        <v>2308171</v>
      </c>
      <c r="AA257" s="104">
        <v>357245</v>
      </c>
      <c r="AB257" s="104">
        <v>2665416</v>
      </c>
      <c r="AC257" s="104">
        <v>86.6</v>
      </c>
      <c r="AE257" s="237">
        <v>45143</v>
      </c>
      <c r="AF257" s="104">
        <v>1166083</v>
      </c>
      <c r="AG257" s="104">
        <v>11434</v>
      </c>
      <c r="AH257" s="104">
        <v>1177517</v>
      </c>
      <c r="AI257" s="104">
        <v>99.03</v>
      </c>
      <c r="AK257" s="237">
        <v>45143</v>
      </c>
      <c r="AL257" s="48">
        <v>1120814</v>
      </c>
      <c r="AM257" s="48">
        <v>0</v>
      </c>
      <c r="AN257" s="48">
        <v>1120814</v>
      </c>
      <c r="AO257" s="48">
        <v>100</v>
      </c>
      <c r="AQ257" s="237">
        <v>45143</v>
      </c>
      <c r="AR257" s="48">
        <v>1866626</v>
      </c>
      <c r="AS257" s="48">
        <v>14</v>
      </c>
      <c r="AT257" s="48">
        <v>1866640</v>
      </c>
      <c r="AU257" s="48">
        <v>100</v>
      </c>
      <c r="AX257" s="237">
        <v>45143</v>
      </c>
      <c r="AY257" s="48">
        <v>1866626</v>
      </c>
      <c r="AZ257" s="48">
        <v>14</v>
      </c>
      <c r="BA257" s="48">
        <v>1866640</v>
      </c>
      <c r="BB257" s="48">
        <v>100</v>
      </c>
    </row>
    <row r="258" spans="1:54" hidden="1" x14ac:dyDescent="0.25">
      <c r="A258" s="237">
        <v>45144</v>
      </c>
      <c r="B258" s="104">
        <v>11466007</v>
      </c>
      <c r="C258" s="104">
        <v>1181593</v>
      </c>
      <c r="D258" s="104">
        <v>12647600</v>
      </c>
      <c r="E258" s="104">
        <v>90.66</v>
      </c>
      <c r="G258" s="237">
        <v>45144</v>
      </c>
      <c r="H258" s="104">
        <v>2432351</v>
      </c>
      <c r="I258" s="104">
        <v>992559</v>
      </c>
      <c r="J258" s="104">
        <v>3424910</v>
      </c>
      <c r="K258" s="104">
        <v>71.02</v>
      </c>
      <c r="M258" s="237">
        <v>45144</v>
      </c>
      <c r="N258" s="104">
        <v>2041435</v>
      </c>
      <c r="O258" s="104">
        <v>2607532</v>
      </c>
      <c r="P258" s="104">
        <v>4648967</v>
      </c>
      <c r="Q258" s="104">
        <v>43.91</v>
      </c>
      <c r="S258" s="237">
        <v>45144</v>
      </c>
      <c r="T258" s="104">
        <v>78333</v>
      </c>
      <c r="U258" s="104">
        <v>31568</v>
      </c>
      <c r="V258" s="104">
        <v>109901</v>
      </c>
      <c r="W258" s="104">
        <v>71.28</v>
      </c>
      <c r="Y258" s="237">
        <v>45144</v>
      </c>
      <c r="Z258" s="104">
        <v>2191993</v>
      </c>
      <c r="AA258" s="104">
        <v>383112</v>
      </c>
      <c r="AB258" s="104">
        <v>2575105</v>
      </c>
      <c r="AC258" s="104">
        <v>85.12</v>
      </c>
      <c r="AE258" s="237">
        <v>45144</v>
      </c>
      <c r="AF258" s="104">
        <v>1122714</v>
      </c>
      <c r="AG258" s="104">
        <v>9739</v>
      </c>
      <c r="AH258" s="104">
        <v>1132453</v>
      </c>
      <c r="AI258" s="104">
        <v>99.14</v>
      </c>
      <c r="AK258" s="237">
        <v>45144</v>
      </c>
      <c r="AL258" s="48">
        <v>1054927</v>
      </c>
      <c r="AM258" s="48">
        <v>0</v>
      </c>
      <c r="AN258" s="48">
        <v>1054927</v>
      </c>
      <c r="AO258" s="48">
        <v>100</v>
      </c>
      <c r="AQ258" s="237">
        <v>45144</v>
      </c>
      <c r="AR258" s="48">
        <v>1066653</v>
      </c>
      <c r="AS258" s="48">
        <v>0</v>
      </c>
      <c r="AT258" s="48">
        <v>1066653</v>
      </c>
      <c r="AU258" s="48">
        <v>100</v>
      </c>
      <c r="AX258" s="237">
        <v>45144</v>
      </c>
      <c r="AY258" s="48">
        <v>1066653</v>
      </c>
      <c r="AZ258" s="48">
        <v>0</v>
      </c>
      <c r="BA258" s="48">
        <v>1066653</v>
      </c>
      <c r="BB258" s="48">
        <v>100</v>
      </c>
    </row>
    <row r="259" spans="1:54" hidden="1" x14ac:dyDescent="0.25">
      <c r="A259" s="237">
        <v>45145</v>
      </c>
      <c r="B259" s="104">
        <v>13487418</v>
      </c>
      <c r="C259" s="104">
        <v>1146085</v>
      </c>
      <c r="D259" s="104">
        <v>14633503</v>
      </c>
      <c r="E259" s="104">
        <v>92.17</v>
      </c>
      <c r="G259" s="237">
        <v>45145</v>
      </c>
      <c r="H259" s="104">
        <v>2682661</v>
      </c>
      <c r="I259" s="104">
        <v>1047360</v>
      </c>
      <c r="J259" s="104">
        <v>3730021</v>
      </c>
      <c r="K259" s="104">
        <v>71.92</v>
      </c>
      <c r="M259" s="237">
        <v>45145</v>
      </c>
      <c r="N259" s="104">
        <v>3056242</v>
      </c>
      <c r="O259" s="104">
        <v>2539705</v>
      </c>
      <c r="P259" s="104">
        <v>5595947</v>
      </c>
      <c r="Q259" s="104">
        <v>54.62</v>
      </c>
      <c r="S259" s="237">
        <v>45145</v>
      </c>
      <c r="T259" s="104">
        <v>691933</v>
      </c>
      <c r="U259" s="104">
        <v>1071842</v>
      </c>
      <c r="V259" s="104">
        <v>1763775</v>
      </c>
      <c r="W259" s="104">
        <v>39.229999999999997</v>
      </c>
      <c r="Y259" s="237">
        <v>45145</v>
      </c>
      <c r="Z259" s="104">
        <v>2109470</v>
      </c>
      <c r="AA259" s="104">
        <v>361145</v>
      </c>
      <c r="AB259" s="104">
        <v>2470615</v>
      </c>
      <c r="AC259" s="104">
        <v>85.38</v>
      </c>
      <c r="AE259" s="237">
        <v>45145</v>
      </c>
      <c r="AF259" s="104">
        <v>1121743</v>
      </c>
      <c r="AG259" s="104">
        <v>9536</v>
      </c>
      <c r="AH259" s="104">
        <v>1131279</v>
      </c>
      <c r="AI259" s="104">
        <v>99.16</v>
      </c>
      <c r="AK259" s="237">
        <v>45145</v>
      </c>
      <c r="AL259" s="48">
        <v>936851</v>
      </c>
      <c r="AM259" s="48">
        <v>0</v>
      </c>
      <c r="AN259" s="48">
        <v>936791</v>
      </c>
      <c r="AO259" s="48">
        <v>100</v>
      </c>
      <c r="AQ259" s="237">
        <v>45145</v>
      </c>
      <c r="AR259" s="48">
        <v>936791</v>
      </c>
      <c r="AS259" s="48">
        <v>0</v>
      </c>
      <c r="AT259" s="48">
        <v>936791</v>
      </c>
      <c r="AU259" s="48">
        <v>100</v>
      </c>
      <c r="AX259" s="237">
        <v>45145</v>
      </c>
      <c r="AY259" s="48">
        <v>936791</v>
      </c>
      <c r="AZ259" s="48">
        <v>0</v>
      </c>
      <c r="BA259" s="48">
        <v>936791</v>
      </c>
      <c r="BB259" s="48">
        <v>100</v>
      </c>
    </row>
    <row r="260" spans="1:54" hidden="1" x14ac:dyDescent="0.25">
      <c r="A260" s="237">
        <v>45146</v>
      </c>
      <c r="B260" s="104">
        <v>14245967</v>
      </c>
      <c r="C260" s="104">
        <v>1216385</v>
      </c>
      <c r="D260" s="104">
        <v>15462352</v>
      </c>
      <c r="E260" s="104">
        <v>92.13</v>
      </c>
      <c r="G260" s="237">
        <v>45146</v>
      </c>
      <c r="H260" s="104">
        <v>2669401</v>
      </c>
      <c r="I260" s="104">
        <v>1003157</v>
      </c>
      <c r="J260" s="104">
        <v>3672558</v>
      </c>
      <c r="K260" s="104">
        <v>72.69</v>
      </c>
      <c r="M260" s="237">
        <v>45146</v>
      </c>
      <c r="N260" s="104">
        <v>2451336</v>
      </c>
      <c r="O260" s="104">
        <v>2348560</v>
      </c>
      <c r="P260" s="104">
        <v>4799896</v>
      </c>
      <c r="Q260" s="104">
        <v>51.07</v>
      </c>
      <c r="S260" s="237">
        <v>45146</v>
      </c>
      <c r="T260" s="104">
        <v>678873</v>
      </c>
      <c r="U260" s="104">
        <v>1069265</v>
      </c>
      <c r="V260" s="104">
        <v>1748138</v>
      </c>
      <c r="W260" s="104">
        <v>38.83</v>
      </c>
      <c r="Y260" s="237">
        <v>45146</v>
      </c>
      <c r="Z260" s="104">
        <v>2556358</v>
      </c>
      <c r="AA260" s="104">
        <v>378458</v>
      </c>
      <c r="AB260" s="104">
        <v>2934816</v>
      </c>
      <c r="AC260" s="104">
        <v>87.1</v>
      </c>
      <c r="AE260" s="237">
        <v>45146</v>
      </c>
      <c r="AF260" s="104">
        <v>1240249</v>
      </c>
      <c r="AG260" s="104">
        <v>10895</v>
      </c>
      <c r="AH260" s="104">
        <v>1251144</v>
      </c>
      <c r="AI260" s="104">
        <v>99.13</v>
      </c>
      <c r="AK260" s="237">
        <v>45146</v>
      </c>
      <c r="AL260" s="48">
        <v>713190</v>
      </c>
      <c r="AM260" s="48">
        <v>0</v>
      </c>
      <c r="AN260" s="48">
        <v>713190</v>
      </c>
      <c r="AO260" s="48">
        <v>100</v>
      </c>
      <c r="AQ260" s="237">
        <v>45146</v>
      </c>
      <c r="AR260" s="48">
        <v>1190023</v>
      </c>
      <c r="AS260" s="48">
        <v>0</v>
      </c>
      <c r="AT260" s="48">
        <v>1190023</v>
      </c>
      <c r="AU260" s="48">
        <v>100</v>
      </c>
      <c r="AX260" s="237">
        <v>45146</v>
      </c>
      <c r="AY260" s="48">
        <v>1190023</v>
      </c>
      <c r="AZ260" s="48">
        <v>0</v>
      </c>
      <c r="BA260" s="48">
        <v>1190023</v>
      </c>
      <c r="BB260" s="48">
        <v>100</v>
      </c>
    </row>
    <row r="261" spans="1:54" hidden="1" x14ac:dyDescent="0.25">
      <c r="A261" s="237">
        <v>45147</v>
      </c>
      <c r="B261" s="104">
        <v>12906201</v>
      </c>
      <c r="C261" s="104">
        <v>1140913</v>
      </c>
      <c r="D261" s="104">
        <v>14047114</v>
      </c>
      <c r="E261" s="104">
        <v>91.88</v>
      </c>
      <c r="G261" s="237">
        <v>45147</v>
      </c>
      <c r="H261" s="104">
        <v>2755471</v>
      </c>
      <c r="I261" s="104">
        <v>1037292</v>
      </c>
      <c r="J261" s="104">
        <v>3792763</v>
      </c>
      <c r="K261" s="104">
        <v>72.650000000000006</v>
      </c>
      <c r="M261" s="237">
        <v>45147</v>
      </c>
      <c r="N261" s="104">
        <v>2227339</v>
      </c>
      <c r="O261" s="104">
        <v>1969948</v>
      </c>
      <c r="P261" s="104">
        <v>4197287</v>
      </c>
      <c r="Q261" s="104">
        <v>53.07</v>
      </c>
      <c r="S261" s="237">
        <v>45147</v>
      </c>
      <c r="T261" s="104">
        <v>1478967</v>
      </c>
      <c r="U261" s="104">
        <v>1215038</v>
      </c>
      <c r="V261" s="104">
        <v>2694005</v>
      </c>
      <c r="W261" s="104">
        <v>54.9</v>
      </c>
      <c r="Y261" s="237">
        <v>45147</v>
      </c>
      <c r="Z261" s="104">
        <v>1903392</v>
      </c>
      <c r="AA261" s="104">
        <v>335720</v>
      </c>
      <c r="AB261" s="104">
        <v>2239112</v>
      </c>
      <c r="AC261" s="104">
        <v>85.01</v>
      </c>
      <c r="AE261" s="237">
        <v>45147</v>
      </c>
      <c r="AF261" s="104">
        <v>1124347</v>
      </c>
      <c r="AG261" s="104">
        <v>10388</v>
      </c>
      <c r="AH261" s="104">
        <v>1134735</v>
      </c>
      <c r="AI261" s="104">
        <v>99.08</v>
      </c>
      <c r="AK261" s="237">
        <v>45147</v>
      </c>
      <c r="AL261" s="48">
        <v>1028763</v>
      </c>
      <c r="AM261" s="48">
        <v>457</v>
      </c>
      <c r="AN261" s="48">
        <v>1029220</v>
      </c>
      <c r="AO261" s="48">
        <v>99.96</v>
      </c>
      <c r="AQ261" s="237">
        <v>45147</v>
      </c>
      <c r="AR261" s="48">
        <v>1208544</v>
      </c>
      <c r="AS261" s="48">
        <v>0</v>
      </c>
      <c r="AT261" s="48">
        <v>1208544</v>
      </c>
      <c r="AU261" s="48">
        <v>100</v>
      </c>
      <c r="AX261" s="237">
        <v>45147</v>
      </c>
      <c r="AY261" s="48">
        <v>1208544</v>
      </c>
      <c r="AZ261" s="48">
        <v>0</v>
      </c>
      <c r="BA261" s="48">
        <v>1208544</v>
      </c>
      <c r="BB261" s="48">
        <v>100</v>
      </c>
    </row>
    <row r="262" spans="1:54" hidden="1" x14ac:dyDescent="0.25">
      <c r="A262" s="237">
        <v>45148</v>
      </c>
      <c r="B262" s="104">
        <v>13344306</v>
      </c>
      <c r="C262" s="104">
        <v>1102537</v>
      </c>
      <c r="D262" s="104">
        <v>14446843</v>
      </c>
      <c r="E262" s="104">
        <v>92.37</v>
      </c>
      <c r="G262" s="237">
        <v>45148</v>
      </c>
      <c r="H262" s="104">
        <v>2408953</v>
      </c>
      <c r="I262" s="104">
        <v>924791</v>
      </c>
      <c r="J262" s="104">
        <v>3333744</v>
      </c>
      <c r="K262" s="104">
        <v>72.260000000000005</v>
      </c>
      <c r="M262" s="237">
        <v>45148</v>
      </c>
      <c r="N262" s="104">
        <v>3106653</v>
      </c>
      <c r="O262" s="104">
        <v>3283655</v>
      </c>
      <c r="P262" s="104">
        <v>6390308</v>
      </c>
      <c r="Q262" s="104">
        <v>48.62</v>
      </c>
      <c r="S262" s="237">
        <v>45148</v>
      </c>
      <c r="T262" s="104">
        <v>3323122</v>
      </c>
      <c r="U262" s="104">
        <v>2233174</v>
      </c>
      <c r="V262" s="104">
        <v>5556296</v>
      </c>
      <c r="W262" s="104">
        <v>59.81</v>
      </c>
      <c r="Y262" s="237">
        <v>45148</v>
      </c>
      <c r="Z262" s="104">
        <v>2066375</v>
      </c>
      <c r="AA262" s="104">
        <v>338137</v>
      </c>
      <c r="AB262" s="104">
        <v>2404512</v>
      </c>
      <c r="AC262" s="104">
        <v>85.94</v>
      </c>
      <c r="AE262" s="237">
        <v>45148</v>
      </c>
      <c r="AF262" s="104">
        <v>1095382</v>
      </c>
      <c r="AG262" s="104">
        <v>10157</v>
      </c>
      <c r="AH262" s="104">
        <v>1105539</v>
      </c>
      <c r="AI262" s="104">
        <v>99.08</v>
      </c>
      <c r="AK262" s="237">
        <v>45148</v>
      </c>
      <c r="AL262" s="48">
        <v>1003971</v>
      </c>
      <c r="AM262" s="48">
        <v>0</v>
      </c>
      <c r="AN262" s="48">
        <v>1003971</v>
      </c>
      <c r="AO262" s="48">
        <v>100</v>
      </c>
      <c r="AQ262" s="237">
        <v>45148</v>
      </c>
      <c r="AR262" s="48">
        <v>1057436</v>
      </c>
      <c r="AS262" s="48">
        <v>15</v>
      </c>
      <c r="AT262" s="48">
        <v>1057451</v>
      </c>
      <c r="AU262" s="48">
        <v>100</v>
      </c>
      <c r="AX262" s="237">
        <v>45148</v>
      </c>
      <c r="AY262" s="48">
        <v>1057436</v>
      </c>
      <c r="AZ262" s="48">
        <v>15</v>
      </c>
      <c r="BA262" s="48">
        <v>1057451</v>
      </c>
      <c r="BB262" s="48">
        <v>100</v>
      </c>
    </row>
    <row r="263" spans="1:54" hidden="1" x14ac:dyDescent="0.25">
      <c r="A263" s="215">
        <v>45149</v>
      </c>
      <c r="B263" s="104">
        <v>14317880</v>
      </c>
      <c r="C263" s="104">
        <v>1236564</v>
      </c>
      <c r="D263" s="104">
        <v>15554444</v>
      </c>
      <c r="E263" s="104">
        <v>92.05</v>
      </c>
      <c r="G263" s="215">
        <v>45149</v>
      </c>
      <c r="H263" s="104">
        <v>3026770</v>
      </c>
      <c r="I263" s="104">
        <v>1114609</v>
      </c>
      <c r="J263" s="104">
        <v>4141379</v>
      </c>
      <c r="K263" s="104">
        <v>73.09</v>
      </c>
      <c r="M263" s="215">
        <v>45149</v>
      </c>
      <c r="N263" s="104">
        <v>1655654</v>
      </c>
      <c r="O263" s="104">
        <v>2143244</v>
      </c>
      <c r="P263" s="104">
        <v>3798898</v>
      </c>
      <c r="Q263" s="104">
        <v>43.58</v>
      </c>
      <c r="S263" s="215">
        <v>45149</v>
      </c>
      <c r="T263" s="104">
        <v>4233484</v>
      </c>
      <c r="U263" s="104">
        <v>5486717</v>
      </c>
      <c r="V263" s="104">
        <v>9720201</v>
      </c>
      <c r="W263" s="104">
        <v>43.55</v>
      </c>
      <c r="Y263" s="215">
        <v>45149</v>
      </c>
      <c r="Z263" s="104">
        <v>2222786</v>
      </c>
      <c r="AA263" s="104">
        <v>318561</v>
      </c>
      <c r="AB263" s="104">
        <v>2541347</v>
      </c>
      <c r="AC263" s="104">
        <v>87.46</v>
      </c>
      <c r="AE263" s="215">
        <v>45149</v>
      </c>
      <c r="AF263" s="104">
        <v>1206935</v>
      </c>
      <c r="AG263" s="104">
        <v>11503</v>
      </c>
      <c r="AH263" s="104">
        <v>1218438</v>
      </c>
      <c r="AI263" s="104">
        <v>99.06</v>
      </c>
      <c r="AK263" s="215">
        <v>45149</v>
      </c>
      <c r="AL263" s="48">
        <v>3354689</v>
      </c>
      <c r="AM263" s="48">
        <v>4656</v>
      </c>
      <c r="AN263" s="48">
        <v>3359345</v>
      </c>
      <c r="AO263" s="48">
        <v>99.86</v>
      </c>
      <c r="AQ263" s="215">
        <v>45149</v>
      </c>
      <c r="AR263" s="48">
        <v>4127716</v>
      </c>
      <c r="AS263" s="48">
        <v>13663</v>
      </c>
      <c r="AT263" s="48">
        <v>4141379</v>
      </c>
      <c r="AU263" s="48">
        <v>99.67</v>
      </c>
      <c r="AX263" s="215">
        <v>45149</v>
      </c>
      <c r="AY263" s="48">
        <v>4127716</v>
      </c>
      <c r="AZ263" s="48">
        <v>13663</v>
      </c>
      <c r="BA263" s="48">
        <v>4141379</v>
      </c>
      <c r="BB263" s="48">
        <v>99.67</v>
      </c>
    </row>
    <row r="264" spans="1:54" hidden="1" x14ac:dyDescent="0.25">
      <c r="A264" s="215">
        <v>45150</v>
      </c>
      <c r="B264" s="104">
        <v>13497785</v>
      </c>
      <c r="C264" s="104">
        <v>1190476</v>
      </c>
      <c r="D264" s="104">
        <v>14688261</v>
      </c>
      <c r="E264" s="104">
        <v>91.9</v>
      </c>
      <c r="G264" s="215">
        <v>45150</v>
      </c>
      <c r="H264" s="104">
        <v>3054833</v>
      </c>
      <c r="I264" s="104">
        <v>1148296</v>
      </c>
      <c r="J264" s="104">
        <v>4203129</v>
      </c>
      <c r="K264" s="104">
        <v>72.680000000000007</v>
      </c>
      <c r="M264" s="215">
        <v>45150</v>
      </c>
      <c r="N264" s="104">
        <v>3757270</v>
      </c>
      <c r="O264" s="104">
        <v>3781105</v>
      </c>
      <c r="P264" s="104">
        <v>7538375</v>
      </c>
      <c r="Q264" s="104">
        <v>49.84</v>
      </c>
      <c r="S264" s="215">
        <v>45150</v>
      </c>
      <c r="T264" s="104">
        <v>3874588</v>
      </c>
      <c r="U264" s="104">
        <v>5760935</v>
      </c>
      <c r="V264" s="104">
        <v>9635523</v>
      </c>
      <c r="W264" s="104">
        <v>40.21</v>
      </c>
      <c r="Y264" s="215">
        <v>45150</v>
      </c>
      <c r="Z264" s="104">
        <v>2425010</v>
      </c>
      <c r="AA264" s="104">
        <v>331828</v>
      </c>
      <c r="AB264" s="104">
        <v>2756838</v>
      </c>
      <c r="AC264" s="104">
        <v>87.96</v>
      </c>
      <c r="AE264" s="215">
        <v>45150</v>
      </c>
      <c r="AF264" s="104">
        <v>1104258</v>
      </c>
      <c r="AG264" s="104">
        <v>10567</v>
      </c>
      <c r="AH264" s="104">
        <v>1114825</v>
      </c>
      <c r="AI264" s="104">
        <v>99.05</v>
      </c>
      <c r="AK264" s="215">
        <v>45150</v>
      </c>
      <c r="AL264" s="48">
        <v>3563453</v>
      </c>
      <c r="AM264" s="48">
        <v>4652</v>
      </c>
      <c r="AN264" s="48">
        <v>3568105</v>
      </c>
      <c r="AO264" s="48">
        <v>99.87</v>
      </c>
      <c r="AQ264" s="215">
        <v>45150</v>
      </c>
      <c r="AR264" s="48">
        <v>4190027</v>
      </c>
      <c r="AS264" s="48">
        <v>13102</v>
      </c>
      <c r="AT264" s="48">
        <v>4203129</v>
      </c>
      <c r="AU264" s="48">
        <v>99.69</v>
      </c>
      <c r="AX264" s="215">
        <v>45150</v>
      </c>
      <c r="AY264" s="48">
        <v>4190027</v>
      </c>
      <c r="AZ264" s="48">
        <v>13102</v>
      </c>
      <c r="BA264" s="48">
        <v>4203129</v>
      </c>
      <c r="BB264" s="48">
        <v>99.69</v>
      </c>
    </row>
    <row r="265" spans="1:54" hidden="1" x14ac:dyDescent="0.25">
      <c r="A265" s="215">
        <v>45151</v>
      </c>
      <c r="B265" s="104">
        <v>11450105</v>
      </c>
      <c r="C265" s="104">
        <v>1292293</v>
      </c>
      <c r="D265" s="104">
        <v>12742398</v>
      </c>
      <c r="E265" s="104">
        <v>89.86</v>
      </c>
      <c r="G265" s="215">
        <v>45151</v>
      </c>
      <c r="H265" s="104">
        <v>644513</v>
      </c>
      <c r="I265" s="104">
        <v>361844</v>
      </c>
      <c r="J265" s="104">
        <v>1006357</v>
      </c>
      <c r="K265" s="104">
        <v>64.040000000000006</v>
      </c>
      <c r="M265" s="215">
        <v>45151</v>
      </c>
      <c r="N265" s="104">
        <v>2603816</v>
      </c>
      <c r="O265" s="104">
        <v>2872099</v>
      </c>
      <c r="P265" s="104">
        <v>5475915</v>
      </c>
      <c r="Q265" s="104">
        <v>47.55</v>
      </c>
      <c r="S265" s="215">
        <v>45151</v>
      </c>
      <c r="T265" s="104">
        <v>2757953</v>
      </c>
      <c r="U265" s="104">
        <v>4651438</v>
      </c>
      <c r="V265" s="104">
        <v>7409391</v>
      </c>
      <c r="W265" s="104">
        <v>37.22</v>
      </c>
      <c r="Y265" s="215">
        <v>45151</v>
      </c>
      <c r="Z265" s="104">
        <v>2253172</v>
      </c>
      <c r="AA265" s="104">
        <v>370483</v>
      </c>
      <c r="AB265" s="104">
        <v>2623655</v>
      </c>
      <c r="AC265" s="104">
        <v>85.88</v>
      </c>
      <c r="AE265" s="215">
        <v>45151</v>
      </c>
      <c r="AF265" s="104">
        <v>1067458</v>
      </c>
      <c r="AG265" s="104">
        <v>9936</v>
      </c>
      <c r="AH265" s="104">
        <v>1077394</v>
      </c>
      <c r="AI265" s="104">
        <v>99.08</v>
      </c>
      <c r="AK265" s="215">
        <v>45151</v>
      </c>
      <c r="AL265" s="48">
        <v>3262243</v>
      </c>
      <c r="AM265" s="48">
        <v>4007</v>
      </c>
      <c r="AN265" s="48">
        <v>3266250</v>
      </c>
      <c r="AO265" s="48">
        <v>99.88</v>
      </c>
      <c r="AQ265" s="215">
        <v>45151</v>
      </c>
      <c r="AR265" s="48">
        <v>1004482</v>
      </c>
      <c r="AS265" s="48">
        <v>1875</v>
      </c>
      <c r="AT265" s="48">
        <v>1006357</v>
      </c>
      <c r="AU265" s="48">
        <v>99.81</v>
      </c>
      <c r="AX265" s="215">
        <v>45151</v>
      </c>
      <c r="AY265" s="48">
        <v>1004482</v>
      </c>
      <c r="AZ265" s="48">
        <v>1875</v>
      </c>
      <c r="BA265" s="48">
        <v>1006357</v>
      </c>
      <c r="BB265" s="48">
        <v>99.81</v>
      </c>
    </row>
    <row r="266" spans="1:54" hidden="1" x14ac:dyDescent="0.25">
      <c r="A266" s="215">
        <v>45152</v>
      </c>
      <c r="B266" s="104">
        <v>14127919</v>
      </c>
      <c r="C266" s="104">
        <v>1177592</v>
      </c>
      <c r="D266" s="104">
        <v>15305511</v>
      </c>
      <c r="E266" s="104">
        <v>92.31</v>
      </c>
      <c r="G266" s="215">
        <v>45152</v>
      </c>
      <c r="H266" s="104">
        <v>2955901</v>
      </c>
      <c r="I266" s="104">
        <v>1119359</v>
      </c>
      <c r="J266" s="104">
        <v>4075260</v>
      </c>
      <c r="K266" s="104">
        <v>72.53</v>
      </c>
      <c r="M266" s="215">
        <v>45152</v>
      </c>
      <c r="N266" s="104">
        <v>3299779</v>
      </c>
      <c r="O266" s="104">
        <v>2747051</v>
      </c>
      <c r="P266" s="104">
        <v>6046830</v>
      </c>
      <c r="Q266" s="104">
        <v>54.57</v>
      </c>
      <c r="S266" s="215">
        <v>45152</v>
      </c>
      <c r="T266" s="104">
        <v>4363483</v>
      </c>
      <c r="U266" s="104">
        <v>5612271</v>
      </c>
      <c r="V266" s="104">
        <v>9975754</v>
      </c>
      <c r="W266" s="104">
        <v>43.74</v>
      </c>
      <c r="Y266" s="215">
        <v>45152</v>
      </c>
      <c r="Z266" s="104">
        <v>2253887</v>
      </c>
      <c r="AA266" s="104">
        <v>371158</v>
      </c>
      <c r="AB266" s="104">
        <v>2625045</v>
      </c>
      <c r="AC266" s="104">
        <v>85.86</v>
      </c>
      <c r="AE266" s="215">
        <v>45152</v>
      </c>
      <c r="AF266" s="104">
        <v>1068255</v>
      </c>
      <c r="AG266" s="104">
        <v>9965</v>
      </c>
      <c r="AH266" s="104">
        <v>1078220</v>
      </c>
      <c r="AI266" s="104">
        <v>99.08</v>
      </c>
      <c r="AK266" s="215">
        <v>45152</v>
      </c>
      <c r="AL266" s="48">
        <v>1013856</v>
      </c>
      <c r="AM266" s="48">
        <v>16</v>
      </c>
      <c r="AN266" s="48">
        <v>1013872</v>
      </c>
      <c r="AO266" s="48">
        <v>100</v>
      </c>
      <c r="AQ266" s="215">
        <v>45152</v>
      </c>
      <c r="AR266" s="48">
        <v>1294456</v>
      </c>
      <c r="AS266" s="48">
        <v>0</v>
      </c>
      <c r="AT266" s="48">
        <v>1294456</v>
      </c>
      <c r="AU266" s="48">
        <v>100</v>
      </c>
      <c r="AX266" s="215">
        <v>45152</v>
      </c>
      <c r="AY266" s="48">
        <v>1294456</v>
      </c>
      <c r="AZ266" s="48">
        <v>0</v>
      </c>
      <c r="BA266" s="48">
        <v>1294456</v>
      </c>
      <c r="BB266" s="48">
        <v>100</v>
      </c>
    </row>
    <row r="267" spans="1:54" hidden="1" x14ac:dyDescent="0.25">
      <c r="A267" s="215">
        <v>45153</v>
      </c>
      <c r="B267" s="104">
        <v>13716156</v>
      </c>
      <c r="C267" s="104">
        <v>1200904</v>
      </c>
      <c r="D267" s="104">
        <v>14917060</v>
      </c>
      <c r="E267" s="104">
        <v>91.95</v>
      </c>
      <c r="G267" s="215">
        <v>45153</v>
      </c>
      <c r="H267" s="104">
        <v>2420820</v>
      </c>
      <c r="I267" s="104">
        <v>880254</v>
      </c>
      <c r="J267" s="104">
        <v>3301074</v>
      </c>
      <c r="K267" s="104">
        <v>73.33</v>
      </c>
      <c r="M267" s="215">
        <v>45153</v>
      </c>
      <c r="N267" s="104">
        <v>3174225</v>
      </c>
      <c r="O267" s="104">
        <v>2926818</v>
      </c>
      <c r="P267" s="104">
        <v>6101043</v>
      </c>
      <c r="Q267" s="104">
        <v>52.03</v>
      </c>
      <c r="S267" s="215">
        <v>45153</v>
      </c>
      <c r="T267" s="104">
        <v>2896876</v>
      </c>
      <c r="U267" s="104">
        <v>4606156</v>
      </c>
      <c r="V267" s="104">
        <v>7503032</v>
      </c>
      <c r="W267" s="104">
        <v>38.61</v>
      </c>
      <c r="Y267" s="215">
        <v>45153</v>
      </c>
      <c r="Z267" s="104">
        <v>2492170</v>
      </c>
      <c r="AA267" s="104">
        <v>366524</v>
      </c>
      <c r="AB267" s="104">
        <v>2858694</v>
      </c>
      <c r="AC267" s="104">
        <v>87.18</v>
      </c>
      <c r="AE267" s="215">
        <v>45153</v>
      </c>
      <c r="AF267" s="104">
        <v>1146971</v>
      </c>
      <c r="AG267" s="104">
        <v>10251</v>
      </c>
      <c r="AH267" s="104">
        <v>1157222</v>
      </c>
      <c r="AI267" s="104">
        <v>99.11</v>
      </c>
      <c r="AK267" s="215">
        <v>45153</v>
      </c>
      <c r="AL267" s="48">
        <v>1159992</v>
      </c>
      <c r="AM267" s="48">
        <v>397</v>
      </c>
      <c r="AN267" s="48">
        <v>1160389</v>
      </c>
      <c r="AO267" s="48">
        <v>99.97</v>
      </c>
      <c r="AQ267" s="215">
        <v>45153</v>
      </c>
      <c r="AR267" s="48">
        <v>1094599</v>
      </c>
      <c r="AS267" s="48">
        <v>15</v>
      </c>
      <c r="AT267" s="48">
        <v>1094614</v>
      </c>
      <c r="AU267" s="48">
        <v>100</v>
      </c>
      <c r="AX267" s="215">
        <v>45153</v>
      </c>
      <c r="AY267" s="48">
        <v>1094599</v>
      </c>
      <c r="AZ267" s="48">
        <v>15</v>
      </c>
      <c r="BA267" s="48">
        <v>1094614</v>
      </c>
      <c r="BB267" s="48">
        <v>100</v>
      </c>
    </row>
    <row r="268" spans="1:54" hidden="1" x14ac:dyDescent="0.25">
      <c r="A268" s="215">
        <v>45154</v>
      </c>
      <c r="B268" s="104">
        <v>13416650</v>
      </c>
      <c r="C268" s="104">
        <v>1162055</v>
      </c>
      <c r="D268" s="104">
        <v>14578705</v>
      </c>
      <c r="E268" s="104">
        <v>92.03</v>
      </c>
      <c r="G268" s="215">
        <v>45154</v>
      </c>
      <c r="H268" s="104">
        <v>2911268</v>
      </c>
      <c r="I268" s="104">
        <v>1111418</v>
      </c>
      <c r="J268" s="104">
        <v>4022686</v>
      </c>
      <c r="K268" s="104">
        <v>72.37</v>
      </c>
      <c r="M268" s="215">
        <v>45154</v>
      </c>
      <c r="N268" s="104">
        <v>3322281</v>
      </c>
      <c r="O268" s="104">
        <v>3465678</v>
      </c>
      <c r="P268" s="104">
        <v>6787959</v>
      </c>
      <c r="Q268" s="104">
        <v>48.94</v>
      </c>
      <c r="S268" s="215">
        <v>45154</v>
      </c>
      <c r="T268" s="104">
        <v>3094982</v>
      </c>
      <c r="U268" s="104">
        <v>4057324</v>
      </c>
      <c r="V268" s="104">
        <v>7152306</v>
      </c>
      <c r="W268" s="104">
        <v>43.27</v>
      </c>
      <c r="Y268" s="215">
        <v>45154</v>
      </c>
      <c r="Z268" s="104">
        <v>2024408</v>
      </c>
      <c r="AA268" s="104">
        <v>322296</v>
      </c>
      <c r="AB268" s="104">
        <v>2346704</v>
      </c>
      <c r="AC268" s="104">
        <v>86.27</v>
      </c>
      <c r="AE268" s="215">
        <v>45154</v>
      </c>
      <c r="AF268" s="104">
        <v>1064301</v>
      </c>
      <c r="AG268" s="104">
        <v>9958</v>
      </c>
      <c r="AH268" s="104">
        <v>1074259</v>
      </c>
      <c r="AI268" s="104">
        <v>99.07</v>
      </c>
      <c r="AK268" s="215">
        <v>45154</v>
      </c>
      <c r="AL268" s="48">
        <v>1204657</v>
      </c>
      <c r="AM268" s="48">
        <v>0</v>
      </c>
      <c r="AN268" s="48">
        <v>1204657</v>
      </c>
      <c r="AO268" s="48">
        <v>100</v>
      </c>
      <c r="AQ268" s="215">
        <v>45154</v>
      </c>
      <c r="AR268" s="48">
        <v>1275588</v>
      </c>
      <c r="AS268" s="48">
        <v>0</v>
      </c>
      <c r="AT268" s="48">
        <v>1275588</v>
      </c>
      <c r="AU268" s="48">
        <v>100</v>
      </c>
      <c r="AX268" s="215">
        <v>45154</v>
      </c>
      <c r="AY268" s="48">
        <v>1275588</v>
      </c>
      <c r="AZ268" s="48">
        <v>0</v>
      </c>
      <c r="BA268" s="48">
        <v>1275588</v>
      </c>
      <c r="BB268" s="48">
        <v>100</v>
      </c>
    </row>
    <row r="269" spans="1:54" hidden="1" x14ac:dyDescent="0.25">
      <c r="A269" s="215">
        <v>45155</v>
      </c>
      <c r="B269" s="104">
        <v>12515147</v>
      </c>
      <c r="C269" s="104">
        <v>1137449</v>
      </c>
      <c r="D269" s="104">
        <v>13652596</v>
      </c>
      <c r="E269" s="104">
        <v>91.67</v>
      </c>
      <c r="G269" s="215">
        <v>45155</v>
      </c>
      <c r="H269" s="104">
        <v>4137098</v>
      </c>
      <c r="I269" s="104">
        <v>1567064</v>
      </c>
      <c r="J269" s="104">
        <v>5704162</v>
      </c>
      <c r="K269" s="104">
        <v>72.53</v>
      </c>
      <c r="M269" s="215">
        <v>45155</v>
      </c>
      <c r="N269" s="104">
        <v>3387981</v>
      </c>
      <c r="O269" s="104">
        <v>3965630</v>
      </c>
      <c r="P269" s="104">
        <v>7353611</v>
      </c>
      <c r="Q269" s="104">
        <v>46.07</v>
      </c>
      <c r="S269" s="215">
        <v>45155</v>
      </c>
      <c r="T269" s="104">
        <v>495541</v>
      </c>
      <c r="U269" s="104">
        <v>734662</v>
      </c>
      <c r="V269" s="104">
        <v>1230203</v>
      </c>
      <c r="W269" s="104">
        <v>40.28</v>
      </c>
      <c r="Y269" s="215">
        <v>45155</v>
      </c>
      <c r="Z269" s="104">
        <v>2447646</v>
      </c>
      <c r="AA269" s="104">
        <v>348943</v>
      </c>
      <c r="AB269" s="104">
        <v>2796589</v>
      </c>
      <c r="AC269" s="104">
        <v>87.52</v>
      </c>
      <c r="AE269" s="215">
        <v>45155</v>
      </c>
      <c r="AF269" s="104">
        <v>1033056</v>
      </c>
      <c r="AG269" s="104">
        <v>9895</v>
      </c>
      <c r="AH269" s="104">
        <v>1042951</v>
      </c>
      <c r="AI269" s="104">
        <v>99.05</v>
      </c>
      <c r="AK269" s="215">
        <v>45155</v>
      </c>
      <c r="AL269" s="48">
        <v>819352</v>
      </c>
      <c r="AM269" s="48">
        <v>0</v>
      </c>
      <c r="AN269" s="48">
        <v>819352</v>
      </c>
      <c r="AO269" s="48">
        <v>100</v>
      </c>
      <c r="AQ269" s="215">
        <v>45155</v>
      </c>
      <c r="AR269" s="48">
        <v>1680795</v>
      </c>
      <c r="AS269" s="48">
        <v>0</v>
      </c>
      <c r="AT269" s="48">
        <v>1680795</v>
      </c>
      <c r="AU269" s="48">
        <v>100</v>
      </c>
      <c r="AX269" s="215">
        <v>45155</v>
      </c>
      <c r="AY269" s="48">
        <v>1680795</v>
      </c>
      <c r="AZ269" s="48">
        <v>0</v>
      </c>
      <c r="BA269" s="48">
        <v>1680795</v>
      </c>
      <c r="BB269" s="48">
        <v>100</v>
      </c>
    </row>
    <row r="270" spans="1:54" hidden="1" x14ac:dyDescent="0.25">
      <c r="A270" s="215">
        <v>45156</v>
      </c>
      <c r="B270" s="104">
        <v>14271578</v>
      </c>
      <c r="C270" s="104">
        <v>1218396</v>
      </c>
      <c r="D270" s="104">
        <v>15489974</v>
      </c>
      <c r="E270" s="104">
        <v>92.13</v>
      </c>
      <c r="G270" s="215">
        <v>45156</v>
      </c>
      <c r="H270" s="104">
        <v>6424143</v>
      </c>
      <c r="I270" s="104">
        <v>2415937</v>
      </c>
      <c r="J270" s="104">
        <v>8840080</v>
      </c>
      <c r="K270" s="104">
        <v>72.67</v>
      </c>
      <c r="M270" s="215">
        <v>45156</v>
      </c>
      <c r="N270" s="104">
        <v>2379162</v>
      </c>
      <c r="O270" s="104">
        <v>2495942</v>
      </c>
      <c r="P270" s="104">
        <v>4875104</v>
      </c>
      <c r="Q270" s="104">
        <v>48.8</v>
      </c>
      <c r="S270" s="215">
        <v>45156</v>
      </c>
      <c r="T270" s="104">
        <v>1560597</v>
      </c>
      <c r="U270" s="104">
        <v>2056294</v>
      </c>
      <c r="V270" s="104">
        <v>3616891</v>
      </c>
      <c r="W270" s="104">
        <v>43.15</v>
      </c>
      <c r="Y270" s="215">
        <v>45156</v>
      </c>
      <c r="Z270" s="104">
        <v>2657083</v>
      </c>
      <c r="AA270" s="104">
        <v>360806</v>
      </c>
      <c r="AB270" s="104">
        <v>3017889</v>
      </c>
      <c r="AC270" s="104">
        <v>88.04</v>
      </c>
      <c r="AE270" s="215">
        <v>45156</v>
      </c>
      <c r="AF270" s="104">
        <v>1157166</v>
      </c>
      <c r="AG270" s="104">
        <v>10431</v>
      </c>
      <c r="AH270" s="104">
        <v>1167597</v>
      </c>
      <c r="AI270" s="104">
        <v>99.11</v>
      </c>
      <c r="AK270" s="215">
        <v>45156</v>
      </c>
      <c r="AL270" s="48">
        <v>1114180</v>
      </c>
      <c r="AM270" s="48">
        <v>0</v>
      </c>
      <c r="AN270" s="48">
        <v>1114180</v>
      </c>
      <c r="AO270" s="48">
        <v>100</v>
      </c>
      <c r="AQ270" s="215">
        <v>45156</v>
      </c>
      <c r="AR270" s="48">
        <v>2675126</v>
      </c>
      <c r="AS270" s="48">
        <v>0</v>
      </c>
      <c r="AT270" s="48">
        <v>2675126</v>
      </c>
      <c r="AU270" s="48">
        <v>100</v>
      </c>
      <c r="AX270" s="215">
        <v>45156</v>
      </c>
      <c r="AY270" s="48">
        <v>2675126</v>
      </c>
      <c r="AZ270" s="48">
        <v>0</v>
      </c>
      <c r="BA270" s="48">
        <v>2675126</v>
      </c>
      <c r="BB270" s="48">
        <v>100</v>
      </c>
    </row>
    <row r="271" spans="1:54" hidden="1" x14ac:dyDescent="0.25">
      <c r="A271" s="215">
        <v>45157</v>
      </c>
      <c r="B271" s="104">
        <v>13999958</v>
      </c>
      <c r="C271" s="104">
        <v>1214792</v>
      </c>
      <c r="D271" s="104">
        <v>15214750</v>
      </c>
      <c r="E271" s="104">
        <v>92.02</v>
      </c>
      <c r="G271" s="215">
        <v>45157</v>
      </c>
      <c r="H271" s="104">
        <v>6298656</v>
      </c>
      <c r="I271" s="104">
        <v>2448020</v>
      </c>
      <c r="J271" s="104">
        <v>8746676</v>
      </c>
      <c r="K271" s="104">
        <v>72.010000000000005</v>
      </c>
      <c r="M271" s="215">
        <v>45157</v>
      </c>
      <c r="N271" s="104">
        <v>3957881</v>
      </c>
      <c r="O271" s="104">
        <v>4078198</v>
      </c>
      <c r="P271" s="104">
        <v>8036079</v>
      </c>
      <c r="Q271" s="104">
        <v>49.25</v>
      </c>
      <c r="S271" s="215">
        <v>45157</v>
      </c>
      <c r="T271" s="104">
        <v>2717309</v>
      </c>
      <c r="U271" s="104">
        <v>5878145</v>
      </c>
      <c r="V271" s="104">
        <v>8595454</v>
      </c>
      <c r="W271" s="104">
        <v>31.61</v>
      </c>
      <c r="Y271" s="215">
        <v>45157</v>
      </c>
      <c r="Z271" s="104">
        <v>2491345</v>
      </c>
      <c r="AA271" s="104">
        <v>355704</v>
      </c>
      <c r="AB271" s="104">
        <v>2847049</v>
      </c>
      <c r="AC271" s="104">
        <v>87.51</v>
      </c>
      <c r="AE271" s="215">
        <v>45157</v>
      </c>
      <c r="AF271" s="104">
        <v>1169991</v>
      </c>
      <c r="AG271" s="104">
        <v>10716</v>
      </c>
      <c r="AH271" s="104">
        <v>1180707</v>
      </c>
      <c r="AI271" s="104">
        <v>99.09</v>
      </c>
      <c r="AK271" s="215">
        <v>45157</v>
      </c>
      <c r="AL271" s="48">
        <v>1172234</v>
      </c>
      <c r="AM271" s="48">
        <v>0</v>
      </c>
      <c r="AN271" s="48">
        <v>1172234</v>
      </c>
      <c r="AO271" s="48">
        <v>100</v>
      </c>
      <c r="AQ271" s="215">
        <v>45157</v>
      </c>
      <c r="AR271" s="48">
        <v>2674452</v>
      </c>
      <c r="AS271" s="48">
        <v>0</v>
      </c>
      <c r="AT271" s="48">
        <v>2674452</v>
      </c>
      <c r="AU271" s="48">
        <v>100</v>
      </c>
      <c r="AX271" s="215">
        <v>45157</v>
      </c>
      <c r="AY271" s="48">
        <v>2674452</v>
      </c>
      <c r="AZ271" s="48">
        <v>0</v>
      </c>
      <c r="BA271" s="48">
        <v>2674452</v>
      </c>
      <c r="BB271" s="48">
        <v>100</v>
      </c>
    </row>
    <row r="272" spans="1:54" hidden="1" x14ac:dyDescent="0.25">
      <c r="A272" s="215">
        <v>45158</v>
      </c>
      <c r="B272" s="104">
        <v>11722176</v>
      </c>
      <c r="C272" s="104">
        <v>1239442</v>
      </c>
      <c r="D272" s="104">
        <v>12961618</v>
      </c>
      <c r="E272" s="104">
        <v>90.44</v>
      </c>
      <c r="G272" s="215">
        <v>45158</v>
      </c>
      <c r="H272" s="104">
        <v>678197</v>
      </c>
      <c r="I272" s="104">
        <v>343494</v>
      </c>
      <c r="J272" s="104">
        <v>1021691</v>
      </c>
      <c r="K272" s="104">
        <v>66.38</v>
      </c>
      <c r="M272" s="215">
        <v>45158</v>
      </c>
      <c r="N272" s="104">
        <v>4138805</v>
      </c>
      <c r="O272" s="104">
        <v>4001844</v>
      </c>
      <c r="P272" s="104">
        <v>8140649</v>
      </c>
      <c r="Q272" s="104">
        <v>50.84</v>
      </c>
      <c r="S272" s="215">
        <v>45158</v>
      </c>
      <c r="T272" s="104">
        <v>2109197</v>
      </c>
      <c r="U272" s="104">
        <v>4913080</v>
      </c>
      <c r="V272" s="104">
        <v>7022277</v>
      </c>
      <c r="W272" s="104">
        <v>30.04</v>
      </c>
      <c r="Y272" s="215">
        <v>45158</v>
      </c>
      <c r="Z272" s="104">
        <v>2202648</v>
      </c>
      <c r="AA272" s="104">
        <v>385035</v>
      </c>
      <c r="AB272" s="104">
        <v>2587683</v>
      </c>
      <c r="AC272" s="104">
        <v>85.12</v>
      </c>
      <c r="AE272" s="215">
        <v>45158</v>
      </c>
      <c r="AF272" s="104">
        <v>1082209</v>
      </c>
      <c r="AG272" s="104">
        <v>10355</v>
      </c>
      <c r="AH272" s="104">
        <v>1092564</v>
      </c>
      <c r="AI272" s="104">
        <v>99.05</v>
      </c>
      <c r="AK272" s="215">
        <v>45158</v>
      </c>
      <c r="AL272" s="48">
        <v>1022157</v>
      </c>
      <c r="AM272" s="48">
        <v>0</v>
      </c>
      <c r="AN272" s="48">
        <v>1022157</v>
      </c>
      <c r="AO272" s="48">
        <v>100</v>
      </c>
      <c r="AQ272" s="215">
        <v>45158</v>
      </c>
      <c r="AR272" s="48">
        <v>290121</v>
      </c>
      <c r="AS272" s="48">
        <v>0</v>
      </c>
      <c r="AT272" s="48">
        <v>290121</v>
      </c>
      <c r="AU272" s="48">
        <v>100</v>
      </c>
      <c r="AX272" s="215">
        <v>45158</v>
      </c>
      <c r="AY272" s="48">
        <v>290121</v>
      </c>
      <c r="AZ272" s="48">
        <v>0</v>
      </c>
      <c r="BA272" s="48">
        <v>290121</v>
      </c>
      <c r="BB272" s="48">
        <v>100</v>
      </c>
    </row>
    <row r="273" spans="1:54" hidden="1" x14ac:dyDescent="0.25">
      <c r="A273" s="215">
        <v>45159</v>
      </c>
      <c r="B273" s="104">
        <v>14414238</v>
      </c>
      <c r="C273" s="104">
        <v>1256699</v>
      </c>
      <c r="D273" s="104">
        <v>15670937</v>
      </c>
      <c r="E273" s="104">
        <v>91.98</v>
      </c>
      <c r="G273" s="215">
        <v>45159</v>
      </c>
      <c r="H273" s="104">
        <v>6328949</v>
      </c>
      <c r="I273" s="104">
        <v>2334801</v>
      </c>
      <c r="J273" s="104">
        <v>8663750</v>
      </c>
      <c r="K273" s="104">
        <v>73.05</v>
      </c>
      <c r="M273" s="215">
        <v>45159</v>
      </c>
      <c r="N273" s="104">
        <v>1219687</v>
      </c>
      <c r="O273" s="104">
        <v>980309</v>
      </c>
      <c r="P273" s="104">
        <v>2199996</v>
      </c>
      <c r="Q273" s="104">
        <v>55.44</v>
      </c>
      <c r="S273" s="215">
        <v>45159</v>
      </c>
      <c r="T273" s="104">
        <v>2552219</v>
      </c>
      <c r="U273" s="104">
        <v>6092487</v>
      </c>
      <c r="V273" s="104">
        <v>8644706</v>
      </c>
      <c r="W273" s="104">
        <v>29.52</v>
      </c>
      <c r="Y273" s="215">
        <v>45159</v>
      </c>
      <c r="Z273" s="104">
        <v>2543487</v>
      </c>
      <c r="AA273" s="104">
        <v>358309</v>
      </c>
      <c r="AB273" s="104">
        <v>2901796</v>
      </c>
      <c r="AC273" s="104">
        <v>87.65</v>
      </c>
      <c r="AE273" s="215">
        <v>45159</v>
      </c>
      <c r="AF273" s="104">
        <v>1084175</v>
      </c>
      <c r="AG273" s="104">
        <v>10606</v>
      </c>
      <c r="AH273" s="104">
        <v>1094781</v>
      </c>
      <c r="AI273" s="104">
        <v>99.03</v>
      </c>
      <c r="AK273" s="215">
        <v>45159</v>
      </c>
      <c r="AL273" s="48">
        <v>1016664</v>
      </c>
      <c r="AM273" s="48">
        <v>80</v>
      </c>
      <c r="AN273" s="48">
        <v>1016744</v>
      </c>
      <c r="AO273" s="48">
        <v>99.99</v>
      </c>
      <c r="AQ273" s="215">
        <v>45159</v>
      </c>
      <c r="AR273" s="48">
        <v>2785016</v>
      </c>
      <c r="AS273" s="48">
        <v>0</v>
      </c>
      <c r="AT273" s="48">
        <v>2785016</v>
      </c>
      <c r="AU273" s="48">
        <v>100</v>
      </c>
      <c r="AX273" s="215">
        <v>45159</v>
      </c>
      <c r="AY273" s="48">
        <v>2785016</v>
      </c>
      <c r="AZ273" s="48">
        <v>0</v>
      </c>
      <c r="BA273" s="48">
        <v>2785016</v>
      </c>
      <c r="BB273" s="48">
        <v>100</v>
      </c>
    </row>
    <row r="274" spans="1:54" hidden="1" x14ac:dyDescent="0.25">
      <c r="A274" s="215">
        <v>45160</v>
      </c>
      <c r="B274" s="104">
        <v>14325654</v>
      </c>
      <c r="C274" s="104">
        <v>1265740</v>
      </c>
      <c r="D274" s="104">
        <v>15591394</v>
      </c>
      <c r="E274" s="104">
        <v>91.88</v>
      </c>
      <c r="G274" s="215">
        <v>45160</v>
      </c>
      <c r="H274" s="104">
        <v>6206324</v>
      </c>
      <c r="I274" s="104">
        <v>2414114</v>
      </c>
      <c r="J274" s="104">
        <v>8620438</v>
      </c>
      <c r="K274" s="104">
        <v>72</v>
      </c>
      <c r="M274" s="215">
        <v>45160</v>
      </c>
      <c r="N274" s="104">
        <v>0</v>
      </c>
      <c r="O274" s="104">
        <v>0</v>
      </c>
      <c r="P274" s="104">
        <v>0</v>
      </c>
      <c r="Q274" s="104">
        <v>0</v>
      </c>
      <c r="S274" s="215">
        <v>45160</v>
      </c>
      <c r="T274" s="104">
        <v>2717747</v>
      </c>
      <c r="U274" s="104">
        <v>5938136</v>
      </c>
      <c r="V274" s="104">
        <v>8655883</v>
      </c>
      <c r="W274" s="104">
        <v>31.4</v>
      </c>
      <c r="Y274" s="215">
        <v>45160</v>
      </c>
      <c r="Z274" s="104">
        <v>2869641</v>
      </c>
      <c r="AA274" s="104">
        <v>349619</v>
      </c>
      <c r="AB274" s="104">
        <v>3219260</v>
      </c>
      <c r="AC274" s="104">
        <v>89.14</v>
      </c>
      <c r="AE274" s="215">
        <v>45160</v>
      </c>
      <c r="AF274" s="104">
        <v>1129890</v>
      </c>
      <c r="AG274" s="104">
        <v>10472</v>
      </c>
      <c r="AH274" s="104">
        <v>1140362</v>
      </c>
      <c r="AI274" s="104">
        <v>99.08</v>
      </c>
      <c r="AK274" s="215">
        <v>45160</v>
      </c>
      <c r="AL274" s="48">
        <v>1039207</v>
      </c>
      <c r="AM274" s="48">
        <v>32</v>
      </c>
      <c r="AN274" s="48">
        <v>1039239</v>
      </c>
      <c r="AO274" s="48">
        <v>100</v>
      </c>
      <c r="AQ274" s="215">
        <v>45160</v>
      </c>
      <c r="AR274" s="48">
        <v>2722909</v>
      </c>
      <c r="AS274" s="48">
        <v>3</v>
      </c>
      <c r="AT274" s="48">
        <v>2722912</v>
      </c>
      <c r="AU274" s="48">
        <v>100</v>
      </c>
      <c r="AX274" s="215">
        <v>45160</v>
      </c>
      <c r="AY274" s="48">
        <v>2722909</v>
      </c>
      <c r="AZ274" s="48">
        <v>3</v>
      </c>
      <c r="BA274" s="48">
        <v>2722912</v>
      </c>
      <c r="BB274" s="48">
        <v>100</v>
      </c>
    </row>
    <row r="275" spans="1:54" hidden="1" x14ac:dyDescent="0.25">
      <c r="A275" s="215">
        <v>45161</v>
      </c>
      <c r="B275" s="104">
        <v>13175381</v>
      </c>
      <c r="C275" s="104">
        <v>1181220</v>
      </c>
      <c r="D275" s="104">
        <v>14356601</v>
      </c>
      <c r="E275" s="104">
        <v>91.77</v>
      </c>
      <c r="G275" s="215">
        <v>45161</v>
      </c>
      <c r="H275" s="104">
        <v>6367085</v>
      </c>
      <c r="I275" s="104">
        <v>2637670</v>
      </c>
      <c r="J275" s="104">
        <v>9004755</v>
      </c>
      <c r="K275" s="104">
        <v>70.709999999999994</v>
      </c>
      <c r="M275" s="215">
        <v>45161</v>
      </c>
      <c r="N275" s="104">
        <v>2071359</v>
      </c>
      <c r="O275" s="104">
        <v>3335335</v>
      </c>
      <c r="P275" s="104">
        <v>5406694</v>
      </c>
      <c r="Q275" s="104">
        <v>38.31</v>
      </c>
      <c r="S275" s="215">
        <v>45161</v>
      </c>
      <c r="T275" s="104">
        <v>2424753</v>
      </c>
      <c r="U275" s="104">
        <v>5769478</v>
      </c>
      <c r="V275" s="104">
        <v>8194231</v>
      </c>
      <c r="W275" s="104">
        <v>29.59</v>
      </c>
      <c r="Y275" s="215">
        <v>45161</v>
      </c>
      <c r="Z275" s="104">
        <v>2620765</v>
      </c>
      <c r="AA275" s="104">
        <v>360927</v>
      </c>
      <c r="AB275" s="104">
        <v>2981692</v>
      </c>
      <c r="AC275" s="104">
        <v>87.9</v>
      </c>
      <c r="AE275" s="215">
        <v>45161</v>
      </c>
      <c r="AF275" s="104">
        <v>1038521</v>
      </c>
      <c r="AG275" s="104">
        <v>9829</v>
      </c>
      <c r="AH275" s="104">
        <v>1048350</v>
      </c>
      <c r="AI275" s="104">
        <v>99.06</v>
      </c>
      <c r="AK275" s="215">
        <v>45161</v>
      </c>
      <c r="AL275" s="48">
        <v>1032151</v>
      </c>
      <c r="AM275" s="48">
        <v>0</v>
      </c>
      <c r="AN275" s="48">
        <v>1032151</v>
      </c>
      <c r="AO275" s="48">
        <v>100</v>
      </c>
      <c r="AQ275" s="215">
        <v>45161</v>
      </c>
      <c r="AR275" s="48">
        <v>2756467</v>
      </c>
      <c r="AS275" s="48">
        <v>0</v>
      </c>
      <c r="AT275" s="48">
        <v>2756467</v>
      </c>
      <c r="AU275" s="48">
        <v>100</v>
      </c>
      <c r="AX275" s="215">
        <v>45161</v>
      </c>
      <c r="AY275" s="48">
        <v>2756467</v>
      </c>
      <c r="AZ275" s="48">
        <v>0</v>
      </c>
      <c r="BA275" s="48">
        <v>2756467</v>
      </c>
      <c r="BB275" s="48">
        <v>100</v>
      </c>
    </row>
    <row r="276" spans="1:54" hidden="1" x14ac:dyDescent="0.25">
      <c r="A276" s="215">
        <v>45162</v>
      </c>
      <c r="B276" s="104">
        <v>13510925</v>
      </c>
      <c r="C276" s="104">
        <v>1189164</v>
      </c>
      <c r="D276" s="104">
        <v>14700089</v>
      </c>
      <c r="E276" s="104">
        <v>91.91</v>
      </c>
      <c r="G276" s="215">
        <v>45162</v>
      </c>
      <c r="H276" s="104">
        <v>5866948</v>
      </c>
      <c r="I276" s="104">
        <v>2435570</v>
      </c>
      <c r="J276" s="104">
        <v>8302518</v>
      </c>
      <c r="K276" s="104">
        <v>70.66</v>
      </c>
      <c r="M276" s="215">
        <v>45162</v>
      </c>
      <c r="N276" s="104">
        <v>735128</v>
      </c>
      <c r="O276" s="104">
        <v>565418</v>
      </c>
      <c r="P276" s="104">
        <v>1300546</v>
      </c>
      <c r="Q276" s="104">
        <v>56.52</v>
      </c>
      <c r="S276" s="215">
        <v>45162</v>
      </c>
      <c r="T276" s="104">
        <v>901838</v>
      </c>
      <c r="U276" s="104">
        <v>1961231</v>
      </c>
      <c r="V276" s="104">
        <v>2863069</v>
      </c>
      <c r="W276" s="104">
        <v>31.5</v>
      </c>
      <c r="Y276" s="215">
        <v>45162</v>
      </c>
      <c r="Z276" s="104">
        <v>2586981</v>
      </c>
      <c r="AA276" s="104">
        <v>381425</v>
      </c>
      <c r="AB276" s="104">
        <v>2968406</v>
      </c>
      <c r="AC276" s="104">
        <v>87.15</v>
      </c>
      <c r="AE276" s="215">
        <v>45162</v>
      </c>
      <c r="AF276" s="104">
        <v>1055565</v>
      </c>
      <c r="AG276" s="104">
        <v>9434</v>
      </c>
      <c r="AH276" s="104">
        <v>1064999</v>
      </c>
      <c r="AI276" s="104">
        <v>99.11</v>
      </c>
      <c r="AK276" s="215">
        <v>45162</v>
      </c>
      <c r="AL276" s="48">
        <v>706585</v>
      </c>
      <c r="AM276" s="48">
        <v>0</v>
      </c>
      <c r="AN276" s="48">
        <v>706585</v>
      </c>
      <c r="AO276" s="48">
        <v>100</v>
      </c>
      <c r="AQ276" s="215">
        <v>45162</v>
      </c>
      <c r="AR276" s="48">
        <v>2436700</v>
      </c>
      <c r="AS276" s="48">
        <v>10183</v>
      </c>
      <c r="AT276" s="48">
        <v>2446883</v>
      </c>
      <c r="AU276" s="48">
        <v>99.58</v>
      </c>
      <c r="AX276" s="215">
        <v>45162</v>
      </c>
      <c r="AY276" s="48">
        <v>2436700</v>
      </c>
      <c r="AZ276" s="48">
        <v>10183</v>
      </c>
      <c r="BA276" s="48">
        <v>2446883</v>
      </c>
      <c r="BB276" s="48">
        <v>99.58</v>
      </c>
    </row>
    <row r="277" spans="1:54" hidden="1" x14ac:dyDescent="0.25">
      <c r="A277" s="215">
        <v>45163</v>
      </c>
      <c r="B277" s="104">
        <v>14437551</v>
      </c>
      <c r="C277" s="104">
        <v>1287217</v>
      </c>
      <c r="D277" s="104">
        <v>15724768</v>
      </c>
      <c r="E277" s="104">
        <v>91.81</v>
      </c>
      <c r="G277" s="215">
        <v>45163</v>
      </c>
      <c r="H277" s="104">
        <v>5938749</v>
      </c>
      <c r="I277" s="104">
        <v>2263497</v>
      </c>
      <c r="J277" s="104">
        <v>8202246</v>
      </c>
      <c r="K277" s="104">
        <v>72.400000000000006</v>
      </c>
      <c r="M277" s="215">
        <v>45163</v>
      </c>
      <c r="N277" s="104">
        <v>0</v>
      </c>
      <c r="O277" s="104">
        <v>0</v>
      </c>
      <c r="P277" s="104">
        <v>0</v>
      </c>
      <c r="Q277" s="104">
        <v>0</v>
      </c>
      <c r="S277" s="215">
        <v>45163</v>
      </c>
      <c r="T277" s="104">
        <v>757825</v>
      </c>
      <c r="U277" s="104">
        <v>1150302</v>
      </c>
      <c r="V277" s="104">
        <v>1908127</v>
      </c>
      <c r="W277" s="104">
        <v>39.72</v>
      </c>
      <c r="Y277" s="215">
        <v>45163</v>
      </c>
      <c r="Z277" s="104">
        <v>2463390</v>
      </c>
      <c r="AA277" s="104">
        <v>362478</v>
      </c>
      <c r="AB277" s="104">
        <v>2825868</v>
      </c>
      <c r="AC277" s="104">
        <v>87.17</v>
      </c>
      <c r="AE277" s="215">
        <v>45163</v>
      </c>
      <c r="AF277" s="104">
        <v>1142768</v>
      </c>
      <c r="AG277" s="104">
        <v>10432</v>
      </c>
      <c r="AH277" s="104">
        <v>1153200</v>
      </c>
      <c r="AI277" s="104">
        <v>99.1</v>
      </c>
      <c r="AK277" s="215">
        <v>45163</v>
      </c>
      <c r="AL277" s="48">
        <v>3305796</v>
      </c>
      <c r="AM277" s="48">
        <v>5072</v>
      </c>
      <c r="AN277" s="48">
        <v>3310868</v>
      </c>
      <c r="AO277" s="48">
        <v>99.85</v>
      </c>
      <c r="AQ277" s="215">
        <v>45163</v>
      </c>
      <c r="AR277" s="48">
        <v>8176482</v>
      </c>
      <c r="AS277" s="48">
        <v>25764</v>
      </c>
      <c r="AT277" s="48">
        <v>8202246</v>
      </c>
      <c r="AU277" s="48">
        <v>99.69</v>
      </c>
      <c r="AX277" s="215">
        <v>45163</v>
      </c>
      <c r="AY277" s="48">
        <v>8176482</v>
      </c>
      <c r="AZ277" s="48">
        <v>25764</v>
      </c>
      <c r="BA277" s="48">
        <v>8202246</v>
      </c>
      <c r="BB277" s="48">
        <v>99.69</v>
      </c>
    </row>
    <row r="278" spans="1:54" hidden="1" x14ac:dyDescent="0.25">
      <c r="A278" s="215">
        <v>45164</v>
      </c>
      <c r="B278" s="104">
        <v>13682171</v>
      </c>
      <c r="C278" s="104">
        <v>2009027</v>
      </c>
      <c r="D278" s="104">
        <v>15691198</v>
      </c>
      <c r="E278" s="104">
        <v>87.2</v>
      </c>
      <c r="G278" s="215">
        <v>45164</v>
      </c>
      <c r="H278" s="104">
        <v>5999107</v>
      </c>
      <c r="I278" s="104">
        <v>2374458</v>
      </c>
      <c r="J278" s="104">
        <v>8373565</v>
      </c>
      <c r="K278" s="104">
        <v>71.64</v>
      </c>
      <c r="M278" s="215">
        <v>45164</v>
      </c>
      <c r="N278" s="104">
        <v>0</v>
      </c>
      <c r="O278" s="104">
        <v>0</v>
      </c>
      <c r="P278" s="104">
        <v>0</v>
      </c>
      <c r="Q278" s="104">
        <v>0</v>
      </c>
      <c r="S278" s="215">
        <v>45164</v>
      </c>
      <c r="T278" s="104">
        <v>758045</v>
      </c>
      <c r="U278" s="104">
        <v>1157001</v>
      </c>
      <c r="V278" s="104">
        <v>1915046</v>
      </c>
      <c r="W278" s="104">
        <v>39.58</v>
      </c>
      <c r="Y278" s="215">
        <v>45164</v>
      </c>
      <c r="Z278" s="104">
        <v>2343362</v>
      </c>
      <c r="AA278" s="104">
        <v>338952</v>
      </c>
      <c r="AB278" s="104">
        <v>2682314</v>
      </c>
      <c r="AC278" s="104">
        <v>87.36</v>
      </c>
      <c r="AE278" s="215">
        <v>45164</v>
      </c>
      <c r="AF278" s="104">
        <v>1057522</v>
      </c>
      <c r="AG278" s="104">
        <v>9482</v>
      </c>
      <c r="AH278" s="104">
        <v>1067004</v>
      </c>
      <c r="AI278" s="104">
        <v>99.11</v>
      </c>
      <c r="AK278" s="215">
        <v>45164</v>
      </c>
      <c r="AL278" s="48">
        <v>3884634</v>
      </c>
      <c r="AM278" s="48">
        <v>5547</v>
      </c>
      <c r="AN278" s="48">
        <v>3890181</v>
      </c>
      <c r="AO278" s="48">
        <v>99.86</v>
      </c>
      <c r="AQ278" s="215">
        <v>45164</v>
      </c>
      <c r="AR278" s="48">
        <v>8346067</v>
      </c>
      <c r="AS278" s="48">
        <v>27498</v>
      </c>
      <c r="AT278" s="48">
        <v>8373565</v>
      </c>
      <c r="AU278" s="48">
        <v>99.67</v>
      </c>
      <c r="AX278" s="215">
        <v>45164</v>
      </c>
      <c r="AY278" s="48">
        <v>8346067</v>
      </c>
      <c r="AZ278" s="48">
        <v>27498</v>
      </c>
      <c r="BA278" s="48">
        <v>8373565</v>
      </c>
      <c r="BB278" s="48">
        <v>99.67</v>
      </c>
    </row>
    <row r="279" spans="1:54" hidden="1" x14ac:dyDescent="0.25">
      <c r="A279" s="215">
        <v>45165</v>
      </c>
      <c r="B279" s="104">
        <v>11759933</v>
      </c>
      <c r="C279" s="104">
        <v>1514082</v>
      </c>
      <c r="D279" s="104">
        <v>13274015</v>
      </c>
      <c r="E279" s="104">
        <v>88.59</v>
      </c>
      <c r="G279" s="215">
        <v>45165</v>
      </c>
      <c r="H279" s="104">
        <v>1693235</v>
      </c>
      <c r="I279" s="104">
        <v>761055</v>
      </c>
      <c r="J279" s="104">
        <v>2454290</v>
      </c>
      <c r="K279" s="104">
        <v>68.989999999999995</v>
      </c>
      <c r="M279" s="215">
        <v>45165</v>
      </c>
      <c r="N279" s="104">
        <v>0</v>
      </c>
      <c r="O279" s="104">
        <v>0</v>
      </c>
      <c r="P279" s="104">
        <v>0</v>
      </c>
      <c r="Q279" s="104">
        <v>0</v>
      </c>
      <c r="S279" s="215">
        <v>45165</v>
      </c>
      <c r="T279" s="104">
        <v>82042</v>
      </c>
      <c r="U279" s="104">
        <v>30380</v>
      </c>
      <c r="V279" s="104">
        <v>112422</v>
      </c>
      <c r="W279" s="104">
        <v>72.98</v>
      </c>
      <c r="Y279" s="215">
        <v>45165</v>
      </c>
      <c r="Z279" s="104">
        <v>2222222</v>
      </c>
      <c r="AA279" s="104">
        <v>377269</v>
      </c>
      <c r="AB279" s="104">
        <v>2599491</v>
      </c>
      <c r="AC279" s="104">
        <v>85.49</v>
      </c>
      <c r="AE279" s="215">
        <v>45165</v>
      </c>
      <c r="AF279" s="104">
        <v>1038575</v>
      </c>
      <c r="AG279" s="104">
        <v>9105</v>
      </c>
      <c r="AH279" s="104">
        <v>1047680</v>
      </c>
      <c r="AI279" s="104">
        <v>99.13</v>
      </c>
      <c r="AK279" s="215">
        <v>45165</v>
      </c>
      <c r="AL279" s="48">
        <v>3592643</v>
      </c>
      <c r="AM279" s="48">
        <v>19852</v>
      </c>
      <c r="AN279" s="48">
        <v>3612495</v>
      </c>
      <c r="AO279" s="48">
        <v>99.45</v>
      </c>
      <c r="AQ279" s="215">
        <v>45165</v>
      </c>
      <c r="AR279" s="48">
        <v>2440246</v>
      </c>
      <c r="AS279" s="48">
        <v>14044</v>
      </c>
      <c r="AT279" s="48">
        <v>2454290</v>
      </c>
      <c r="AU279" s="48">
        <v>99.43</v>
      </c>
      <c r="AX279" s="215">
        <v>45165</v>
      </c>
      <c r="AY279" s="48">
        <v>2440246</v>
      </c>
      <c r="AZ279" s="48">
        <v>14044</v>
      </c>
      <c r="BA279" s="48">
        <v>2454290</v>
      </c>
      <c r="BB279" s="48">
        <v>99.43</v>
      </c>
    </row>
    <row r="280" spans="1:54" hidden="1" x14ac:dyDescent="0.25">
      <c r="A280" s="215">
        <v>45166</v>
      </c>
      <c r="B280" s="104">
        <v>14273006</v>
      </c>
      <c r="C280" s="104">
        <v>1135497</v>
      </c>
      <c r="D280" s="104">
        <v>15408503</v>
      </c>
      <c r="E280" s="104">
        <v>92.63</v>
      </c>
      <c r="G280" s="215">
        <v>45166</v>
      </c>
      <c r="H280" s="104">
        <v>2284449</v>
      </c>
      <c r="I280" s="104">
        <v>949851</v>
      </c>
      <c r="J280" s="104">
        <v>3234300</v>
      </c>
      <c r="K280" s="104">
        <v>70.63</v>
      </c>
      <c r="M280" s="215">
        <v>45166</v>
      </c>
      <c r="N280" s="104">
        <v>0</v>
      </c>
      <c r="O280" s="104">
        <v>0</v>
      </c>
      <c r="P280" s="104">
        <v>0</v>
      </c>
      <c r="Q280" s="104">
        <v>0</v>
      </c>
      <c r="S280" s="215">
        <v>45166</v>
      </c>
      <c r="T280" s="104">
        <v>6603593</v>
      </c>
      <c r="U280" s="104">
        <v>1458872</v>
      </c>
      <c r="V280" s="104">
        <v>8062465</v>
      </c>
      <c r="W280" s="104">
        <v>81.91</v>
      </c>
      <c r="Y280" s="215">
        <v>45166</v>
      </c>
      <c r="Z280" s="104">
        <v>2201693</v>
      </c>
      <c r="AA280" s="104">
        <v>333415</v>
      </c>
      <c r="AB280" s="104">
        <v>2535108</v>
      </c>
      <c r="AC280" s="104">
        <v>86.85</v>
      </c>
      <c r="AE280" s="215">
        <v>45166</v>
      </c>
      <c r="AF280" s="104">
        <v>1064061</v>
      </c>
      <c r="AG280" s="104">
        <v>8821</v>
      </c>
      <c r="AH280" s="104">
        <v>1072882</v>
      </c>
      <c r="AI280" s="104">
        <v>99.18</v>
      </c>
      <c r="AK280" s="215">
        <v>45166</v>
      </c>
      <c r="AL280" s="48">
        <v>1253220</v>
      </c>
      <c r="AM280" s="48">
        <v>43</v>
      </c>
      <c r="AN280" s="48">
        <v>1253263</v>
      </c>
      <c r="AO280" s="48">
        <v>100</v>
      </c>
      <c r="AQ280" s="215">
        <v>45166</v>
      </c>
      <c r="AR280" s="48">
        <v>1004288</v>
      </c>
      <c r="AS280" s="48">
        <v>219</v>
      </c>
      <c r="AT280" s="48">
        <v>1004507</v>
      </c>
      <c r="AU280" s="48">
        <v>99.98</v>
      </c>
      <c r="AX280" s="215">
        <v>45166</v>
      </c>
      <c r="AY280" s="48">
        <v>1004288</v>
      </c>
      <c r="AZ280" s="48">
        <v>219</v>
      </c>
      <c r="BA280" s="48">
        <v>1004507</v>
      </c>
      <c r="BB280" s="48">
        <v>99.98</v>
      </c>
    </row>
    <row r="281" spans="1:54" hidden="1" x14ac:dyDescent="0.25">
      <c r="A281" s="215">
        <v>45167</v>
      </c>
      <c r="B281" s="104">
        <v>14426495</v>
      </c>
      <c r="C281" s="104">
        <v>1641171</v>
      </c>
      <c r="D281" s="104">
        <v>16067666</v>
      </c>
      <c r="E281" s="104">
        <v>89.79</v>
      </c>
      <c r="G281" s="215">
        <v>45167</v>
      </c>
      <c r="H281" s="104">
        <v>2289523</v>
      </c>
      <c r="I281" s="104">
        <v>945628</v>
      </c>
      <c r="J281" s="104">
        <v>3235151</v>
      </c>
      <c r="K281" s="104">
        <v>70.77</v>
      </c>
      <c r="M281" s="215">
        <v>45167</v>
      </c>
      <c r="N281" s="104">
        <v>0</v>
      </c>
      <c r="O281" s="104">
        <v>0</v>
      </c>
      <c r="P281" s="104">
        <v>0</v>
      </c>
      <c r="Q281" s="104">
        <v>0</v>
      </c>
      <c r="S281" s="215">
        <v>45167</v>
      </c>
      <c r="T281" s="104">
        <v>4927718</v>
      </c>
      <c r="U281" s="104">
        <v>2459140</v>
      </c>
      <c r="V281" s="104">
        <v>7386858</v>
      </c>
      <c r="W281" s="104">
        <v>66.709999999999994</v>
      </c>
      <c r="Y281" s="215">
        <v>45167</v>
      </c>
      <c r="Z281" s="104">
        <v>2250012</v>
      </c>
      <c r="AA281" s="104">
        <v>331725</v>
      </c>
      <c r="AB281" s="104">
        <v>2581737</v>
      </c>
      <c r="AC281" s="104">
        <v>87.15</v>
      </c>
      <c r="AE281" s="215">
        <v>45167</v>
      </c>
      <c r="AF281" s="104">
        <v>1211747</v>
      </c>
      <c r="AG281" s="104">
        <v>10036</v>
      </c>
      <c r="AH281" s="104">
        <v>1221783</v>
      </c>
      <c r="AI281" s="104">
        <v>99.18</v>
      </c>
      <c r="AK281" s="215">
        <v>45167</v>
      </c>
      <c r="AL281" s="48">
        <v>3427159</v>
      </c>
      <c r="AM281" s="48">
        <v>4809</v>
      </c>
      <c r="AN281" s="48">
        <v>3431968</v>
      </c>
      <c r="AO281" s="48">
        <v>99.86</v>
      </c>
      <c r="AQ281" s="215">
        <v>45167</v>
      </c>
      <c r="AR281" s="48">
        <v>3226709</v>
      </c>
      <c r="AS281" s="48">
        <v>8442</v>
      </c>
      <c r="AT281" s="48">
        <v>3235151</v>
      </c>
      <c r="AU281" s="48">
        <v>99.74</v>
      </c>
      <c r="AX281" s="215">
        <v>45167</v>
      </c>
      <c r="AY281" s="48">
        <v>3226709</v>
      </c>
      <c r="AZ281" s="48">
        <v>8442</v>
      </c>
      <c r="BA281" s="48">
        <v>3235151</v>
      </c>
      <c r="BB281" s="48">
        <v>99.74</v>
      </c>
    </row>
    <row r="282" spans="1:54" hidden="1" x14ac:dyDescent="0.25">
      <c r="A282" s="215">
        <v>45168</v>
      </c>
      <c r="B282" s="104">
        <v>13752591</v>
      </c>
      <c r="C282" s="104">
        <v>1122349</v>
      </c>
      <c r="D282" s="104">
        <v>14874940</v>
      </c>
      <c r="E282" s="104">
        <v>92.45</v>
      </c>
      <c r="G282" s="215">
        <v>45168</v>
      </c>
      <c r="H282" s="104">
        <v>1387740</v>
      </c>
      <c r="I282" s="104">
        <v>634832</v>
      </c>
      <c r="J282" s="104">
        <v>2022572</v>
      </c>
      <c r="K282" s="104">
        <v>68.61</v>
      </c>
      <c r="M282" s="215">
        <v>45168</v>
      </c>
      <c r="N282" s="104">
        <v>0</v>
      </c>
      <c r="O282" s="104">
        <v>24</v>
      </c>
      <c r="P282" s="104">
        <v>24</v>
      </c>
      <c r="Q282" s="104">
        <v>0</v>
      </c>
      <c r="S282" s="215">
        <v>45168</v>
      </c>
      <c r="T282" s="104">
        <v>2650198</v>
      </c>
      <c r="U282" s="104">
        <v>5942035</v>
      </c>
      <c r="V282" s="104">
        <v>8592233</v>
      </c>
      <c r="W282" s="104">
        <v>30.84</v>
      </c>
      <c r="Y282" s="215">
        <v>45168</v>
      </c>
      <c r="Z282" s="104">
        <v>1953004</v>
      </c>
      <c r="AA282" s="104">
        <v>326043</v>
      </c>
      <c r="AB282" s="104">
        <v>2279047</v>
      </c>
      <c r="AC282" s="104">
        <v>85.69</v>
      </c>
      <c r="AE282" s="215">
        <v>45168</v>
      </c>
      <c r="AF282" s="104">
        <v>1124741</v>
      </c>
      <c r="AG282" s="104">
        <v>9612</v>
      </c>
      <c r="AH282" s="104">
        <v>1134353</v>
      </c>
      <c r="AI282" s="104">
        <v>99.15</v>
      </c>
      <c r="AK282" s="215">
        <v>45168</v>
      </c>
      <c r="AL282" s="48">
        <v>1059595</v>
      </c>
      <c r="AM282" s="48">
        <v>0</v>
      </c>
      <c r="AN282" s="48">
        <v>1059595</v>
      </c>
      <c r="AO282" s="48">
        <v>100</v>
      </c>
      <c r="AQ282" s="215">
        <v>45168</v>
      </c>
      <c r="AR282" s="48">
        <v>575596</v>
      </c>
      <c r="AS282" s="48">
        <v>4578</v>
      </c>
      <c r="AT282" s="48">
        <v>580174</v>
      </c>
      <c r="AU282" s="48">
        <v>99.21</v>
      </c>
      <c r="AX282" s="215">
        <v>45168</v>
      </c>
      <c r="AY282" s="48">
        <v>575596</v>
      </c>
      <c r="AZ282" s="48">
        <v>4578</v>
      </c>
      <c r="BA282" s="48">
        <v>580174</v>
      </c>
      <c r="BB282" s="48">
        <v>99.21</v>
      </c>
    </row>
    <row r="283" spans="1:54" hidden="1" x14ac:dyDescent="0.25">
      <c r="A283" s="215">
        <v>45169</v>
      </c>
      <c r="B283" s="104">
        <v>13856169</v>
      </c>
      <c r="C283" s="104">
        <v>1160922</v>
      </c>
      <c r="D283" s="104">
        <v>15017091</v>
      </c>
      <c r="E283" s="104">
        <v>92.27</v>
      </c>
      <c r="G283" s="215">
        <v>45169</v>
      </c>
      <c r="H283" s="104">
        <v>1309222</v>
      </c>
      <c r="I283" s="104">
        <v>628420</v>
      </c>
      <c r="J283" s="104">
        <v>1937642</v>
      </c>
      <c r="K283" s="104">
        <v>67.569999999999993</v>
      </c>
      <c r="M283" s="215">
        <v>45169</v>
      </c>
      <c r="N283" s="104">
        <v>0</v>
      </c>
      <c r="O283" s="48">
        <v>76</v>
      </c>
      <c r="P283" s="48">
        <v>76</v>
      </c>
      <c r="Q283" s="104">
        <v>0</v>
      </c>
      <c r="S283" s="215">
        <v>45169</v>
      </c>
      <c r="T283" s="104">
        <v>2587780</v>
      </c>
      <c r="U283" s="104">
        <v>5910036</v>
      </c>
      <c r="V283" s="104">
        <v>8497816</v>
      </c>
      <c r="W283" s="104">
        <v>30.45</v>
      </c>
      <c r="Y283" s="215">
        <v>45169</v>
      </c>
      <c r="Z283" s="104">
        <v>2139571</v>
      </c>
      <c r="AA283" s="104">
        <v>347959</v>
      </c>
      <c r="AB283" s="104">
        <v>2487530</v>
      </c>
      <c r="AC283" s="104">
        <v>86.01</v>
      </c>
      <c r="AE283" s="215">
        <v>45169</v>
      </c>
      <c r="AF283" s="104">
        <v>1104042</v>
      </c>
      <c r="AG283" s="104">
        <v>9699</v>
      </c>
      <c r="AH283" s="104">
        <v>1113741</v>
      </c>
      <c r="AI283" s="104">
        <v>99.13</v>
      </c>
      <c r="AK283" s="215">
        <v>45169</v>
      </c>
      <c r="AL283" s="48">
        <v>778791</v>
      </c>
      <c r="AM283" s="48">
        <v>0</v>
      </c>
      <c r="AN283" s="48">
        <v>778791</v>
      </c>
      <c r="AO283" s="48">
        <v>100</v>
      </c>
      <c r="AQ283" s="215">
        <v>45169</v>
      </c>
      <c r="AR283" s="48">
        <v>514033</v>
      </c>
      <c r="AS283" s="48">
        <v>46862</v>
      </c>
      <c r="AT283" s="48">
        <v>560895</v>
      </c>
      <c r="AU283" s="67">
        <v>91.65</v>
      </c>
      <c r="AV283" s="94"/>
      <c r="AX283" s="215">
        <v>45169</v>
      </c>
      <c r="AY283" s="48">
        <v>514033</v>
      </c>
      <c r="AZ283" s="48">
        <v>46862</v>
      </c>
      <c r="BA283" s="48">
        <v>560895</v>
      </c>
      <c r="BB283" s="67">
        <v>91.65</v>
      </c>
    </row>
    <row r="284" spans="1:54" hidden="1" x14ac:dyDescent="0.25">
      <c r="A284" s="215">
        <v>45170</v>
      </c>
      <c r="B284" s="104">
        <v>15184028</v>
      </c>
      <c r="C284" s="104">
        <v>1258494</v>
      </c>
      <c r="D284" s="104">
        <v>16442522</v>
      </c>
      <c r="E284" s="104">
        <v>92.35</v>
      </c>
      <c r="G284" s="215">
        <v>45170</v>
      </c>
      <c r="H284" s="104">
        <v>1692456</v>
      </c>
      <c r="I284" s="104">
        <v>739572</v>
      </c>
      <c r="J284" s="104">
        <v>2432028</v>
      </c>
      <c r="K284" s="104">
        <v>69.59</v>
      </c>
      <c r="M284" s="215">
        <v>45170</v>
      </c>
      <c r="N284" s="48">
        <v>773771</v>
      </c>
      <c r="O284" s="48">
        <v>636619</v>
      </c>
      <c r="P284" s="48">
        <v>1410390</v>
      </c>
      <c r="Q284" s="48">
        <v>54.86</v>
      </c>
      <c r="S284" s="215">
        <v>45170</v>
      </c>
      <c r="T284" s="104">
        <v>2759308</v>
      </c>
      <c r="U284" s="104">
        <v>5600371</v>
      </c>
      <c r="V284" s="104">
        <v>8359679</v>
      </c>
      <c r="W284" s="104">
        <v>33.01</v>
      </c>
      <c r="Y284" s="215">
        <v>45170</v>
      </c>
      <c r="Z284" s="104">
        <v>2300019</v>
      </c>
      <c r="AA284" s="104">
        <v>375495</v>
      </c>
      <c r="AB284" s="104">
        <v>2675514</v>
      </c>
      <c r="AC284" s="104">
        <v>85.97</v>
      </c>
      <c r="AE284" s="215">
        <v>45170</v>
      </c>
      <c r="AF284" s="104">
        <v>1202915</v>
      </c>
      <c r="AG284" s="104">
        <v>10944</v>
      </c>
      <c r="AH284" s="104">
        <v>1213859</v>
      </c>
      <c r="AI284" s="104">
        <v>99.1</v>
      </c>
      <c r="AK284" s="215">
        <v>45170</v>
      </c>
      <c r="AL284" s="67">
        <v>930072</v>
      </c>
      <c r="AM284" s="67">
        <v>2</v>
      </c>
      <c r="AN284" s="67">
        <v>930074</v>
      </c>
      <c r="AO284" s="67">
        <v>100</v>
      </c>
      <c r="AQ284" s="215">
        <v>45170</v>
      </c>
      <c r="AR284" s="67">
        <v>678298</v>
      </c>
      <c r="AS284" s="67">
        <v>46735</v>
      </c>
      <c r="AT284" s="67">
        <v>725033</v>
      </c>
      <c r="AU284" s="67">
        <v>93.55</v>
      </c>
      <c r="AX284" s="215">
        <v>45170</v>
      </c>
      <c r="AY284" s="67">
        <v>678298</v>
      </c>
      <c r="AZ284" s="67">
        <v>46735</v>
      </c>
      <c r="BA284" s="67">
        <v>725033</v>
      </c>
      <c r="BB284" s="67">
        <v>93.55</v>
      </c>
    </row>
    <row r="285" spans="1:54" hidden="1" x14ac:dyDescent="0.25">
      <c r="A285" s="215">
        <v>45171</v>
      </c>
      <c r="B285" s="104">
        <v>13948142</v>
      </c>
      <c r="C285" s="104">
        <v>1148509</v>
      </c>
      <c r="D285" s="104">
        <v>15096651</v>
      </c>
      <c r="E285" s="104">
        <v>92.39</v>
      </c>
      <c r="G285" s="215">
        <v>45171</v>
      </c>
      <c r="H285" s="104">
        <v>1164973</v>
      </c>
      <c r="I285" s="104">
        <v>585339</v>
      </c>
      <c r="J285" s="104">
        <v>1750312</v>
      </c>
      <c r="K285" s="104">
        <v>66.56</v>
      </c>
      <c r="M285" s="215">
        <v>45171</v>
      </c>
      <c r="N285" s="48">
        <v>2722136</v>
      </c>
      <c r="O285" s="48">
        <v>2818182</v>
      </c>
      <c r="P285" s="48">
        <v>5540318</v>
      </c>
      <c r="Q285" s="48">
        <v>49.13</v>
      </c>
      <c r="S285" s="215">
        <v>45171</v>
      </c>
      <c r="T285" s="104">
        <v>3028904</v>
      </c>
      <c r="U285" s="104">
        <v>5800843</v>
      </c>
      <c r="V285" s="104">
        <v>8829747</v>
      </c>
      <c r="W285" s="104">
        <v>34.299999999999997</v>
      </c>
      <c r="Y285" s="215">
        <v>45171</v>
      </c>
      <c r="Z285" s="104">
        <v>2313975</v>
      </c>
      <c r="AA285" s="104">
        <v>347462</v>
      </c>
      <c r="AB285" s="104">
        <v>2661437</v>
      </c>
      <c r="AC285" s="104">
        <v>86.94</v>
      </c>
      <c r="AE285" s="215">
        <v>45171</v>
      </c>
      <c r="AF285" s="104">
        <v>1092211</v>
      </c>
      <c r="AG285" s="104">
        <v>10393</v>
      </c>
      <c r="AH285" s="104">
        <v>1102604</v>
      </c>
      <c r="AI285" s="104">
        <v>99.06</v>
      </c>
      <c r="AK285" s="215">
        <v>45171</v>
      </c>
      <c r="AL285" s="67">
        <v>904011</v>
      </c>
      <c r="AM285" s="67">
        <v>0</v>
      </c>
      <c r="AN285" s="67">
        <v>904011</v>
      </c>
      <c r="AO285" s="67">
        <v>100</v>
      </c>
      <c r="AQ285" s="215">
        <v>45171</v>
      </c>
      <c r="AR285" s="67">
        <v>475958</v>
      </c>
      <c r="AS285" s="67">
        <v>0</v>
      </c>
      <c r="AT285" s="67">
        <v>475958</v>
      </c>
      <c r="AU285" s="67">
        <v>100</v>
      </c>
      <c r="AX285" s="215">
        <v>45171</v>
      </c>
      <c r="AY285" s="67">
        <v>475958</v>
      </c>
      <c r="AZ285" s="67">
        <v>0</v>
      </c>
      <c r="BA285" s="67">
        <v>475958</v>
      </c>
      <c r="BB285" s="67">
        <v>100</v>
      </c>
    </row>
    <row r="286" spans="1:54" hidden="1" x14ac:dyDescent="0.25">
      <c r="A286" s="215">
        <v>45172</v>
      </c>
      <c r="B286" s="104">
        <v>12032976</v>
      </c>
      <c r="C286" s="104">
        <v>1106875</v>
      </c>
      <c r="D286" s="104">
        <v>13139851</v>
      </c>
      <c r="E286" s="104">
        <v>91.58</v>
      </c>
      <c r="G286" s="215">
        <v>45172</v>
      </c>
      <c r="H286" s="104">
        <v>576875</v>
      </c>
      <c r="I286" s="104">
        <v>364776</v>
      </c>
      <c r="J286" s="104">
        <v>941651</v>
      </c>
      <c r="K286" s="104">
        <v>61.26</v>
      </c>
      <c r="M286" s="215">
        <v>45172</v>
      </c>
      <c r="N286" s="48">
        <v>2105437</v>
      </c>
      <c r="O286" s="48">
        <v>2430320</v>
      </c>
      <c r="P286" s="48">
        <v>4535757</v>
      </c>
      <c r="Q286" s="48">
        <v>46.42</v>
      </c>
      <c r="S286" s="215">
        <v>45172</v>
      </c>
      <c r="T286" s="104">
        <v>2050234</v>
      </c>
      <c r="U286" s="104">
        <v>4889322</v>
      </c>
      <c r="V286" s="104">
        <v>6939556</v>
      </c>
      <c r="W286" s="104">
        <v>29.54</v>
      </c>
      <c r="Y286" s="215">
        <v>45172</v>
      </c>
      <c r="Z286" s="104">
        <v>2021263</v>
      </c>
      <c r="AA286" s="104">
        <v>356118</v>
      </c>
      <c r="AB286" s="104">
        <v>2377381</v>
      </c>
      <c r="AC286" s="104">
        <v>85.02</v>
      </c>
      <c r="AE286" s="215">
        <v>45172</v>
      </c>
      <c r="AF286" s="104">
        <v>1041641</v>
      </c>
      <c r="AG286" s="104">
        <v>7562</v>
      </c>
      <c r="AH286" s="104">
        <v>1049203</v>
      </c>
      <c r="AI286" s="104">
        <v>99.28</v>
      </c>
      <c r="AK286" s="215">
        <v>45172</v>
      </c>
      <c r="AL286" s="48">
        <v>1120239</v>
      </c>
      <c r="AM286" s="67">
        <v>0</v>
      </c>
      <c r="AN286" s="48">
        <v>1120239</v>
      </c>
      <c r="AO286" s="67">
        <v>100</v>
      </c>
      <c r="AQ286" s="215">
        <v>45172</v>
      </c>
      <c r="AR286" s="48">
        <v>211199</v>
      </c>
      <c r="AS286" s="67">
        <v>0</v>
      </c>
      <c r="AT286" s="48">
        <v>211199</v>
      </c>
      <c r="AU286" s="67">
        <v>100</v>
      </c>
      <c r="AX286" s="215">
        <v>45172</v>
      </c>
      <c r="AY286" s="48">
        <v>211199</v>
      </c>
      <c r="AZ286" s="67">
        <v>0</v>
      </c>
      <c r="BA286" s="48">
        <v>211199</v>
      </c>
      <c r="BB286" s="67">
        <v>100</v>
      </c>
    </row>
    <row r="287" spans="1:54" hidden="1" x14ac:dyDescent="0.25">
      <c r="A287" s="215">
        <v>45173</v>
      </c>
      <c r="B287" s="104">
        <v>14899428</v>
      </c>
      <c r="C287" s="104">
        <v>1130837</v>
      </c>
      <c r="D287" s="104">
        <v>16030265</v>
      </c>
      <c r="E287" s="104">
        <v>92.95</v>
      </c>
      <c r="G287" s="215">
        <v>45173</v>
      </c>
      <c r="H287" s="104">
        <v>1480122</v>
      </c>
      <c r="I287" s="104">
        <v>733407</v>
      </c>
      <c r="J287" s="104">
        <v>2213529</v>
      </c>
      <c r="K287" s="104">
        <v>66.87</v>
      </c>
      <c r="M287" s="215">
        <v>45173</v>
      </c>
      <c r="N287" s="48">
        <v>1057098</v>
      </c>
      <c r="O287" s="48">
        <v>894741</v>
      </c>
      <c r="P287" s="48">
        <v>1951839</v>
      </c>
      <c r="Q287" s="48">
        <v>54.16</v>
      </c>
      <c r="S287" s="215">
        <v>45173</v>
      </c>
      <c r="T287" s="104">
        <v>816107</v>
      </c>
      <c r="U287" s="104">
        <v>910264</v>
      </c>
      <c r="V287" s="104">
        <v>1726371</v>
      </c>
      <c r="W287" s="104">
        <v>47.27</v>
      </c>
      <c r="Y287" s="215">
        <v>45173</v>
      </c>
      <c r="Z287" s="104">
        <v>1803202</v>
      </c>
      <c r="AA287" s="104">
        <v>315881</v>
      </c>
      <c r="AB287" s="104">
        <v>2119083</v>
      </c>
      <c r="AC287" s="104">
        <v>85.09</v>
      </c>
      <c r="AE287" s="215">
        <v>45173</v>
      </c>
      <c r="AF287" s="104">
        <v>1054285</v>
      </c>
      <c r="AG287" s="104">
        <v>8655</v>
      </c>
      <c r="AH287" s="104">
        <v>1062940</v>
      </c>
      <c r="AI287" s="104">
        <v>99.19</v>
      </c>
      <c r="AK287" s="215">
        <v>45173</v>
      </c>
      <c r="AL287" s="48">
        <v>1073147</v>
      </c>
      <c r="AM287" s="67">
        <v>1</v>
      </c>
      <c r="AN287" s="48">
        <v>1073148</v>
      </c>
      <c r="AO287" s="67">
        <v>100</v>
      </c>
      <c r="AQ287" s="215">
        <v>45173</v>
      </c>
      <c r="AR287" s="48">
        <v>482437</v>
      </c>
      <c r="AS287" s="67">
        <v>0</v>
      </c>
      <c r="AT287" s="48">
        <v>482437</v>
      </c>
      <c r="AU287" s="67">
        <v>100</v>
      </c>
      <c r="AX287" s="215">
        <v>45173</v>
      </c>
      <c r="AY287" s="48">
        <v>482437</v>
      </c>
      <c r="AZ287" s="67">
        <v>0</v>
      </c>
      <c r="BA287" s="48">
        <v>482437</v>
      </c>
      <c r="BB287" s="67">
        <v>100</v>
      </c>
    </row>
    <row r="288" spans="1:54" hidden="1" x14ac:dyDescent="0.25">
      <c r="A288" s="215">
        <v>45174</v>
      </c>
      <c r="B288" s="104">
        <v>15107619</v>
      </c>
      <c r="C288" s="104">
        <v>1216387</v>
      </c>
      <c r="D288" s="104">
        <v>16324006</v>
      </c>
      <c r="E288" s="104">
        <v>92.55</v>
      </c>
      <c r="G288" s="215">
        <v>45174</v>
      </c>
      <c r="H288" s="104">
        <v>6796893</v>
      </c>
      <c r="I288" s="104">
        <v>2344604</v>
      </c>
      <c r="J288" s="104">
        <v>9141497</v>
      </c>
      <c r="K288" s="104">
        <v>74.349999999999994</v>
      </c>
      <c r="M288" s="215">
        <v>45174</v>
      </c>
      <c r="N288" s="48">
        <v>687856</v>
      </c>
      <c r="O288" s="48">
        <v>573087</v>
      </c>
      <c r="P288" s="48">
        <v>1260943</v>
      </c>
      <c r="Q288" s="48">
        <v>54.55</v>
      </c>
      <c r="S288" s="215">
        <v>45174</v>
      </c>
      <c r="T288" s="104">
        <v>758720</v>
      </c>
      <c r="U288" s="104">
        <v>832923</v>
      </c>
      <c r="V288" s="104">
        <v>1591643</v>
      </c>
      <c r="W288" s="104">
        <v>47.67</v>
      </c>
      <c r="Y288" s="215">
        <v>45174</v>
      </c>
      <c r="Z288" s="104">
        <v>2166221</v>
      </c>
      <c r="AA288" s="104">
        <v>314396</v>
      </c>
      <c r="AB288" s="104">
        <v>2480617</v>
      </c>
      <c r="AC288" s="104">
        <v>87.33</v>
      </c>
      <c r="AE288" s="215">
        <v>45174</v>
      </c>
      <c r="AF288" s="104">
        <v>1122206</v>
      </c>
      <c r="AG288" s="104">
        <v>9500</v>
      </c>
      <c r="AH288" s="104">
        <v>1131706</v>
      </c>
      <c r="AI288" s="104">
        <v>99.16</v>
      </c>
      <c r="AK288" s="215">
        <v>45174</v>
      </c>
      <c r="AL288" s="48">
        <v>1020197</v>
      </c>
      <c r="AM288" s="67">
        <v>0</v>
      </c>
      <c r="AN288" s="48">
        <v>1020197</v>
      </c>
      <c r="AO288" s="67">
        <v>100</v>
      </c>
      <c r="AQ288" s="215">
        <v>45174</v>
      </c>
      <c r="AR288" s="48">
        <v>2403613</v>
      </c>
      <c r="AS288" s="48"/>
      <c r="AT288" s="48">
        <v>2403613</v>
      </c>
      <c r="AU288" s="67">
        <v>100</v>
      </c>
      <c r="AX288" s="215">
        <v>45174</v>
      </c>
      <c r="AY288" s="48">
        <v>2403613</v>
      </c>
      <c r="AZ288" s="48"/>
      <c r="BA288" s="48">
        <v>2403613</v>
      </c>
      <c r="BB288" s="67">
        <v>100</v>
      </c>
    </row>
    <row r="289" spans="1:54" hidden="1" x14ac:dyDescent="0.25">
      <c r="A289" s="215">
        <v>45175</v>
      </c>
      <c r="B289" s="104">
        <v>14093061</v>
      </c>
      <c r="C289" s="104">
        <v>1174588</v>
      </c>
      <c r="D289" s="104">
        <v>15267649</v>
      </c>
      <c r="E289" s="104">
        <v>92.31</v>
      </c>
      <c r="G289" s="215">
        <v>45175</v>
      </c>
      <c r="H289" s="104">
        <v>7664635</v>
      </c>
      <c r="I289" s="104">
        <v>5802666</v>
      </c>
      <c r="J289" s="104">
        <v>13467301</v>
      </c>
      <c r="K289" s="104">
        <v>56.91</v>
      </c>
      <c r="M289" s="215">
        <v>45175</v>
      </c>
      <c r="N289" s="104">
        <v>2472327</v>
      </c>
      <c r="O289" s="48">
        <v>3694623</v>
      </c>
      <c r="P289" s="48">
        <v>6166950</v>
      </c>
      <c r="Q289" s="48">
        <v>40.090000000000003</v>
      </c>
      <c r="S289" s="215">
        <v>45175</v>
      </c>
      <c r="T289" s="104">
        <v>606065</v>
      </c>
      <c r="U289" s="104">
        <v>1153611</v>
      </c>
      <c r="V289" s="104">
        <v>1759676</v>
      </c>
      <c r="W289" s="104">
        <v>34.44</v>
      </c>
      <c r="Y289" s="215">
        <v>45175</v>
      </c>
      <c r="Z289" s="104">
        <v>1891928</v>
      </c>
      <c r="AA289" s="104">
        <v>285365</v>
      </c>
      <c r="AB289" s="104">
        <v>2177293</v>
      </c>
      <c r="AC289" s="104">
        <v>86.89</v>
      </c>
      <c r="AE289" s="215">
        <v>45175</v>
      </c>
      <c r="AF289" s="104">
        <v>1067093</v>
      </c>
      <c r="AG289" s="104">
        <v>9563</v>
      </c>
      <c r="AH289" s="104">
        <v>1076656</v>
      </c>
      <c r="AI289" s="104">
        <v>99.11</v>
      </c>
      <c r="AK289" s="215">
        <v>45175</v>
      </c>
      <c r="AL289" s="48">
        <v>1001470</v>
      </c>
      <c r="AM289" s="67">
        <v>0</v>
      </c>
      <c r="AN289" s="48">
        <v>1001470</v>
      </c>
      <c r="AO289" s="67">
        <v>100</v>
      </c>
      <c r="AQ289" s="215">
        <v>45175</v>
      </c>
      <c r="AR289" s="48">
        <v>2822525</v>
      </c>
      <c r="AS289" s="67">
        <v>0</v>
      </c>
      <c r="AT289" s="48">
        <v>2822525</v>
      </c>
      <c r="AU289" s="67">
        <v>100</v>
      </c>
      <c r="AX289" s="215">
        <v>45175</v>
      </c>
      <c r="AY289" s="48">
        <v>2822525</v>
      </c>
      <c r="AZ289" s="67">
        <v>0</v>
      </c>
      <c r="BA289" s="48">
        <v>2822525</v>
      </c>
      <c r="BB289" s="67">
        <v>100</v>
      </c>
    </row>
    <row r="290" spans="1:54" hidden="1" x14ac:dyDescent="0.25">
      <c r="A290" s="215">
        <v>45176</v>
      </c>
      <c r="B290" s="104">
        <v>14354156</v>
      </c>
      <c r="C290" s="104">
        <v>1152312</v>
      </c>
      <c r="D290" s="104">
        <v>15506468</v>
      </c>
      <c r="E290" s="104">
        <v>92.57</v>
      </c>
      <c r="G290" s="215">
        <v>45176</v>
      </c>
      <c r="H290" s="104">
        <v>5764487</v>
      </c>
      <c r="I290" s="104">
        <v>2392376</v>
      </c>
      <c r="J290" s="104">
        <v>8156863</v>
      </c>
      <c r="K290" s="104">
        <v>70.67</v>
      </c>
      <c r="M290" s="215">
        <v>45176</v>
      </c>
      <c r="N290" s="48">
        <v>2406028</v>
      </c>
      <c r="O290" s="48">
        <v>1927671</v>
      </c>
      <c r="P290" s="48">
        <v>4333699</v>
      </c>
      <c r="Q290" s="48">
        <v>55.51</v>
      </c>
      <c r="S290" s="215">
        <v>45176</v>
      </c>
      <c r="T290" s="104">
        <v>793404</v>
      </c>
      <c r="U290" s="104">
        <v>1645823</v>
      </c>
      <c r="V290" s="104">
        <v>2439227</v>
      </c>
      <c r="W290" s="104">
        <v>32.53</v>
      </c>
      <c r="Y290" s="215">
        <v>45176</v>
      </c>
      <c r="Z290" s="104">
        <v>2212251</v>
      </c>
      <c r="AA290" s="104">
        <v>359799</v>
      </c>
      <c r="AB290" s="104">
        <v>2572050</v>
      </c>
      <c r="AC290" s="104">
        <v>86.01</v>
      </c>
      <c r="AE290" s="215">
        <v>45176</v>
      </c>
      <c r="AF290" s="104">
        <v>1060464</v>
      </c>
      <c r="AG290" s="104">
        <v>9603</v>
      </c>
      <c r="AH290" s="104">
        <v>1070067</v>
      </c>
      <c r="AI290" s="104">
        <v>99.1</v>
      </c>
      <c r="AK290" s="215">
        <v>45176</v>
      </c>
      <c r="AL290" s="48">
        <v>830752</v>
      </c>
      <c r="AM290" s="67">
        <v>0</v>
      </c>
      <c r="AN290" s="48">
        <v>830752</v>
      </c>
      <c r="AO290" s="67">
        <v>100</v>
      </c>
      <c r="AQ290" s="215">
        <v>45176</v>
      </c>
      <c r="AR290" s="48">
        <v>2473513</v>
      </c>
      <c r="AS290" s="67">
        <v>0</v>
      </c>
      <c r="AT290" s="48">
        <v>2473513</v>
      </c>
      <c r="AU290" s="67">
        <v>100</v>
      </c>
      <c r="AX290" s="215">
        <v>45176</v>
      </c>
      <c r="AY290" s="48">
        <v>2473513</v>
      </c>
      <c r="AZ290" s="67">
        <v>0</v>
      </c>
      <c r="BA290" s="48">
        <v>2473513</v>
      </c>
      <c r="BB290" s="67">
        <v>100</v>
      </c>
    </row>
    <row r="291" spans="1:54" hidden="1" x14ac:dyDescent="0.25">
      <c r="A291" s="215">
        <v>45177</v>
      </c>
      <c r="B291" s="48">
        <v>14991587</v>
      </c>
      <c r="C291" s="48">
        <v>1270257</v>
      </c>
      <c r="D291" s="48">
        <v>16261844</v>
      </c>
      <c r="E291" s="48">
        <v>92.18</v>
      </c>
      <c r="G291" s="215">
        <v>45177</v>
      </c>
      <c r="H291" s="48">
        <v>1248417</v>
      </c>
      <c r="I291" s="48">
        <v>590675</v>
      </c>
      <c r="J291" s="48">
        <v>1839092</v>
      </c>
      <c r="K291" s="48">
        <v>67.88</v>
      </c>
      <c r="M291" s="215">
        <v>45177</v>
      </c>
      <c r="N291" s="48">
        <v>2446452</v>
      </c>
      <c r="O291" s="48">
        <v>2820046</v>
      </c>
      <c r="P291" s="48">
        <v>5266498</v>
      </c>
      <c r="Q291" s="48">
        <v>46.45</v>
      </c>
      <c r="S291" s="215">
        <v>45177</v>
      </c>
      <c r="T291" s="1">
        <v>188178</v>
      </c>
      <c r="U291" s="1">
        <v>54518</v>
      </c>
      <c r="V291" s="1">
        <v>242696</v>
      </c>
      <c r="W291" s="1">
        <v>77.53</v>
      </c>
      <c r="Y291" s="215">
        <v>45177</v>
      </c>
      <c r="Z291" s="1">
        <v>2237049</v>
      </c>
      <c r="AA291" s="1">
        <v>344475</v>
      </c>
      <c r="AB291" s="1">
        <v>2581524</v>
      </c>
      <c r="AC291" s="1">
        <v>86.65</v>
      </c>
      <c r="AE291" s="215">
        <v>45177</v>
      </c>
      <c r="AF291" s="1">
        <v>1134383</v>
      </c>
      <c r="AG291" s="1">
        <v>9592</v>
      </c>
      <c r="AH291" s="1">
        <v>1143975</v>
      </c>
      <c r="AI291" s="1">
        <v>99.16</v>
      </c>
      <c r="AK291" s="215">
        <v>45177</v>
      </c>
      <c r="AL291" s="67">
        <v>1103333</v>
      </c>
      <c r="AM291" s="67">
        <v>0</v>
      </c>
      <c r="AN291" s="67">
        <v>1103333</v>
      </c>
      <c r="AO291" s="67">
        <v>100</v>
      </c>
      <c r="AQ291" s="215">
        <v>45177</v>
      </c>
      <c r="AR291" s="67">
        <v>538510</v>
      </c>
      <c r="AS291" s="67">
        <v>0</v>
      </c>
      <c r="AT291" s="67">
        <v>538510</v>
      </c>
      <c r="AU291" s="67">
        <v>100</v>
      </c>
      <c r="AX291" s="215">
        <v>45177</v>
      </c>
      <c r="AY291" s="67">
        <v>538510</v>
      </c>
      <c r="AZ291" s="67">
        <v>0</v>
      </c>
      <c r="BA291" s="67">
        <v>538510</v>
      </c>
      <c r="BB291" s="67">
        <v>100</v>
      </c>
    </row>
    <row r="292" spans="1:54" hidden="1" x14ac:dyDescent="0.25">
      <c r="A292" s="215">
        <v>45178</v>
      </c>
      <c r="B292" s="48">
        <v>14024765</v>
      </c>
      <c r="C292" s="48">
        <v>1159127</v>
      </c>
      <c r="D292" s="48">
        <v>15183892</v>
      </c>
      <c r="E292" s="48">
        <v>92.36</v>
      </c>
      <c r="G292" s="215">
        <v>45178</v>
      </c>
      <c r="H292" s="48">
        <v>1251134</v>
      </c>
      <c r="I292" s="48">
        <v>608057</v>
      </c>
      <c r="J292" s="48">
        <v>1859191</v>
      </c>
      <c r="K292" s="48">
        <v>67.290000000000006</v>
      </c>
      <c r="M292" s="215">
        <v>45178</v>
      </c>
      <c r="N292" s="48">
        <v>3651068</v>
      </c>
      <c r="O292" s="48">
        <v>3796677</v>
      </c>
      <c r="P292" s="48">
        <v>7447745</v>
      </c>
      <c r="Q292" s="48">
        <v>49.02</v>
      </c>
      <c r="S292" s="215">
        <v>45178</v>
      </c>
      <c r="T292" s="1">
        <v>138951</v>
      </c>
      <c r="U292" s="1">
        <v>37889</v>
      </c>
      <c r="V292" s="1">
        <v>176840</v>
      </c>
      <c r="W292" s="1">
        <v>78.569999999999993</v>
      </c>
      <c r="Y292" s="215">
        <v>45178</v>
      </c>
      <c r="Z292" s="1">
        <v>1975011</v>
      </c>
      <c r="AA292" s="1">
        <v>314312</v>
      </c>
      <c r="AB292" s="1">
        <v>2289323</v>
      </c>
      <c r="AC292" s="1">
        <v>86.27</v>
      </c>
      <c r="AE292" s="215">
        <v>45178</v>
      </c>
      <c r="AF292" s="1">
        <v>1047109</v>
      </c>
      <c r="AG292" s="1">
        <v>8195</v>
      </c>
      <c r="AH292" s="1">
        <v>1055304</v>
      </c>
      <c r="AI292" s="1">
        <v>99.22</v>
      </c>
      <c r="AK292" s="215">
        <v>45178</v>
      </c>
      <c r="AL292" s="67">
        <v>1059566</v>
      </c>
      <c r="AM292" s="67">
        <v>0</v>
      </c>
      <c r="AN292" s="67">
        <v>1059566</v>
      </c>
      <c r="AO292" s="67">
        <v>100</v>
      </c>
      <c r="AQ292" s="215">
        <v>45178</v>
      </c>
      <c r="AR292" s="67">
        <v>523126</v>
      </c>
      <c r="AS292" s="67">
        <v>0</v>
      </c>
      <c r="AT292" s="67">
        <v>523126</v>
      </c>
      <c r="AU292" s="67">
        <v>100</v>
      </c>
      <c r="AX292" s="215">
        <v>45178</v>
      </c>
      <c r="AY292" s="67">
        <v>523126</v>
      </c>
      <c r="AZ292" s="67">
        <v>0</v>
      </c>
      <c r="BA292" s="67">
        <v>523126</v>
      </c>
      <c r="BB292" s="67">
        <v>100</v>
      </c>
    </row>
    <row r="293" spans="1:54" hidden="1" x14ac:dyDescent="0.25">
      <c r="A293" s="215">
        <v>45179</v>
      </c>
      <c r="B293" s="48">
        <v>12350185</v>
      </c>
      <c r="C293" s="48">
        <v>1165737</v>
      </c>
      <c r="D293" s="48">
        <v>13515922</v>
      </c>
      <c r="E293" s="48">
        <v>91.37</v>
      </c>
      <c r="G293" s="215">
        <v>45179</v>
      </c>
      <c r="H293" s="48">
        <v>594742</v>
      </c>
      <c r="I293" s="48">
        <v>364934</v>
      </c>
      <c r="J293" s="48">
        <v>959676</v>
      </c>
      <c r="K293" s="48">
        <v>61.97</v>
      </c>
      <c r="M293" s="215">
        <v>45179</v>
      </c>
      <c r="N293" s="48">
        <v>3566654</v>
      </c>
      <c r="O293" s="48">
        <v>3806216</v>
      </c>
      <c r="P293" s="48">
        <v>7372870</v>
      </c>
      <c r="Q293" s="48">
        <v>48.37</v>
      </c>
      <c r="S293" s="215">
        <v>45179</v>
      </c>
      <c r="T293" s="1">
        <v>98118</v>
      </c>
      <c r="U293" s="1">
        <v>31722</v>
      </c>
      <c r="V293" s="1">
        <v>129840</v>
      </c>
      <c r="W293" s="1">
        <v>75.56</v>
      </c>
      <c r="Y293" s="215">
        <v>45179</v>
      </c>
      <c r="Z293" s="1">
        <v>1873209</v>
      </c>
      <c r="AA293" s="1">
        <v>311788</v>
      </c>
      <c r="AB293" s="1">
        <v>2184997</v>
      </c>
      <c r="AC293" s="1">
        <v>85.73</v>
      </c>
      <c r="AE293" s="215">
        <v>45179</v>
      </c>
      <c r="AF293" s="1">
        <v>1047946</v>
      </c>
      <c r="AG293" s="1">
        <v>7183</v>
      </c>
      <c r="AH293" s="1">
        <v>1055129</v>
      </c>
      <c r="AI293" s="1">
        <v>99.31</v>
      </c>
      <c r="AK293" s="215">
        <v>45179</v>
      </c>
      <c r="AL293" s="67">
        <v>1123970</v>
      </c>
      <c r="AM293" s="67">
        <v>0</v>
      </c>
      <c r="AN293" s="67">
        <v>1123970</v>
      </c>
      <c r="AO293" s="67">
        <v>100</v>
      </c>
      <c r="AQ293" s="215">
        <v>45179</v>
      </c>
      <c r="AR293" s="67">
        <v>219256</v>
      </c>
      <c r="AS293" s="67">
        <v>0</v>
      </c>
      <c r="AT293" s="67">
        <v>219256</v>
      </c>
      <c r="AU293" s="67">
        <v>100</v>
      </c>
      <c r="AX293" s="215">
        <v>45179</v>
      </c>
      <c r="AY293" s="67">
        <v>219256</v>
      </c>
      <c r="AZ293" s="67">
        <v>0</v>
      </c>
      <c r="BA293" s="67">
        <v>219256</v>
      </c>
      <c r="BB293" s="67">
        <v>100</v>
      </c>
    </row>
    <row r="294" spans="1:54" hidden="1" x14ac:dyDescent="0.25">
      <c r="A294" s="215">
        <v>45180</v>
      </c>
      <c r="B294" s="104">
        <v>15447957</v>
      </c>
      <c r="C294" s="104">
        <v>1226356</v>
      </c>
      <c r="D294" s="104">
        <v>16674313</v>
      </c>
      <c r="E294" s="104">
        <v>92.65</v>
      </c>
      <c r="G294" s="215">
        <v>45180</v>
      </c>
      <c r="H294" s="104">
        <v>3298712</v>
      </c>
      <c r="I294" s="104">
        <v>1363549</v>
      </c>
      <c r="J294" s="104">
        <v>4662261</v>
      </c>
      <c r="K294" s="104">
        <v>70.75</v>
      </c>
      <c r="M294" s="215">
        <v>45180</v>
      </c>
      <c r="N294" s="48">
        <v>3791906</v>
      </c>
      <c r="O294" s="48">
        <v>3012376</v>
      </c>
      <c r="P294" s="48">
        <v>6804282</v>
      </c>
      <c r="Q294" s="48">
        <v>55.73</v>
      </c>
      <c r="S294" s="215">
        <v>45180</v>
      </c>
      <c r="T294" s="104">
        <v>2730801</v>
      </c>
      <c r="U294" s="104">
        <v>1264987</v>
      </c>
      <c r="V294" s="104">
        <v>3995788</v>
      </c>
      <c r="W294" s="104">
        <v>68.34</v>
      </c>
      <c r="Y294" s="215">
        <v>45180</v>
      </c>
      <c r="Z294" s="104">
        <v>1911009</v>
      </c>
      <c r="AA294" s="104">
        <v>297139</v>
      </c>
      <c r="AB294" s="104">
        <v>2208148</v>
      </c>
      <c r="AC294" s="104">
        <v>86.54</v>
      </c>
      <c r="AE294" s="215">
        <v>45180</v>
      </c>
      <c r="AF294" s="104">
        <v>1123208</v>
      </c>
      <c r="AG294" s="104">
        <v>8958</v>
      </c>
      <c r="AH294" s="104">
        <v>1132166</v>
      </c>
      <c r="AI294" s="104">
        <v>99.21</v>
      </c>
      <c r="AK294" s="215">
        <v>45180</v>
      </c>
      <c r="AL294" s="48">
        <v>1192341</v>
      </c>
      <c r="AM294" s="67">
        <v>0</v>
      </c>
      <c r="AN294" s="48">
        <v>1192341</v>
      </c>
      <c r="AO294" s="67">
        <v>100</v>
      </c>
      <c r="AQ294" s="215">
        <v>45180</v>
      </c>
      <c r="AR294" s="48">
        <v>1300892</v>
      </c>
      <c r="AS294" s="67">
        <v>0</v>
      </c>
      <c r="AT294" s="48">
        <v>1300892</v>
      </c>
      <c r="AU294" s="67">
        <v>100</v>
      </c>
      <c r="AX294" s="215">
        <v>45180</v>
      </c>
      <c r="AY294" s="48">
        <v>1300892</v>
      </c>
      <c r="AZ294" s="67">
        <v>0</v>
      </c>
      <c r="BA294" s="48">
        <v>1300892</v>
      </c>
      <c r="BB294" s="67">
        <v>100</v>
      </c>
    </row>
    <row r="295" spans="1:54" hidden="1" x14ac:dyDescent="0.25">
      <c r="A295" s="215">
        <v>45181</v>
      </c>
      <c r="B295" s="104">
        <v>14428599</v>
      </c>
      <c r="C295" s="104">
        <v>1345987</v>
      </c>
      <c r="D295" s="104">
        <v>15774586</v>
      </c>
      <c r="E295" s="104">
        <v>91.47</v>
      </c>
      <c r="G295" s="215">
        <v>45181</v>
      </c>
      <c r="H295" s="104">
        <v>6396680</v>
      </c>
      <c r="I295" s="104">
        <v>2596996</v>
      </c>
      <c r="J295" s="104">
        <v>8993676</v>
      </c>
      <c r="K295" s="104">
        <v>71.12</v>
      </c>
      <c r="M295" s="215">
        <v>45181</v>
      </c>
      <c r="N295" s="48">
        <v>1777153</v>
      </c>
      <c r="O295" s="48">
        <v>1725709</v>
      </c>
      <c r="P295" s="48">
        <v>3502862</v>
      </c>
      <c r="Q295" s="48">
        <v>50.73</v>
      </c>
      <c r="S295" s="215">
        <v>45181</v>
      </c>
      <c r="T295" s="104">
        <v>1252351</v>
      </c>
      <c r="U295" s="104">
        <v>1167136</v>
      </c>
      <c r="V295" s="104">
        <v>2419487</v>
      </c>
      <c r="W295" s="104">
        <v>51.76</v>
      </c>
      <c r="Y295" s="215">
        <v>45181</v>
      </c>
      <c r="Z295" s="104">
        <v>2236938</v>
      </c>
      <c r="AA295" s="104">
        <v>316295</v>
      </c>
      <c r="AB295" s="104">
        <v>2553233</v>
      </c>
      <c r="AC295" s="104">
        <v>87.61</v>
      </c>
      <c r="AE295" s="215">
        <v>45181</v>
      </c>
      <c r="AF295" s="104">
        <v>1072694</v>
      </c>
      <c r="AG295" s="104">
        <v>8967</v>
      </c>
      <c r="AH295" s="104">
        <v>1081661</v>
      </c>
      <c r="AI295" s="104">
        <v>99.17</v>
      </c>
      <c r="AK295" s="215">
        <v>45181</v>
      </c>
      <c r="AL295" s="48">
        <v>1109736</v>
      </c>
      <c r="AM295" s="67">
        <v>0</v>
      </c>
      <c r="AN295" s="48">
        <v>1109736</v>
      </c>
      <c r="AO295" s="67">
        <v>100</v>
      </c>
      <c r="AQ295" s="215">
        <v>45181</v>
      </c>
      <c r="AR295" s="48">
        <v>2512059</v>
      </c>
      <c r="AS295" s="67">
        <v>0</v>
      </c>
      <c r="AT295" s="48">
        <v>2512059</v>
      </c>
      <c r="AU295" s="67">
        <v>100</v>
      </c>
      <c r="AX295" s="215">
        <v>45181</v>
      </c>
      <c r="AY295" s="48">
        <v>2512059</v>
      </c>
      <c r="AZ295" s="67">
        <v>0</v>
      </c>
      <c r="BA295" s="48">
        <v>2512059</v>
      </c>
      <c r="BB295" s="67">
        <v>100</v>
      </c>
    </row>
    <row r="296" spans="1:54" hidden="1" x14ac:dyDescent="0.25">
      <c r="A296" s="215">
        <v>45182</v>
      </c>
      <c r="B296" s="104">
        <v>13882295</v>
      </c>
      <c r="C296" s="104">
        <v>1144349</v>
      </c>
      <c r="D296" s="104">
        <v>15026644</v>
      </c>
      <c r="E296" s="104">
        <v>92.38</v>
      </c>
      <c r="G296" s="215">
        <v>45182</v>
      </c>
      <c r="H296" s="104">
        <v>6230223</v>
      </c>
      <c r="I296" s="104">
        <v>2367886</v>
      </c>
      <c r="J296" s="104">
        <v>8598109</v>
      </c>
      <c r="K296" s="104">
        <v>72.459999999999994</v>
      </c>
      <c r="L296" s="236"/>
      <c r="M296" s="215">
        <v>45182</v>
      </c>
      <c r="N296" s="48">
        <v>3014954</v>
      </c>
      <c r="O296" s="48">
        <v>4617133</v>
      </c>
      <c r="P296" s="48">
        <v>7632087</v>
      </c>
      <c r="Q296" s="48">
        <v>39.5</v>
      </c>
      <c r="S296" s="215">
        <v>45182</v>
      </c>
      <c r="T296" s="104">
        <v>707535</v>
      </c>
      <c r="U296" s="104">
        <v>1308250</v>
      </c>
      <c r="V296" s="104">
        <v>2015785</v>
      </c>
      <c r="W296" s="104">
        <v>35.1</v>
      </c>
      <c r="Y296" s="215">
        <v>45182</v>
      </c>
      <c r="Z296" s="104">
        <v>2207270</v>
      </c>
      <c r="AA296" s="104">
        <v>317418</v>
      </c>
      <c r="AB296" s="104">
        <v>2524688</v>
      </c>
      <c r="AC296" s="104">
        <v>87.43</v>
      </c>
      <c r="AE296" s="215">
        <v>45182</v>
      </c>
      <c r="AF296" s="104">
        <v>993758</v>
      </c>
      <c r="AG296" s="104">
        <v>9002</v>
      </c>
      <c r="AH296" s="104">
        <v>1002760</v>
      </c>
      <c r="AI296" s="104">
        <v>99.1</v>
      </c>
      <c r="AK296" s="215">
        <v>45182</v>
      </c>
      <c r="AL296" s="48">
        <v>1022877</v>
      </c>
      <c r="AM296" s="67">
        <v>0</v>
      </c>
      <c r="AN296" s="48">
        <v>1022877</v>
      </c>
      <c r="AO296" s="67">
        <v>100</v>
      </c>
      <c r="AQ296" s="215">
        <v>45182</v>
      </c>
      <c r="AR296" s="48">
        <v>2763325</v>
      </c>
      <c r="AS296" s="67">
        <v>0</v>
      </c>
      <c r="AT296" s="48">
        <v>2763325</v>
      </c>
      <c r="AU296" s="67">
        <v>100</v>
      </c>
      <c r="AX296" s="215">
        <v>45182</v>
      </c>
      <c r="AY296" s="48">
        <v>2763325</v>
      </c>
      <c r="AZ296" s="67">
        <v>0</v>
      </c>
      <c r="BA296" s="48">
        <v>2763325</v>
      </c>
      <c r="BB296" s="67">
        <v>100</v>
      </c>
    </row>
    <row r="297" spans="1:54" hidden="1" x14ac:dyDescent="0.25">
      <c r="A297" s="215">
        <v>45183</v>
      </c>
      <c r="B297" s="104">
        <v>13695476</v>
      </c>
      <c r="C297" s="104">
        <v>1103354</v>
      </c>
      <c r="D297" s="104">
        <v>14798830</v>
      </c>
      <c r="E297" s="104">
        <v>92.54</v>
      </c>
      <c r="G297" s="215">
        <v>45183</v>
      </c>
      <c r="H297" s="104">
        <v>6219322</v>
      </c>
      <c r="I297" s="104">
        <v>2372186</v>
      </c>
      <c r="J297" s="104">
        <v>8591508</v>
      </c>
      <c r="K297" s="104">
        <v>72.39</v>
      </c>
      <c r="M297" s="215">
        <v>45183</v>
      </c>
      <c r="N297" s="48">
        <v>3567213</v>
      </c>
      <c r="O297" s="48">
        <v>3564034</v>
      </c>
      <c r="P297" s="48">
        <v>7131247</v>
      </c>
      <c r="Q297" s="48">
        <v>50.02</v>
      </c>
      <c r="S297" s="215">
        <v>45183</v>
      </c>
      <c r="T297" s="104">
        <v>577093</v>
      </c>
      <c r="U297" s="104">
        <v>1153035</v>
      </c>
      <c r="V297" s="104">
        <v>1730128</v>
      </c>
      <c r="W297" s="104">
        <v>33.36</v>
      </c>
      <c r="Y297" s="215">
        <v>45183</v>
      </c>
      <c r="Z297" s="104">
        <v>2208542</v>
      </c>
      <c r="AA297" s="104">
        <v>359371</v>
      </c>
      <c r="AB297" s="104">
        <v>2567913</v>
      </c>
      <c r="AC297" s="104">
        <v>86.01</v>
      </c>
      <c r="AE297" s="215">
        <v>45183</v>
      </c>
      <c r="AF297" s="104">
        <v>986174</v>
      </c>
      <c r="AG297" s="104">
        <v>8529</v>
      </c>
      <c r="AH297" s="104">
        <v>994703</v>
      </c>
      <c r="AI297" s="104">
        <v>99.14</v>
      </c>
      <c r="AK297" s="215">
        <v>45183</v>
      </c>
      <c r="AL297" s="48">
        <v>736660</v>
      </c>
      <c r="AM297" s="67">
        <v>0</v>
      </c>
      <c r="AN297" s="48">
        <v>736660</v>
      </c>
      <c r="AO297" s="67">
        <v>100</v>
      </c>
      <c r="AQ297" s="215">
        <v>45183</v>
      </c>
      <c r="AR297" s="48">
        <v>2751984</v>
      </c>
      <c r="AS297" s="67">
        <v>0</v>
      </c>
      <c r="AT297" s="48">
        <v>2751984</v>
      </c>
      <c r="AU297" s="67">
        <v>100</v>
      </c>
      <c r="AX297" s="215">
        <v>45183</v>
      </c>
      <c r="AY297" s="48">
        <v>2751984</v>
      </c>
      <c r="AZ297" s="67">
        <v>0</v>
      </c>
      <c r="BA297" s="48">
        <v>2751984</v>
      </c>
      <c r="BB297" s="67">
        <v>100</v>
      </c>
    </row>
    <row r="298" spans="1:54" hidden="1" x14ac:dyDescent="0.25">
      <c r="A298" s="237">
        <v>45184</v>
      </c>
      <c r="B298" s="104">
        <v>15494592</v>
      </c>
      <c r="C298" s="104">
        <v>1205906</v>
      </c>
      <c r="D298" s="104">
        <v>16700498</v>
      </c>
      <c r="E298" s="104">
        <v>92.78</v>
      </c>
      <c r="G298" s="215">
        <v>45184</v>
      </c>
      <c r="H298" s="104">
        <v>6268303</v>
      </c>
      <c r="I298" s="104">
        <v>2267536</v>
      </c>
      <c r="J298" s="104">
        <v>8535839</v>
      </c>
      <c r="K298" s="104">
        <v>73.44</v>
      </c>
      <c r="M298" s="215">
        <v>45184</v>
      </c>
      <c r="N298" s="48">
        <v>2509404</v>
      </c>
      <c r="O298" s="48">
        <v>5243939</v>
      </c>
      <c r="P298" s="48">
        <v>7753343</v>
      </c>
      <c r="Q298" s="48">
        <v>32.36</v>
      </c>
      <c r="S298" s="215">
        <v>45184</v>
      </c>
      <c r="T298" s="104">
        <v>662601</v>
      </c>
      <c r="U298" s="104">
        <v>1152648</v>
      </c>
      <c r="V298" s="104">
        <v>1815249</v>
      </c>
      <c r="W298" s="104">
        <v>36.5</v>
      </c>
      <c r="Y298" s="215">
        <v>45184</v>
      </c>
      <c r="Z298" s="104">
        <v>2341124</v>
      </c>
      <c r="AA298" s="104">
        <v>362898</v>
      </c>
      <c r="AB298" s="104">
        <v>2704022</v>
      </c>
      <c r="AC298" s="104">
        <v>86.58</v>
      </c>
      <c r="AE298" s="215">
        <v>45184</v>
      </c>
      <c r="AF298" s="104">
        <v>1040950</v>
      </c>
      <c r="AG298" s="104">
        <v>8401</v>
      </c>
      <c r="AH298" s="104">
        <v>1049351</v>
      </c>
      <c r="AI298" s="104">
        <v>99.2</v>
      </c>
      <c r="AK298" s="215">
        <v>45184</v>
      </c>
      <c r="AL298" s="48">
        <v>1167018</v>
      </c>
      <c r="AM298" s="67">
        <v>2</v>
      </c>
      <c r="AN298" s="48">
        <v>1167020</v>
      </c>
      <c r="AO298" s="48">
        <v>100</v>
      </c>
      <c r="AQ298" s="215">
        <v>45184</v>
      </c>
      <c r="AR298" s="67">
        <v>2704377</v>
      </c>
      <c r="AS298" s="67">
        <v>55626</v>
      </c>
      <c r="AT298" s="67">
        <v>2760003</v>
      </c>
      <c r="AU298" s="67">
        <v>97.98</v>
      </c>
      <c r="AX298" s="215">
        <v>45184</v>
      </c>
      <c r="AY298" s="67">
        <v>2704377</v>
      </c>
      <c r="AZ298" s="67">
        <v>55626</v>
      </c>
      <c r="BA298" s="67">
        <v>2760003</v>
      </c>
      <c r="BB298" s="67">
        <v>97.98</v>
      </c>
    </row>
    <row r="299" spans="1:54" hidden="1" x14ac:dyDescent="0.25">
      <c r="A299" s="237">
        <v>45185</v>
      </c>
      <c r="B299" s="104">
        <v>14491262</v>
      </c>
      <c r="C299" s="104">
        <v>1185831</v>
      </c>
      <c r="D299" s="104">
        <v>15677093</v>
      </c>
      <c r="E299" s="104">
        <v>92.44</v>
      </c>
      <c r="G299" s="215">
        <v>45185</v>
      </c>
      <c r="H299" s="104">
        <v>5915913</v>
      </c>
      <c r="I299" s="104">
        <v>2155755</v>
      </c>
      <c r="J299" s="104">
        <v>8071668</v>
      </c>
      <c r="K299" s="104">
        <v>73.290000000000006</v>
      </c>
      <c r="M299" s="215">
        <v>45185</v>
      </c>
      <c r="N299" s="48">
        <v>3877172</v>
      </c>
      <c r="O299" s="48">
        <v>3669218</v>
      </c>
      <c r="P299" s="48">
        <v>7546390</v>
      </c>
      <c r="Q299" s="48">
        <v>51.37</v>
      </c>
      <c r="S299" s="215">
        <v>45185</v>
      </c>
      <c r="T299" s="104">
        <v>615410</v>
      </c>
      <c r="U299" s="104">
        <v>1149254</v>
      </c>
      <c r="V299" s="104">
        <v>1764664</v>
      </c>
      <c r="W299" s="104">
        <v>34.869999999999997</v>
      </c>
      <c r="Y299" s="215">
        <v>45185</v>
      </c>
      <c r="Z299" s="104">
        <v>2350205</v>
      </c>
      <c r="AA299" s="104">
        <v>358059</v>
      </c>
      <c r="AB299" s="104">
        <v>2708264</v>
      </c>
      <c r="AC299" s="104">
        <v>86.78</v>
      </c>
      <c r="AE299" s="215">
        <v>45185</v>
      </c>
      <c r="AF299" s="104">
        <v>1121430</v>
      </c>
      <c r="AG299" s="104">
        <v>7928</v>
      </c>
      <c r="AH299" s="104">
        <v>1129358</v>
      </c>
      <c r="AI299" s="104">
        <v>99.3</v>
      </c>
      <c r="AK299" s="215">
        <v>45185</v>
      </c>
      <c r="AL299" s="48">
        <v>1131065</v>
      </c>
      <c r="AM299" s="48">
        <v>2028</v>
      </c>
      <c r="AN299" s="48">
        <v>1133093</v>
      </c>
      <c r="AO299" s="48">
        <v>99.82</v>
      </c>
      <c r="AQ299" s="215">
        <v>45185</v>
      </c>
      <c r="AR299" s="67">
        <v>2604586</v>
      </c>
      <c r="AS299" s="67">
        <v>0</v>
      </c>
      <c r="AT299" s="67">
        <v>2604586</v>
      </c>
      <c r="AU299" s="67">
        <v>100</v>
      </c>
      <c r="AX299" s="215">
        <v>45185</v>
      </c>
      <c r="AY299" s="67">
        <v>2604586</v>
      </c>
      <c r="AZ299" s="67">
        <v>0</v>
      </c>
      <c r="BA299" s="67">
        <v>2604586</v>
      </c>
      <c r="BB299" s="67">
        <v>100</v>
      </c>
    </row>
    <row r="300" spans="1:54" hidden="1" x14ac:dyDescent="0.25">
      <c r="A300" s="237">
        <v>45186</v>
      </c>
      <c r="B300" s="104">
        <v>12313317</v>
      </c>
      <c r="C300" s="104">
        <v>1150557</v>
      </c>
      <c r="D300" s="104">
        <v>13463874</v>
      </c>
      <c r="E300" s="104">
        <v>91.45</v>
      </c>
      <c r="G300" s="215">
        <v>45186</v>
      </c>
      <c r="H300" s="104">
        <v>5490440</v>
      </c>
      <c r="I300" s="104">
        <v>1927052</v>
      </c>
      <c r="J300" s="104">
        <v>7417492</v>
      </c>
      <c r="K300" s="104">
        <v>74.02</v>
      </c>
      <c r="M300" s="215">
        <v>45186</v>
      </c>
      <c r="N300" s="48">
        <v>3301524</v>
      </c>
      <c r="O300" s="48">
        <v>3901005</v>
      </c>
      <c r="P300" s="48">
        <v>7202529</v>
      </c>
      <c r="Q300" s="48">
        <v>45.83</v>
      </c>
      <c r="S300" s="215">
        <v>45186</v>
      </c>
      <c r="T300" s="104">
        <v>86756</v>
      </c>
      <c r="U300" s="104">
        <v>28334</v>
      </c>
      <c r="V300" s="104">
        <v>115090</v>
      </c>
      <c r="W300" s="104">
        <v>75.38</v>
      </c>
      <c r="Y300" s="215">
        <v>45186</v>
      </c>
      <c r="Z300" s="104">
        <v>2097740</v>
      </c>
      <c r="AA300" s="104">
        <v>354930</v>
      </c>
      <c r="AB300" s="104">
        <v>2452670</v>
      </c>
      <c r="AC300" s="104">
        <v>85.53</v>
      </c>
      <c r="AE300" s="215">
        <v>45186</v>
      </c>
      <c r="AF300" s="104">
        <v>1138252</v>
      </c>
      <c r="AG300" s="104">
        <v>8178</v>
      </c>
      <c r="AH300" s="104">
        <v>1146430</v>
      </c>
      <c r="AI300" s="104">
        <v>99.29</v>
      </c>
      <c r="AK300" s="215">
        <v>45186</v>
      </c>
      <c r="AL300" s="67">
        <v>1199130</v>
      </c>
      <c r="AM300" s="67">
        <v>0</v>
      </c>
      <c r="AN300" s="67">
        <v>1199130</v>
      </c>
      <c r="AO300" s="48">
        <v>100</v>
      </c>
      <c r="AQ300" s="215">
        <v>45186</v>
      </c>
      <c r="AR300" s="67">
        <v>2396948</v>
      </c>
      <c r="AS300" s="67">
        <v>0</v>
      </c>
      <c r="AT300" s="67">
        <v>2396948</v>
      </c>
      <c r="AU300" s="67">
        <v>100</v>
      </c>
      <c r="AX300" s="215">
        <v>45186</v>
      </c>
      <c r="AY300" s="67">
        <v>2396948</v>
      </c>
      <c r="AZ300" s="67">
        <v>0</v>
      </c>
      <c r="BA300" s="67">
        <v>2396948</v>
      </c>
      <c r="BB300" s="67">
        <v>100</v>
      </c>
    </row>
    <row r="301" spans="1:54" hidden="1" x14ac:dyDescent="0.25">
      <c r="A301" s="237">
        <v>45187</v>
      </c>
      <c r="B301" s="104">
        <v>15070520</v>
      </c>
      <c r="C301" s="104">
        <v>1177498</v>
      </c>
      <c r="D301" s="104">
        <v>16248018</v>
      </c>
      <c r="E301" s="104">
        <v>92.75</v>
      </c>
      <c r="G301" s="215">
        <v>45187</v>
      </c>
      <c r="H301" s="104">
        <v>6820667</v>
      </c>
      <c r="I301" s="104">
        <v>2302558</v>
      </c>
      <c r="J301" s="104">
        <v>9123225</v>
      </c>
      <c r="K301" s="104">
        <v>74.760000000000005</v>
      </c>
      <c r="M301" s="215">
        <v>45187</v>
      </c>
      <c r="N301" s="48">
        <v>3120223</v>
      </c>
      <c r="O301" s="48">
        <v>2049088</v>
      </c>
      <c r="P301" s="48">
        <v>5169311</v>
      </c>
      <c r="Q301" s="48">
        <v>60.36</v>
      </c>
      <c r="S301" s="215">
        <v>45187</v>
      </c>
      <c r="T301" s="104">
        <v>597120</v>
      </c>
      <c r="U301" s="104">
        <v>1136246</v>
      </c>
      <c r="V301" s="104">
        <v>1733366</v>
      </c>
      <c r="W301" s="104">
        <v>34.450000000000003</v>
      </c>
      <c r="Y301" s="215">
        <v>45187</v>
      </c>
      <c r="Z301" s="104">
        <v>2130153</v>
      </c>
      <c r="AA301" s="104">
        <v>346337</v>
      </c>
      <c r="AB301" s="104">
        <v>2476490</v>
      </c>
      <c r="AC301" s="104">
        <v>86.02</v>
      </c>
      <c r="AE301" s="215">
        <v>45187</v>
      </c>
      <c r="AF301" s="104">
        <v>1177323</v>
      </c>
      <c r="AG301" s="104">
        <v>9332</v>
      </c>
      <c r="AH301" s="104">
        <v>1186655</v>
      </c>
      <c r="AI301" s="104">
        <v>99.21</v>
      </c>
      <c r="AK301" s="215">
        <v>45187</v>
      </c>
      <c r="AL301" s="48">
        <v>1206052</v>
      </c>
      <c r="AM301" s="67">
        <v>0</v>
      </c>
      <c r="AN301" s="48">
        <v>1206052</v>
      </c>
      <c r="AO301" s="48">
        <v>100</v>
      </c>
      <c r="AQ301" s="215">
        <v>45187</v>
      </c>
      <c r="AR301" s="48">
        <v>2925871</v>
      </c>
      <c r="AS301" s="67">
        <v>0</v>
      </c>
      <c r="AT301" s="48">
        <v>2925844</v>
      </c>
      <c r="AU301" s="67">
        <v>100</v>
      </c>
      <c r="AX301" s="215">
        <v>45187</v>
      </c>
      <c r="AY301" s="48">
        <v>2925871</v>
      </c>
      <c r="AZ301" s="67">
        <v>0</v>
      </c>
      <c r="BA301" s="48">
        <v>2925844</v>
      </c>
      <c r="BB301" s="67">
        <v>100</v>
      </c>
    </row>
    <row r="302" spans="1:54" hidden="1" x14ac:dyDescent="0.25">
      <c r="A302" s="237">
        <v>45188</v>
      </c>
      <c r="B302" s="104">
        <v>15451266</v>
      </c>
      <c r="C302" s="104">
        <v>1229317</v>
      </c>
      <c r="D302" s="104">
        <v>16680583</v>
      </c>
      <c r="E302" s="104">
        <v>92.63</v>
      </c>
      <c r="G302" s="215">
        <v>45188</v>
      </c>
      <c r="H302" s="104">
        <v>844458</v>
      </c>
      <c r="I302" s="104">
        <v>456286</v>
      </c>
      <c r="J302" s="104">
        <v>1300744</v>
      </c>
      <c r="K302" s="104">
        <v>64.92</v>
      </c>
      <c r="M302" s="215">
        <v>45188</v>
      </c>
      <c r="N302" s="48">
        <v>3122868</v>
      </c>
      <c r="O302" s="48">
        <v>2653866</v>
      </c>
      <c r="P302" s="48">
        <v>5776734</v>
      </c>
      <c r="Q302" s="48">
        <v>54.05</v>
      </c>
      <c r="S302" s="215">
        <v>45188</v>
      </c>
      <c r="T302" s="104">
        <v>4367270</v>
      </c>
      <c r="U302" s="104">
        <v>1361521</v>
      </c>
      <c r="V302" s="104">
        <v>5728791</v>
      </c>
      <c r="W302" s="104">
        <v>76.23</v>
      </c>
      <c r="Y302" s="215">
        <v>45188</v>
      </c>
      <c r="Z302" s="104">
        <v>2457041</v>
      </c>
      <c r="AA302" s="104">
        <v>372702</v>
      </c>
      <c r="AB302" s="104">
        <v>2829743</v>
      </c>
      <c r="AC302" s="104">
        <v>86.83</v>
      </c>
      <c r="AE302" s="215">
        <v>45188</v>
      </c>
      <c r="AF302" s="104">
        <v>1238896</v>
      </c>
      <c r="AG302" s="104">
        <v>10043</v>
      </c>
      <c r="AH302" s="104">
        <v>1248939</v>
      </c>
      <c r="AI302" s="104">
        <v>99.2</v>
      </c>
      <c r="AK302" s="215">
        <v>45188</v>
      </c>
      <c r="AL302" s="48">
        <v>1183116</v>
      </c>
      <c r="AM302" s="104">
        <v>0</v>
      </c>
      <c r="AN302" s="48">
        <v>1183116</v>
      </c>
      <c r="AO302" s="104">
        <v>100</v>
      </c>
      <c r="AQ302" s="215">
        <v>45188</v>
      </c>
      <c r="AR302" s="48">
        <v>416930</v>
      </c>
      <c r="AS302" s="48">
        <v>16882</v>
      </c>
      <c r="AT302" s="48">
        <v>433812</v>
      </c>
      <c r="AU302" s="104">
        <v>96.11</v>
      </c>
      <c r="AX302" s="215">
        <v>45188</v>
      </c>
      <c r="AY302" s="48">
        <v>416930</v>
      </c>
      <c r="AZ302" s="48">
        <v>16882</v>
      </c>
      <c r="BA302" s="48">
        <v>433812</v>
      </c>
      <c r="BB302" s="104">
        <v>96.11</v>
      </c>
    </row>
    <row r="303" spans="1:54" hidden="1" x14ac:dyDescent="0.25">
      <c r="A303" s="237">
        <v>45189</v>
      </c>
      <c r="B303" s="104">
        <v>14234664</v>
      </c>
      <c r="C303" s="104">
        <v>1180661</v>
      </c>
      <c r="D303" s="104">
        <v>15415325</v>
      </c>
      <c r="E303" s="104">
        <v>92.34</v>
      </c>
      <c r="G303" s="215">
        <v>45189</v>
      </c>
      <c r="H303" s="104">
        <v>286274</v>
      </c>
      <c r="I303" s="104">
        <v>30290</v>
      </c>
      <c r="J303" s="104">
        <v>316564</v>
      </c>
      <c r="K303" s="104">
        <v>90.43</v>
      </c>
      <c r="M303" s="215">
        <v>45189</v>
      </c>
      <c r="N303" s="48">
        <v>4044844</v>
      </c>
      <c r="O303" s="48">
        <v>3951851</v>
      </c>
      <c r="P303" s="48">
        <v>7996695</v>
      </c>
      <c r="Q303" s="48">
        <v>50.58</v>
      </c>
      <c r="S303" s="215">
        <v>45189</v>
      </c>
      <c r="T303" s="104">
        <v>3882803</v>
      </c>
      <c r="U303" s="104">
        <v>1338611</v>
      </c>
      <c r="V303" s="104">
        <v>5221414</v>
      </c>
      <c r="W303" s="104">
        <v>74.36</v>
      </c>
      <c r="Y303" s="215">
        <v>45189</v>
      </c>
      <c r="Z303" s="104">
        <v>2076874</v>
      </c>
      <c r="AA303" s="104">
        <v>368068</v>
      </c>
      <c r="AB303" s="104">
        <v>2444942</v>
      </c>
      <c r="AC303" s="104">
        <v>84.95</v>
      </c>
      <c r="AE303" s="215">
        <v>45189</v>
      </c>
      <c r="AF303" s="104">
        <v>1184454</v>
      </c>
      <c r="AG303" s="104">
        <v>9956</v>
      </c>
      <c r="AH303" s="104">
        <v>1194410</v>
      </c>
      <c r="AI303" s="104">
        <v>99.17</v>
      </c>
      <c r="AK303" s="215">
        <v>45189</v>
      </c>
      <c r="AL303" s="48">
        <v>1033649</v>
      </c>
      <c r="AM303" s="67">
        <v>0</v>
      </c>
      <c r="AN303" s="48">
        <v>1033649</v>
      </c>
      <c r="AO303" s="48">
        <v>100</v>
      </c>
      <c r="AQ303" s="215">
        <v>45189</v>
      </c>
      <c r="AR303" s="48">
        <v>204461</v>
      </c>
      <c r="AS303" s="67">
        <v>0</v>
      </c>
      <c r="AT303" s="48">
        <v>204461</v>
      </c>
      <c r="AU303" s="67">
        <v>100</v>
      </c>
      <c r="AX303" s="215">
        <v>45189</v>
      </c>
      <c r="AY303" s="48">
        <v>204461</v>
      </c>
      <c r="AZ303" s="67">
        <v>0</v>
      </c>
      <c r="BA303" s="48">
        <v>204461</v>
      </c>
      <c r="BB303" s="67">
        <v>100</v>
      </c>
    </row>
    <row r="304" spans="1:54" hidden="1" x14ac:dyDescent="0.25">
      <c r="A304" s="237">
        <v>45190</v>
      </c>
      <c r="B304" s="104">
        <v>14438892</v>
      </c>
      <c r="C304" s="104">
        <v>1137144</v>
      </c>
      <c r="D304" s="104">
        <v>15576036</v>
      </c>
      <c r="E304" s="104">
        <v>92.7</v>
      </c>
      <c r="G304" s="215">
        <v>45190</v>
      </c>
      <c r="H304" s="104">
        <v>290558</v>
      </c>
      <c r="I304" s="104">
        <v>67532</v>
      </c>
      <c r="J304" s="104">
        <v>358090</v>
      </c>
      <c r="K304" s="104">
        <v>81.14</v>
      </c>
      <c r="M304" s="215">
        <v>45190</v>
      </c>
      <c r="N304" s="48">
        <v>3535791</v>
      </c>
      <c r="O304" s="48">
        <v>3156274</v>
      </c>
      <c r="P304" s="48">
        <v>6692065</v>
      </c>
      <c r="Q304" s="48">
        <v>52.83</v>
      </c>
      <c r="S304" s="215">
        <v>45190</v>
      </c>
      <c r="T304" s="104">
        <v>504883</v>
      </c>
      <c r="U304" s="104">
        <v>947485</v>
      </c>
      <c r="V304" s="104">
        <v>1452368</v>
      </c>
      <c r="W304" s="104">
        <v>34.76</v>
      </c>
      <c r="Y304" s="215">
        <v>45190</v>
      </c>
      <c r="Z304" s="104">
        <v>2329947</v>
      </c>
      <c r="AA304" s="104">
        <v>378952</v>
      </c>
      <c r="AB304" s="104">
        <v>2708899</v>
      </c>
      <c r="AC304" s="104">
        <v>86.01</v>
      </c>
      <c r="AE304" s="215">
        <v>45190</v>
      </c>
      <c r="AF304" s="104">
        <v>1158585</v>
      </c>
      <c r="AG304" s="104">
        <v>8348</v>
      </c>
      <c r="AH304" s="104">
        <v>1166933</v>
      </c>
      <c r="AI304" s="104">
        <v>99.28</v>
      </c>
      <c r="AK304" s="215">
        <v>45190</v>
      </c>
      <c r="AL304" s="48">
        <v>806525</v>
      </c>
      <c r="AM304" s="67">
        <v>0</v>
      </c>
      <c r="AN304" s="48">
        <v>806525</v>
      </c>
      <c r="AO304" s="48">
        <v>100</v>
      </c>
      <c r="AQ304" s="215">
        <v>45190</v>
      </c>
      <c r="AR304" s="48">
        <v>197224</v>
      </c>
      <c r="AS304" s="67">
        <v>0</v>
      </c>
      <c r="AT304" s="48">
        <v>197224</v>
      </c>
      <c r="AU304" s="67">
        <v>100</v>
      </c>
      <c r="AX304" s="215">
        <v>45190</v>
      </c>
      <c r="AY304" s="48">
        <v>197224</v>
      </c>
      <c r="AZ304" s="67">
        <v>0</v>
      </c>
      <c r="BA304" s="48">
        <v>197224</v>
      </c>
      <c r="BB304" s="67">
        <v>100</v>
      </c>
    </row>
    <row r="305" spans="1:54" hidden="1" x14ac:dyDescent="0.25">
      <c r="A305" s="237">
        <v>45191</v>
      </c>
      <c r="B305" s="104">
        <v>14713011</v>
      </c>
      <c r="C305" s="104">
        <v>1249171</v>
      </c>
      <c r="D305" s="104">
        <v>15962182</v>
      </c>
      <c r="E305" s="104">
        <v>92.17</v>
      </c>
      <c r="G305" s="215">
        <v>45191</v>
      </c>
      <c r="H305" s="104">
        <v>277044</v>
      </c>
      <c r="I305" s="104">
        <v>24486</v>
      </c>
      <c r="J305" s="104">
        <v>301530</v>
      </c>
      <c r="K305" s="104">
        <v>91.88</v>
      </c>
      <c r="M305" s="215">
        <v>45191</v>
      </c>
      <c r="N305" s="48">
        <v>3030480</v>
      </c>
      <c r="O305" s="48">
        <v>5146785</v>
      </c>
      <c r="P305" s="48">
        <v>8177265</v>
      </c>
      <c r="Q305" s="48">
        <v>37.049999999999997</v>
      </c>
      <c r="S305" s="215">
        <v>45191</v>
      </c>
      <c r="T305" s="104">
        <v>519488</v>
      </c>
      <c r="U305" s="104">
        <v>946820</v>
      </c>
      <c r="V305" s="104">
        <v>1466308</v>
      </c>
      <c r="W305" s="104">
        <v>35.43</v>
      </c>
      <c r="Y305" s="215">
        <v>45191</v>
      </c>
      <c r="Z305" s="104">
        <v>2190002</v>
      </c>
      <c r="AA305" s="104">
        <v>365211</v>
      </c>
      <c r="AB305" s="104">
        <v>2555213</v>
      </c>
      <c r="AC305" s="104">
        <v>85.71</v>
      </c>
      <c r="AE305" s="215">
        <v>45191</v>
      </c>
      <c r="AF305" s="104">
        <v>1131413</v>
      </c>
      <c r="AG305" s="104">
        <v>8976</v>
      </c>
      <c r="AH305" s="104">
        <v>1140389</v>
      </c>
      <c r="AI305" s="104">
        <v>99.21</v>
      </c>
      <c r="AK305" s="215">
        <v>45191</v>
      </c>
      <c r="AL305" s="48">
        <v>1135966</v>
      </c>
      <c r="AM305" s="48">
        <v>11</v>
      </c>
      <c r="AN305" s="48">
        <v>1135977</v>
      </c>
      <c r="AO305" s="48">
        <v>100</v>
      </c>
      <c r="AQ305" s="215">
        <v>45191</v>
      </c>
      <c r="AR305" s="48">
        <v>197461</v>
      </c>
      <c r="AS305" s="48">
        <v>0</v>
      </c>
      <c r="AT305" s="48">
        <v>197461</v>
      </c>
      <c r="AU305" s="48">
        <v>100</v>
      </c>
      <c r="AX305" s="215">
        <v>45191</v>
      </c>
      <c r="AY305" s="48">
        <v>197461</v>
      </c>
      <c r="AZ305" s="48">
        <v>0</v>
      </c>
      <c r="BA305" s="48">
        <v>197461</v>
      </c>
      <c r="BB305" s="48">
        <v>100</v>
      </c>
    </row>
    <row r="306" spans="1:54" hidden="1" x14ac:dyDescent="0.25">
      <c r="A306" s="237">
        <v>45192</v>
      </c>
      <c r="B306" s="104">
        <v>13700683</v>
      </c>
      <c r="C306" s="104">
        <v>1002558</v>
      </c>
      <c r="D306" s="104">
        <v>14703241</v>
      </c>
      <c r="E306" s="104">
        <v>93.18</v>
      </c>
      <c r="G306" s="215">
        <v>45192</v>
      </c>
      <c r="H306" s="104">
        <v>270635</v>
      </c>
      <c r="I306" s="104">
        <v>24755</v>
      </c>
      <c r="J306" s="104">
        <v>295390</v>
      </c>
      <c r="K306" s="104">
        <v>91.62</v>
      </c>
      <c r="M306" s="215">
        <v>45192</v>
      </c>
      <c r="N306" s="48">
        <v>4365605</v>
      </c>
      <c r="O306" s="48">
        <v>3657478</v>
      </c>
      <c r="P306" s="48">
        <v>8023083</v>
      </c>
      <c r="Q306" s="48">
        <v>54.41</v>
      </c>
      <c r="S306" s="215">
        <v>45192</v>
      </c>
      <c r="T306" s="104">
        <v>698590</v>
      </c>
      <c r="U306" s="104">
        <v>909214</v>
      </c>
      <c r="V306" s="104">
        <v>1607804</v>
      </c>
      <c r="W306" s="104">
        <v>43.45</v>
      </c>
      <c r="Y306" s="215">
        <v>45192</v>
      </c>
      <c r="Z306" s="104">
        <v>2151273</v>
      </c>
      <c r="AA306" s="104">
        <v>374178</v>
      </c>
      <c r="AB306" s="104">
        <v>2525451</v>
      </c>
      <c r="AC306" s="104">
        <v>85.18</v>
      </c>
      <c r="AE306" s="215">
        <v>45192</v>
      </c>
      <c r="AF306" s="104">
        <v>1091772</v>
      </c>
      <c r="AG306" s="104">
        <v>9256</v>
      </c>
      <c r="AH306" s="104">
        <v>1101028</v>
      </c>
      <c r="AI306" s="104">
        <v>99.16</v>
      </c>
      <c r="AK306" s="215">
        <v>45192</v>
      </c>
      <c r="AL306" s="48">
        <v>1195257</v>
      </c>
      <c r="AM306" s="48">
        <v>0</v>
      </c>
      <c r="AN306" s="48">
        <v>1195257</v>
      </c>
      <c r="AO306" s="48">
        <v>100</v>
      </c>
      <c r="AQ306" s="215">
        <v>45192</v>
      </c>
      <c r="AR306" s="48">
        <v>192535</v>
      </c>
      <c r="AS306" s="48">
        <v>0</v>
      </c>
      <c r="AT306" s="48">
        <v>192535</v>
      </c>
      <c r="AU306" s="48">
        <v>100</v>
      </c>
      <c r="AX306" s="215">
        <v>45192</v>
      </c>
      <c r="AY306" s="48">
        <v>192535</v>
      </c>
      <c r="AZ306" s="48">
        <v>0</v>
      </c>
      <c r="BA306" s="48">
        <v>192535</v>
      </c>
      <c r="BB306" s="48">
        <v>100</v>
      </c>
    </row>
    <row r="307" spans="1:54" hidden="1" x14ac:dyDescent="0.25">
      <c r="A307" s="237">
        <v>45193</v>
      </c>
      <c r="B307" s="104">
        <v>12821965</v>
      </c>
      <c r="C307" s="104">
        <v>1081964</v>
      </c>
      <c r="D307" s="104">
        <v>13903929</v>
      </c>
      <c r="E307" s="104">
        <v>92.22</v>
      </c>
      <c r="G307" s="237">
        <v>45193</v>
      </c>
      <c r="H307" s="104">
        <v>440492</v>
      </c>
      <c r="I307" s="104">
        <v>16443</v>
      </c>
      <c r="J307" s="104">
        <v>456935</v>
      </c>
      <c r="K307" s="104">
        <v>96.4</v>
      </c>
      <c r="M307" s="237">
        <v>45193</v>
      </c>
      <c r="N307" s="48">
        <v>3496616</v>
      </c>
      <c r="O307" s="48">
        <v>3919894</v>
      </c>
      <c r="P307" s="48">
        <v>7416510</v>
      </c>
      <c r="Q307" s="48">
        <v>47.14</v>
      </c>
      <c r="S307" s="237">
        <v>45193</v>
      </c>
      <c r="T307" s="104">
        <v>74956</v>
      </c>
      <c r="U307" s="104">
        <v>27209</v>
      </c>
      <c r="V307" s="104">
        <v>102165</v>
      </c>
      <c r="W307" s="104">
        <v>73.37</v>
      </c>
      <c r="Y307" s="237">
        <v>45193</v>
      </c>
      <c r="Z307" s="104">
        <v>2112099</v>
      </c>
      <c r="AA307" s="104">
        <v>368058</v>
      </c>
      <c r="AB307" s="104">
        <v>2480157</v>
      </c>
      <c r="AC307" s="104">
        <v>85.16</v>
      </c>
      <c r="AE307" s="237">
        <v>45193</v>
      </c>
      <c r="AF307" s="104">
        <v>1043804</v>
      </c>
      <c r="AG307" s="104">
        <v>7199</v>
      </c>
      <c r="AH307" s="104">
        <v>1051003</v>
      </c>
      <c r="AI307" s="104">
        <v>99.32</v>
      </c>
      <c r="AK307" s="237">
        <v>45193</v>
      </c>
      <c r="AL307" s="48">
        <v>1020941</v>
      </c>
      <c r="AM307" s="48">
        <v>0</v>
      </c>
      <c r="AN307" s="48">
        <v>1020941</v>
      </c>
      <c r="AO307" s="48">
        <v>100</v>
      </c>
      <c r="AQ307" s="237">
        <v>45193</v>
      </c>
      <c r="AR307" s="48">
        <v>184120</v>
      </c>
      <c r="AS307" s="48">
        <v>0</v>
      </c>
      <c r="AT307" s="48">
        <v>192535</v>
      </c>
      <c r="AU307" s="48">
        <v>100</v>
      </c>
      <c r="AX307" s="237">
        <v>45193</v>
      </c>
      <c r="AY307" s="48">
        <v>184120</v>
      </c>
      <c r="AZ307" s="48">
        <v>0</v>
      </c>
      <c r="BA307" s="48">
        <v>192535</v>
      </c>
      <c r="BB307" s="48">
        <v>100</v>
      </c>
    </row>
    <row r="308" spans="1:54" hidden="1" x14ac:dyDescent="0.25">
      <c r="A308" s="215">
        <v>45194</v>
      </c>
      <c r="B308" s="104">
        <v>14668268</v>
      </c>
      <c r="C308" s="104">
        <v>1118246</v>
      </c>
      <c r="D308" s="104">
        <v>15786514</v>
      </c>
      <c r="E308" s="104">
        <v>92.92</v>
      </c>
      <c r="G308" s="215">
        <v>45194</v>
      </c>
      <c r="H308" s="104">
        <v>319735</v>
      </c>
      <c r="I308" s="104">
        <v>244444</v>
      </c>
      <c r="J308" s="104">
        <v>564179</v>
      </c>
      <c r="K308" s="104">
        <v>56.67</v>
      </c>
      <c r="M308" s="215">
        <v>45194</v>
      </c>
      <c r="N308" s="48">
        <v>3710025</v>
      </c>
      <c r="O308" s="48">
        <v>3504711</v>
      </c>
      <c r="P308" s="48">
        <v>7214736</v>
      </c>
      <c r="Q308" s="48">
        <v>51.42</v>
      </c>
      <c r="S308" s="215">
        <v>45194</v>
      </c>
      <c r="T308" s="104">
        <v>555556</v>
      </c>
      <c r="U308" s="104">
        <v>1146464</v>
      </c>
      <c r="V308" s="104">
        <v>1702020</v>
      </c>
      <c r="W308" s="104">
        <v>32.64</v>
      </c>
      <c r="Y308" s="215">
        <v>45194</v>
      </c>
      <c r="Z308" s="104">
        <v>1962580</v>
      </c>
      <c r="AA308" s="104">
        <v>348815</v>
      </c>
      <c r="AB308" s="104">
        <v>2311395</v>
      </c>
      <c r="AC308" s="104">
        <v>84.91</v>
      </c>
      <c r="AE308" s="215">
        <v>45194</v>
      </c>
      <c r="AF308" s="104">
        <v>1052901</v>
      </c>
      <c r="AG308" s="104">
        <v>8107</v>
      </c>
      <c r="AH308" s="104">
        <v>1061008</v>
      </c>
      <c r="AI308" s="104">
        <v>99.24</v>
      </c>
      <c r="AK308" s="215">
        <v>45194</v>
      </c>
      <c r="AL308" s="67">
        <v>794693</v>
      </c>
      <c r="AM308" s="67">
        <v>2207</v>
      </c>
      <c r="AN308" s="67">
        <v>796900</v>
      </c>
      <c r="AO308" s="67">
        <v>99.72</v>
      </c>
      <c r="AQ308" s="215">
        <v>45194</v>
      </c>
      <c r="AR308" s="48">
        <v>205375</v>
      </c>
      <c r="AS308" s="48">
        <v>3</v>
      </c>
      <c r="AT308" s="48">
        <v>205378</v>
      </c>
      <c r="AU308" s="48">
        <v>100</v>
      </c>
      <c r="AX308" s="215">
        <v>45194</v>
      </c>
      <c r="AY308" s="48">
        <v>205375</v>
      </c>
      <c r="AZ308" s="48">
        <v>3</v>
      </c>
      <c r="BA308" s="48">
        <v>205378</v>
      </c>
      <c r="BB308" s="48">
        <v>100</v>
      </c>
    </row>
    <row r="309" spans="1:54" hidden="1" x14ac:dyDescent="0.25">
      <c r="A309" s="215">
        <v>45195</v>
      </c>
      <c r="B309" s="104">
        <v>15474105</v>
      </c>
      <c r="C309" s="104">
        <v>1229877</v>
      </c>
      <c r="D309" s="104">
        <v>16703982</v>
      </c>
      <c r="E309" s="104">
        <v>92.64</v>
      </c>
      <c r="G309" s="215">
        <v>45195</v>
      </c>
      <c r="H309" s="104">
        <v>287376</v>
      </c>
      <c r="I309" s="104">
        <v>27869</v>
      </c>
      <c r="J309" s="104">
        <v>315245</v>
      </c>
      <c r="K309" s="104">
        <v>91.16</v>
      </c>
      <c r="M309" s="215">
        <v>45195</v>
      </c>
      <c r="N309" s="48">
        <v>3384487</v>
      </c>
      <c r="O309" s="48">
        <v>3498863</v>
      </c>
      <c r="P309" s="48">
        <v>6883350</v>
      </c>
      <c r="Q309" s="48">
        <v>49.17</v>
      </c>
      <c r="S309" s="215">
        <v>45195</v>
      </c>
      <c r="T309" s="104">
        <v>78454</v>
      </c>
      <c r="U309" s="104">
        <v>34081</v>
      </c>
      <c r="V309" s="104">
        <v>112535</v>
      </c>
      <c r="W309" s="104">
        <v>69.72</v>
      </c>
      <c r="Y309" s="215">
        <v>45195</v>
      </c>
      <c r="Z309" s="104">
        <v>1984655</v>
      </c>
      <c r="AA309" s="104">
        <v>328379</v>
      </c>
      <c r="AB309" s="104">
        <v>2313034</v>
      </c>
      <c r="AC309" s="104">
        <v>85.8</v>
      </c>
      <c r="AE309" s="215">
        <v>45195</v>
      </c>
      <c r="AF309" s="104">
        <v>1125986</v>
      </c>
      <c r="AG309" s="104">
        <v>8377</v>
      </c>
      <c r="AH309" s="104">
        <v>1134363</v>
      </c>
      <c r="AI309" s="104">
        <v>99.26</v>
      </c>
      <c r="AK309" s="215">
        <v>45195</v>
      </c>
      <c r="AL309" s="48">
        <v>1090194</v>
      </c>
      <c r="AM309" s="48">
        <v>0</v>
      </c>
      <c r="AN309" s="48">
        <v>1090194</v>
      </c>
      <c r="AO309" s="48">
        <v>100</v>
      </c>
      <c r="AQ309" s="215">
        <v>45195</v>
      </c>
      <c r="AR309" s="48">
        <v>203451</v>
      </c>
      <c r="AS309" s="48">
        <v>1</v>
      </c>
      <c r="AT309" s="48">
        <v>203452</v>
      </c>
      <c r="AU309" s="48">
        <v>100</v>
      </c>
      <c r="AX309" s="215">
        <v>45195</v>
      </c>
      <c r="AY309" s="48">
        <v>203451</v>
      </c>
      <c r="AZ309" s="48">
        <v>1</v>
      </c>
      <c r="BA309" s="48">
        <v>203452</v>
      </c>
      <c r="BB309" s="48">
        <v>100</v>
      </c>
    </row>
    <row r="310" spans="1:54" hidden="1" x14ac:dyDescent="0.25">
      <c r="A310" s="215">
        <v>45196</v>
      </c>
      <c r="B310" s="104">
        <v>13938742</v>
      </c>
      <c r="C310" s="104">
        <v>1231141</v>
      </c>
      <c r="D310" s="104">
        <v>15169883</v>
      </c>
      <c r="E310" s="104">
        <v>91.88</v>
      </c>
      <c r="G310" s="215">
        <v>45196</v>
      </c>
      <c r="H310" s="104">
        <v>276900</v>
      </c>
      <c r="I310" s="104">
        <v>28056</v>
      </c>
      <c r="J310" s="104">
        <v>304956</v>
      </c>
      <c r="K310" s="104">
        <v>90.8</v>
      </c>
      <c r="M310" s="215">
        <v>45196</v>
      </c>
      <c r="N310" s="48">
        <v>3332550</v>
      </c>
      <c r="O310" s="48">
        <v>4665577</v>
      </c>
      <c r="P310" s="48">
        <v>7998127</v>
      </c>
      <c r="Q310" s="48">
        <v>41.66</v>
      </c>
      <c r="S310" s="215">
        <v>45196</v>
      </c>
      <c r="T310" s="104">
        <v>2022694</v>
      </c>
      <c r="U310" s="104">
        <v>152001</v>
      </c>
      <c r="V310" s="104">
        <v>2174695</v>
      </c>
      <c r="W310" s="104">
        <v>93.01</v>
      </c>
      <c r="Y310" s="215">
        <v>45196</v>
      </c>
      <c r="Z310" s="104">
        <v>1697042</v>
      </c>
      <c r="AA310" s="104">
        <v>324532</v>
      </c>
      <c r="AB310" s="104">
        <v>2021574</v>
      </c>
      <c r="AC310" s="104">
        <v>83.95</v>
      </c>
      <c r="AE310" s="215">
        <v>45196</v>
      </c>
      <c r="AF310" s="104">
        <v>1067388</v>
      </c>
      <c r="AG310" s="104">
        <v>7999</v>
      </c>
      <c r="AH310" s="104">
        <v>1075387</v>
      </c>
      <c r="AI310" s="104">
        <v>99.26</v>
      </c>
      <c r="AK310" s="215">
        <v>45196</v>
      </c>
      <c r="AL310" s="48">
        <v>1031839</v>
      </c>
      <c r="AM310" s="48">
        <v>0</v>
      </c>
      <c r="AN310" s="48">
        <v>1031839</v>
      </c>
      <c r="AO310" s="48">
        <v>100</v>
      </c>
      <c r="AQ310" s="215">
        <v>45196</v>
      </c>
      <c r="AR310" s="48">
        <v>195980</v>
      </c>
      <c r="AS310" s="48">
        <v>0</v>
      </c>
      <c r="AT310" s="48">
        <v>195980</v>
      </c>
      <c r="AU310" s="48">
        <v>100</v>
      </c>
      <c r="AX310" s="215">
        <v>45196</v>
      </c>
      <c r="AY310" s="48">
        <v>195980</v>
      </c>
      <c r="AZ310" s="48">
        <v>0</v>
      </c>
      <c r="BA310" s="48">
        <v>195980</v>
      </c>
      <c r="BB310" s="48">
        <v>100</v>
      </c>
    </row>
    <row r="311" spans="1:54" hidden="1" x14ac:dyDescent="0.25">
      <c r="A311" s="215">
        <v>45197</v>
      </c>
      <c r="B311" s="104">
        <v>13969217</v>
      </c>
      <c r="C311" s="104">
        <v>1242495</v>
      </c>
      <c r="D311" s="104">
        <v>15211712</v>
      </c>
      <c r="E311" s="104">
        <v>91.83</v>
      </c>
      <c r="G311" s="215">
        <v>45197</v>
      </c>
      <c r="H311" s="104">
        <v>1515871</v>
      </c>
      <c r="I311" s="104">
        <v>340391</v>
      </c>
      <c r="J311" s="104">
        <v>1856262</v>
      </c>
      <c r="K311" s="104">
        <v>81.66</v>
      </c>
      <c r="M311" s="215">
        <v>45197</v>
      </c>
      <c r="N311" s="48">
        <v>4069553</v>
      </c>
      <c r="O311" s="48">
        <v>3802477</v>
      </c>
      <c r="P311" s="48">
        <v>7872030</v>
      </c>
      <c r="Q311" s="48">
        <v>51.7</v>
      </c>
      <c r="S311" s="215">
        <v>45197</v>
      </c>
      <c r="T311" s="104">
        <v>1025508</v>
      </c>
      <c r="U311" s="104">
        <v>2168894</v>
      </c>
      <c r="V311" s="104">
        <v>3194402</v>
      </c>
      <c r="W311" s="104">
        <v>32.1</v>
      </c>
      <c r="Y311" s="215">
        <v>45197</v>
      </c>
      <c r="Z311" s="104">
        <v>1914894</v>
      </c>
      <c r="AA311" s="104">
        <v>316660</v>
      </c>
      <c r="AB311" s="104">
        <v>2231554</v>
      </c>
      <c r="AC311" s="104">
        <v>85.81</v>
      </c>
      <c r="AE311" s="215">
        <v>45197</v>
      </c>
      <c r="AF311" s="104">
        <v>1023903</v>
      </c>
      <c r="AG311" s="104">
        <v>7537</v>
      </c>
      <c r="AH311" s="104">
        <v>1031440</v>
      </c>
      <c r="AI311" s="104">
        <v>99.27</v>
      </c>
      <c r="AK311" s="215">
        <v>45197</v>
      </c>
      <c r="AL311" s="48">
        <v>814793</v>
      </c>
      <c r="AM311" s="48">
        <v>0</v>
      </c>
      <c r="AN311" s="48">
        <v>814793</v>
      </c>
      <c r="AO311" s="48">
        <v>100</v>
      </c>
      <c r="AQ311" s="215">
        <v>45197</v>
      </c>
      <c r="AR311" s="48">
        <v>675165</v>
      </c>
      <c r="AS311" s="48">
        <v>622</v>
      </c>
      <c r="AT311" s="48">
        <v>675787</v>
      </c>
      <c r="AU311" s="48">
        <v>99.91</v>
      </c>
      <c r="AX311" s="215">
        <v>45197</v>
      </c>
      <c r="AY311" s="48">
        <v>675165</v>
      </c>
      <c r="AZ311" s="48">
        <v>622</v>
      </c>
      <c r="BA311" s="48">
        <v>675787</v>
      </c>
      <c r="BB311" s="48">
        <v>99.91</v>
      </c>
    </row>
    <row r="312" spans="1:54" hidden="1" x14ac:dyDescent="0.25">
      <c r="A312" s="215">
        <v>45198</v>
      </c>
      <c r="B312" s="104">
        <v>14986412</v>
      </c>
      <c r="C312" s="104">
        <v>1212888</v>
      </c>
      <c r="D312" s="104">
        <v>16199300</v>
      </c>
      <c r="E312" s="104">
        <v>92.51</v>
      </c>
      <c r="G312" s="215">
        <v>45198</v>
      </c>
      <c r="H312" s="104">
        <v>6439688</v>
      </c>
      <c r="I312" s="104">
        <v>2365315</v>
      </c>
      <c r="J312" s="104">
        <v>8805003</v>
      </c>
      <c r="K312" s="104">
        <v>73.14</v>
      </c>
      <c r="M312" s="215">
        <v>45198</v>
      </c>
      <c r="N312" s="48">
        <v>3754131</v>
      </c>
      <c r="O312" s="48">
        <v>4184626</v>
      </c>
      <c r="P312" s="48">
        <v>7938757</v>
      </c>
      <c r="Q312" s="48">
        <v>47.28</v>
      </c>
      <c r="S312" s="215">
        <v>45198</v>
      </c>
      <c r="T312" s="104">
        <v>500734</v>
      </c>
      <c r="U312" s="104">
        <v>1099275</v>
      </c>
      <c r="V312" s="104">
        <v>1600009</v>
      </c>
      <c r="W312" s="104">
        <v>31.3</v>
      </c>
      <c r="Y312" s="215">
        <v>45198</v>
      </c>
      <c r="Z312" s="104">
        <v>1941508</v>
      </c>
      <c r="AA312" s="104">
        <v>300882</v>
      </c>
      <c r="AB312" s="104">
        <v>2242390</v>
      </c>
      <c r="AC312" s="104">
        <v>86.58</v>
      </c>
      <c r="AE312" s="215">
        <v>45198</v>
      </c>
      <c r="AF312" s="104">
        <v>1215069</v>
      </c>
      <c r="AG312" s="104">
        <v>8371</v>
      </c>
      <c r="AH312" s="104">
        <v>1223440</v>
      </c>
      <c r="AI312" s="104">
        <v>99.32</v>
      </c>
      <c r="AK312" s="215">
        <v>45198</v>
      </c>
      <c r="AL312" s="48">
        <v>1032563</v>
      </c>
      <c r="AM312" s="48">
        <v>0</v>
      </c>
      <c r="AN312" s="48">
        <v>1032563</v>
      </c>
      <c r="AO312" s="48">
        <v>100</v>
      </c>
      <c r="AQ312" s="215">
        <v>45198</v>
      </c>
      <c r="AR312" s="48">
        <v>2803114</v>
      </c>
      <c r="AS312" s="48">
        <v>0</v>
      </c>
      <c r="AT312" s="48">
        <v>2803114</v>
      </c>
      <c r="AU312" s="48">
        <v>100</v>
      </c>
      <c r="AX312" s="215">
        <v>45198</v>
      </c>
      <c r="AY312" s="48">
        <v>2803114</v>
      </c>
      <c r="AZ312" s="48">
        <v>0</v>
      </c>
      <c r="BA312" s="48">
        <v>2803114</v>
      </c>
      <c r="BB312" s="48">
        <v>100</v>
      </c>
    </row>
    <row r="313" spans="1:54" hidden="1" x14ac:dyDescent="0.25">
      <c r="A313" s="215">
        <v>45199</v>
      </c>
      <c r="B313" s="104">
        <v>14924066</v>
      </c>
      <c r="C313" s="104">
        <v>1289306</v>
      </c>
      <c r="D313" s="104">
        <v>16213372</v>
      </c>
      <c r="E313" s="104">
        <v>92.05</v>
      </c>
      <c r="G313" s="215">
        <v>45199</v>
      </c>
      <c r="H313" s="104">
        <v>6492036</v>
      </c>
      <c r="I313" s="104">
        <v>2376651</v>
      </c>
      <c r="J313" s="104">
        <v>8868687</v>
      </c>
      <c r="K313" s="104">
        <v>73.2</v>
      </c>
      <c r="M313" s="215">
        <v>45199</v>
      </c>
      <c r="N313" s="48">
        <v>3969711</v>
      </c>
      <c r="O313" s="48">
        <v>3385116</v>
      </c>
      <c r="P313" s="48">
        <v>7354827</v>
      </c>
      <c r="Q313" s="48">
        <v>53.97</v>
      </c>
      <c r="S313" s="215">
        <v>45199</v>
      </c>
      <c r="T313" s="104">
        <v>430521</v>
      </c>
      <c r="U313" s="104">
        <v>953329</v>
      </c>
      <c r="V313" s="104">
        <v>1383850</v>
      </c>
      <c r="W313" s="104">
        <v>31.11</v>
      </c>
      <c r="Y313" s="215">
        <v>45199</v>
      </c>
      <c r="Z313" s="104">
        <v>2262441</v>
      </c>
      <c r="AA313" s="104">
        <v>321818</v>
      </c>
      <c r="AB313" s="104">
        <v>2584259</v>
      </c>
      <c r="AC313" s="104">
        <v>87.55</v>
      </c>
      <c r="AE313" s="215">
        <v>45199</v>
      </c>
      <c r="AF313" s="104">
        <v>1177982</v>
      </c>
      <c r="AG313" s="104">
        <v>8343</v>
      </c>
      <c r="AH313" s="104">
        <v>1186325</v>
      </c>
      <c r="AI313" s="104">
        <v>99.3</v>
      </c>
      <c r="AK313" s="215">
        <v>45199</v>
      </c>
      <c r="AL313" s="48">
        <v>617722</v>
      </c>
      <c r="AM313" s="48">
        <v>2</v>
      </c>
      <c r="AN313" s="48">
        <v>617724</v>
      </c>
      <c r="AO313" s="48">
        <v>100</v>
      </c>
      <c r="AQ313" s="215">
        <v>45199</v>
      </c>
      <c r="AR313" s="48">
        <v>2902471</v>
      </c>
      <c r="AS313" s="48">
        <v>0</v>
      </c>
      <c r="AT313" s="48">
        <v>2902471</v>
      </c>
      <c r="AU313" s="48">
        <v>100</v>
      </c>
      <c r="AX313" s="215">
        <v>45199</v>
      </c>
      <c r="AY313" s="48">
        <v>2902471</v>
      </c>
      <c r="AZ313" s="48">
        <v>0</v>
      </c>
      <c r="BA313" s="48">
        <v>2902471</v>
      </c>
      <c r="BB313" s="48">
        <v>100</v>
      </c>
    </row>
    <row r="314" spans="1:54" hidden="1" x14ac:dyDescent="0.25">
      <c r="A314" s="215">
        <v>45200</v>
      </c>
      <c r="B314" s="104">
        <v>12270846</v>
      </c>
      <c r="C314" s="104">
        <v>1050439</v>
      </c>
      <c r="D314" s="104">
        <v>13321285</v>
      </c>
      <c r="E314" s="104">
        <v>92.11</v>
      </c>
      <c r="G314" s="215">
        <v>45200</v>
      </c>
      <c r="H314" s="104">
        <v>603530</v>
      </c>
      <c r="I314" s="104">
        <v>367186</v>
      </c>
      <c r="J314" s="104">
        <v>970716</v>
      </c>
      <c r="K314" s="104">
        <v>62.17</v>
      </c>
      <c r="M314" s="215">
        <v>45200</v>
      </c>
      <c r="N314" s="48">
        <v>3842640</v>
      </c>
      <c r="O314" s="48">
        <v>4147678</v>
      </c>
      <c r="P314" s="48">
        <v>7990318</v>
      </c>
      <c r="Q314" s="48">
        <v>48.09</v>
      </c>
      <c r="S314" s="215">
        <v>45200</v>
      </c>
      <c r="T314" s="104">
        <v>20169</v>
      </c>
      <c r="U314" s="104">
        <v>3211</v>
      </c>
      <c r="V314" s="104">
        <v>23380</v>
      </c>
      <c r="W314" s="104">
        <v>86.27</v>
      </c>
      <c r="Y314" s="215">
        <v>45200</v>
      </c>
      <c r="Z314" s="104">
        <v>1992273</v>
      </c>
      <c r="AA314" s="104">
        <v>343386</v>
      </c>
      <c r="AB314" s="104">
        <v>2335659</v>
      </c>
      <c r="AC314" s="104">
        <v>85.3</v>
      </c>
      <c r="AE314" s="215">
        <v>45200</v>
      </c>
      <c r="AF314" s="104">
        <v>1132210</v>
      </c>
      <c r="AG314" s="104">
        <v>8233</v>
      </c>
      <c r="AH314" s="104">
        <v>1140443</v>
      </c>
      <c r="AI314" s="104">
        <v>99.28</v>
      </c>
      <c r="AK314" s="215">
        <v>45200</v>
      </c>
      <c r="AL314" s="48">
        <v>242107</v>
      </c>
      <c r="AM314" s="48">
        <v>2062</v>
      </c>
      <c r="AN314" s="48">
        <v>244169</v>
      </c>
      <c r="AO314" s="48">
        <v>99.16</v>
      </c>
      <c r="AQ314" s="215">
        <v>45200</v>
      </c>
      <c r="AR314" s="48">
        <v>231345</v>
      </c>
      <c r="AS314" s="48">
        <v>0</v>
      </c>
      <c r="AT314" s="48">
        <v>231345</v>
      </c>
      <c r="AU314" s="48">
        <v>100</v>
      </c>
      <c r="AX314" s="215">
        <v>45200</v>
      </c>
      <c r="AY314" s="48">
        <v>231345</v>
      </c>
      <c r="AZ314" s="48">
        <v>0</v>
      </c>
      <c r="BA314" s="48">
        <v>231345</v>
      </c>
      <c r="BB314" s="48">
        <v>100</v>
      </c>
    </row>
    <row r="315" spans="1:54" hidden="1" x14ac:dyDescent="0.25">
      <c r="A315" s="215">
        <v>45201</v>
      </c>
      <c r="B315" s="104">
        <v>15136336</v>
      </c>
      <c r="C315" s="104">
        <v>1172508</v>
      </c>
      <c r="D315" s="104">
        <v>16308844</v>
      </c>
      <c r="E315" s="104">
        <v>92.81</v>
      </c>
      <c r="G315" s="215">
        <v>45201</v>
      </c>
      <c r="H315" s="104">
        <v>4286321</v>
      </c>
      <c r="I315" s="104">
        <v>1679368</v>
      </c>
      <c r="J315" s="104">
        <v>5965689</v>
      </c>
      <c r="K315" s="104">
        <v>71.849999999999994</v>
      </c>
      <c r="M315" s="215">
        <v>45201</v>
      </c>
      <c r="N315" s="48">
        <v>3442776</v>
      </c>
      <c r="O315" s="48">
        <v>2874366</v>
      </c>
      <c r="P315" s="48">
        <v>6317142</v>
      </c>
      <c r="Q315" s="48">
        <v>54.49</v>
      </c>
      <c r="S315" s="215">
        <v>45201</v>
      </c>
      <c r="T315" s="104">
        <v>1479825</v>
      </c>
      <c r="U315" s="104">
        <v>2601409</v>
      </c>
      <c r="V315" s="104">
        <v>4081234</v>
      </c>
      <c r="W315" s="104">
        <v>36.26</v>
      </c>
      <c r="Y315" s="215">
        <v>45201</v>
      </c>
      <c r="Z315" s="104">
        <v>1958303</v>
      </c>
      <c r="AA315" s="104">
        <v>333780</v>
      </c>
      <c r="AB315" s="104">
        <v>2292083</v>
      </c>
      <c r="AC315" s="104">
        <v>85.44</v>
      </c>
      <c r="AE315" s="215">
        <v>45201</v>
      </c>
      <c r="AF315" s="104">
        <v>1046539</v>
      </c>
      <c r="AG315" s="104">
        <v>8925</v>
      </c>
      <c r="AH315" s="104">
        <v>1055464</v>
      </c>
      <c r="AI315" s="104">
        <v>99.15</v>
      </c>
      <c r="AK315" s="215">
        <v>45201</v>
      </c>
      <c r="AL315" s="48">
        <v>1096328</v>
      </c>
      <c r="AM315" s="48">
        <v>2146</v>
      </c>
      <c r="AN315" s="48">
        <v>1098474</v>
      </c>
      <c r="AO315" s="48">
        <v>99.8</v>
      </c>
      <c r="AQ315" s="215">
        <v>45201</v>
      </c>
      <c r="AR315" s="48">
        <v>1883451</v>
      </c>
      <c r="AS315" s="48">
        <v>0</v>
      </c>
      <c r="AT315" s="48">
        <v>1883451</v>
      </c>
      <c r="AU315" s="48">
        <v>100</v>
      </c>
      <c r="AX315" s="215">
        <v>45201</v>
      </c>
      <c r="AY315" s="48">
        <v>1883451</v>
      </c>
      <c r="AZ315" s="48">
        <v>0</v>
      </c>
      <c r="BA315" s="48">
        <v>1883451</v>
      </c>
      <c r="BB315" s="48">
        <v>100</v>
      </c>
    </row>
    <row r="316" spans="1:54" hidden="1" x14ac:dyDescent="0.25">
      <c r="A316" s="215">
        <v>45202</v>
      </c>
      <c r="B316" s="104">
        <v>15428796</v>
      </c>
      <c r="C316" s="104">
        <v>1260648</v>
      </c>
      <c r="D316" s="104">
        <v>16689444</v>
      </c>
      <c r="E316" s="104">
        <v>92.45</v>
      </c>
      <c r="G316" s="215">
        <v>45202</v>
      </c>
      <c r="H316" s="104">
        <v>5321863</v>
      </c>
      <c r="I316" s="104">
        <v>2105330</v>
      </c>
      <c r="J316" s="104">
        <v>7427193</v>
      </c>
      <c r="K316" s="104">
        <v>71.650000000000006</v>
      </c>
      <c r="M316" s="215">
        <v>45202</v>
      </c>
      <c r="N316" s="48">
        <v>4028798</v>
      </c>
      <c r="O316" s="48">
        <v>3897026</v>
      </c>
      <c r="P316" s="48">
        <v>7925824</v>
      </c>
      <c r="Q316" s="48">
        <v>50.83</v>
      </c>
      <c r="S316" s="215">
        <v>45202</v>
      </c>
      <c r="T316" s="104">
        <v>1485678</v>
      </c>
      <c r="U316" s="104">
        <v>2605687</v>
      </c>
      <c r="V316" s="104">
        <v>4091365</v>
      </c>
      <c r="W316" s="104">
        <v>36.31</v>
      </c>
      <c r="Y316" s="215">
        <v>45202</v>
      </c>
      <c r="Z316" s="104">
        <v>1897950</v>
      </c>
      <c r="AA316" s="104">
        <v>321770</v>
      </c>
      <c r="AB316" s="104">
        <v>2219720</v>
      </c>
      <c r="AC316" s="104">
        <v>85.5</v>
      </c>
      <c r="AE316" s="215">
        <v>45202</v>
      </c>
      <c r="AF316" s="104">
        <v>1115640</v>
      </c>
      <c r="AG316" s="104">
        <v>8761</v>
      </c>
      <c r="AH316" s="104">
        <v>1124401</v>
      </c>
      <c r="AI316" s="104">
        <v>99.22</v>
      </c>
      <c r="AK316" s="215">
        <v>45202</v>
      </c>
      <c r="AL316" s="48">
        <v>999624</v>
      </c>
      <c r="AM316" s="48">
        <v>0</v>
      </c>
      <c r="AN316" s="48">
        <v>999624</v>
      </c>
      <c r="AO316" s="48">
        <v>100</v>
      </c>
      <c r="AQ316" s="215">
        <v>45202</v>
      </c>
      <c r="AR316" s="48">
        <v>2355494</v>
      </c>
      <c r="AS316" s="48">
        <v>0</v>
      </c>
      <c r="AT316" s="48">
        <v>2355494</v>
      </c>
      <c r="AU316" s="48">
        <v>100</v>
      </c>
      <c r="AX316" s="215">
        <v>45202</v>
      </c>
      <c r="AY316" s="48">
        <v>2355494</v>
      </c>
      <c r="AZ316" s="48">
        <v>0</v>
      </c>
      <c r="BA316" s="48">
        <v>2355494</v>
      </c>
      <c r="BB316" s="48">
        <v>100</v>
      </c>
    </row>
    <row r="317" spans="1:54" hidden="1" x14ac:dyDescent="0.25">
      <c r="A317" s="215">
        <v>45203</v>
      </c>
      <c r="B317" s="104">
        <v>14850802</v>
      </c>
      <c r="C317" s="104">
        <v>1166313</v>
      </c>
      <c r="D317" s="104">
        <v>16017115</v>
      </c>
      <c r="E317" s="104">
        <v>92.72</v>
      </c>
      <c r="G317" s="215">
        <v>45203</v>
      </c>
      <c r="H317" s="104">
        <v>6671816</v>
      </c>
      <c r="I317" s="104">
        <v>2347840</v>
      </c>
      <c r="J317" s="104">
        <v>9019656</v>
      </c>
      <c r="K317" s="104">
        <v>73.97</v>
      </c>
      <c r="M317" s="215">
        <v>45203</v>
      </c>
      <c r="N317" s="48">
        <v>3927950</v>
      </c>
      <c r="O317" s="48">
        <v>4051796</v>
      </c>
      <c r="P317" s="48">
        <v>7979746</v>
      </c>
      <c r="Q317" s="48">
        <v>49.2</v>
      </c>
      <c r="S317" s="215">
        <v>45203</v>
      </c>
      <c r="T317" s="104">
        <v>1494959</v>
      </c>
      <c r="U317" s="104">
        <v>2611894</v>
      </c>
      <c r="V317" s="104">
        <v>4106853</v>
      </c>
      <c r="W317" s="104">
        <v>36.4</v>
      </c>
      <c r="Y317" s="215">
        <v>45203</v>
      </c>
      <c r="Z317" s="104">
        <v>2156582</v>
      </c>
      <c r="AA317" s="104">
        <v>323056</v>
      </c>
      <c r="AB317" s="104">
        <v>2479638</v>
      </c>
      <c r="AC317" s="104">
        <v>86.97</v>
      </c>
      <c r="AE317" s="215">
        <v>45203</v>
      </c>
      <c r="AF317" s="104">
        <v>1082604</v>
      </c>
      <c r="AG317" s="104">
        <v>8261</v>
      </c>
      <c r="AH317" s="104">
        <v>1090865</v>
      </c>
      <c r="AI317" s="104">
        <v>99.24</v>
      </c>
      <c r="AK317" s="215">
        <v>45203</v>
      </c>
      <c r="AL317" s="48">
        <v>1012714</v>
      </c>
      <c r="AM317" s="48">
        <v>0</v>
      </c>
      <c r="AN317" s="48">
        <v>1012714</v>
      </c>
      <c r="AO317" s="48">
        <v>100</v>
      </c>
      <c r="AQ317" s="215">
        <v>45203</v>
      </c>
      <c r="AR317" s="48">
        <v>2991459</v>
      </c>
      <c r="AS317" s="48">
        <v>0</v>
      </c>
      <c r="AT317" s="48">
        <v>2991459</v>
      </c>
      <c r="AU317" s="48">
        <v>100</v>
      </c>
      <c r="AX317" s="215">
        <v>45203</v>
      </c>
      <c r="AY317" s="48">
        <v>2991459</v>
      </c>
      <c r="AZ317" s="48">
        <v>0</v>
      </c>
      <c r="BA317" s="48">
        <v>2991459</v>
      </c>
      <c r="BB317" s="48">
        <v>100</v>
      </c>
    </row>
    <row r="318" spans="1:54" hidden="1" x14ac:dyDescent="0.25">
      <c r="A318" s="215">
        <v>45204</v>
      </c>
      <c r="B318" s="104">
        <v>14732767</v>
      </c>
      <c r="C318" s="104">
        <v>1149582</v>
      </c>
      <c r="D318" s="104">
        <v>15882349</v>
      </c>
      <c r="E318" s="104">
        <v>92.76</v>
      </c>
      <c r="G318" s="215">
        <v>45204</v>
      </c>
      <c r="H318" s="104">
        <v>5913902</v>
      </c>
      <c r="I318" s="104">
        <v>2199761</v>
      </c>
      <c r="J318" s="104">
        <v>8113663</v>
      </c>
      <c r="K318" s="104">
        <v>72.89</v>
      </c>
      <c r="M318" s="215">
        <v>45204</v>
      </c>
      <c r="N318" s="48">
        <v>3805866</v>
      </c>
      <c r="O318" s="48">
        <v>3682939</v>
      </c>
      <c r="P318" s="48">
        <v>7488805</v>
      </c>
      <c r="Q318" s="48">
        <v>50.82</v>
      </c>
      <c r="S318" s="215">
        <v>45204</v>
      </c>
      <c r="T318" s="104">
        <v>1492681</v>
      </c>
      <c r="U318" s="104">
        <v>2606584</v>
      </c>
      <c r="V318" s="104">
        <v>4099265</v>
      </c>
      <c r="W318" s="104">
        <v>36.409999999999997</v>
      </c>
      <c r="Y318" s="215">
        <v>45204</v>
      </c>
      <c r="Z318" s="104">
        <v>2791684</v>
      </c>
      <c r="AA318" s="104">
        <v>463617</v>
      </c>
      <c r="AB318" s="104">
        <v>3255301</v>
      </c>
      <c r="AC318" s="104">
        <v>85.76</v>
      </c>
      <c r="AE318" s="215">
        <v>45204</v>
      </c>
      <c r="AF318" s="104">
        <v>1060634</v>
      </c>
      <c r="AG318" s="104">
        <v>7806</v>
      </c>
      <c r="AH318" s="104">
        <v>1068440</v>
      </c>
      <c r="AI318" s="104">
        <v>99.27</v>
      </c>
      <c r="AK318" s="215">
        <v>45204</v>
      </c>
      <c r="AL318" s="48">
        <v>823454</v>
      </c>
      <c r="AM318" s="48">
        <v>0</v>
      </c>
      <c r="AN318" s="48">
        <v>823454</v>
      </c>
      <c r="AO318" s="48">
        <v>100</v>
      </c>
      <c r="AQ318" s="215">
        <v>45204</v>
      </c>
      <c r="AR318" s="48">
        <v>2605290</v>
      </c>
      <c r="AS318" s="48">
        <v>483</v>
      </c>
      <c r="AT318" s="48">
        <v>2605773</v>
      </c>
      <c r="AU318" s="48">
        <v>99.98</v>
      </c>
      <c r="AX318" s="215">
        <v>45204</v>
      </c>
      <c r="AY318" s="48">
        <v>2605290</v>
      </c>
      <c r="AZ318" s="48">
        <v>483</v>
      </c>
      <c r="BA318" s="48">
        <v>2605773</v>
      </c>
      <c r="BB318" s="48">
        <v>99.98</v>
      </c>
    </row>
    <row r="319" spans="1:54" hidden="1" x14ac:dyDescent="0.25">
      <c r="A319" s="215">
        <v>45205</v>
      </c>
      <c r="B319" s="48">
        <v>15298681</v>
      </c>
      <c r="C319" s="48">
        <v>818791</v>
      </c>
      <c r="D319" s="48">
        <v>16117472</v>
      </c>
      <c r="E319" s="48">
        <v>94.91</v>
      </c>
      <c r="G319" s="215">
        <v>45205</v>
      </c>
      <c r="H319" s="48">
        <v>246864</v>
      </c>
      <c r="I319" s="48">
        <v>132675</v>
      </c>
      <c r="J319" s="48">
        <v>379539</v>
      </c>
      <c r="K319" s="48">
        <v>65.040000000000006</v>
      </c>
      <c r="M319" s="215">
        <v>45205</v>
      </c>
      <c r="N319" s="48">
        <v>3363663</v>
      </c>
      <c r="O319" s="48">
        <v>3539517</v>
      </c>
      <c r="P319" s="48">
        <v>6903180</v>
      </c>
      <c r="Q319" s="48">
        <v>48.72</v>
      </c>
      <c r="S319" s="215">
        <v>45205</v>
      </c>
      <c r="T319" s="1">
        <v>1448475</v>
      </c>
      <c r="U319" s="1">
        <v>2428883</v>
      </c>
      <c r="V319" s="1">
        <v>3877358</v>
      </c>
      <c r="W319" s="1">
        <v>37.35</v>
      </c>
      <c r="Y319" s="215">
        <v>45205</v>
      </c>
      <c r="Z319" s="1">
        <v>2161779</v>
      </c>
      <c r="AA319" s="1">
        <v>278981</v>
      </c>
      <c r="AB319" s="1">
        <v>2440760</v>
      </c>
      <c r="AC319" s="1">
        <v>88.56</v>
      </c>
      <c r="AE319" s="215">
        <v>45205</v>
      </c>
      <c r="AF319" s="1">
        <v>1126784</v>
      </c>
      <c r="AG319" s="1">
        <v>8461</v>
      </c>
      <c r="AH319" s="1">
        <v>1135245</v>
      </c>
      <c r="AI319" s="1">
        <v>99.25</v>
      </c>
      <c r="AK319" s="215">
        <v>45205</v>
      </c>
      <c r="AL319" s="67">
        <v>187117</v>
      </c>
      <c r="AM319" s="67">
        <v>14034</v>
      </c>
      <c r="AN319" s="67">
        <v>201151</v>
      </c>
      <c r="AO319" s="67">
        <v>93.02</v>
      </c>
      <c r="AQ319" s="215">
        <v>45205</v>
      </c>
      <c r="AR319" s="67">
        <v>165081</v>
      </c>
      <c r="AS319" s="67">
        <v>29305</v>
      </c>
      <c r="AT319" s="67">
        <v>194386</v>
      </c>
      <c r="AU319" s="67">
        <v>84.92</v>
      </c>
      <c r="AX319" s="215">
        <v>45205</v>
      </c>
      <c r="AY319" s="67">
        <v>165081</v>
      </c>
      <c r="AZ319" s="67">
        <v>29305</v>
      </c>
      <c r="BA319" s="67">
        <v>194386</v>
      </c>
      <c r="BB319" s="67">
        <v>84.92</v>
      </c>
    </row>
    <row r="320" spans="1:54" hidden="1" x14ac:dyDescent="0.25">
      <c r="A320" s="215">
        <v>45206</v>
      </c>
      <c r="B320" s="48">
        <v>14927073</v>
      </c>
      <c r="C320" s="48">
        <v>1264443</v>
      </c>
      <c r="D320" s="48">
        <v>16191516</v>
      </c>
      <c r="E320" s="48">
        <v>92.19</v>
      </c>
      <c r="G320" s="215">
        <v>45206</v>
      </c>
      <c r="H320" s="48">
        <v>240158</v>
      </c>
      <c r="I320" s="48">
        <v>19923</v>
      </c>
      <c r="J320" s="48">
        <v>260081</v>
      </c>
      <c r="K320" s="48">
        <v>92.33</v>
      </c>
      <c r="M320" s="215">
        <v>45206</v>
      </c>
      <c r="N320" s="48">
        <v>4395511</v>
      </c>
      <c r="O320" s="48">
        <v>3538631</v>
      </c>
      <c r="P320" s="48">
        <v>7934142</v>
      </c>
      <c r="Q320" s="48">
        <v>55.39</v>
      </c>
      <c r="S320" s="215">
        <v>45206</v>
      </c>
      <c r="T320" s="1">
        <v>1453040</v>
      </c>
      <c r="U320" s="1">
        <v>2560713</v>
      </c>
      <c r="V320" s="1">
        <v>4013753</v>
      </c>
      <c r="W320" s="1">
        <v>36.200000000000003</v>
      </c>
      <c r="Y320" s="215">
        <v>45206</v>
      </c>
      <c r="Z320" s="1">
        <v>2147561</v>
      </c>
      <c r="AA320" s="1">
        <v>392170</v>
      </c>
      <c r="AB320" s="1">
        <v>2539731</v>
      </c>
      <c r="AC320" s="1">
        <v>84.55</v>
      </c>
      <c r="AE320" s="215">
        <v>45206</v>
      </c>
      <c r="AF320" s="1">
        <v>1105182</v>
      </c>
      <c r="AG320" s="1">
        <v>7346</v>
      </c>
      <c r="AH320" s="1">
        <v>1112528</v>
      </c>
      <c r="AI320" s="1">
        <v>99.33</v>
      </c>
      <c r="AK320" s="215">
        <v>45206</v>
      </c>
      <c r="AL320" s="67">
        <v>211432</v>
      </c>
      <c r="AM320" s="67">
        <v>318794</v>
      </c>
      <c r="AN320" s="67">
        <v>530226</v>
      </c>
      <c r="AO320" s="67">
        <v>39.880000000000003</v>
      </c>
      <c r="AQ320" s="215">
        <v>45206</v>
      </c>
      <c r="AR320" s="67">
        <v>169378</v>
      </c>
      <c r="AS320" s="67">
        <v>52106</v>
      </c>
      <c r="AT320" s="67">
        <v>221484</v>
      </c>
      <c r="AU320" s="67">
        <v>76.47</v>
      </c>
      <c r="AX320" s="215">
        <v>45206</v>
      </c>
      <c r="AY320" s="67">
        <v>169378</v>
      </c>
      <c r="AZ320" s="67">
        <v>52106</v>
      </c>
      <c r="BA320" s="67">
        <v>221484</v>
      </c>
      <c r="BB320" s="67">
        <v>76.47</v>
      </c>
    </row>
    <row r="321" spans="1:55" hidden="1" x14ac:dyDescent="0.25">
      <c r="A321" s="215">
        <v>45207</v>
      </c>
      <c r="B321" s="48">
        <v>12099675</v>
      </c>
      <c r="C321" s="48">
        <v>1110404</v>
      </c>
      <c r="D321" s="48">
        <v>13210079</v>
      </c>
      <c r="E321" s="48">
        <v>91.59</v>
      </c>
      <c r="G321" s="215">
        <v>45207</v>
      </c>
      <c r="H321" s="48">
        <v>278554</v>
      </c>
      <c r="I321" s="48">
        <v>19860</v>
      </c>
      <c r="J321" s="48">
        <v>298414</v>
      </c>
      <c r="K321" s="48">
        <v>93.34</v>
      </c>
      <c r="M321" s="215">
        <v>45207</v>
      </c>
      <c r="N321" s="48">
        <v>3436971</v>
      </c>
      <c r="O321" s="48">
        <v>3576191</v>
      </c>
      <c r="P321" s="48">
        <v>7013162</v>
      </c>
      <c r="Q321" s="48">
        <v>49</v>
      </c>
      <c r="S321" s="215">
        <v>45207</v>
      </c>
      <c r="T321" s="1">
        <v>32057</v>
      </c>
      <c r="U321" s="1">
        <v>2778</v>
      </c>
      <c r="V321" s="1">
        <v>34835</v>
      </c>
      <c r="W321" s="1">
        <v>92.02</v>
      </c>
      <c r="Y321" s="215">
        <v>45207</v>
      </c>
      <c r="Z321" s="1">
        <v>2114466</v>
      </c>
      <c r="AA321" s="1">
        <v>395429</v>
      </c>
      <c r="AB321" s="1">
        <v>2509895</v>
      </c>
      <c r="AC321" s="1">
        <v>84.24</v>
      </c>
      <c r="AE321" s="215">
        <v>45207</v>
      </c>
      <c r="AF321" s="1">
        <v>1034031</v>
      </c>
      <c r="AG321" s="1">
        <v>6378</v>
      </c>
      <c r="AH321" s="1">
        <v>1040409</v>
      </c>
      <c r="AI321" s="1">
        <v>99.38</v>
      </c>
      <c r="AK321" s="215">
        <v>45207</v>
      </c>
      <c r="AL321" s="67">
        <v>2062</v>
      </c>
      <c r="AM321" s="67">
        <v>11617</v>
      </c>
      <c r="AN321" s="67">
        <v>13679</v>
      </c>
      <c r="AO321" s="67">
        <v>15.07</v>
      </c>
      <c r="AQ321" s="215">
        <v>45207</v>
      </c>
      <c r="AR321" s="67">
        <v>1370</v>
      </c>
      <c r="AS321" s="67">
        <v>392</v>
      </c>
      <c r="AT321" s="67">
        <v>1762</v>
      </c>
      <c r="AU321" s="67">
        <v>77.75</v>
      </c>
      <c r="AX321" s="215">
        <v>45207</v>
      </c>
      <c r="AY321" s="67">
        <v>1370</v>
      </c>
      <c r="AZ321" s="67">
        <v>392</v>
      </c>
      <c r="BA321" s="67">
        <v>1762</v>
      </c>
      <c r="BB321" s="67">
        <v>77.75</v>
      </c>
    </row>
    <row r="322" spans="1:55" hidden="1" x14ac:dyDescent="0.25">
      <c r="A322" s="215">
        <v>45208</v>
      </c>
      <c r="B322" s="48">
        <v>15310322</v>
      </c>
      <c r="C322" s="48">
        <v>1158696</v>
      </c>
      <c r="D322" s="48">
        <v>16469018</v>
      </c>
      <c r="E322" s="48">
        <v>92.96</v>
      </c>
      <c r="G322" s="215">
        <v>45208</v>
      </c>
      <c r="H322" s="48">
        <v>298556</v>
      </c>
      <c r="I322" s="48">
        <v>25840</v>
      </c>
      <c r="J322" s="48">
        <v>324396</v>
      </c>
      <c r="K322" s="48">
        <v>92.03</v>
      </c>
      <c r="M322" s="215">
        <v>45208</v>
      </c>
      <c r="N322" s="48">
        <v>4060883</v>
      </c>
      <c r="O322" s="48">
        <v>3360410</v>
      </c>
      <c r="P322" s="48">
        <v>7421293</v>
      </c>
      <c r="Q322" s="48">
        <v>54.71</v>
      </c>
      <c r="S322" s="215">
        <v>45208</v>
      </c>
      <c r="T322" s="1">
        <v>745292</v>
      </c>
      <c r="U322" s="1">
        <v>1275762</v>
      </c>
      <c r="V322" s="1">
        <v>2021054</v>
      </c>
      <c r="W322" s="1">
        <v>36.869999999999997</v>
      </c>
      <c r="Y322" s="215">
        <v>45208</v>
      </c>
      <c r="Z322" s="1">
        <v>2236064</v>
      </c>
      <c r="AA322" s="1">
        <v>369472</v>
      </c>
      <c r="AB322" s="1">
        <v>2605536</v>
      </c>
      <c r="AC322" s="1">
        <v>85.81</v>
      </c>
      <c r="AE322" s="215">
        <v>45208</v>
      </c>
      <c r="AF322" s="1">
        <v>1044516</v>
      </c>
      <c r="AG322" s="1">
        <v>9534</v>
      </c>
      <c r="AH322" s="1">
        <v>1054050</v>
      </c>
      <c r="AI322" s="1">
        <v>99.09</v>
      </c>
      <c r="AK322" s="215">
        <v>45208</v>
      </c>
      <c r="AL322" s="48">
        <v>1090618</v>
      </c>
      <c r="AM322" s="48">
        <v>12565</v>
      </c>
      <c r="AN322" s="48">
        <v>1103183</v>
      </c>
      <c r="AO322" s="48">
        <v>98.86</v>
      </c>
      <c r="AP322" s="57"/>
      <c r="AQ322" s="215">
        <v>45208</v>
      </c>
      <c r="AR322" s="48">
        <v>223021</v>
      </c>
      <c r="AS322" s="67">
        <v>3</v>
      </c>
      <c r="AT322" s="48">
        <v>223024</v>
      </c>
      <c r="AU322" s="48">
        <v>100</v>
      </c>
      <c r="AX322" s="215">
        <v>45208</v>
      </c>
      <c r="AY322" s="48">
        <v>223021</v>
      </c>
      <c r="AZ322" s="67">
        <v>3</v>
      </c>
      <c r="BA322" s="48">
        <v>223024</v>
      </c>
      <c r="BB322" s="48">
        <v>100</v>
      </c>
    </row>
    <row r="323" spans="1:55" hidden="1" x14ac:dyDescent="0.25">
      <c r="A323" s="215">
        <v>45209</v>
      </c>
      <c r="B323" s="48">
        <v>15193924</v>
      </c>
      <c r="C323" s="48">
        <v>1272779</v>
      </c>
      <c r="D323" s="48">
        <v>16466703</v>
      </c>
      <c r="E323" s="48">
        <v>92.27</v>
      </c>
      <c r="G323" s="215">
        <v>45209</v>
      </c>
      <c r="H323" s="48">
        <v>273067</v>
      </c>
      <c r="I323" s="48">
        <v>31326</v>
      </c>
      <c r="J323" s="48">
        <v>304393</v>
      </c>
      <c r="K323" s="48">
        <v>89.7</v>
      </c>
      <c r="M323" s="215">
        <v>45209</v>
      </c>
      <c r="N323" s="48">
        <v>4139769</v>
      </c>
      <c r="O323" s="48">
        <v>3922792</v>
      </c>
      <c r="P323" s="48">
        <v>8062561</v>
      </c>
      <c r="Q323" s="48">
        <v>51.34</v>
      </c>
      <c r="S323" s="215">
        <v>45209</v>
      </c>
      <c r="T323" s="1">
        <v>1669831</v>
      </c>
      <c r="U323" s="1">
        <v>2345577</v>
      </c>
      <c r="V323" s="1">
        <v>4015408</v>
      </c>
      <c r="W323" s="1">
        <v>41.58</v>
      </c>
      <c r="Y323" s="215">
        <v>45209</v>
      </c>
      <c r="Z323" s="1">
        <v>2252321</v>
      </c>
      <c r="AA323" s="1">
        <v>380781</v>
      </c>
      <c r="AB323" s="1">
        <v>2633102</v>
      </c>
      <c r="AC323" s="1">
        <v>85.53</v>
      </c>
      <c r="AE323" s="215">
        <v>45209</v>
      </c>
      <c r="AF323" s="1">
        <v>1099300</v>
      </c>
      <c r="AG323" s="1">
        <v>8794</v>
      </c>
      <c r="AH323" s="1">
        <v>1108094</v>
      </c>
      <c r="AI323" s="1">
        <v>99.2</v>
      </c>
      <c r="AK323" s="215">
        <v>45209</v>
      </c>
      <c r="AL323" s="48">
        <v>681479</v>
      </c>
      <c r="AM323" s="48"/>
      <c r="AN323" s="48">
        <v>681479</v>
      </c>
      <c r="AO323" s="67">
        <v>100</v>
      </c>
      <c r="AP323" s="57"/>
      <c r="AQ323" s="215">
        <v>45209</v>
      </c>
      <c r="AR323" s="48">
        <v>200059</v>
      </c>
      <c r="AS323" s="48">
        <v>612</v>
      </c>
      <c r="AT323" s="48">
        <v>200671</v>
      </c>
      <c r="AU323" s="67">
        <v>99.7</v>
      </c>
      <c r="AX323" s="215">
        <v>45209</v>
      </c>
      <c r="AY323" s="48">
        <v>200059</v>
      </c>
      <c r="AZ323" s="48">
        <v>612</v>
      </c>
      <c r="BA323" s="48">
        <v>200671</v>
      </c>
      <c r="BB323" s="67">
        <v>99.7</v>
      </c>
    </row>
    <row r="324" spans="1:55" hidden="1" x14ac:dyDescent="0.25">
      <c r="A324" s="215">
        <v>45210</v>
      </c>
      <c r="B324" s="48">
        <v>13945179</v>
      </c>
      <c r="C324" s="48">
        <v>1132997</v>
      </c>
      <c r="D324" s="48">
        <v>15078176</v>
      </c>
      <c r="E324" s="48">
        <v>92.48</v>
      </c>
      <c r="G324" s="215">
        <v>45210</v>
      </c>
      <c r="H324" s="48">
        <v>1019758</v>
      </c>
      <c r="I324" s="48">
        <v>186560</v>
      </c>
      <c r="J324" s="48">
        <v>1206318</v>
      </c>
      <c r="K324" s="48">
        <v>84.53</v>
      </c>
      <c r="M324" s="215">
        <v>45210</v>
      </c>
      <c r="N324" s="48">
        <v>3634741</v>
      </c>
      <c r="O324" s="48">
        <v>3573715</v>
      </c>
      <c r="P324" s="48">
        <v>7208456</v>
      </c>
      <c r="Q324" s="48">
        <v>50.42</v>
      </c>
      <c r="S324" s="215">
        <v>45210</v>
      </c>
      <c r="T324" s="1">
        <v>1350491</v>
      </c>
      <c r="U324" s="1">
        <v>2514037</v>
      </c>
      <c r="V324" s="1">
        <v>3864528</v>
      </c>
      <c r="W324" s="1">
        <v>34.94</v>
      </c>
      <c r="Y324" s="215">
        <v>45210</v>
      </c>
      <c r="Z324" s="1">
        <v>2133382</v>
      </c>
      <c r="AA324" s="1">
        <v>394491</v>
      </c>
      <c r="AB324" s="1">
        <v>2527873</v>
      </c>
      <c r="AC324" s="1">
        <v>84.39</v>
      </c>
      <c r="AE324" s="215">
        <v>45210</v>
      </c>
      <c r="AF324" s="1">
        <v>1047729</v>
      </c>
      <c r="AG324" s="1">
        <v>8172</v>
      </c>
      <c r="AH324" s="1">
        <v>1055901</v>
      </c>
      <c r="AI324" s="1">
        <v>99.22</v>
      </c>
      <c r="AK324" s="215">
        <v>45210</v>
      </c>
      <c r="AL324" s="48">
        <v>827785</v>
      </c>
      <c r="AM324" s="48">
        <v>1364</v>
      </c>
      <c r="AN324" s="48">
        <v>829149</v>
      </c>
      <c r="AO324" s="48">
        <v>99.84</v>
      </c>
      <c r="AP324" s="57"/>
      <c r="AQ324" s="215">
        <v>45210</v>
      </c>
      <c r="AR324" s="48">
        <v>454585</v>
      </c>
      <c r="AS324" s="67">
        <v>0</v>
      </c>
      <c r="AT324" s="48">
        <v>454585</v>
      </c>
      <c r="AU324" s="48">
        <v>100</v>
      </c>
      <c r="AX324" s="215">
        <v>45210</v>
      </c>
      <c r="AY324" s="48">
        <v>454585</v>
      </c>
      <c r="AZ324" s="67">
        <v>0</v>
      </c>
      <c r="BA324" s="48">
        <v>454585</v>
      </c>
      <c r="BB324" s="48">
        <v>100</v>
      </c>
    </row>
    <row r="325" spans="1:55" hidden="1" x14ac:dyDescent="0.25">
      <c r="A325" s="215">
        <v>45211</v>
      </c>
      <c r="B325" s="48">
        <v>14020202</v>
      </c>
      <c r="C325" s="48">
        <v>1222814</v>
      </c>
      <c r="D325" s="48">
        <v>15243016</v>
      </c>
      <c r="E325" s="48">
        <v>91.98</v>
      </c>
      <c r="G325" s="215">
        <v>45211</v>
      </c>
      <c r="H325" s="48">
        <v>3779857</v>
      </c>
      <c r="I325" s="48">
        <v>1381491</v>
      </c>
      <c r="J325" s="48">
        <v>5161348</v>
      </c>
      <c r="K325" s="48">
        <v>73.23</v>
      </c>
      <c r="M325" s="215">
        <v>45211</v>
      </c>
      <c r="N325" s="48">
        <v>4250349</v>
      </c>
      <c r="O325" s="48">
        <v>3847545</v>
      </c>
      <c r="P325" s="48">
        <v>8097894</v>
      </c>
      <c r="Q325" s="48">
        <v>52.48</v>
      </c>
      <c r="S325" s="215">
        <v>45211</v>
      </c>
      <c r="T325" s="1">
        <v>1395007</v>
      </c>
      <c r="U325" s="1">
        <v>2606414</v>
      </c>
      <c r="V325" s="1">
        <v>4001421</v>
      </c>
      <c r="W325" s="1">
        <v>34.86</v>
      </c>
      <c r="Y325" s="215">
        <v>45211</v>
      </c>
      <c r="Z325" s="1">
        <v>2477980</v>
      </c>
      <c r="AA325" s="1">
        <v>376642</v>
      </c>
      <c r="AB325" s="1">
        <v>2854622</v>
      </c>
      <c r="AC325" s="1">
        <v>86.8</v>
      </c>
      <c r="AE325" s="215">
        <v>45211</v>
      </c>
      <c r="AF325" s="1">
        <v>1046453</v>
      </c>
      <c r="AG325" s="1">
        <v>7261</v>
      </c>
      <c r="AH325" s="1">
        <v>1053714</v>
      </c>
      <c r="AI325" s="1">
        <v>99.31</v>
      </c>
      <c r="AK325" s="215">
        <v>45211</v>
      </c>
      <c r="AL325" s="48">
        <v>804304</v>
      </c>
      <c r="AM325" s="48">
        <v>3</v>
      </c>
      <c r="AN325" s="48">
        <v>804307</v>
      </c>
      <c r="AO325" s="67">
        <v>100</v>
      </c>
      <c r="AP325" s="57"/>
      <c r="AQ325" s="215">
        <v>45211</v>
      </c>
      <c r="AR325" s="48">
        <v>1708526</v>
      </c>
      <c r="AS325" s="67">
        <v>1</v>
      </c>
      <c r="AT325" s="48">
        <v>1708527</v>
      </c>
      <c r="AU325" s="48">
        <v>100</v>
      </c>
      <c r="AX325" s="215">
        <v>45211</v>
      </c>
      <c r="AY325" s="48">
        <v>1708526</v>
      </c>
      <c r="AZ325" s="67">
        <v>1</v>
      </c>
      <c r="BA325" s="48">
        <v>1708527</v>
      </c>
      <c r="BB325" s="48">
        <v>100</v>
      </c>
    </row>
    <row r="326" spans="1:55" hidden="1" x14ac:dyDescent="0.25">
      <c r="A326" s="215">
        <v>45212</v>
      </c>
      <c r="B326" s="48">
        <v>15771481</v>
      </c>
      <c r="C326" s="48">
        <v>1274880</v>
      </c>
      <c r="D326" s="48">
        <v>17046361</v>
      </c>
      <c r="E326" s="48">
        <v>91.98</v>
      </c>
      <c r="G326" s="215">
        <v>45212</v>
      </c>
      <c r="H326" s="48">
        <v>3267519</v>
      </c>
      <c r="I326" s="48">
        <v>1643843</v>
      </c>
      <c r="J326" s="48">
        <v>4911362</v>
      </c>
      <c r="K326" s="48">
        <v>66.52</v>
      </c>
      <c r="M326" s="215">
        <v>45212</v>
      </c>
      <c r="N326" s="48">
        <v>3858106</v>
      </c>
      <c r="O326" s="48">
        <v>4180126</v>
      </c>
      <c r="P326" s="48">
        <v>8038232</v>
      </c>
      <c r="Q326" s="48">
        <v>47.996000000000002</v>
      </c>
      <c r="S326" s="215">
        <v>45212</v>
      </c>
      <c r="T326" s="1">
        <v>1395664</v>
      </c>
      <c r="U326" s="1">
        <v>2591686</v>
      </c>
      <c r="V326" s="1">
        <v>3987350</v>
      </c>
      <c r="W326" s="1">
        <v>35</v>
      </c>
      <c r="Y326" s="215">
        <v>45212</v>
      </c>
      <c r="Z326" s="1">
        <v>1723383</v>
      </c>
      <c r="AA326" s="1">
        <v>236021</v>
      </c>
      <c r="AB326" s="1">
        <v>1959404</v>
      </c>
      <c r="AC326" s="1">
        <v>87.95</v>
      </c>
      <c r="AE326" s="215">
        <v>45212</v>
      </c>
      <c r="AF326" s="1">
        <v>1152939</v>
      </c>
      <c r="AG326" s="1">
        <v>8148</v>
      </c>
      <c r="AH326" s="1">
        <v>1161087</v>
      </c>
      <c r="AI326" s="1">
        <v>99.29</v>
      </c>
      <c r="AK326" s="215">
        <v>45212</v>
      </c>
      <c r="AL326" s="48">
        <v>929521</v>
      </c>
      <c r="AM326" s="48">
        <v>0</v>
      </c>
      <c r="AN326" s="48">
        <v>929521</v>
      </c>
      <c r="AO326" s="67">
        <v>100</v>
      </c>
      <c r="AP326" s="57"/>
      <c r="AQ326" s="215">
        <v>45212</v>
      </c>
      <c r="AR326" s="48">
        <v>1362368</v>
      </c>
      <c r="AS326" s="67">
        <v>0</v>
      </c>
      <c r="AT326" s="48">
        <v>1362368</v>
      </c>
      <c r="AU326" s="48">
        <v>100</v>
      </c>
      <c r="AX326" s="215">
        <v>45212</v>
      </c>
      <c r="AY326" s="48">
        <v>1362368</v>
      </c>
      <c r="AZ326" s="67">
        <v>0</v>
      </c>
      <c r="BA326" s="48">
        <v>1362368</v>
      </c>
      <c r="BB326" s="48">
        <v>100</v>
      </c>
    </row>
    <row r="327" spans="1:55" hidden="1" x14ac:dyDescent="0.25">
      <c r="A327" s="215">
        <v>45213</v>
      </c>
      <c r="B327" s="48">
        <v>14330505</v>
      </c>
      <c r="C327" s="48">
        <v>1301294</v>
      </c>
      <c r="D327" s="48">
        <v>15631799</v>
      </c>
      <c r="E327" s="48">
        <v>91.98</v>
      </c>
      <c r="G327" s="215">
        <v>45213</v>
      </c>
      <c r="H327" s="48">
        <v>1795408</v>
      </c>
      <c r="I327" s="48">
        <v>811388</v>
      </c>
      <c r="J327" s="48">
        <v>2606796</v>
      </c>
      <c r="K327" s="48">
        <v>68.87</v>
      </c>
      <c r="M327" s="215">
        <v>45213</v>
      </c>
      <c r="N327" s="48">
        <v>4321011</v>
      </c>
      <c r="O327" s="48">
        <v>3765285</v>
      </c>
      <c r="P327" s="48">
        <v>8086296</v>
      </c>
      <c r="Q327" s="48">
        <v>53.43</v>
      </c>
      <c r="S327" s="215">
        <v>45213</v>
      </c>
      <c r="T327" s="1">
        <v>1386019</v>
      </c>
      <c r="U327" s="1">
        <v>2617515</v>
      </c>
      <c r="V327" s="1">
        <v>4003534</v>
      </c>
      <c r="W327" s="1">
        <v>34.61</v>
      </c>
      <c r="Y327" s="215">
        <v>45213</v>
      </c>
      <c r="Z327" s="1">
        <v>2479489</v>
      </c>
      <c r="AA327" s="1">
        <v>584054</v>
      </c>
      <c r="AB327" s="1">
        <v>3063543</v>
      </c>
      <c r="AC327" s="1">
        <v>80.930000000000007</v>
      </c>
      <c r="AE327" s="215">
        <v>45213</v>
      </c>
      <c r="AF327" s="1">
        <v>1090579</v>
      </c>
      <c r="AG327" s="1">
        <v>7714</v>
      </c>
      <c r="AH327" s="1">
        <v>1098293</v>
      </c>
      <c r="AI327" s="1">
        <v>99.29</v>
      </c>
      <c r="AK327" s="215">
        <v>45213</v>
      </c>
      <c r="AL327" s="48">
        <v>1103058</v>
      </c>
      <c r="AM327" s="48">
        <v>0</v>
      </c>
      <c r="AN327" s="48">
        <v>1103058</v>
      </c>
      <c r="AO327" s="67">
        <v>100</v>
      </c>
      <c r="AP327" s="57"/>
      <c r="AQ327" s="215">
        <v>45213</v>
      </c>
      <c r="AR327" s="48">
        <v>704145</v>
      </c>
      <c r="AS327" s="67">
        <v>0</v>
      </c>
      <c r="AT327" s="48">
        <v>704145</v>
      </c>
      <c r="AU327" s="48">
        <v>100</v>
      </c>
      <c r="AX327" s="215">
        <v>45213</v>
      </c>
      <c r="AY327" s="48">
        <v>704145</v>
      </c>
      <c r="AZ327" s="67">
        <v>0</v>
      </c>
      <c r="BA327" s="48">
        <v>704145</v>
      </c>
      <c r="BB327" s="48">
        <v>100</v>
      </c>
    </row>
    <row r="328" spans="1:55" hidden="1" x14ac:dyDescent="0.25">
      <c r="A328" s="215">
        <v>45214</v>
      </c>
      <c r="B328" s="48">
        <v>12068378</v>
      </c>
      <c r="C328" s="48">
        <v>1160731</v>
      </c>
      <c r="D328" s="48">
        <v>13229109</v>
      </c>
      <c r="E328" s="48">
        <v>91.98</v>
      </c>
      <c r="G328" s="215">
        <v>45214</v>
      </c>
      <c r="H328" s="48">
        <v>1097390</v>
      </c>
      <c r="I328" s="48">
        <v>556577</v>
      </c>
      <c r="J328" s="48">
        <v>1653967</v>
      </c>
      <c r="K328" s="48">
        <v>66.34</v>
      </c>
      <c r="M328" s="215">
        <v>45214</v>
      </c>
      <c r="N328" s="48">
        <v>3988185</v>
      </c>
      <c r="O328" s="48">
        <v>4095857</v>
      </c>
      <c r="P328" s="48">
        <v>8084042</v>
      </c>
      <c r="Q328" s="48">
        <v>49.33</v>
      </c>
      <c r="S328" s="215">
        <v>45214</v>
      </c>
      <c r="T328" s="1">
        <v>26087</v>
      </c>
      <c r="U328" s="1">
        <v>3677</v>
      </c>
      <c r="V328" s="1">
        <v>29764</v>
      </c>
      <c r="W328" s="1">
        <v>87.64</v>
      </c>
      <c r="Y328" s="215">
        <v>45214</v>
      </c>
      <c r="Z328" s="1">
        <v>2004718</v>
      </c>
      <c r="AA328" s="1">
        <v>435001</v>
      </c>
      <c r="AB328" s="1">
        <v>2439719</v>
      </c>
      <c r="AC328" s="1">
        <v>82.17</v>
      </c>
      <c r="AE328" s="215">
        <v>45214</v>
      </c>
      <c r="AF328" s="1">
        <v>1067876</v>
      </c>
      <c r="AG328" s="1">
        <v>7719</v>
      </c>
      <c r="AH328" s="1">
        <v>1075595</v>
      </c>
      <c r="AI328" s="1">
        <v>99.28</v>
      </c>
      <c r="AK328" s="215">
        <v>45214</v>
      </c>
      <c r="AL328" s="48">
        <v>893064</v>
      </c>
      <c r="AM328" s="48">
        <v>0</v>
      </c>
      <c r="AN328" s="48">
        <v>893064</v>
      </c>
      <c r="AO328" s="67">
        <v>100</v>
      </c>
      <c r="AP328" s="57"/>
      <c r="AQ328" s="215">
        <v>45214</v>
      </c>
      <c r="AR328" s="48">
        <v>450534</v>
      </c>
      <c r="AS328" s="67">
        <v>0</v>
      </c>
      <c r="AT328" s="48">
        <v>450534</v>
      </c>
      <c r="AU328" s="48">
        <v>100</v>
      </c>
      <c r="AX328" s="215">
        <v>45214</v>
      </c>
      <c r="AY328" s="48">
        <v>450534</v>
      </c>
      <c r="AZ328" s="67">
        <v>0</v>
      </c>
      <c r="BA328" s="48">
        <v>450534</v>
      </c>
      <c r="BB328" s="48">
        <v>100</v>
      </c>
    </row>
    <row r="329" spans="1:55" hidden="1" x14ac:dyDescent="0.25">
      <c r="A329" s="215">
        <v>45215</v>
      </c>
      <c r="B329" s="48">
        <v>14326813</v>
      </c>
      <c r="C329" s="48">
        <v>1121796</v>
      </c>
      <c r="D329" s="48">
        <v>15448609</v>
      </c>
      <c r="E329" s="48">
        <v>92.73</v>
      </c>
      <c r="G329" s="215">
        <v>45215</v>
      </c>
      <c r="H329" s="48">
        <v>4556737</v>
      </c>
      <c r="I329" s="48">
        <v>1555307</v>
      </c>
      <c r="J329" s="48">
        <v>6112044</v>
      </c>
      <c r="K329" s="48">
        <v>74.55</v>
      </c>
      <c r="M329" s="215">
        <v>45215</v>
      </c>
      <c r="N329" s="48">
        <v>3808558</v>
      </c>
      <c r="O329" s="48">
        <v>3473098</v>
      </c>
      <c r="P329" s="48">
        <v>7281656</v>
      </c>
      <c r="Q329" s="48">
        <v>52.3</v>
      </c>
      <c r="S329" s="215">
        <v>45215</v>
      </c>
      <c r="T329" s="1">
        <v>1386168</v>
      </c>
      <c r="U329" s="1">
        <v>2607648</v>
      </c>
      <c r="V329" s="1">
        <v>3993816</v>
      </c>
      <c r="W329" s="1">
        <v>34.700000000000003</v>
      </c>
      <c r="Y329" s="215">
        <v>45215</v>
      </c>
      <c r="Z329" s="1">
        <v>2624281</v>
      </c>
      <c r="AA329" s="1">
        <v>413559</v>
      </c>
      <c r="AB329" s="1">
        <v>3037840</v>
      </c>
      <c r="AC329" s="1">
        <v>86.38</v>
      </c>
      <c r="AE329" s="215">
        <v>45215</v>
      </c>
      <c r="AF329" s="1">
        <v>1012814</v>
      </c>
      <c r="AG329" s="1">
        <v>7418</v>
      </c>
      <c r="AH329" s="1">
        <v>1020232</v>
      </c>
      <c r="AI329" s="1">
        <v>99.27</v>
      </c>
      <c r="AK329" s="215">
        <v>45215</v>
      </c>
      <c r="AL329" s="48">
        <v>937869</v>
      </c>
      <c r="AM329" s="48">
        <v>233</v>
      </c>
      <c r="AN329" s="48">
        <v>938102</v>
      </c>
      <c r="AO329" s="67">
        <v>99.98</v>
      </c>
      <c r="AP329" s="57"/>
      <c r="AQ329" s="215">
        <v>45215</v>
      </c>
      <c r="AR329" s="48">
        <v>1993829</v>
      </c>
      <c r="AS329" s="48">
        <v>1385</v>
      </c>
      <c r="AT329" s="48">
        <v>1995214</v>
      </c>
      <c r="AU329" s="48">
        <v>99.93</v>
      </c>
      <c r="AX329" s="215">
        <v>45215</v>
      </c>
      <c r="AY329" s="48">
        <v>1993829</v>
      </c>
      <c r="AZ329" s="48">
        <v>1385</v>
      </c>
      <c r="BA329" s="48">
        <v>1995214</v>
      </c>
      <c r="BB329" s="48">
        <v>99.93</v>
      </c>
    </row>
    <row r="330" spans="1:55" hidden="1" x14ac:dyDescent="0.25">
      <c r="A330" s="215">
        <v>45216</v>
      </c>
      <c r="B330" s="48">
        <v>14941241</v>
      </c>
      <c r="C330" s="48">
        <v>1321928</v>
      </c>
      <c r="D330" s="48">
        <v>16263169</v>
      </c>
      <c r="E330" s="48">
        <v>91.87</v>
      </c>
      <c r="G330" s="215">
        <v>45216</v>
      </c>
      <c r="H330" s="48">
        <v>8391785</v>
      </c>
      <c r="I330" s="48">
        <v>2841583</v>
      </c>
      <c r="J330" s="48">
        <v>11233368</v>
      </c>
      <c r="K330" s="48">
        <v>74.7</v>
      </c>
      <c r="M330" s="215">
        <v>45216</v>
      </c>
      <c r="N330" s="48">
        <v>3580093</v>
      </c>
      <c r="O330" s="48">
        <v>3553624</v>
      </c>
      <c r="P330" s="48">
        <v>7133717</v>
      </c>
      <c r="Q330" s="48">
        <v>50.18</v>
      </c>
      <c r="S330" s="215">
        <v>45216</v>
      </c>
      <c r="T330" s="1">
        <v>1393616</v>
      </c>
      <c r="U330" s="1">
        <v>2595372</v>
      </c>
      <c r="V330" s="1">
        <v>3988988</v>
      </c>
      <c r="W330" s="1">
        <v>34.93</v>
      </c>
      <c r="Y330" s="215">
        <v>45216</v>
      </c>
      <c r="Z330" s="1">
        <v>3450192</v>
      </c>
      <c r="AA330" s="1">
        <v>435466</v>
      </c>
      <c r="AB330" s="1">
        <v>3885658</v>
      </c>
      <c r="AC330" s="1">
        <v>88.79</v>
      </c>
      <c r="AE330" s="215">
        <v>45216</v>
      </c>
      <c r="AF330" s="1">
        <v>1141847</v>
      </c>
      <c r="AG330" s="1">
        <v>8547</v>
      </c>
      <c r="AH330" s="1">
        <v>1150394</v>
      </c>
      <c r="AI330" s="1">
        <v>99.25</v>
      </c>
      <c r="AK330" s="215">
        <v>45216</v>
      </c>
      <c r="AL330" s="48">
        <v>1088137</v>
      </c>
      <c r="AM330" s="48">
        <v>79</v>
      </c>
      <c r="AN330" s="48">
        <v>1088216</v>
      </c>
      <c r="AO330" s="67">
        <v>99.99</v>
      </c>
      <c r="AQ330" s="215">
        <v>45216</v>
      </c>
      <c r="AR330" s="48">
        <v>3827444</v>
      </c>
      <c r="AS330" s="67">
        <v>1</v>
      </c>
      <c r="AT330" s="48">
        <v>3827445</v>
      </c>
      <c r="AU330" s="48">
        <v>100</v>
      </c>
      <c r="AX330" s="215">
        <v>45216</v>
      </c>
      <c r="AY330" s="48">
        <v>3827444</v>
      </c>
      <c r="AZ330" s="67">
        <v>1</v>
      </c>
      <c r="BA330" s="48">
        <v>3827445</v>
      </c>
      <c r="BB330" s="48">
        <v>100</v>
      </c>
    </row>
    <row r="331" spans="1:55" hidden="1" x14ac:dyDescent="0.25">
      <c r="A331" s="215">
        <v>45217</v>
      </c>
      <c r="B331" s="48">
        <v>13870400</v>
      </c>
      <c r="C331" s="48">
        <v>1160207</v>
      </c>
      <c r="D331" s="48">
        <v>15030607</v>
      </c>
      <c r="E331" s="48">
        <v>92.28</v>
      </c>
      <c r="G331" s="215">
        <v>45217</v>
      </c>
      <c r="H331" s="48">
        <v>4904721</v>
      </c>
      <c r="I331" s="48">
        <v>1837475</v>
      </c>
      <c r="J331" s="48">
        <v>6742196</v>
      </c>
      <c r="K331" s="48">
        <v>72.739999999999995</v>
      </c>
      <c r="M331" s="215">
        <v>45217</v>
      </c>
      <c r="N331" s="48">
        <v>4000074</v>
      </c>
      <c r="O331" s="48">
        <v>3702406</v>
      </c>
      <c r="P331" s="48">
        <v>7702480</v>
      </c>
      <c r="Q331" s="48">
        <v>51.93</v>
      </c>
      <c r="S331" s="215">
        <v>45217</v>
      </c>
      <c r="T331" s="1">
        <v>745972</v>
      </c>
      <c r="U331" s="1">
        <v>744608</v>
      </c>
      <c r="V331" s="1">
        <v>1490580</v>
      </c>
      <c r="W331" s="1">
        <v>50.04</v>
      </c>
      <c r="Y331" s="215">
        <v>45217</v>
      </c>
      <c r="Z331" s="1">
        <v>3081122</v>
      </c>
      <c r="AA331" s="1">
        <v>447105</v>
      </c>
      <c r="AB331" s="1">
        <v>3528227</v>
      </c>
      <c r="AC331" s="1">
        <v>87.32</v>
      </c>
      <c r="AE331" s="215">
        <v>45217</v>
      </c>
      <c r="AF331" s="1">
        <v>1118519</v>
      </c>
      <c r="AG331" s="1">
        <v>8455</v>
      </c>
      <c r="AH331" s="1">
        <v>1126974</v>
      </c>
      <c r="AI331" s="1">
        <v>99.24</v>
      </c>
      <c r="AK331" s="215">
        <v>45217</v>
      </c>
      <c r="AL331" s="309">
        <v>988579</v>
      </c>
      <c r="AM331" s="48">
        <v>0</v>
      </c>
      <c r="AN331" s="309">
        <v>988579</v>
      </c>
      <c r="AO331" s="67">
        <v>100</v>
      </c>
      <c r="AQ331" s="215">
        <v>45217</v>
      </c>
      <c r="AR331" s="48">
        <v>2105479</v>
      </c>
      <c r="AS331" s="67">
        <v>27</v>
      </c>
      <c r="AT331" s="48">
        <v>2105506</v>
      </c>
      <c r="AU331" s="48">
        <v>100</v>
      </c>
      <c r="AX331" s="215">
        <v>45217</v>
      </c>
      <c r="AY331" s="1">
        <v>2105479</v>
      </c>
      <c r="AZ331" s="67">
        <v>27</v>
      </c>
      <c r="BA331" s="1">
        <v>2105506</v>
      </c>
      <c r="BB331" s="48">
        <v>100</v>
      </c>
    </row>
    <row r="332" spans="1:55" hidden="1" x14ac:dyDescent="0.25">
      <c r="A332" s="215">
        <v>45218</v>
      </c>
      <c r="B332" s="48">
        <v>13737625</v>
      </c>
      <c r="C332" s="48">
        <v>1205446</v>
      </c>
      <c r="D332" s="48">
        <v>14943071</v>
      </c>
      <c r="E332" s="48">
        <v>91.93</v>
      </c>
      <c r="G332" s="215">
        <v>45218</v>
      </c>
      <c r="H332" s="48">
        <v>2128030</v>
      </c>
      <c r="I332" s="48">
        <v>947353</v>
      </c>
      <c r="J332" s="48">
        <v>3075383</v>
      </c>
      <c r="K332" s="48">
        <v>69.19</v>
      </c>
      <c r="M332" s="215">
        <v>45218</v>
      </c>
      <c r="N332" s="48">
        <v>3474918</v>
      </c>
      <c r="O332" s="48">
        <v>3034337</v>
      </c>
      <c r="P332" s="48">
        <v>6509255</v>
      </c>
      <c r="Q332" s="48">
        <v>53.38</v>
      </c>
      <c r="S332" s="215">
        <v>45218</v>
      </c>
      <c r="T332" s="1">
        <v>1343949</v>
      </c>
      <c r="U332" s="1">
        <v>2638847</v>
      </c>
      <c r="V332" s="1">
        <v>3982796</v>
      </c>
      <c r="W332" s="1">
        <v>33.74</v>
      </c>
      <c r="Y332" s="215">
        <v>45218</v>
      </c>
      <c r="Z332" s="1">
        <v>2688516</v>
      </c>
      <c r="AA332" s="1">
        <v>468074</v>
      </c>
      <c r="AB332" s="1">
        <v>3156590</v>
      </c>
      <c r="AC332" s="1">
        <v>85.17</v>
      </c>
      <c r="AE332" s="215">
        <v>45218</v>
      </c>
      <c r="AF332" s="1">
        <v>1077863</v>
      </c>
      <c r="AG332" s="1">
        <v>8428</v>
      </c>
      <c r="AH332" s="1">
        <v>1086291</v>
      </c>
      <c r="AI332" s="1">
        <v>99.22</v>
      </c>
      <c r="AK332" s="215">
        <v>45218</v>
      </c>
      <c r="AL332" s="309">
        <v>657487</v>
      </c>
      <c r="AM332" s="309">
        <v>10</v>
      </c>
      <c r="AN332" s="309">
        <v>657497</v>
      </c>
      <c r="AO332" s="309">
        <v>100</v>
      </c>
      <c r="AQ332" s="215">
        <v>45218</v>
      </c>
      <c r="AR332" s="48">
        <v>778786</v>
      </c>
      <c r="AS332" s="48">
        <v>532</v>
      </c>
      <c r="AT332" s="48">
        <v>779318</v>
      </c>
      <c r="AU332" s="48">
        <v>99.93</v>
      </c>
      <c r="AX332" s="215">
        <v>45218</v>
      </c>
      <c r="AY332" s="1"/>
      <c r="AZ332" s="1"/>
      <c r="BA332" s="1"/>
      <c r="BB332" s="1"/>
    </row>
    <row r="333" spans="1:55" hidden="1" x14ac:dyDescent="0.25">
      <c r="A333" s="215">
        <v>45219</v>
      </c>
      <c r="B333" s="48">
        <v>15040974</v>
      </c>
      <c r="C333" s="48">
        <v>1223533</v>
      </c>
      <c r="D333" s="48">
        <v>16264507</v>
      </c>
      <c r="E333" s="48">
        <v>92.47</v>
      </c>
      <c r="G333" s="215">
        <v>45219</v>
      </c>
      <c r="H333" s="48">
        <v>1858870</v>
      </c>
      <c r="I333" s="48">
        <v>786072</v>
      </c>
      <c r="J333" s="48">
        <v>2644942</v>
      </c>
      <c r="K333" s="48">
        <v>70.2</v>
      </c>
      <c r="M333" s="215">
        <v>45219</v>
      </c>
      <c r="N333" s="48">
        <v>2746244</v>
      </c>
      <c r="O333" s="48">
        <v>3180058</v>
      </c>
      <c r="P333" s="48">
        <v>5926302</v>
      </c>
      <c r="Q333" s="48">
        <v>46.33</v>
      </c>
      <c r="S333" s="215">
        <v>45219</v>
      </c>
      <c r="T333" s="1">
        <v>1354738</v>
      </c>
      <c r="U333" s="1">
        <v>2644212</v>
      </c>
      <c r="V333" s="1">
        <v>3998950</v>
      </c>
      <c r="W333" s="1">
        <v>33.869999999999997</v>
      </c>
      <c r="Y333" s="215">
        <v>45219</v>
      </c>
      <c r="Z333" s="1">
        <v>2641444</v>
      </c>
      <c r="AA333" s="1">
        <v>516899</v>
      </c>
      <c r="AB333" s="1">
        <v>3158343</v>
      </c>
      <c r="AC333" s="1">
        <v>83.63</v>
      </c>
      <c r="AE333" s="215">
        <v>45219</v>
      </c>
      <c r="AF333" s="1">
        <v>1172365</v>
      </c>
      <c r="AG333" s="1">
        <v>8651</v>
      </c>
      <c r="AH333" s="1">
        <v>1181016</v>
      </c>
      <c r="AI333" s="1">
        <v>99.26</v>
      </c>
      <c r="AK333" s="215">
        <v>45219</v>
      </c>
      <c r="AL333" s="309">
        <v>1073522</v>
      </c>
      <c r="AM333" s="309">
        <v>1073522</v>
      </c>
      <c r="AN333" s="309">
        <v>1073522</v>
      </c>
      <c r="AO333" s="309">
        <v>99.95</v>
      </c>
      <c r="AQ333" s="215">
        <v>45219</v>
      </c>
      <c r="AR333" s="48">
        <v>736636</v>
      </c>
      <c r="AS333" s="48">
        <v>167</v>
      </c>
      <c r="AT333" s="48">
        <v>736803</v>
      </c>
      <c r="AU333" s="48">
        <v>99.98</v>
      </c>
      <c r="AX333" s="215">
        <v>45219</v>
      </c>
      <c r="AY333" s="1"/>
      <c r="AZ333" s="1"/>
      <c r="BA333" s="1"/>
      <c r="BB333" s="1"/>
    </row>
    <row r="334" spans="1:55" hidden="1" x14ac:dyDescent="0.25">
      <c r="A334" s="215">
        <v>45220</v>
      </c>
      <c r="B334" s="48">
        <v>14938056</v>
      </c>
      <c r="C334" s="48">
        <v>1226951</v>
      </c>
      <c r="D334" s="48">
        <v>16165007</v>
      </c>
      <c r="E334" s="48">
        <v>92.4</v>
      </c>
      <c r="G334" s="215">
        <v>45220</v>
      </c>
      <c r="H334" s="48">
        <v>2073966</v>
      </c>
      <c r="I334" s="48">
        <v>901739</v>
      </c>
      <c r="J334" s="48">
        <v>2975705</v>
      </c>
      <c r="K334" s="48">
        <v>69.69</v>
      </c>
      <c r="M334" s="215">
        <v>45220</v>
      </c>
      <c r="N334" s="48">
        <v>4630327</v>
      </c>
      <c r="O334" s="48">
        <v>3445786</v>
      </c>
      <c r="P334" s="48">
        <v>8076113</v>
      </c>
      <c r="Q334" s="48">
        <v>57.33</v>
      </c>
      <c r="S334" s="215">
        <v>45220</v>
      </c>
      <c r="T334" s="1">
        <v>1352583</v>
      </c>
      <c r="U334" s="1">
        <v>2671110</v>
      </c>
      <c r="V334" s="1">
        <v>4023693</v>
      </c>
      <c r="W334" s="1">
        <v>33.61</v>
      </c>
      <c r="Y334" s="215">
        <v>45220</v>
      </c>
      <c r="Z334" s="1">
        <v>2177534</v>
      </c>
      <c r="AA334" s="1">
        <v>451130</v>
      </c>
      <c r="AB334" s="1">
        <v>2628664</v>
      </c>
      <c r="AC334" s="1">
        <v>82.83</v>
      </c>
      <c r="AE334" s="215">
        <v>45220</v>
      </c>
      <c r="AF334" s="1">
        <v>1140527</v>
      </c>
      <c r="AG334" s="1">
        <v>8138</v>
      </c>
      <c r="AH334" s="1">
        <v>1148665</v>
      </c>
      <c r="AI334" s="1">
        <v>99.29</v>
      </c>
      <c r="AK334" s="215">
        <v>45220</v>
      </c>
      <c r="AL334" s="309">
        <v>983378</v>
      </c>
      <c r="AM334" s="309">
        <v>0</v>
      </c>
      <c r="AN334" s="309">
        <v>983378</v>
      </c>
      <c r="AO334" s="309">
        <v>100</v>
      </c>
      <c r="AQ334" s="215">
        <v>45220</v>
      </c>
      <c r="AR334" s="48">
        <v>803713</v>
      </c>
      <c r="AS334" s="48">
        <f>AT334-AR334</f>
        <v>0</v>
      </c>
      <c r="AT334" s="48">
        <v>803713</v>
      </c>
      <c r="AU334" s="48">
        <v>100</v>
      </c>
      <c r="AX334" s="215">
        <v>45220</v>
      </c>
      <c r="AY334" s="1"/>
      <c r="AZ334" s="1"/>
      <c r="BA334" s="1"/>
      <c r="BB334" s="1"/>
    </row>
    <row r="335" spans="1:55" hidden="1" x14ac:dyDescent="0.25">
      <c r="A335" s="215">
        <v>45221</v>
      </c>
      <c r="B335" s="48">
        <v>12509799</v>
      </c>
      <c r="C335" s="48">
        <v>1204940</v>
      </c>
      <c r="D335" s="48">
        <v>13714739</v>
      </c>
      <c r="E335" s="48">
        <v>91.21</v>
      </c>
      <c r="G335" s="215">
        <v>45221</v>
      </c>
      <c r="H335" s="48">
        <v>594854</v>
      </c>
      <c r="I335" s="48">
        <v>382979</v>
      </c>
      <c r="J335" s="48">
        <v>977833</v>
      </c>
      <c r="K335" s="48">
        <v>60</v>
      </c>
      <c r="M335" s="215">
        <v>45221</v>
      </c>
      <c r="N335" s="48">
        <v>2233701</v>
      </c>
      <c r="O335" s="48">
        <v>2533208</v>
      </c>
      <c r="P335" s="48">
        <v>4766909</v>
      </c>
      <c r="Q335" s="48">
        <v>46.85</v>
      </c>
      <c r="S335" s="215">
        <v>45221</v>
      </c>
      <c r="T335" s="1">
        <v>30392</v>
      </c>
      <c r="U335" s="1">
        <v>3509</v>
      </c>
      <c r="V335" s="1">
        <v>33901</v>
      </c>
      <c r="W335" s="1">
        <v>89.64</v>
      </c>
      <c r="Y335" s="215">
        <v>45221</v>
      </c>
      <c r="Z335" s="1">
        <v>2059990</v>
      </c>
      <c r="AA335" s="1">
        <v>435687</v>
      </c>
      <c r="AB335" s="1">
        <v>2495677</v>
      </c>
      <c r="AC335" s="1">
        <v>82.54</v>
      </c>
      <c r="AE335" s="215">
        <v>45221</v>
      </c>
      <c r="AF335" s="1">
        <v>1093608</v>
      </c>
      <c r="AG335" s="1">
        <v>7368</v>
      </c>
      <c r="AH335" s="1">
        <v>1100976</v>
      </c>
      <c r="AI335" s="1">
        <v>99.33</v>
      </c>
      <c r="AK335" s="215">
        <v>45221</v>
      </c>
      <c r="AL335" s="309">
        <v>870493</v>
      </c>
      <c r="AM335" s="309">
        <v>0</v>
      </c>
      <c r="AN335" s="309">
        <v>870493</v>
      </c>
      <c r="AO335" s="309">
        <v>100</v>
      </c>
      <c r="AQ335" s="215">
        <v>45221</v>
      </c>
      <c r="AR335" s="48">
        <v>225096</v>
      </c>
      <c r="AS335" s="48">
        <f>AT335-AR335</f>
        <v>0</v>
      </c>
      <c r="AT335" s="48">
        <v>225096</v>
      </c>
      <c r="AU335" s="48">
        <v>100</v>
      </c>
      <c r="AX335" s="215">
        <v>45221</v>
      </c>
      <c r="AY335" s="1"/>
      <c r="AZ335" s="1"/>
      <c r="BA335" s="1"/>
      <c r="BB335" s="1"/>
    </row>
    <row r="336" spans="1:55" hidden="1" x14ac:dyDescent="0.25">
      <c r="A336" s="215">
        <v>45222</v>
      </c>
      <c r="B336" s="48">
        <v>14335886</v>
      </c>
      <c r="C336" s="48">
        <v>1202108</v>
      </c>
      <c r="D336" s="48">
        <v>15537994</v>
      </c>
      <c r="E336" s="48">
        <v>92.26</v>
      </c>
      <c r="G336" s="215">
        <v>45222</v>
      </c>
      <c r="H336" s="48">
        <v>2497783</v>
      </c>
      <c r="I336" s="48">
        <v>997889</v>
      </c>
      <c r="J336" s="48">
        <v>3495672</v>
      </c>
      <c r="K336" s="48">
        <v>71.45</v>
      </c>
      <c r="M336" s="215">
        <v>45222</v>
      </c>
      <c r="N336" s="48">
        <v>3898542</v>
      </c>
      <c r="O336" s="48">
        <v>2788142</v>
      </c>
      <c r="P336" s="48">
        <v>6686684</v>
      </c>
      <c r="Q336" s="48">
        <v>58.3</v>
      </c>
      <c r="S336" s="215">
        <v>45222</v>
      </c>
      <c r="T336" s="1">
        <v>1356866</v>
      </c>
      <c r="U336" s="1">
        <v>2644337</v>
      </c>
      <c r="V336" s="1">
        <v>4001203</v>
      </c>
      <c r="W336" s="1">
        <v>33.909999999999997</v>
      </c>
      <c r="Y336" s="215">
        <v>45222</v>
      </c>
      <c r="Z336" s="1">
        <v>2043700</v>
      </c>
      <c r="AA336" s="1">
        <v>420182</v>
      </c>
      <c r="AB336" s="1">
        <v>2463882</v>
      </c>
      <c r="AC336" s="1">
        <v>82.94</v>
      </c>
      <c r="AE336" s="215">
        <v>45222</v>
      </c>
      <c r="AF336" s="1">
        <v>1039858</v>
      </c>
      <c r="AG336" s="1">
        <v>7419</v>
      </c>
      <c r="AH336" s="1">
        <v>1047277</v>
      </c>
      <c r="AI336" s="1">
        <v>99.29</v>
      </c>
      <c r="AK336" s="215">
        <v>45222</v>
      </c>
      <c r="AL336" s="309">
        <v>907863</v>
      </c>
      <c r="AM336" s="309">
        <v>2</v>
      </c>
      <c r="AN336" s="309">
        <v>907865</v>
      </c>
      <c r="AO336" s="309">
        <v>100</v>
      </c>
      <c r="AQ336" s="215">
        <v>45222</v>
      </c>
      <c r="AR336" s="48">
        <v>1103626</v>
      </c>
      <c r="AS336" s="48">
        <f>AT336-AR336</f>
        <v>0</v>
      </c>
      <c r="AT336" s="48">
        <v>1103626</v>
      </c>
      <c r="AU336" s="48">
        <v>100</v>
      </c>
      <c r="AX336" s="215">
        <v>45222</v>
      </c>
      <c r="AY336" s="239">
        <v>1943208</v>
      </c>
      <c r="AZ336" s="240">
        <v>6334</v>
      </c>
      <c r="BA336" s="240">
        <v>1949542</v>
      </c>
      <c r="BB336" s="241">
        <v>99.675103178079766</v>
      </c>
      <c r="BC336" s="239">
        <v>22</v>
      </c>
    </row>
    <row r="337" spans="1:55" hidden="1" x14ac:dyDescent="0.25">
      <c r="A337" s="215">
        <v>45223</v>
      </c>
      <c r="B337" s="48">
        <v>15161316</v>
      </c>
      <c r="C337" s="48">
        <v>1158318</v>
      </c>
      <c r="D337" s="48">
        <v>16319634</v>
      </c>
      <c r="E337" s="48">
        <v>92.9</v>
      </c>
      <c r="G337" s="215">
        <v>45223</v>
      </c>
      <c r="H337" s="48">
        <v>598572</v>
      </c>
      <c r="I337" s="48">
        <v>353143</v>
      </c>
      <c r="J337" s="48">
        <v>951715</v>
      </c>
      <c r="K337" s="48">
        <v>62.89</v>
      </c>
      <c r="M337" s="215">
        <v>45223</v>
      </c>
      <c r="N337" s="48">
        <v>4049331</v>
      </c>
      <c r="O337" s="48">
        <v>4024995</v>
      </c>
      <c r="P337" s="48">
        <v>8074326</v>
      </c>
      <c r="Q337" s="48">
        <v>50.15</v>
      </c>
      <c r="S337" s="215">
        <v>45223</v>
      </c>
      <c r="T337" s="1">
        <v>3331525</v>
      </c>
      <c r="U337" s="1">
        <v>2822823</v>
      </c>
      <c r="V337" s="1">
        <v>6154348</v>
      </c>
      <c r="W337" s="1">
        <v>54.13</v>
      </c>
      <c r="Y337" s="215">
        <v>45223</v>
      </c>
      <c r="Z337" s="1">
        <v>2199063</v>
      </c>
      <c r="AA337" s="1">
        <v>418322</v>
      </c>
      <c r="AB337" s="1">
        <v>2617385</v>
      </c>
      <c r="AC337" s="1">
        <v>84.02</v>
      </c>
      <c r="AE337" s="215">
        <v>45223</v>
      </c>
      <c r="AF337" s="1">
        <v>1224881</v>
      </c>
      <c r="AG337" s="1">
        <v>8532</v>
      </c>
      <c r="AH337" s="1">
        <v>1233413</v>
      </c>
      <c r="AI337" s="1">
        <v>99.31</v>
      </c>
      <c r="AK337" s="215">
        <v>45223</v>
      </c>
      <c r="AL337" s="309">
        <v>1034682</v>
      </c>
      <c r="AM337" s="309">
        <v>1</v>
      </c>
      <c r="AN337" s="309">
        <v>1034683</v>
      </c>
      <c r="AO337" s="309">
        <v>100</v>
      </c>
      <c r="AQ337" s="215">
        <v>45223</v>
      </c>
      <c r="AR337" s="48">
        <v>228290</v>
      </c>
      <c r="AS337" s="48">
        <v>170</v>
      </c>
      <c r="AT337" s="48">
        <v>228460</v>
      </c>
      <c r="AU337" s="48">
        <v>99.93</v>
      </c>
      <c r="AX337" s="215">
        <v>45223</v>
      </c>
      <c r="AY337" s="239">
        <v>2103477</v>
      </c>
      <c r="AZ337" s="240">
        <v>8326</v>
      </c>
      <c r="BA337" s="240">
        <v>2111803</v>
      </c>
      <c r="BB337" s="241">
        <v>99.605739739928396</v>
      </c>
      <c r="BC337">
        <v>24</v>
      </c>
    </row>
    <row r="338" spans="1:55" hidden="1" x14ac:dyDescent="0.25">
      <c r="A338" s="215">
        <v>45224</v>
      </c>
      <c r="B338" s="48">
        <v>14054710</v>
      </c>
      <c r="C338" s="48">
        <v>1124243</v>
      </c>
      <c r="D338" s="48">
        <v>15178953</v>
      </c>
      <c r="E338" s="48">
        <v>92.59</v>
      </c>
      <c r="G338" s="215">
        <v>45224</v>
      </c>
      <c r="H338" s="48">
        <v>1208438</v>
      </c>
      <c r="I338" s="48">
        <v>583733</v>
      </c>
      <c r="J338" s="48">
        <v>1792171</v>
      </c>
      <c r="K338" s="48">
        <v>67.430000000000007</v>
      </c>
      <c r="M338" s="215">
        <v>45224</v>
      </c>
      <c r="N338" s="48">
        <v>3646104</v>
      </c>
      <c r="O338" s="48">
        <v>3542661</v>
      </c>
      <c r="P338" s="48">
        <v>7188765</v>
      </c>
      <c r="Q338" s="48">
        <v>50.72</v>
      </c>
      <c r="S338" s="215">
        <v>45224</v>
      </c>
      <c r="T338" s="1">
        <v>3789910</v>
      </c>
      <c r="U338" s="1">
        <v>2321573</v>
      </c>
      <c r="V338" s="1">
        <v>6111483</v>
      </c>
      <c r="W338" s="1">
        <v>62.01</v>
      </c>
      <c r="Y338" s="215">
        <v>45224</v>
      </c>
      <c r="Z338" s="1">
        <v>1793409</v>
      </c>
      <c r="AA338" s="1">
        <v>407549</v>
      </c>
      <c r="AB338" s="1">
        <v>2200958</v>
      </c>
      <c r="AC338" s="1">
        <v>81.48</v>
      </c>
      <c r="AE338" s="215">
        <v>45224</v>
      </c>
      <c r="AF338" s="1">
        <v>1113939</v>
      </c>
      <c r="AG338" s="1">
        <v>8065</v>
      </c>
      <c r="AH338" s="1">
        <v>1122004</v>
      </c>
      <c r="AI338" s="1">
        <v>99.28</v>
      </c>
      <c r="AK338" s="215">
        <v>45224</v>
      </c>
      <c r="AL338" s="309">
        <v>965198</v>
      </c>
      <c r="AM338" s="309">
        <v>0</v>
      </c>
      <c r="AN338" s="309">
        <v>965198</v>
      </c>
      <c r="AO338" s="309">
        <v>100</v>
      </c>
      <c r="AQ338" s="215">
        <v>45224</v>
      </c>
      <c r="AR338" s="48">
        <v>505835</v>
      </c>
      <c r="AS338" s="48">
        <v>0</v>
      </c>
      <c r="AT338" s="48">
        <v>505835</v>
      </c>
      <c r="AU338" s="48">
        <v>100</v>
      </c>
      <c r="AX338" s="113">
        <v>45224</v>
      </c>
      <c r="AY338" s="239">
        <v>1977092</v>
      </c>
      <c r="AZ338" s="240">
        <v>6382</v>
      </c>
      <c r="BA338" s="240">
        <v>1983474</v>
      </c>
      <c r="BB338" s="241">
        <v>99.678241307927408</v>
      </c>
      <c r="BC338" s="240">
        <v>23</v>
      </c>
    </row>
    <row r="339" spans="1:55" hidden="1" x14ac:dyDescent="0.25">
      <c r="A339" s="215">
        <v>45225</v>
      </c>
      <c r="B339" s="48">
        <v>14114189</v>
      </c>
      <c r="C339" s="48">
        <v>1112119</v>
      </c>
      <c r="D339" s="48">
        <v>15226308</v>
      </c>
      <c r="E339" s="48">
        <v>92.7</v>
      </c>
      <c r="G339" s="215">
        <v>45225</v>
      </c>
      <c r="H339" s="48">
        <v>1201245</v>
      </c>
      <c r="I339" s="48">
        <v>625827</v>
      </c>
      <c r="J339" s="48">
        <v>1827072</v>
      </c>
      <c r="K339" s="48">
        <v>65.75</v>
      </c>
      <c r="M339" s="215">
        <v>45225</v>
      </c>
      <c r="N339" s="48">
        <v>3653679</v>
      </c>
      <c r="O339" s="48">
        <v>2866086</v>
      </c>
      <c r="P339" s="48">
        <v>6519765</v>
      </c>
      <c r="Q339" s="48">
        <v>56.04</v>
      </c>
      <c r="S339" s="215">
        <v>45225</v>
      </c>
      <c r="T339" s="1">
        <v>574543</v>
      </c>
      <c r="U339" s="1">
        <v>384938</v>
      </c>
      <c r="V339" s="1">
        <v>959481</v>
      </c>
      <c r="W339" s="1">
        <v>59.88</v>
      </c>
      <c r="Y339" s="215">
        <v>45225</v>
      </c>
      <c r="Z339" s="1">
        <v>1959371</v>
      </c>
      <c r="AA339" s="1">
        <v>408653</v>
      </c>
      <c r="AB339" s="1">
        <v>2368024</v>
      </c>
      <c r="AC339" s="1">
        <v>82.74</v>
      </c>
      <c r="AE339" s="215">
        <v>45225</v>
      </c>
      <c r="AF339" s="1">
        <v>1081813</v>
      </c>
      <c r="AG339" s="1">
        <v>7526</v>
      </c>
      <c r="AH339" s="1">
        <v>1089339</v>
      </c>
      <c r="AI339" s="1">
        <v>99.31</v>
      </c>
      <c r="AK339" s="215">
        <v>45225</v>
      </c>
      <c r="AL339" s="309">
        <v>503271</v>
      </c>
      <c r="AM339" s="309">
        <v>8184</v>
      </c>
      <c r="AN339" s="309">
        <v>511455</v>
      </c>
      <c r="AO339" s="309">
        <v>98.4</v>
      </c>
      <c r="AQ339" s="215">
        <v>45225</v>
      </c>
      <c r="AR339" s="48">
        <v>500267</v>
      </c>
      <c r="AS339" s="48">
        <v>256</v>
      </c>
      <c r="AT339" s="48">
        <v>500523</v>
      </c>
      <c r="AU339" s="48">
        <v>99.87</v>
      </c>
      <c r="AX339" s="113">
        <v>45225</v>
      </c>
      <c r="AY339" s="239">
        <v>1960286</v>
      </c>
      <c r="AZ339" s="240">
        <v>6197</v>
      </c>
      <c r="BA339" s="240">
        <v>1966483</v>
      </c>
      <c r="BB339" s="241">
        <v>99.684868875042397</v>
      </c>
      <c r="BC339" s="240">
        <v>23</v>
      </c>
    </row>
    <row r="340" spans="1:55" hidden="1" x14ac:dyDescent="0.25">
      <c r="A340" s="215">
        <v>45226</v>
      </c>
      <c r="B340" s="48">
        <v>15215725</v>
      </c>
      <c r="C340" s="48">
        <v>1238230</v>
      </c>
      <c r="D340" s="48">
        <v>16453955</v>
      </c>
      <c r="E340" s="48">
        <v>92.47</v>
      </c>
      <c r="G340" s="215">
        <v>45226</v>
      </c>
      <c r="H340" s="48">
        <v>1235215</v>
      </c>
      <c r="I340" s="48">
        <v>583739</v>
      </c>
      <c r="J340" s="48">
        <v>1818954</v>
      </c>
      <c r="K340" s="48">
        <v>67.91</v>
      </c>
      <c r="M340" s="215">
        <v>45226</v>
      </c>
      <c r="N340" s="48">
        <v>3693797</v>
      </c>
      <c r="O340" s="48">
        <v>4156737</v>
      </c>
      <c r="P340" s="48">
        <v>7850534</v>
      </c>
      <c r="Q340" s="48">
        <v>47.05</v>
      </c>
      <c r="S340" s="215">
        <v>45226</v>
      </c>
      <c r="T340" s="1">
        <v>1263570</v>
      </c>
      <c r="U340" s="1">
        <v>2605501</v>
      </c>
      <c r="V340" s="1">
        <v>3869071</v>
      </c>
      <c r="W340" s="1">
        <v>32.659999999999997</v>
      </c>
      <c r="Y340" s="215">
        <v>45226</v>
      </c>
      <c r="Z340" s="1">
        <v>2026658</v>
      </c>
      <c r="AA340" s="1">
        <v>387174</v>
      </c>
      <c r="AB340" s="1">
        <v>2413832</v>
      </c>
      <c r="AC340" s="1">
        <v>83.96</v>
      </c>
      <c r="AE340" s="215">
        <v>45226</v>
      </c>
      <c r="AF340" s="1">
        <v>1179512</v>
      </c>
      <c r="AG340" s="1">
        <v>8659</v>
      </c>
      <c r="AH340" s="1">
        <v>1188171</v>
      </c>
      <c r="AI340" s="1">
        <v>99.27</v>
      </c>
      <c r="AK340" s="215">
        <v>45226</v>
      </c>
      <c r="AL340" s="309">
        <v>749256</v>
      </c>
      <c r="AM340" s="309">
        <v>5355</v>
      </c>
      <c r="AN340" s="309">
        <v>754611</v>
      </c>
      <c r="AO340" s="309">
        <v>99.29</v>
      </c>
      <c r="AQ340" s="215">
        <v>45226</v>
      </c>
      <c r="AR340" s="48">
        <v>524157</v>
      </c>
      <c r="AS340" s="48">
        <v>671</v>
      </c>
      <c r="AT340" s="48">
        <v>524828</v>
      </c>
      <c r="AU340" s="48">
        <v>99.95</v>
      </c>
      <c r="AX340" s="113">
        <v>45226</v>
      </c>
      <c r="AY340" s="239">
        <v>2090793</v>
      </c>
      <c r="AZ340" s="240">
        <v>7605</v>
      </c>
      <c r="BA340" s="240">
        <v>2098398</v>
      </c>
      <c r="BB340" s="241">
        <v>99.637580668681537</v>
      </c>
      <c r="BC340" s="240">
        <v>24</v>
      </c>
    </row>
    <row r="341" spans="1:55" hidden="1" x14ac:dyDescent="0.25">
      <c r="A341" s="215">
        <v>45227</v>
      </c>
      <c r="B341" s="48">
        <v>15494230</v>
      </c>
      <c r="C341" s="48">
        <v>1421221</v>
      </c>
      <c r="D341" s="48">
        <v>16915451</v>
      </c>
      <c r="E341" s="48">
        <v>91.6</v>
      </c>
      <c r="G341" s="215">
        <v>45227</v>
      </c>
      <c r="H341" s="48">
        <v>8635347</v>
      </c>
      <c r="I341" s="48">
        <v>3531789</v>
      </c>
      <c r="J341" s="48">
        <v>12167136</v>
      </c>
      <c r="K341" s="48">
        <v>70.97</v>
      </c>
      <c r="M341" s="215">
        <v>45227</v>
      </c>
      <c r="N341" s="48">
        <v>4601063</v>
      </c>
      <c r="O341" s="48">
        <v>3265659</v>
      </c>
      <c r="P341" s="48">
        <v>7866722</v>
      </c>
      <c r="Q341" s="48">
        <v>58.49</v>
      </c>
      <c r="S341" s="215">
        <v>45227</v>
      </c>
      <c r="T341" s="1">
        <v>1336185</v>
      </c>
      <c r="U341" s="1">
        <v>2671095</v>
      </c>
      <c r="V341" s="1">
        <v>4007280</v>
      </c>
      <c r="W341" s="1">
        <v>33.340000000000003</v>
      </c>
      <c r="Y341" s="215">
        <v>45227</v>
      </c>
      <c r="Z341" s="1">
        <v>2026658</v>
      </c>
      <c r="AA341" s="1">
        <v>387174</v>
      </c>
      <c r="AB341" s="1">
        <v>2413832</v>
      </c>
      <c r="AC341" s="1">
        <v>83.96</v>
      </c>
      <c r="AE341" s="215">
        <v>45227</v>
      </c>
      <c r="AF341" s="1">
        <v>1116890</v>
      </c>
      <c r="AG341" s="1">
        <v>8255</v>
      </c>
      <c r="AH341" s="1">
        <v>1125145</v>
      </c>
      <c r="AI341" s="1">
        <v>99.27</v>
      </c>
      <c r="AK341" s="215">
        <v>45227</v>
      </c>
      <c r="AL341" s="309">
        <v>930907</v>
      </c>
      <c r="AM341" s="309">
        <v>1</v>
      </c>
      <c r="AN341" s="309">
        <v>930908</v>
      </c>
      <c r="AO341" s="309">
        <v>100</v>
      </c>
      <c r="AQ341" s="215">
        <v>45227</v>
      </c>
      <c r="AR341" s="48">
        <v>524828</v>
      </c>
      <c r="AS341" s="48">
        <v>0</v>
      </c>
      <c r="AT341" s="48">
        <v>524828</v>
      </c>
      <c r="AU341" s="48">
        <v>100</v>
      </c>
      <c r="AX341" s="113">
        <v>45227</v>
      </c>
      <c r="AY341" s="239">
        <v>2099561</v>
      </c>
      <c r="AZ341" s="240">
        <v>6554</v>
      </c>
      <c r="BA341" s="240">
        <v>2106115</v>
      </c>
      <c r="BB341" s="241">
        <v>99.688810914883561</v>
      </c>
      <c r="BC341" s="240">
        <v>24</v>
      </c>
    </row>
    <row r="342" spans="1:55" hidden="1" x14ac:dyDescent="0.25">
      <c r="A342" s="215">
        <v>45228</v>
      </c>
      <c r="B342" s="48">
        <v>13189126</v>
      </c>
      <c r="C342" s="48">
        <v>1278970</v>
      </c>
      <c r="D342" s="48">
        <v>14468096</v>
      </c>
      <c r="E342" s="48">
        <v>91.16</v>
      </c>
      <c r="G342" s="215">
        <v>45228</v>
      </c>
      <c r="H342" s="48">
        <v>610150</v>
      </c>
      <c r="I342" s="48">
        <v>369564</v>
      </c>
      <c r="J342" s="48">
        <v>979714</v>
      </c>
      <c r="K342" s="48">
        <v>62.28</v>
      </c>
      <c r="M342" s="215">
        <v>45228</v>
      </c>
      <c r="N342" s="48">
        <v>4059828</v>
      </c>
      <c r="O342" s="48">
        <v>3982931</v>
      </c>
      <c r="P342" s="48">
        <v>8042759</v>
      </c>
      <c r="Q342" s="48">
        <v>50.48</v>
      </c>
      <c r="S342" s="215">
        <v>45228</v>
      </c>
      <c r="T342" s="1">
        <v>32327</v>
      </c>
      <c r="U342" s="1">
        <v>3392</v>
      </c>
      <c r="V342" s="1">
        <v>35719</v>
      </c>
      <c r="W342" s="1">
        <v>90.5</v>
      </c>
      <c r="Y342" s="215">
        <v>45228</v>
      </c>
      <c r="Z342" s="1">
        <v>1969400</v>
      </c>
      <c r="AA342" s="1">
        <v>336199</v>
      </c>
      <c r="AB342" s="1">
        <v>2305599</v>
      </c>
      <c r="AC342" s="1">
        <v>85.42</v>
      </c>
      <c r="AE342" s="215">
        <v>45228</v>
      </c>
      <c r="AF342" s="1">
        <v>1090680</v>
      </c>
      <c r="AG342" s="1">
        <v>6985</v>
      </c>
      <c r="AH342" s="1">
        <v>1097665</v>
      </c>
      <c r="AI342" s="1">
        <v>99.36</v>
      </c>
      <c r="AK342" s="215">
        <v>45228</v>
      </c>
      <c r="AL342" s="309">
        <v>1071562</v>
      </c>
      <c r="AM342" s="309">
        <v>0</v>
      </c>
      <c r="AN342" s="309">
        <v>1071562</v>
      </c>
      <c r="AO342" s="309">
        <v>100</v>
      </c>
      <c r="AQ342" s="215">
        <v>45228</v>
      </c>
      <c r="AR342" s="48">
        <v>240694</v>
      </c>
      <c r="AS342" s="48">
        <v>0</v>
      </c>
      <c r="AT342" s="48">
        <v>240694</v>
      </c>
      <c r="AU342" s="48">
        <v>100</v>
      </c>
      <c r="AX342" s="113">
        <v>45228</v>
      </c>
      <c r="AY342" s="239">
        <v>2080372</v>
      </c>
      <c r="AZ342" s="240">
        <v>6749</v>
      </c>
      <c r="BA342" s="240">
        <v>2087121</v>
      </c>
      <c r="BB342" s="241">
        <v>99.676635901799656</v>
      </c>
      <c r="BC342" s="240">
        <v>24</v>
      </c>
    </row>
    <row r="343" spans="1:55" hidden="1" x14ac:dyDescent="0.25">
      <c r="A343" s="215">
        <v>45229</v>
      </c>
      <c r="B343" s="104">
        <v>14564801</v>
      </c>
      <c r="C343" s="104">
        <v>1089491</v>
      </c>
      <c r="D343" s="104">
        <v>15654292</v>
      </c>
      <c r="E343" s="104">
        <v>93.04</v>
      </c>
      <c r="G343" s="215">
        <v>45229</v>
      </c>
      <c r="H343" s="104">
        <v>9002193</v>
      </c>
      <c r="I343" s="104">
        <v>3653773</v>
      </c>
      <c r="J343" s="104">
        <v>12655966</v>
      </c>
      <c r="K343" s="104">
        <v>71.13</v>
      </c>
      <c r="M343" s="215">
        <v>45229</v>
      </c>
      <c r="N343" s="104">
        <v>4481784</v>
      </c>
      <c r="O343" s="104">
        <v>2962102</v>
      </c>
      <c r="P343" s="104">
        <v>7443886</v>
      </c>
      <c r="Q343" s="104">
        <v>60.21</v>
      </c>
      <c r="S343" s="215">
        <v>45229</v>
      </c>
      <c r="T343" s="101">
        <v>1347997</v>
      </c>
      <c r="U343" s="101">
        <v>2662278</v>
      </c>
      <c r="V343" s="101">
        <v>4010275</v>
      </c>
      <c r="W343" s="101">
        <v>33.61</v>
      </c>
      <c r="Y343" s="215">
        <v>45229</v>
      </c>
      <c r="Z343" s="101">
        <v>1998117</v>
      </c>
      <c r="AA343" s="101">
        <v>304070</v>
      </c>
      <c r="AB343" s="101">
        <v>2302187</v>
      </c>
      <c r="AC343" s="101">
        <v>86.79</v>
      </c>
      <c r="AE343" s="215">
        <v>45229</v>
      </c>
      <c r="AF343" s="101">
        <v>991597</v>
      </c>
      <c r="AG343" s="101">
        <v>6806</v>
      </c>
      <c r="AH343" s="101">
        <v>998403</v>
      </c>
      <c r="AI343" s="101">
        <v>99.32</v>
      </c>
      <c r="AK343" s="215">
        <v>45229</v>
      </c>
      <c r="AL343" s="309">
        <v>1094885</v>
      </c>
      <c r="AM343" s="309">
        <v>0</v>
      </c>
      <c r="AN343" s="309">
        <v>1094885</v>
      </c>
      <c r="AO343" s="309">
        <v>100</v>
      </c>
      <c r="AQ343" s="215">
        <v>45229</v>
      </c>
      <c r="AR343" s="48">
        <v>3147857</v>
      </c>
      <c r="AS343" s="48">
        <v>2383</v>
      </c>
      <c r="AT343" s="48">
        <v>3150240</v>
      </c>
      <c r="AU343" s="48">
        <v>99.92</v>
      </c>
      <c r="AX343" s="113">
        <v>45229</v>
      </c>
      <c r="AY343" s="239">
        <v>1906213</v>
      </c>
      <c r="AZ343">
        <v>6042</v>
      </c>
      <c r="BA343">
        <v>1912255</v>
      </c>
      <c r="BB343" s="58">
        <v>99.684037955189027</v>
      </c>
      <c r="BC343" s="239">
        <f t="shared" ref="BC343" si="0">BA343/86400</f>
        <v>22.132581018518518</v>
      </c>
    </row>
    <row r="344" spans="1:55" hidden="1" x14ac:dyDescent="0.25">
      <c r="A344" s="215">
        <v>45230</v>
      </c>
      <c r="B344" s="104">
        <v>15760081</v>
      </c>
      <c r="C344" s="104">
        <v>1204975</v>
      </c>
      <c r="D344" s="104">
        <v>16965056</v>
      </c>
      <c r="E344" s="104">
        <v>92.9</v>
      </c>
      <c r="G344" s="215">
        <v>45230</v>
      </c>
      <c r="H344" s="104">
        <v>8614944</v>
      </c>
      <c r="I344" s="104">
        <v>3519733</v>
      </c>
      <c r="J344" s="104">
        <v>12134677</v>
      </c>
      <c r="K344" s="104">
        <v>70.989999999999995</v>
      </c>
      <c r="M344" s="215">
        <v>45230</v>
      </c>
      <c r="N344" s="104">
        <v>3665801</v>
      </c>
      <c r="O344" s="104">
        <v>3081489</v>
      </c>
      <c r="P344" s="104">
        <v>6747290</v>
      </c>
      <c r="Q344" s="104">
        <v>54.33</v>
      </c>
      <c r="S344" s="215">
        <v>45230</v>
      </c>
      <c r="T344" s="101">
        <v>2614524</v>
      </c>
      <c r="U344" s="101">
        <v>4137018</v>
      </c>
      <c r="V344" s="101">
        <v>6751542</v>
      </c>
      <c r="W344" s="101">
        <v>38.72</v>
      </c>
      <c r="Y344" s="215">
        <v>45230</v>
      </c>
      <c r="Z344" s="101">
        <v>2327181</v>
      </c>
      <c r="AA344" s="101">
        <v>305630</v>
      </c>
      <c r="AB344" s="101">
        <v>2632811</v>
      </c>
      <c r="AC344" s="101">
        <v>88.39</v>
      </c>
      <c r="AE344" s="215">
        <v>45230</v>
      </c>
      <c r="AF344" s="101">
        <v>1216803</v>
      </c>
      <c r="AG344" s="101">
        <v>8707</v>
      </c>
      <c r="AH344" s="101">
        <v>1225510</v>
      </c>
      <c r="AI344" s="101">
        <v>99.29</v>
      </c>
      <c r="AK344" s="215">
        <v>45230</v>
      </c>
      <c r="AL344" s="309">
        <v>831269</v>
      </c>
      <c r="AM344" s="309">
        <v>1000</v>
      </c>
      <c r="AN344" s="309">
        <v>832269</v>
      </c>
      <c r="AO344" s="309">
        <v>99.88</v>
      </c>
      <c r="AQ344" s="215">
        <v>45230</v>
      </c>
      <c r="AR344" s="48">
        <v>3043052</v>
      </c>
      <c r="AS344" s="48">
        <v>0</v>
      </c>
      <c r="AT344" s="48">
        <v>3043052</v>
      </c>
      <c r="AU344" s="48">
        <v>100</v>
      </c>
      <c r="AX344" s="113">
        <v>45230</v>
      </c>
      <c r="AY344" s="239">
        <v>2130678</v>
      </c>
      <c r="AZ344" s="240">
        <v>8303</v>
      </c>
      <c r="BA344" s="240">
        <v>2138981</v>
      </c>
      <c r="BB344" s="242">
        <v>99.611824508960112</v>
      </c>
      <c r="BC344" s="239">
        <v>24.660625</v>
      </c>
    </row>
    <row r="345" spans="1:55" hidden="1" x14ac:dyDescent="0.25">
      <c r="A345" s="215">
        <v>45231</v>
      </c>
      <c r="B345" s="104">
        <v>14332345</v>
      </c>
      <c r="C345" s="104">
        <v>1179939</v>
      </c>
      <c r="D345" s="104">
        <v>15512284</v>
      </c>
      <c r="E345" s="104">
        <v>92.39</v>
      </c>
      <c r="G345" s="215">
        <v>45231</v>
      </c>
      <c r="H345" s="104">
        <v>602146</v>
      </c>
      <c r="I345" s="104">
        <v>353490</v>
      </c>
      <c r="J345" s="104">
        <v>955636</v>
      </c>
      <c r="K345" s="104">
        <v>63.01</v>
      </c>
      <c r="M345" s="215">
        <v>45231</v>
      </c>
      <c r="N345" s="104">
        <v>3475273</v>
      </c>
      <c r="O345" s="104">
        <v>2812530</v>
      </c>
      <c r="P345" s="104">
        <v>6287803</v>
      </c>
      <c r="Q345" s="104">
        <v>55.27</v>
      </c>
      <c r="S345" s="215">
        <v>45231</v>
      </c>
      <c r="T345" s="101">
        <v>3475892</v>
      </c>
      <c r="U345" s="101">
        <v>7246568</v>
      </c>
      <c r="V345" s="101">
        <v>10722460</v>
      </c>
      <c r="W345" s="101">
        <v>32.42</v>
      </c>
      <c r="Y345" s="215">
        <v>45231</v>
      </c>
      <c r="Z345" s="101">
        <v>2094598</v>
      </c>
      <c r="AA345" s="101">
        <v>352173</v>
      </c>
      <c r="AB345" s="101">
        <v>2446771</v>
      </c>
      <c r="AC345" s="101">
        <v>85.61</v>
      </c>
      <c r="AE345" s="215">
        <v>45231</v>
      </c>
      <c r="AF345" s="101">
        <v>1138830</v>
      </c>
      <c r="AG345" s="101">
        <v>9464</v>
      </c>
      <c r="AH345" s="101">
        <v>1148294</v>
      </c>
      <c r="AI345" s="101">
        <v>99.18</v>
      </c>
      <c r="AK345" s="215">
        <v>45231</v>
      </c>
      <c r="AL345" s="309">
        <v>960487</v>
      </c>
      <c r="AM345" s="309">
        <v>2</v>
      </c>
      <c r="AN345" s="309">
        <v>960489</v>
      </c>
      <c r="AO345" s="309">
        <v>100</v>
      </c>
      <c r="AQ345" s="215">
        <v>45231</v>
      </c>
      <c r="AR345" s="48">
        <v>241475</v>
      </c>
      <c r="AS345" s="48">
        <v>0</v>
      </c>
      <c r="AT345" s="48">
        <v>241475</v>
      </c>
      <c r="AU345" s="48">
        <v>100</v>
      </c>
      <c r="AX345" s="113">
        <v>45231</v>
      </c>
      <c r="AY345" s="239">
        <v>2114382</v>
      </c>
      <c r="AZ345" s="240">
        <v>6497</v>
      </c>
      <c r="BA345" s="240">
        <v>2120879</v>
      </c>
      <c r="BB345" s="241">
        <v>99.693664749379849</v>
      </c>
      <c r="BC345" s="239">
        <v>24.472013888888888</v>
      </c>
    </row>
    <row r="346" spans="1:55" hidden="1" x14ac:dyDescent="0.25">
      <c r="A346" s="215">
        <v>45232</v>
      </c>
      <c r="B346" s="104">
        <v>14276327</v>
      </c>
      <c r="C346" s="104">
        <v>1137322</v>
      </c>
      <c r="D346" s="104">
        <v>15413649</v>
      </c>
      <c r="E346" s="104">
        <v>92.62</v>
      </c>
      <c r="G346" s="215">
        <v>45232</v>
      </c>
      <c r="H346" s="104">
        <v>3182953</v>
      </c>
      <c r="I346" s="104">
        <v>1209253</v>
      </c>
      <c r="J346" s="104">
        <v>4392206</v>
      </c>
      <c r="K346" s="104">
        <v>72.47</v>
      </c>
      <c r="M346" s="215">
        <v>45232</v>
      </c>
      <c r="N346" s="104">
        <v>4409367</v>
      </c>
      <c r="O346" s="104">
        <v>2989553</v>
      </c>
      <c r="P346" s="104">
        <v>7398920</v>
      </c>
      <c r="Q346" s="104">
        <v>59.59</v>
      </c>
      <c r="S346" s="215">
        <v>45232</v>
      </c>
      <c r="T346" s="101">
        <v>3670910</v>
      </c>
      <c r="U346" s="101">
        <v>7079734</v>
      </c>
      <c r="V346" s="101">
        <v>10750644</v>
      </c>
      <c r="W346" s="101">
        <v>34.15</v>
      </c>
      <c r="Y346" s="215">
        <v>45232</v>
      </c>
      <c r="Z346" s="101">
        <v>2143563</v>
      </c>
      <c r="AA346" s="101">
        <v>478775</v>
      </c>
      <c r="AB346" s="101">
        <v>2622338</v>
      </c>
      <c r="AC346" s="101">
        <v>81.739999999999995</v>
      </c>
      <c r="AE346" s="215">
        <v>45232</v>
      </c>
      <c r="AF346" s="101">
        <v>957517</v>
      </c>
      <c r="AG346" s="101">
        <v>7364</v>
      </c>
      <c r="AH346" s="101">
        <v>964881</v>
      </c>
      <c r="AI346" s="101">
        <v>99.24</v>
      </c>
      <c r="AK346" s="215">
        <v>45232</v>
      </c>
      <c r="AL346" s="309">
        <v>737362</v>
      </c>
      <c r="AM346" s="309">
        <v>0</v>
      </c>
      <c r="AN346" s="309">
        <v>737362</v>
      </c>
      <c r="AO346" s="309">
        <v>100</v>
      </c>
      <c r="AQ346" s="215">
        <v>45232</v>
      </c>
      <c r="AR346" s="48">
        <v>1382729</v>
      </c>
      <c r="AS346" s="48">
        <v>0</v>
      </c>
      <c r="AT346" s="48">
        <v>1382729</v>
      </c>
      <c r="AU346" s="48">
        <v>100</v>
      </c>
      <c r="AX346" s="113">
        <v>45232</v>
      </c>
      <c r="AY346" s="239">
        <v>1387314</v>
      </c>
      <c r="AZ346" s="240">
        <v>562436</v>
      </c>
      <c r="BA346" s="240">
        <v>1949750</v>
      </c>
      <c r="BB346" s="241">
        <v>71.153429926913702</v>
      </c>
      <c r="BC346" s="239">
        <v>16.056875000000002</v>
      </c>
    </row>
    <row r="347" spans="1:55" hidden="1" x14ac:dyDescent="0.25">
      <c r="A347" s="215">
        <v>45233</v>
      </c>
      <c r="B347" s="104">
        <v>15881686</v>
      </c>
      <c r="C347" s="104">
        <v>1327592</v>
      </c>
      <c r="D347" s="104">
        <v>17209278</v>
      </c>
      <c r="E347" s="104">
        <v>92.29</v>
      </c>
      <c r="G347" s="215">
        <v>45233</v>
      </c>
      <c r="H347" s="104">
        <v>617351</v>
      </c>
      <c r="I347" s="104">
        <v>361990</v>
      </c>
      <c r="J347" s="104">
        <v>979341</v>
      </c>
      <c r="K347" s="104">
        <v>63.04</v>
      </c>
      <c r="M347" s="215">
        <v>45233</v>
      </c>
      <c r="N347" s="104">
        <v>3863731</v>
      </c>
      <c r="O347" s="104">
        <v>4078134</v>
      </c>
      <c r="P347" s="104">
        <v>7941865</v>
      </c>
      <c r="Q347" s="104">
        <v>48.65</v>
      </c>
      <c r="S347" s="215">
        <v>45233</v>
      </c>
      <c r="T347" s="101">
        <v>2933936</v>
      </c>
      <c r="U347" s="101">
        <v>6633430</v>
      </c>
      <c r="V347" s="101">
        <v>9567366</v>
      </c>
      <c r="W347" s="101">
        <v>30.67</v>
      </c>
      <c r="Y347" s="215">
        <v>45233</v>
      </c>
      <c r="Z347" s="101">
        <v>2285773</v>
      </c>
      <c r="AA347" s="101">
        <v>413240</v>
      </c>
      <c r="AB347" s="101">
        <v>2699013</v>
      </c>
      <c r="AC347" s="101">
        <v>84.69</v>
      </c>
      <c r="AE347" s="215">
        <v>45233</v>
      </c>
      <c r="AF347" s="101">
        <v>1188528</v>
      </c>
      <c r="AG347" s="101">
        <v>9186</v>
      </c>
      <c r="AH347" s="101">
        <v>1197714</v>
      </c>
      <c r="AI347" s="101">
        <v>99.23</v>
      </c>
      <c r="AK347" s="215">
        <v>45233</v>
      </c>
      <c r="AL347" s="67">
        <v>1036975</v>
      </c>
      <c r="AM347" s="67">
        <v>0</v>
      </c>
      <c r="AN347" s="67">
        <v>1036975</v>
      </c>
      <c r="AO347" s="67">
        <v>100</v>
      </c>
      <c r="AQ347" s="215">
        <v>45233</v>
      </c>
      <c r="AR347" s="67">
        <v>247386</v>
      </c>
      <c r="AS347" s="67">
        <v>0</v>
      </c>
      <c r="AT347" s="67">
        <v>247386</v>
      </c>
      <c r="AU347" s="67">
        <v>100</v>
      </c>
      <c r="AX347" s="113">
        <v>45233</v>
      </c>
      <c r="AY347" s="239">
        <v>2177482</v>
      </c>
      <c r="AZ347" s="240">
        <v>8283</v>
      </c>
      <c r="BA347" s="240">
        <v>2185765</v>
      </c>
      <c r="BB347" s="241">
        <v>99.621048008363204</v>
      </c>
      <c r="BC347" s="239">
        <v>25.202337962962964</v>
      </c>
    </row>
    <row r="348" spans="1:55" hidden="1" x14ac:dyDescent="0.25">
      <c r="A348" s="215">
        <v>45234</v>
      </c>
      <c r="B348" s="104">
        <v>15625828</v>
      </c>
      <c r="C348" s="104">
        <v>1362364</v>
      </c>
      <c r="D348" s="104">
        <v>16988192</v>
      </c>
      <c r="E348" s="104">
        <v>91.98</v>
      </c>
      <c r="G348" s="215">
        <v>45234</v>
      </c>
      <c r="H348" s="104">
        <v>616507</v>
      </c>
      <c r="I348" s="104">
        <v>374064</v>
      </c>
      <c r="J348" s="104">
        <v>990571</v>
      </c>
      <c r="K348" s="104">
        <v>62.24</v>
      </c>
      <c r="M348" s="215">
        <v>45234</v>
      </c>
      <c r="N348" s="104">
        <v>4269578</v>
      </c>
      <c r="O348" s="104">
        <v>3310983</v>
      </c>
      <c r="P348" s="104">
        <v>7580561</v>
      </c>
      <c r="Q348" s="104">
        <v>56.32</v>
      </c>
      <c r="S348" s="215">
        <v>45234</v>
      </c>
      <c r="T348" s="101">
        <v>3201908</v>
      </c>
      <c r="U348" s="101">
        <v>6878284</v>
      </c>
      <c r="V348" s="101">
        <v>10080192</v>
      </c>
      <c r="W348" s="101">
        <v>31.76</v>
      </c>
      <c r="Y348" s="215">
        <v>45234</v>
      </c>
      <c r="Z348" s="101">
        <v>2387198</v>
      </c>
      <c r="AA348" s="101">
        <v>391396</v>
      </c>
      <c r="AB348" s="101">
        <v>2778594</v>
      </c>
      <c r="AC348" s="101">
        <v>85.91</v>
      </c>
      <c r="AE348" s="215">
        <v>45234</v>
      </c>
      <c r="AF348" s="101">
        <v>1094090</v>
      </c>
      <c r="AG348" s="101">
        <v>8329</v>
      </c>
      <c r="AH348" s="101">
        <v>1102419</v>
      </c>
      <c r="AI348" s="101">
        <v>99.24</v>
      </c>
      <c r="AK348" s="215">
        <v>45234</v>
      </c>
      <c r="AL348" s="67">
        <v>872094</v>
      </c>
      <c r="AM348" s="67">
        <v>0</v>
      </c>
      <c r="AN348" s="67">
        <v>872094</v>
      </c>
      <c r="AO348" s="67">
        <v>100</v>
      </c>
      <c r="AQ348" s="215">
        <v>45234</v>
      </c>
      <c r="AR348" s="67">
        <v>239359</v>
      </c>
      <c r="AS348" s="67">
        <v>0</v>
      </c>
      <c r="AT348" s="67">
        <v>239359</v>
      </c>
      <c r="AU348" s="67">
        <v>100</v>
      </c>
      <c r="AX348" s="113">
        <v>45234</v>
      </c>
      <c r="AY348" s="239">
        <v>2022634</v>
      </c>
      <c r="AZ348" s="240">
        <v>6211</v>
      </c>
      <c r="BA348" s="240">
        <v>2028845</v>
      </c>
      <c r="BB348" s="241">
        <v>99.693865228738517</v>
      </c>
      <c r="BC348" s="239">
        <v>23.410115740740739</v>
      </c>
    </row>
    <row r="349" spans="1:55" hidden="1" x14ac:dyDescent="0.25">
      <c r="A349" s="215">
        <v>45235</v>
      </c>
      <c r="B349" s="104">
        <v>13360623</v>
      </c>
      <c r="C349" s="104">
        <v>1274628</v>
      </c>
      <c r="D349" s="104">
        <v>14635251</v>
      </c>
      <c r="E349" s="104">
        <v>91.29</v>
      </c>
      <c r="G349" s="215">
        <v>45235</v>
      </c>
      <c r="H349" s="104">
        <v>603412</v>
      </c>
      <c r="I349" s="104">
        <v>347509</v>
      </c>
      <c r="J349" s="104">
        <v>950921</v>
      </c>
      <c r="K349" s="104">
        <v>63.46</v>
      </c>
      <c r="M349" s="215">
        <v>45235</v>
      </c>
      <c r="N349" s="104">
        <v>3863277</v>
      </c>
      <c r="O349" s="104">
        <v>2636793</v>
      </c>
      <c r="P349" s="104">
        <v>6500070</v>
      </c>
      <c r="Q349" s="104">
        <v>59.43</v>
      </c>
      <c r="S349" s="215">
        <v>45235</v>
      </c>
      <c r="T349" s="101">
        <v>1715775</v>
      </c>
      <c r="U349" s="101">
        <v>3871655</v>
      </c>
      <c r="V349" s="101">
        <v>5587430</v>
      </c>
      <c r="W349" s="101">
        <v>30.71</v>
      </c>
      <c r="Y349" s="215">
        <v>45235</v>
      </c>
      <c r="Z349" s="101">
        <v>2161156</v>
      </c>
      <c r="AA349" s="101">
        <v>452454</v>
      </c>
      <c r="AB349" s="101">
        <v>2613610</v>
      </c>
      <c r="AC349" s="101">
        <v>82.69</v>
      </c>
      <c r="AE349" s="215">
        <v>45235</v>
      </c>
      <c r="AF349" s="101">
        <v>1055253</v>
      </c>
      <c r="AG349" s="101">
        <v>7111</v>
      </c>
      <c r="AH349" s="101">
        <v>1062364</v>
      </c>
      <c r="AI349" s="101">
        <v>99.33</v>
      </c>
      <c r="AK349" s="215">
        <v>45235</v>
      </c>
      <c r="AL349" s="67">
        <v>812398</v>
      </c>
      <c r="AM349" s="67">
        <v>0</v>
      </c>
      <c r="AN349" s="67">
        <v>812398</v>
      </c>
      <c r="AO349" s="67">
        <v>100</v>
      </c>
      <c r="AQ349" s="215">
        <v>45235</v>
      </c>
      <c r="AR349" s="67">
        <v>228401</v>
      </c>
      <c r="AS349" s="67">
        <v>0</v>
      </c>
      <c r="AT349" s="67">
        <v>228401</v>
      </c>
      <c r="AU349" s="67">
        <v>100</v>
      </c>
      <c r="AX349" s="113">
        <v>45235</v>
      </c>
      <c r="AY349" s="239">
        <v>2009928</v>
      </c>
      <c r="AZ349" s="240">
        <v>6301</v>
      </c>
      <c r="BA349" s="240">
        <v>2016229</v>
      </c>
      <c r="BB349" s="241">
        <v>99.687485895699339</v>
      </c>
      <c r="BC349" s="239">
        <v>23.263055555555557</v>
      </c>
    </row>
    <row r="350" spans="1:55" hidden="1" x14ac:dyDescent="0.25">
      <c r="A350" s="215">
        <v>45236</v>
      </c>
      <c r="B350" s="104">
        <v>14850866</v>
      </c>
      <c r="C350" s="104">
        <v>1391388</v>
      </c>
      <c r="D350" s="104">
        <v>16242254</v>
      </c>
      <c r="E350" s="104">
        <v>91.43</v>
      </c>
      <c r="G350" s="215">
        <v>45236</v>
      </c>
      <c r="H350" s="104">
        <v>4339500</v>
      </c>
      <c r="I350" s="104">
        <v>1582180</v>
      </c>
      <c r="J350" s="104">
        <v>5921680</v>
      </c>
      <c r="K350" s="104">
        <v>73.28</v>
      </c>
      <c r="M350" s="215">
        <v>45236</v>
      </c>
      <c r="N350" s="104">
        <v>2741735</v>
      </c>
      <c r="O350" s="104">
        <v>2299551</v>
      </c>
      <c r="P350" s="104">
        <v>5041286</v>
      </c>
      <c r="Q350" s="104">
        <v>54.39</v>
      </c>
      <c r="S350" s="215">
        <v>45236</v>
      </c>
      <c r="T350" s="101">
        <v>1152471</v>
      </c>
      <c r="U350" s="101">
        <v>2217655</v>
      </c>
      <c r="V350" s="101">
        <v>3370126</v>
      </c>
      <c r="W350" s="101">
        <v>34.200000000000003</v>
      </c>
      <c r="Y350" s="215">
        <v>45236</v>
      </c>
      <c r="Z350" s="101">
        <v>2357707</v>
      </c>
      <c r="AA350" s="101">
        <v>547109</v>
      </c>
      <c r="AB350" s="101">
        <v>2904816</v>
      </c>
      <c r="AC350" s="101">
        <v>81.17</v>
      </c>
      <c r="AE350" s="215">
        <v>45236</v>
      </c>
      <c r="AF350" s="101">
        <v>716289</v>
      </c>
      <c r="AG350" s="101">
        <v>18565</v>
      </c>
      <c r="AH350" s="101">
        <v>734854</v>
      </c>
      <c r="AI350" s="101">
        <v>97.47</v>
      </c>
      <c r="AK350" s="215">
        <v>45236</v>
      </c>
      <c r="AL350" s="67">
        <v>773837</v>
      </c>
      <c r="AM350" s="67">
        <v>62</v>
      </c>
      <c r="AN350" s="67">
        <v>773899</v>
      </c>
      <c r="AO350" s="67">
        <v>99.99</v>
      </c>
      <c r="AQ350" s="215">
        <v>45236</v>
      </c>
      <c r="AR350" s="48">
        <v>1859732</v>
      </c>
      <c r="AS350" s="67">
        <v>0</v>
      </c>
      <c r="AT350" s="48">
        <v>1859732</v>
      </c>
      <c r="AU350" s="67">
        <v>100</v>
      </c>
      <c r="AX350" s="113">
        <v>45236</v>
      </c>
      <c r="AY350" s="239">
        <v>1009771</v>
      </c>
      <c r="AZ350" s="240">
        <v>2498001</v>
      </c>
      <c r="BA350" s="240">
        <v>3507772</v>
      </c>
      <c r="BB350" s="241">
        <v>28.786677127247724</v>
      </c>
      <c r="BC350" s="239">
        <v>11.687164351851852</v>
      </c>
    </row>
    <row r="351" spans="1:55" hidden="1" x14ac:dyDescent="0.25">
      <c r="A351" s="215">
        <v>45237</v>
      </c>
      <c r="B351" s="104">
        <v>16054810</v>
      </c>
      <c r="C351" s="104">
        <v>1166779</v>
      </c>
      <c r="D351" s="104">
        <v>17221589</v>
      </c>
      <c r="E351" s="104">
        <v>93.22</v>
      </c>
      <c r="G351" s="215">
        <v>45237</v>
      </c>
      <c r="H351" s="104">
        <v>3272121</v>
      </c>
      <c r="I351" s="104">
        <v>1305451</v>
      </c>
      <c r="J351" s="104">
        <v>4577572</v>
      </c>
      <c r="K351" s="104">
        <v>71.48</v>
      </c>
      <c r="M351" s="215">
        <v>45237</v>
      </c>
      <c r="N351" s="104">
        <v>3820886</v>
      </c>
      <c r="O351" s="104">
        <v>3629029</v>
      </c>
      <c r="P351" s="104">
        <v>7449915</v>
      </c>
      <c r="Q351" s="104">
        <v>51.29</v>
      </c>
      <c r="S351" s="215">
        <v>45237</v>
      </c>
      <c r="T351" s="101">
        <v>1351843</v>
      </c>
      <c r="U351" s="101">
        <v>2656646</v>
      </c>
      <c r="V351" s="101">
        <v>4008489</v>
      </c>
      <c r="W351" s="101">
        <v>33.72</v>
      </c>
      <c r="Y351" s="215">
        <v>45237</v>
      </c>
      <c r="Z351" s="101">
        <v>2665480</v>
      </c>
      <c r="AA351" s="101">
        <v>615920</v>
      </c>
      <c r="AB351" s="101">
        <v>3281400</v>
      </c>
      <c r="AC351" s="101">
        <v>81.23</v>
      </c>
      <c r="AE351" s="215">
        <v>45237</v>
      </c>
      <c r="AF351" s="101">
        <v>624741</v>
      </c>
      <c r="AG351" s="101">
        <v>8251</v>
      </c>
      <c r="AH351" s="101">
        <v>632992</v>
      </c>
      <c r="AI351" s="101">
        <v>98.7</v>
      </c>
      <c r="AK351" s="215">
        <v>45237</v>
      </c>
      <c r="AL351" s="67">
        <v>1022948</v>
      </c>
      <c r="AM351" s="67">
        <v>0</v>
      </c>
      <c r="AN351" s="67">
        <v>1022948</v>
      </c>
      <c r="AO351" s="67">
        <v>100</v>
      </c>
      <c r="AQ351" s="215">
        <v>45237</v>
      </c>
      <c r="AR351" s="67">
        <v>1222236</v>
      </c>
      <c r="AS351" s="67">
        <v>28</v>
      </c>
      <c r="AT351" s="67">
        <v>1222264</v>
      </c>
      <c r="AU351" s="67">
        <v>100</v>
      </c>
      <c r="AX351" s="113">
        <v>45237</v>
      </c>
      <c r="AY351" s="239">
        <v>0</v>
      </c>
      <c r="AZ351" s="240">
        <v>5058357</v>
      </c>
      <c r="BA351" s="240">
        <v>5058357</v>
      </c>
      <c r="BB351" s="241">
        <v>0</v>
      </c>
      <c r="BC351" s="239">
        <v>0</v>
      </c>
    </row>
    <row r="352" spans="1:55" hidden="1" x14ac:dyDescent="0.25">
      <c r="A352" s="215">
        <v>45238</v>
      </c>
      <c r="B352" s="104">
        <v>14645461</v>
      </c>
      <c r="C352" s="104">
        <v>1103731</v>
      </c>
      <c r="D352" s="104">
        <v>15749192</v>
      </c>
      <c r="E352" s="104">
        <v>92.99</v>
      </c>
      <c r="G352" s="215">
        <v>45238</v>
      </c>
      <c r="H352" s="104">
        <v>8497310</v>
      </c>
      <c r="I352" s="104">
        <v>3221768</v>
      </c>
      <c r="J352" s="104">
        <v>11719078</v>
      </c>
      <c r="K352" s="104">
        <v>72.510000000000005</v>
      </c>
      <c r="M352" s="215">
        <v>45238</v>
      </c>
      <c r="N352" s="104">
        <v>3830135</v>
      </c>
      <c r="O352" s="104">
        <v>2727846</v>
      </c>
      <c r="P352" s="104">
        <v>6557981</v>
      </c>
      <c r="Q352" s="104">
        <v>58.4</v>
      </c>
      <c r="S352" s="215">
        <v>45238</v>
      </c>
      <c r="T352" s="101">
        <v>1323425</v>
      </c>
      <c r="U352" s="101">
        <v>2501635</v>
      </c>
      <c r="V352" s="101">
        <v>3825060</v>
      </c>
      <c r="W352" s="101">
        <v>34.6</v>
      </c>
      <c r="Y352" s="215">
        <v>45238</v>
      </c>
      <c r="Z352" s="101">
        <v>2163236</v>
      </c>
      <c r="AA352" s="101">
        <v>335176</v>
      </c>
      <c r="AB352" s="101">
        <v>2498412</v>
      </c>
      <c r="AC352" s="101">
        <v>86.58</v>
      </c>
      <c r="AE352" s="215">
        <v>45238</v>
      </c>
      <c r="AF352" s="101">
        <v>1059974</v>
      </c>
      <c r="AG352" s="101">
        <v>6807</v>
      </c>
      <c r="AH352" s="101">
        <v>1066781</v>
      </c>
      <c r="AI352" s="101">
        <v>99.36</v>
      </c>
      <c r="AK352" s="215">
        <v>45238</v>
      </c>
      <c r="AL352" s="67">
        <v>904497</v>
      </c>
      <c r="AM352" s="67">
        <v>0</v>
      </c>
      <c r="AN352" s="67">
        <v>904497</v>
      </c>
      <c r="AO352" s="67">
        <v>100</v>
      </c>
      <c r="AQ352" s="215">
        <v>45238</v>
      </c>
      <c r="AR352" s="67">
        <v>2878067</v>
      </c>
      <c r="AS352" s="67">
        <v>11</v>
      </c>
      <c r="AT352" s="67">
        <v>2878078</v>
      </c>
      <c r="AU352" s="67">
        <v>100</v>
      </c>
      <c r="AX352" s="113">
        <v>45238</v>
      </c>
      <c r="AY352" s="239">
        <v>525459</v>
      </c>
      <c r="AZ352" s="240">
        <v>951827</v>
      </c>
      <c r="BA352" s="240">
        <v>1477286</v>
      </c>
      <c r="BB352" s="241">
        <v>35.569212731996402</v>
      </c>
      <c r="BC352" s="239">
        <v>6.0817013888888889</v>
      </c>
    </row>
    <row r="353" spans="1:55" hidden="1" x14ac:dyDescent="0.25">
      <c r="A353" s="215">
        <v>45239</v>
      </c>
      <c r="B353" s="104">
        <v>14660638</v>
      </c>
      <c r="C353" s="104">
        <v>1072374</v>
      </c>
      <c r="D353" s="104">
        <v>15733012</v>
      </c>
      <c r="E353" s="104">
        <v>93.18</v>
      </c>
      <c r="G353" s="215">
        <v>45239</v>
      </c>
      <c r="H353" s="104">
        <v>1464455</v>
      </c>
      <c r="I353" s="104">
        <v>626421</v>
      </c>
      <c r="J353" s="104">
        <v>2090876</v>
      </c>
      <c r="K353" s="104">
        <v>70.040000000000006</v>
      </c>
      <c r="M353" s="215">
        <v>45239</v>
      </c>
      <c r="N353" s="104">
        <v>2970388</v>
      </c>
      <c r="O353" s="104">
        <v>2121372</v>
      </c>
      <c r="P353" s="104">
        <v>5091760</v>
      </c>
      <c r="Q353" s="104">
        <v>58.34</v>
      </c>
      <c r="S353" s="215">
        <v>45239</v>
      </c>
      <c r="T353" s="101">
        <v>4173269</v>
      </c>
      <c r="U353" s="101">
        <v>6315799</v>
      </c>
      <c r="V353" s="101">
        <v>10489068</v>
      </c>
      <c r="W353" s="101">
        <v>39.79</v>
      </c>
      <c r="Y353" s="215">
        <v>45239</v>
      </c>
      <c r="Z353" s="101">
        <v>2310658</v>
      </c>
      <c r="AA353" s="101">
        <v>323789</v>
      </c>
      <c r="AB353" s="101">
        <v>2634447</v>
      </c>
      <c r="AC353" s="101">
        <v>87.71</v>
      </c>
      <c r="AE353" s="215">
        <v>45239</v>
      </c>
      <c r="AF353" s="101">
        <v>1147991</v>
      </c>
      <c r="AG353" s="101">
        <v>8039</v>
      </c>
      <c r="AH353" s="101">
        <v>1156030</v>
      </c>
      <c r="AI353" s="101">
        <v>99.3</v>
      </c>
      <c r="AK353" s="215">
        <v>45239</v>
      </c>
      <c r="AL353" s="67">
        <v>697174</v>
      </c>
      <c r="AM353" s="67">
        <v>0</v>
      </c>
      <c r="AN353" s="67">
        <v>697174</v>
      </c>
      <c r="AO353" s="67">
        <v>100</v>
      </c>
      <c r="AQ353" s="215">
        <v>45239</v>
      </c>
      <c r="AR353" s="67">
        <v>633852</v>
      </c>
      <c r="AS353" s="67">
        <v>0</v>
      </c>
      <c r="AT353" s="67">
        <v>633852</v>
      </c>
      <c r="AU353" s="67">
        <v>100</v>
      </c>
      <c r="AX353" s="113">
        <v>45239</v>
      </c>
      <c r="AY353" s="239">
        <v>1061643</v>
      </c>
      <c r="AZ353" s="240">
        <v>3370</v>
      </c>
      <c r="BA353" s="240">
        <v>1065013</v>
      </c>
      <c r="BB353" s="241">
        <v>99.683571937619547</v>
      </c>
      <c r="BC353" s="239">
        <v>12.287534722222222</v>
      </c>
    </row>
    <row r="354" spans="1:55" hidden="1" x14ac:dyDescent="0.25">
      <c r="A354" s="215">
        <v>45240</v>
      </c>
      <c r="B354" s="104">
        <v>15276100</v>
      </c>
      <c r="C354" s="104">
        <v>1167565</v>
      </c>
      <c r="D354" s="104">
        <v>16443665</v>
      </c>
      <c r="E354" s="104">
        <v>92.9</v>
      </c>
      <c r="G354" s="215">
        <v>45240</v>
      </c>
      <c r="H354" s="104">
        <v>609896</v>
      </c>
      <c r="I354" s="104">
        <v>352278</v>
      </c>
      <c r="J354" s="104">
        <v>962174</v>
      </c>
      <c r="K354" s="104">
        <v>63.39</v>
      </c>
      <c r="M354" s="215">
        <v>45240</v>
      </c>
      <c r="N354" s="104">
        <v>3258196</v>
      </c>
      <c r="O354" s="104">
        <v>3268157</v>
      </c>
      <c r="P354" s="104">
        <v>6526353</v>
      </c>
      <c r="Q354" s="104">
        <v>49.92</v>
      </c>
      <c r="S354" s="215">
        <v>45240</v>
      </c>
      <c r="T354" s="101">
        <v>2220109</v>
      </c>
      <c r="U354" s="101">
        <v>4704523</v>
      </c>
      <c r="V354" s="101">
        <v>6924632</v>
      </c>
      <c r="W354" s="101">
        <v>32.06</v>
      </c>
      <c r="Y354" s="215">
        <v>45240</v>
      </c>
      <c r="Z354" s="101">
        <v>2298750</v>
      </c>
      <c r="AA354" s="101">
        <v>512752</v>
      </c>
      <c r="AB354" s="101">
        <v>2811502</v>
      </c>
      <c r="AC354" s="101">
        <v>81.760000000000005</v>
      </c>
      <c r="AE354" s="215">
        <v>45240</v>
      </c>
      <c r="AF354" s="101">
        <v>1214548</v>
      </c>
      <c r="AG354" s="101">
        <v>9878</v>
      </c>
      <c r="AH354" s="101">
        <v>1224426</v>
      </c>
      <c r="AI354" s="101">
        <v>99.19</v>
      </c>
      <c r="AK354" s="215">
        <v>45240</v>
      </c>
      <c r="AL354" s="67">
        <v>863600</v>
      </c>
      <c r="AM354" s="67">
        <v>0</v>
      </c>
      <c r="AN354" s="67">
        <v>863600</v>
      </c>
      <c r="AO354" s="67">
        <v>100</v>
      </c>
      <c r="AQ354" s="215">
        <v>45240</v>
      </c>
      <c r="AR354" s="67">
        <v>243836</v>
      </c>
      <c r="AS354" s="67">
        <v>0</v>
      </c>
      <c r="AT354" s="67">
        <v>243836</v>
      </c>
      <c r="AU354" s="67">
        <v>100</v>
      </c>
      <c r="AX354" s="113">
        <v>45240</v>
      </c>
      <c r="AY354" s="239">
        <v>2252075</v>
      </c>
      <c r="AZ354" s="240">
        <v>14038</v>
      </c>
      <c r="BA354" s="240">
        <v>2266113</v>
      </c>
      <c r="BB354" s="241">
        <v>99.38052515474736</v>
      </c>
      <c r="BC354" s="239">
        <v>26.06568287037037</v>
      </c>
    </row>
    <row r="355" spans="1:55" hidden="1" x14ac:dyDescent="0.25">
      <c r="A355" s="215">
        <v>45241</v>
      </c>
      <c r="B355" s="104">
        <v>15556265</v>
      </c>
      <c r="C355" s="104">
        <v>1201626</v>
      </c>
      <c r="D355" s="104">
        <v>16757891</v>
      </c>
      <c r="E355" s="104">
        <v>92.83</v>
      </c>
      <c r="G355" s="215">
        <v>45241</v>
      </c>
      <c r="H355" s="104">
        <v>612379</v>
      </c>
      <c r="I355" s="104">
        <v>367367</v>
      </c>
      <c r="J355" s="104">
        <v>979746</v>
      </c>
      <c r="K355" s="104">
        <v>62.5</v>
      </c>
      <c r="M355" s="215">
        <v>45241</v>
      </c>
      <c r="N355" s="104">
        <v>3195115</v>
      </c>
      <c r="O355" s="104">
        <v>2570224</v>
      </c>
      <c r="P355" s="104">
        <v>5765339</v>
      </c>
      <c r="Q355" s="104">
        <v>55.42</v>
      </c>
      <c r="S355" s="215">
        <v>45241</v>
      </c>
      <c r="T355" s="101">
        <v>5663671</v>
      </c>
      <c r="U355" s="101">
        <v>7187030</v>
      </c>
      <c r="V355" s="101">
        <v>12850701</v>
      </c>
      <c r="W355" s="101">
        <v>44.07</v>
      </c>
      <c r="Y355" s="215">
        <v>45241</v>
      </c>
      <c r="Z355" s="101">
        <v>2276440</v>
      </c>
      <c r="AA355" s="101">
        <v>448375</v>
      </c>
      <c r="AB355" s="101">
        <v>2724815</v>
      </c>
      <c r="AC355" s="101">
        <v>83.54</v>
      </c>
      <c r="AE355" s="215">
        <v>45241</v>
      </c>
      <c r="AF355" s="101">
        <v>1114027</v>
      </c>
      <c r="AG355" s="101">
        <v>7889</v>
      </c>
      <c r="AH355" s="101">
        <v>1121916</v>
      </c>
      <c r="AI355" s="101">
        <v>99.3</v>
      </c>
      <c r="AK355" s="215">
        <v>45241</v>
      </c>
      <c r="AL355" s="67">
        <v>838979</v>
      </c>
      <c r="AM355" s="67">
        <v>0</v>
      </c>
      <c r="AN355" s="67">
        <v>838979</v>
      </c>
      <c r="AO355" s="67">
        <v>100</v>
      </c>
      <c r="AQ355" s="215">
        <v>45241</v>
      </c>
      <c r="AR355" s="67">
        <v>240642</v>
      </c>
      <c r="AS355" s="67">
        <v>0</v>
      </c>
      <c r="AT355" s="67">
        <v>240642</v>
      </c>
      <c r="AU355" s="67">
        <v>100</v>
      </c>
      <c r="AX355" s="113">
        <v>45241</v>
      </c>
      <c r="AY355" s="239">
        <v>2103812</v>
      </c>
      <c r="AZ355" s="240">
        <v>6634</v>
      </c>
      <c r="BA355" s="240">
        <v>2110446</v>
      </c>
      <c r="BB355" s="241">
        <v>99.68565886073371</v>
      </c>
      <c r="BC355" s="239">
        <v>24.349675925925926</v>
      </c>
    </row>
    <row r="356" spans="1:55" hidden="1" x14ac:dyDescent="0.25">
      <c r="A356" s="215">
        <v>45242</v>
      </c>
      <c r="B356" s="104">
        <v>13552630</v>
      </c>
      <c r="C356" s="104">
        <v>1248185</v>
      </c>
      <c r="D356" s="104">
        <v>14800815</v>
      </c>
      <c r="E356" s="104">
        <v>91.57</v>
      </c>
      <c r="G356" s="215">
        <v>45242</v>
      </c>
      <c r="H356" s="104">
        <v>599887</v>
      </c>
      <c r="I356" s="104">
        <v>373493</v>
      </c>
      <c r="J356" s="104">
        <v>973380</v>
      </c>
      <c r="K356" s="104">
        <v>61.63</v>
      </c>
      <c r="M356" s="215">
        <v>45242</v>
      </c>
      <c r="N356" s="104">
        <v>2860155</v>
      </c>
      <c r="O356" s="104">
        <v>2566804</v>
      </c>
      <c r="P356" s="104">
        <v>5426959</v>
      </c>
      <c r="Q356" s="104">
        <v>52.7</v>
      </c>
      <c r="S356" s="215">
        <v>45242</v>
      </c>
      <c r="T356" s="101">
        <v>2143361</v>
      </c>
      <c r="U356" s="101">
        <v>4611981</v>
      </c>
      <c r="V356" s="101">
        <v>6755342</v>
      </c>
      <c r="W356" s="101">
        <v>31.73</v>
      </c>
      <c r="Y356" s="215">
        <v>45242</v>
      </c>
      <c r="Z356" s="101">
        <v>2155013</v>
      </c>
      <c r="AA356" s="101">
        <v>440118</v>
      </c>
      <c r="AB356" s="101">
        <v>2595131</v>
      </c>
      <c r="AC356" s="101">
        <v>83.04</v>
      </c>
      <c r="AE356" s="215">
        <v>45242</v>
      </c>
      <c r="AF356" s="101">
        <v>1112814</v>
      </c>
      <c r="AG356" s="101">
        <v>7538</v>
      </c>
      <c r="AH356" s="101">
        <v>1120352</v>
      </c>
      <c r="AI356" s="101">
        <v>99.33</v>
      </c>
      <c r="AK356" s="215">
        <v>45242</v>
      </c>
      <c r="AL356" s="67">
        <v>774003</v>
      </c>
      <c r="AM356" s="67">
        <v>0</v>
      </c>
      <c r="AN356" s="67">
        <v>774003</v>
      </c>
      <c r="AO356" s="67">
        <v>100</v>
      </c>
      <c r="AQ356" s="215">
        <v>45242</v>
      </c>
      <c r="AR356" s="67">
        <v>233929</v>
      </c>
      <c r="AS356" s="67">
        <v>0</v>
      </c>
      <c r="AT356" s="67">
        <v>233929</v>
      </c>
      <c r="AU356" s="67">
        <v>100</v>
      </c>
      <c r="AX356" s="113">
        <v>45242</v>
      </c>
      <c r="AY356" s="239">
        <v>2118496</v>
      </c>
      <c r="AZ356" s="240">
        <v>7029</v>
      </c>
      <c r="BA356" s="240">
        <v>2125525</v>
      </c>
      <c r="BB356" s="241">
        <v>99.669305230472474</v>
      </c>
      <c r="BC356" s="239">
        <v>24.51962962962963</v>
      </c>
    </row>
    <row r="357" spans="1:55" hidden="1" x14ac:dyDescent="0.25">
      <c r="A357" s="215">
        <v>45243</v>
      </c>
      <c r="B357" s="104">
        <v>14791103</v>
      </c>
      <c r="C357" s="104">
        <v>1138963</v>
      </c>
      <c r="D357" s="104">
        <v>15930066</v>
      </c>
      <c r="E357" s="104">
        <v>92.85</v>
      </c>
      <c r="G357" s="215">
        <v>45243</v>
      </c>
      <c r="H357" s="104">
        <v>1735534</v>
      </c>
      <c r="I357" s="104">
        <v>766455</v>
      </c>
      <c r="J357" s="104">
        <v>2501989</v>
      </c>
      <c r="K357" s="104">
        <v>69.37</v>
      </c>
      <c r="M357" s="215">
        <v>45243</v>
      </c>
      <c r="N357" s="104">
        <v>2799673</v>
      </c>
      <c r="O357" s="104">
        <v>2644357</v>
      </c>
      <c r="P357" s="104">
        <v>5444030</v>
      </c>
      <c r="Q357" s="104">
        <v>51.43</v>
      </c>
      <c r="S357" s="215">
        <v>45243</v>
      </c>
      <c r="T357" s="101">
        <v>3041226</v>
      </c>
      <c r="U357" s="101">
        <v>6932873</v>
      </c>
      <c r="V357" s="101">
        <v>9974099</v>
      </c>
      <c r="W357" s="101">
        <v>30.49</v>
      </c>
      <c r="Y357" s="215">
        <v>45243</v>
      </c>
      <c r="Z357" s="101">
        <v>2145428</v>
      </c>
      <c r="AA357" s="101">
        <v>399540</v>
      </c>
      <c r="AB357" s="101">
        <v>2544968</v>
      </c>
      <c r="AC357" s="101">
        <v>84.3</v>
      </c>
      <c r="AE357" s="215">
        <v>45243</v>
      </c>
      <c r="AF357" s="101">
        <v>1046149</v>
      </c>
      <c r="AG357" s="101">
        <v>7152</v>
      </c>
      <c r="AH357" s="101">
        <v>1053301</v>
      </c>
      <c r="AI357" s="101">
        <v>99.32</v>
      </c>
      <c r="AK357" s="215">
        <v>45243</v>
      </c>
      <c r="AL357" s="67">
        <v>738211</v>
      </c>
      <c r="AM357" s="67">
        <v>1780</v>
      </c>
      <c r="AN357" s="67">
        <v>739991</v>
      </c>
      <c r="AO357" s="67">
        <v>99.76</v>
      </c>
      <c r="AQ357" s="215">
        <v>45243</v>
      </c>
      <c r="AR357" s="67">
        <v>792336</v>
      </c>
      <c r="AS357" s="67">
        <v>0</v>
      </c>
      <c r="AT357" s="67">
        <v>792336</v>
      </c>
      <c r="AU357" s="67">
        <v>100</v>
      </c>
      <c r="AX357" s="113">
        <v>45243</v>
      </c>
      <c r="AY357" s="239">
        <v>559604</v>
      </c>
      <c r="AZ357" s="240">
        <v>1717</v>
      </c>
      <c r="BA357" s="240">
        <v>561321</v>
      </c>
      <c r="BB357" s="241">
        <v>99.694114419378579</v>
      </c>
      <c r="BC357" s="239">
        <v>6.4768981481481482</v>
      </c>
    </row>
    <row r="358" spans="1:55" hidden="1" x14ac:dyDescent="0.25">
      <c r="A358" s="215">
        <v>45244</v>
      </c>
      <c r="B358" s="104">
        <v>15008790</v>
      </c>
      <c r="C358" s="104">
        <v>1157696</v>
      </c>
      <c r="D358" s="104">
        <v>16166486</v>
      </c>
      <c r="E358" s="104">
        <v>92.84</v>
      </c>
      <c r="G358" s="215">
        <v>45244</v>
      </c>
      <c r="H358" s="104">
        <v>2026327</v>
      </c>
      <c r="I358" s="104">
        <v>713873</v>
      </c>
      <c r="J358" s="104">
        <v>2740200</v>
      </c>
      <c r="K358" s="104">
        <v>73.95</v>
      </c>
      <c r="M358" s="215">
        <v>45244</v>
      </c>
      <c r="N358" s="104">
        <v>2416069</v>
      </c>
      <c r="O358" s="104">
        <v>2659465</v>
      </c>
      <c r="P358" s="104">
        <v>5075534</v>
      </c>
      <c r="Q358" s="104">
        <v>47.6</v>
      </c>
      <c r="S358" s="215">
        <v>45244</v>
      </c>
      <c r="T358" s="101">
        <v>1877525</v>
      </c>
      <c r="U358" s="101">
        <v>3405185</v>
      </c>
      <c r="V358" s="101">
        <v>5282710</v>
      </c>
      <c r="W358" s="101">
        <v>35.54</v>
      </c>
      <c r="Y358" s="215">
        <v>45244</v>
      </c>
      <c r="Z358" s="101">
        <v>2442195</v>
      </c>
      <c r="AA358" s="101">
        <v>430831</v>
      </c>
      <c r="AB358" s="101">
        <v>2873026</v>
      </c>
      <c r="AC358" s="101">
        <v>85</v>
      </c>
      <c r="AE358" s="215">
        <v>45244</v>
      </c>
      <c r="AF358" s="101">
        <v>1147301</v>
      </c>
      <c r="AG358" s="101">
        <v>7664</v>
      </c>
      <c r="AH358" s="101">
        <v>1154965</v>
      </c>
      <c r="AI358" s="101">
        <v>99.34</v>
      </c>
      <c r="AK358" s="215">
        <v>45244</v>
      </c>
      <c r="AL358" s="67">
        <v>978065</v>
      </c>
      <c r="AM358" s="67">
        <v>0</v>
      </c>
      <c r="AN358" s="67">
        <v>978065</v>
      </c>
      <c r="AO358" s="67">
        <v>100</v>
      </c>
      <c r="AQ358" s="215">
        <v>45244</v>
      </c>
      <c r="AR358" s="67">
        <v>787066</v>
      </c>
      <c r="AS358" s="67">
        <v>168</v>
      </c>
      <c r="AT358" s="67">
        <v>787234</v>
      </c>
      <c r="AU358" s="67">
        <v>99.98</v>
      </c>
      <c r="AX358" s="113">
        <v>45244</v>
      </c>
      <c r="AY358" s="239" t="s">
        <v>224</v>
      </c>
      <c r="BA358" s="240">
        <v>0</v>
      </c>
      <c r="BB358" s="241">
        <v>0</v>
      </c>
    </row>
    <row r="359" spans="1:55" hidden="1" x14ac:dyDescent="0.25">
      <c r="A359" s="215">
        <v>45245</v>
      </c>
      <c r="B359" s="104">
        <v>14034145</v>
      </c>
      <c r="C359" s="104">
        <v>1091843</v>
      </c>
      <c r="D359" s="104">
        <v>15125988</v>
      </c>
      <c r="E359" s="104">
        <v>92.78</v>
      </c>
      <c r="G359" s="215">
        <v>45245</v>
      </c>
      <c r="H359" s="104">
        <v>8851289</v>
      </c>
      <c r="I359" s="104">
        <v>3430052</v>
      </c>
      <c r="J359" s="104">
        <v>12281341</v>
      </c>
      <c r="K359" s="104">
        <v>72.069999999999993</v>
      </c>
      <c r="M359" s="215">
        <v>45245</v>
      </c>
      <c r="N359" s="104">
        <v>662643</v>
      </c>
      <c r="O359" s="104">
        <v>687659</v>
      </c>
      <c r="P359" s="104">
        <v>1350302</v>
      </c>
      <c r="Q359" s="104">
        <v>49.07</v>
      </c>
      <c r="S359" s="215">
        <v>45245</v>
      </c>
      <c r="T359" s="101">
        <v>1451391</v>
      </c>
      <c r="U359" s="101">
        <v>2561773</v>
      </c>
      <c r="V359" s="101">
        <v>4013164</v>
      </c>
      <c r="W359" s="101">
        <v>36.17</v>
      </c>
      <c r="Y359" s="215">
        <v>45245</v>
      </c>
      <c r="Z359" s="101">
        <v>2478917</v>
      </c>
      <c r="AA359" s="101">
        <v>457403</v>
      </c>
      <c r="AB359" s="101">
        <v>2936320</v>
      </c>
      <c r="AC359" s="101">
        <v>84.42</v>
      </c>
      <c r="AE359" s="215">
        <v>45245</v>
      </c>
      <c r="AF359" s="101">
        <v>1123352</v>
      </c>
      <c r="AG359" s="101">
        <v>7609</v>
      </c>
      <c r="AH359" s="101">
        <v>1130961</v>
      </c>
      <c r="AI359" s="101">
        <v>99.33</v>
      </c>
      <c r="AK359" s="215">
        <v>45245</v>
      </c>
      <c r="AL359" s="67">
        <v>942104</v>
      </c>
      <c r="AM359" s="67">
        <v>0</v>
      </c>
      <c r="AN359" s="67">
        <v>942104</v>
      </c>
      <c r="AO359" s="67">
        <v>100</v>
      </c>
      <c r="AQ359" s="215">
        <v>45245</v>
      </c>
      <c r="AR359" s="67">
        <v>3122539</v>
      </c>
      <c r="AS359" s="67">
        <v>3223</v>
      </c>
      <c r="AT359" s="67">
        <v>3125762</v>
      </c>
      <c r="AU359" s="67">
        <v>99.9</v>
      </c>
      <c r="AX359" s="113">
        <v>45245</v>
      </c>
      <c r="AY359" s="239" t="s">
        <v>224</v>
      </c>
      <c r="BA359" s="240">
        <v>0</v>
      </c>
      <c r="BB359" s="241">
        <v>0</v>
      </c>
    </row>
    <row r="360" spans="1:55" hidden="1" x14ac:dyDescent="0.25">
      <c r="A360" s="215">
        <v>45246</v>
      </c>
      <c r="B360" s="104">
        <v>15065858</v>
      </c>
      <c r="C360" s="104">
        <v>1055121</v>
      </c>
      <c r="D360" s="104">
        <v>16120979</v>
      </c>
      <c r="E360" s="104">
        <v>93.45</v>
      </c>
      <c r="G360" s="215">
        <v>45246</v>
      </c>
      <c r="H360" s="104">
        <v>9005073</v>
      </c>
      <c r="I360" s="104">
        <v>3566860</v>
      </c>
      <c r="J360" s="104">
        <v>12571933</v>
      </c>
      <c r="K360" s="104">
        <v>71.63</v>
      </c>
      <c r="M360" s="215">
        <v>45246</v>
      </c>
      <c r="N360" s="104">
        <v>1573892</v>
      </c>
      <c r="O360" s="104">
        <v>2711680</v>
      </c>
      <c r="P360" s="104">
        <v>4285572</v>
      </c>
      <c r="Q360" s="104">
        <v>36.72</v>
      </c>
      <c r="S360" s="215">
        <v>45246</v>
      </c>
      <c r="T360" s="101">
        <v>1436544</v>
      </c>
      <c r="U360" s="101">
        <v>2561969</v>
      </c>
      <c r="V360" s="101">
        <v>3998513</v>
      </c>
      <c r="W360" s="101">
        <v>35.93</v>
      </c>
      <c r="Y360" s="215">
        <v>45246</v>
      </c>
      <c r="Z360" s="101">
        <v>2487611</v>
      </c>
      <c r="AA360" s="101">
        <v>491757</v>
      </c>
      <c r="AB360" s="101">
        <v>2979368</v>
      </c>
      <c r="AC360" s="101">
        <v>83.49</v>
      </c>
      <c r="AE360" s="215">
        <v>45246</v>
      </c>
      <c r="AF360" s="101">
        <v>1030866</v>
      </c>
      <c r="AG360" s="101">
        <v>7086</v>
      </c>
      <c r="AH360" s="101">
        <v>1037952</v>
      </c>
      <c r="AI360" s="101">
        <v>99.32</v>
      </c>
      <c r="AK360" s="215">
        <v>45246</v>
      </c>
      <c r="AL360" s="67">
        <v>644300</v>
      </c>
      <c r="AM360" s="67">
        <v>0</v>
      </c>
      <c r="AN360" s="67">
        <v>644300</v>
      </c>
      <c r="AO360" s="67">
        <v>100</v>
      </c>
      <c r="AQ360" s="215">
        <v>45246</v>
      </c>
      <c r="AR360" s="67">
        <v>3141006</v>
      </c>
      <c r="AS360" s="67">
        <v>111</v>
      </c>
      <c r="AT360" s="67">
        <v>3141117</v>
      </c>
      <c r="AU360" s="67">
        <v>100</v>
      </c>
      <c r="AX360" s="113">
        <v>45246</v>
      </c>
      <c r="AY360" s="239" t="s">
        <v>224</v>
      </c>
      <c r="BA360" s="240">
        <v>0</v>
      </c>
      <c r="BB360" s="241">
        <v>0</v>
      </c>
    </row>
    <row r="361" spans="1:55" hidden="1" x14ac:dyDescent="0.25">
      <c r="A361" s="215">
        <v>45247</v>
      </c>
      <c r="B361" s="104">
        <v>16049683</v>
      </c>
      <c r="C361" s="104">
        <v>1178473</v>
      </c>
      <c r="D361" s="104">
        <v>17228156</v>
      </c>
      <c r="E361" s="104">
        <v>93.16</v>
      </c>
      <c r="G361" s="215">
        <v>45247</v>
      </c>
      <c r="H361" s="104">
        <v>9348262</v>
      </c>
      <c r="I361" s="104">
        <v>3624624</v>
      </c>
      <c r="J361" s="104">
        <v>12972886</v>
      </c>
      <c r="K361" s="104">
        <v>72.06</v>
      </c>
      <c r="M361" s="215">
        <v>45247</v>
      </c>
      <c r="N361" s="104">
        <v>2836418</v>
      </c>
      <c r="O361" s="104">
        <v>3643868</v>
      </c>
      <c r="P361" s="104">
        <v>6480286</v>
      </c>
      <c r="Q361" s="104">
        <v>43.76</v>
      </c>
      <c r="S361" s="215">
        <v>45247</v>
      </c>
      <c r="T361" s="101">
        <v>1433063</v>
      </c>
      <c r="U361" s="101">
        <v>2530637</v>
      </c>
      <c r="V361" s="101">
        <v>3963700</v>
      </c>
      <c r="W361" s="101">
        <v>36.15</v>
      </c>
      <c r="Y361" s="215">
        <v>45247</v>
      </c>
      <c r="Z361" s="101">
        <v>2177512</v>
      </c>
      <c r="AA361" s="101">
        <v>429486</v>
      </c>
      <c r="AB361" s="101">
        <v>2606998</v>
      </c>
      <c r="AC361" s="101">
        <v>83.53</v>
      </c>
      <c r="AE361" s="215">
        <v>45247</v>
      </c>
      <c r="AF361" s="101">
        <v>1118102</v>
      </c>
      <c r="AG361" s="101">
        <v>7488</v>
      </c>
      <c r="AH361" s="101">
        <v>1125590</v>
      </c>
      <c r="AI361" s="101">
        <v>99.33</v>
      </c>
      <c r="AK361" s="215">
        <v>45247</v>
      </c>
      <c r="AL361" s="67">
        <v>974497</v>
      </c>
      <c r="AM361" s="67">
        <v>4</v>
      </c>
      <c r="AN361" s="67">
        <v>974501</v>
      </c>
      <c r="AO361" s="67">
        <v>100</v>
      </c>
      <c r="AQ361" s="215">
        <v>45247</v>
      </c>
      <c r="AR361" s="67">
        <v>2981814</v>
      </c>
      <c r="AS361" s="67">
        <v>41</v>
      </c>
      <c r="AT361" s="67">
        <v>2981855</v>
      </c>
      <c r="AU361" s="67">
        <v>100</v>
      </c>
      <c r="AX361" s="113">
        <v>45247</v>
      </c>
      <c r="AY361" s="239" t="s">
        <v>224</v>
      </c>
      <c r="BA361" s="240">
        <v>0</v>
      </c>
      <c r="BB361" s="241">
        <v>0</v>
      </c>
    </row>
    <row r="362" spans="1:55" hidden="1" x14ac:dyDescent="0.25">
      <c r="A362" s="215">
        <v>45248</v>
      </c>
      <c r="B362" s="104">
        <v>14601073</v>
      </c>
      <c r="C362" s="104">
        <v>1210268</v>
      </c>
      <c r="D362" s="104">
        <v>15811341</v>
      </c>
      <c r="E362" s="104">
        <v>92.35</v>
      </c>
      <c r="G362" s="215">
        <v>45248</v>
      </c>
      <c r="H362" s="104">
        <v>9285521</v>
      </c>
      <c r="I362" s="104">
        <v>3693788</v>
      </c>
      <c r="J362" s="104">
        <v>12979309</v>
      </c>
      <c r="K362" s="104">
        <v>71.540000000000006</v>
      </c>
      <c r="M362" s="215">
        <v>45248</v>
      </c>
      <c r="N362" s="104">
        <v>3371986</v>
      </c>
      <c r="O362" s="104">
        <v>3637501</v>
      </c>
      <c r="P362" s="104">
        <v>7009487</v>
      </c>
      <c r="Q362" s="104">
        <v>48.1</v>
      </c>
      <c r="S362" s="215">
        <v>45248</v>
      </c>
      <c r="T362" s="101">
        <v>1426979</v>
      </c>
      <c r="U362" s="101">
        <v>2566874</v>
      </c>
      <c r="V362" s="101">
        <v>3993853</v>
      </c>
      <c r="W362" s="101">
        <v>35.729999999999997</v>
      </c>
      <c r="Y362" s="215">
        <v>45248</v>
      </c>
      <c r="Z362" s="101">
        <v>2218802</v>
      </c>
      <c r="AA362" s="101">
        <v>461117</v>
      </c>
      <c r="AB362" s="101">
        <v>2679919</v>
      </c>
      <c r="AC362" s="101">
        <v>82.79</v>
      </c>
      <c r="AE362" s="215">
        <v>45248</v>
      </c>
      <c r="AF362" s="101">
        <v>1077035</v>
      </c>
      <c r="AG362" s="101">
        <v>8450</v>
      </c>
      <c r="AH362" s="101">
        <v>1085485</v>
      </c>
      <c r="AI362" s="101">
        <v>99.22</v>
      </c>
      <c r="AK362" s="215">
        <v>45248</v>
      </c>
      <c r="AL362" s="67">
        <v>782835</v>
      </c>
      <c r="AM362" s="67">
        <v>0</v>
      </c>
      <c r="AN362" s="67">
        <v>782835</v>
      </c>
      <c r="AO362" s="67">
        <v>100</v>
      </c>
      <c r="AQ362" s="215">
        <v>45248</v>
      </c>
      <c r="AR362" s="67">
        <v>2933909</v>
      </c>
      <c r="AS362" s="67">
        <v>13</v>
      </c>
      <c r="AT362" s="67">
        <v>2933922</v>
      </c>
      <c r="AU362" s="67">
        <v>100</v>
      </c>
      <c r="AX362" s="113">
        <v>45248</v>
      </c>
      <c r="AY362" s="239" t="s">
        <v>224</v>
      </c>
      <c r="BA362" s="240">
        <v>0</v>
      </c>
      <c r="BB362" s="241">
        <v>0</v>
      </c>
    </row>
    <row r="363" spans="1:55" hidden="1" x14ac:dyDescent="0.25">
      <c r="A363" s="215">
        <v>45249</v>
      </c>
      <c r="B363" s="104">
        <v>12310494</v>
      </c>
      <c r="C363" s="104">
        <v>1029744</v>
      </c>
      <c r="D363" s="104">
        <v>13340238</v>
      </c>
      <c r="E363" s="104">
        <v>92.28</v>
      </c>
      <c r="G363" s="215">
        <v>45249</v>
      </c>
      <c r="H363" s="104">
        <v>606257</v>
      </c>
      <c r="I363" s="104">
        <v>366473</v>
      </c>
      <c r="J363" s="104">
        <v>972730</v>
      </c>
      <c r="K363" s="104">
        <v>62.33</v>
      </c>
      <c r="M363" s="215">
        <v>45249</v>
      </c>
      <c r="N363" s="104">
        <v>2792438</v>
      </c>
      <c r="O363" s="104">
        <v>3443273</v>
      </c>
      <c r="P363" s="104">
        <v>6235711</v>
      </c>
      <c r="Q363" s="104">
        <v>44.78</v>
      </c>
      <c r="S363" s="215">
        <v>45249</v>
      </c>
      <c r="T363" s="101">
        <v>28892</v>
      </c>
      <c r="U363" s="101">
        <v>3790</v>
      </c>
      <c r="V363" s="101">
        <v>32682</v>
      </c>
      <c r="W363" s="101">
        <v>88.4</v>
      </c>
      <c r="Y363" s="215">
        <v>45249</v>
      </c>
      <c r="Z363" s="101">
        <v>2130089</v>
      </c>
      <c r="AA363" s="101">
        <v>430573</v>
      </c>
      <c r="AB363" s="101">
        <v>2560662</v>
      </c>
      <c r="AC363" s="101">
        <v>83.19</v>
      </c>
      <c r="AE363" s="215">
        <v>45249</v>
      </c>
      <c r="AF363" s="101">
        <v>1114497</v>
      </c>
      <c r="AG363" s="101">
        <v>7528</v>
      </c>
      <c r="AH363" s="101">
        <v>1122025</v>
      </c>
      <c r="AI363" s="101">
        <v>99.33</v>
      </c>
      <c r="AK363" s="215">
        <v>45249</v>
      </c>
      <c r="AL363" s="67">
        <v>745357</v>
      </c>
      <c r="AM363" s="67">
        <v>0</v>
      </c>
      <c r="AN363" s="67">
        <v>745357</v>
      </c>
      <c r="AO363" s="67">
        <v>100</v>
      </c>
      <c r="AQ363" s="215">
        <v>45249</v>
      </c>
      <c r="AR363" s="67">
        <v>231325</v>
      </c>
      <c r="AS363" s="67">
        <v>0</v>
      </c>
      <c r="AT363" s="67">
        <v>231325</v>
      </c>
      <c r="AU363" s="67">
        <v>100</v>
      </c>
      <c r="AX363" s="113">
        <v>45249</v>
      </c>
      <c r="AY363" s="239" t="s">
        <v>224</v>
      </c>
      <c r="BA363" s="240">
        <v>0</v>
      </c>
      <c r="BB363" s="241">
        <v>0</v>
      </c>
    </row>
    <row r="364" spans="1:55" hidden="1" x14ac:dyDescent="0.25">
      <c r="A364" s="215">
        <v>45250</v>
      </c>
      <c r="B364" s="104">
        <v>14892323</v>
      </c>
      <c r="C364" s="104">
        <v>968243</v>
      </c>
      <c r="D364" s="104">
        <v>15860566</v>
      </c>
      <c r="E364" s="104">
        <v>93.9</v>
      </c>
      <c r="G364" s="215">
        <v>45250</v>
      </c>
      <c r="H364" s="104">
        <v>1336623</v>
      </c>
      <c r="I364" s="104">
        <v>643585</v>
      </c>
      <c r="J364" s="104">
        <v>1980208</v>
      </c>
      <c r="K364" s="104">
        <v>67.5</v>
      </c>
      <c r="M364" s="215">
        <v>45250</v>
      </c>
      <c r="N364" s="104">
        <v>3215115</v>
      </c>
      <c r="O364" s="104">
        <v>3392799</v>
      </c>
      <c r="P364" s="104">
        <v>6607914</v>
      </c>
      <c r="Q364" s="104">
        <v>48.65</v>
      </c>
      <c r="S364" s="215">
        <v>45250</v>
      </c>
      <c r="T364" s="101">
        <v>1448310</v>
      </c>
      <c r="U364" s="101">
        <v>2556188</v>
      </c>
      <c r="V364" s="101">
        <v>4004498</v>
      </c>
      <c r="W364" s="101">
        <v>36.17</v>
      </c>
      <c r="Y364" s="215">
        <v>45250</v>
      </c>
      <c r="Z364" s="101">
        <v>1980831</v>
      </c>
      <c r="AA364" s="101">
        <v>379380</v>
      </c>
      <c r="AB364" s="101">
        <v>2360211</v>
      </c>
      <c r="AC364" s="101">
        <v>83.93</v>
      </c>
      <c r="AE364" s="215">
        <v>45250</v>
      </c>
      <c r="AF364" s="101">
        <v>1094173</v>
      </c>
      <c r="AG364" s="101">
        <v>7220</v>
      </c>
      <c r="AH364" s="101">
        <v>1101393</v>
      </c>
      <c r="AI364" s="101">
        <v>99.34</v>
      </c>
      <c r="AK364" s="215">
        <v>45250</v>
      </c>
      <c r="AL364" s="67">
        <v>568234</v>
      </c>
      <c r="AM364" s="67">
        <v>4082</v>
      </c>
      <c r="AN364" s="67">
        <v>572316</v>
      </c>
      <c r="AO364" s="67">
        <v>99.29</v>
      </c>
      <c r="AQ364" s="215">
        <v>45250</v>
      </c>
      <c r="AR364" s="67">
        <v>451438</v>
      </c>
      <c r="AS364" s="67">
        <v>252</v>
      </c>
      <c r="AT364" s="67">
        <v>451690</v>
      </c>
      <c r="AU364" s="67">
        <v>99.94</v>
      </c>
      <c r="AX364" s="113">
        <v>45250</v>
      </c>
      <c r="AY364" s="239" t="s">
        <v>224</v>
      </c>
      <c r="BA364" s="240">
        <v>0</v>
      </c>
      <c r="BB364" s="241">
        <v>0</v>
      </c>
    </row>
    <row r="365" spans="1:55" hidden="1" x14ac:dyDescent="0.25">
      <c r="A365" s="215">
        <v>45251</v>
      </c>
      <c r="B365" s="104">
        <v>14908573</v>
      </c>
      <c r="C365" s="104">
        <v>1061605</v>
      </c>
      <c r="D365" s="104">
        <v>15970178</v>
      </c>
      <c r="E365" s="104">
        <v>93.35</v>
      </c>
      <c r="G365" s="215">
        <v>45251</v>
      </c>
      <c r="H365" s="104">
        <v>8248815</v>
      </c>
      <c r="I365" s="104">
        <v>2860734</v>
      </c>
      <c r="J365" s="104">
        <v>11109549</v>
      </c>
      <c r="K365" s="104">
        <v>74.25</v>
      </c>
      <c r="M365" s="215">
        <v>45251</v>
      </c>
      <c r="N365" s="104">
        <v>2228038</v>
      </c>
      <c r="O365" s="104">
        <v>3779601</v>
      </c>
      <c r="P365" s="104">
        <v>6007639</v>
      </c>
      <c r="Q365" s="104">
        <v>37.08</v>
      </c>
      <c r="S365" s="215">
        <v>45251</v>
      </c>
      <c r="T365" s="101">
        <v>664143</v>
      </c>
      <c r="U365" s="101">
        <v>1143727</v>
      </c>
      <c r="V365" s="101">
        <v>1807870</v>
      </c>
      <c r="W365" s="101">
        <v>36.74</v>
      </c>
      <c r="Y365" s="215">
        <v>45251</v>
      </c>
      <c r="Z365" s="101">
        <v>2185738</v>
      </c>
      <c r="AA365" s="101">
        <v>385210</v>
      </c>
      <c r="AB365" s="101">
        <v>2570948</v>
      </c>
      <c r="AC365" s="101">
        <v>85.02</v>
      </c>
      <c r="AE365" s="215">
        <v>45251</v>
      </c>
      <c r="AF365" s="101">
        <v>1102044</v>
      </c>
      <c r="AG365" s="101">
        <v>7132</v>
      </c>
      <c r="AH365" s="101">
        <v>1109176</v>
      </c>
      <c r="AI365" s="101">
        <v>99.36</v>
      </c>
      <c r="AK365" s="215">
        <v>45251</v>
      </c>
      <c r="AL365" s="67">
        <v>781048</v>
      </c>
      <c r="AM365" s="67">
        <v>211</v>
      </c>
      <c r="AN365" s="67">
        <v>781259</v>
      </c>
      <c r="AO365" s="67">
        <v>99.97</v>
      </c>
      <c r="AQ365" s="215">
        <v>45251</v>
      </c>
      <c r="AR365" s="67">
        <v>2869294</v>
      </c>
      <c r="AS365" s="67">
        <v>0</v>
      </c>
      <c r="AT365" s="67">
        <v>2869294</v>
      </c>
      <c r="AU365" s="67">
        <v>100</v>
      </c>
      <c r="AX365" s="113">
        <v>45251</v>
      </c>
      <c r="AY365" s="239" t="s">
        <v>224</v>
      </c>
      <c r="BA365" s="240">
        <v>0</v>
      </c>
      <c r="BB365" s="241">
        <v>0</v>
      </c>
    </row>
    <row r="366" spans="1:55" hidden="1" x14ac:dyDescent="0.25">
      <c r="A366" s="215">
        <v>45252</v>
      </c>
      <c r="B366" s="104">
        <v>13611842</v>
      </c>
      <c r="C366" s="104">
        <v>1012240</v>
      </c>
      <c r="D366" s="104">
        <v>14624082</v>
      </c>
      <c r="E366" s="104">
        <v>93.08</v>
      </c>
      <c r="G366" s="215">
        <v>45252</v>
      </c>
      <c r="H366" s="104">
        <v>8843587</v>
      </c>
      <c r="I366" s="104">
        <v>3184113</v>
      </c>
      <c r="J366" s="104">
        <v>12027700</v>
      </c>
      <c r="K366" s="104">
        <v>73.53</v>
      </c>
      <c r="M366" s="215">
        <v>45252</v>
      </c>
      <c r="N366" s="104">
        <v>3423063</v>
      </c>
      <c r="O366" s="104">
        <v>4273207</v>
      </c>
      <c r="P366" s="104">
        <v>7696270</v>
      </c>
      <c r="Q366" s="104">
        <v>44.47</v>
      </c>
      <c r="S366" s="215">
        <v>45252</v>
      </c>
      <c r="T366" s="101">
        <v>1411530</v>
      </c>
      <c r="U366" s="101">
        <v>2614421</v>
      </c>
      <c r="V366" s="101">
        <v>4025951</v>
      </c>
      <c r="W366" s="101">
        <v>35.06</v>
      </c>
      <c r="Y366" s="215">
        <v>45252</v>
      </c>
      <c r="Z366" s="101">
        <v>1906325</v>
      </c>
      <c r="AA366" s="101">
        <v>399251</v>
      </c>
      <c r="AB366" s="101">
        <v>2305576</v>
      </c>
      <c r="AC366" s="101">
        <v>82.68</v>
      </c>
      <c r="AE366" s="215">
        <v>45252</v>
      </c>
      <c r="AF366" s="101">
        <v>1071262</v>
      </c>
      <c r="AG366" s="101">
        <v>8616</v>
      </c>
      <c r="AH366" s="101">
        <v>1079878</v>
      </c>
      <c r="AI366" s="101">
        <v>99.2</v>
      </c>
      <c r="AK366" s="215">
        <v>45252</v>
      </c>
      <c r="AL366" s="67">
        <v>714344</v>
      </c>
      <c r="AM366" s="67">
        <v>516</v>
      </c>
      <c r="AN366" s="67">
        <v>714860</v>
      </c>
      <c r="AO366" s="67">
        <v>99.93</v>
      </c>
      <c r="AQ366" s="215">
        <v>45252</v>
      </c>
      <c r="AR366" s="67">
        <v>3287499</v>
      </c>
      <c r="AS366" s="67">
        <v>46</v>
      </c>
      <c r="AT366" s="67">
        <v>3287545</v>
      </c>
      <c r="AU366" s="67">
        <v>100</v>
      </c>
      <c r="AX366" s="113">
        <v>45252</v>
      </c>
      <c r="AY366" s="239" t="s">
        <v>224</v>
      </c>
      <c r="BA366" s="240">
        <v>0</v>
      </c>
      <c r="BB366" s="241">
        <v>0</v>
      </c>
    </row>
    <row r="367" spans="1:55" ht="15.75" hidden="1" x14ac:dyDescent="0.25">
      <c r="A367" s="215">
        <v>45253</v>
      </c>
      <c r="B367" s="205">
        <v>13362237</v>
      </c>
      <c r="C367" s="205">
        <v>956474</v>
      </c>
      <c r="D367" s="205">
        <v>14318711</v>
      </c>
      <c r="E367" s="205">
        <v>93.32</v>
      </c>
      <c r="G367" s="215">
        <v>45253</v>
      </c>
      <c r="H367" s="205">
        <v>5517784</v>
      </c>
      <c r="I367" s="205">
        <v>2249147</v>
      </c>
      <c r="J367" s="205">
        <v>7766931</v>
      </c>
      <c r="K367" s="205">
        <v>71.040000000000006</v>
      </c>
      <c r="M367" s="215">
        <v>45253</v>
      </c>
      <c r="N367" s="48">
        <v>3287353</v>
      </c>
      <c r="O367" s="48">
        <v>4848485</v>
      </c>
      <c r="P367" s="48">
        <v>8135838</v>
      </c>
      <c r="Q367" s="104">
        <v>40.4</v>
      </c>
      <c r="S367" s="215">
        <v>45253</v>
      </c>
      <c r="T367" s="194">
        <v>3669849</v>
      </c>
      <c r="U367" s="194">
        <v>2925644</v>
      </c>
      <c r="V367" s="194">
        <v>6595493</v>
      </c>
      <c r="W367" s="194">
        <v>55.64</v>
      </c>
      <c r="Y367" s="215">
        <v>45253</v>
      </c>
      <c r="Z367" s="194">
        <v>1982177</v>
      </c>
      <c r="AA367" s="194">
        <v>406605</v>
      </c>
      <c r="AB367" s="194">
        <v>2388782</v>
      </c>
      <c r="AC367" s="194">
        <v>82.98</v>
      </c>
      <c r="AE367" s="215">
        <v>45253</v>
      </c>
      <c r="AF367" s="194">
        <v>1042759</v>
      </c>
      <c r="AG367" s="194">
        <v>6689</v>
      </c>
      <c r="AH367" s="194">
        <v>1049448</v>
      </c>
      <c r="AI367" s="194">
        <v>99.36</v>
      </c>
      <c r="AK367" s="215">
        <v>45253</v>
      </c>
      <c r="AL367" s="67">
        <v>1480837</v>
      </c>
      <c r="AM367" s="67">
        <v>0</v>
      </c>
      <c r="AN367" s="67">
        <v>1480837</v>
      </c>
      <c r="AO367" s="67">
        <v>100</v>
      </c>
      <c r="AQ367" s="215">
        <v>45253</v>
      </c>
      <c r="AR367" s="67">
        <v>2130956</v>
      </c>
      <c r="AS367" s="67">
        <v>2003</v>
      </c>
      <c r="AT367" s="67">
        <v>2132959</v>
      </c>
      <c r="AU367" s="67">
        <v>99.91</v>
      </c>
      <c r="AX367" s="113">
        <v>45253</v>
      </c>
      <c r="AY367" s="239" t="s">
        <v>224</v>
      </c>
      <c r="BA367" s="240">
        <v>0</v>
      </c>
      <c r="BB367" s="241">
        <v>0</v>
      </c>
    </row>
    <row r="368" spans="1:55" ht="15.75" hidden="1" x14ac:dyDescent="0.25">
      <c r="A368" s="215">
        <v>45254</v>
      </c>
      <c r="B368" s="205">
        <v>15110990</v>
      </c>
      <c r="C368" s="205">
        <v>1158449</v>
      </c>
      <c r="D368" s="205">
        <v>16269439</v>
      </c>
      <c r="E368" s="205">
        <v>92.88</v>
      </c>
      <c r="G368" s="215">
        <v>45254</v>
      </c>
      <c r="H368" s="205">
        <v>4284834</v>
      </c>
      <c r="I368" s="205">
        <v>1519510</v>
      </c>
      <c r="J368" s="205">
        <v>5804344</v>
      </c>
      <c r="K368" s="205">
        <v>73.819999999999993</v>
      </c>
      <c r="M368" s="215">
        <v>45254</v>
      </c>
      <c r="N368" s="48">
        <v>3244533</v>
      </c>
      <c r="O368" s="48">
        <v>4101077</v>
      </c>
      <c r="P368" s="48">
        <v>7345610</v>
      </c>
      <c r="Q368" s="48">
        <v>44.16</v>
      </c>
      <c r="S368" s="215">
        <v>45254</v>
      </c>
      <c r="T368" s="194">
        <v>2307881</v>
      </c>
      <c r="U368" s="194">
        <v>2666510</v>
      </c>
      <c r="V368" s="194">
        <v>4974391</v>
      </c>
      <c r="W368" s="194">
        <v>46.4</v>
      </c>
      <c r="Y368" s="215">
        <v>45254</v>
      </c>
      <c r="Z368" s="194">
        <v>2070205</v>
      </c>
      <c r="AA368" s="194">
        <v>402142</v>
      </c>
      <c r="AB368" s="194">
        <v>2472347</v>
      </c>
      <c r="AC368" s="194">
        <v>83.73</v>
      </c>
      <c r="AE368" s="215">
        <v>45254</v>
      </c>
      <c r="AF368" s="194">
        <v>1136002</v>
      </c>
      <c r="AG368" s="194">
        <v>6874</v>
      </c>
      <c r="AH368" s="194">
        <v>1142876</v>
      </c>
      <c r="AI368" s="194">
        <v>99.4</v>
      </c>
      <c r="AK368" s="215">
        <v>45254</v>
      </c>
      <c r="AL368" s="67">
        <v>1030673</v>
      </c>
      <c r="AM368" s="67">
        <v>0</v>
      </c>
      <c r="AN368" s="67">
        <v>1030673</v>
      </c>
      <c r="AO368" s="67">
        <v>100</v>
      </c>
      <c r="AQ368" s="215">
        <v>45254</v>
      </c>
      <c r="AR368" s="67">
        <v>1725793</v>
      </c>
      <c r="AS368" s="67">
        <v>0</v>
      </c>
      <c r="AT368" s="67">
        <v>1725793</v>
      </c>
      <c r="AU368" s="67">
        <v>100</v>
      </c>
      <c r="AX368" s="113">
        <v>45254</v>
      </c>
      <c r="AY368" s="239" t="s">
        <v>224</v>
      </c>
      <c r="BA368" s="240">
        <v>0</v>
      </c>
      <c r="BB368" s="241">
        <v>0</v>
      </c>
    </row>
    <row r="369" spans="1:54" ht="15.75" hidden="1" x14ac:dyDescent="0.25">
      <c r="A369" s="215">
        <v>45255</v>
      </c>
      <c r="B369" s="205">
        <v>14927873</v>
      </c>
      <c r="C369" s="205">
        <v>1216957</v>
      </c>
      <c r="D369" s="205">
        <v>16144830</v>
      </c>
      <c r="E369" s="205">
        <v>92.46</v>
      </c>
      <c r="G369" s="215">
        <v>45255</v>
      </c>
      <c r="H369" s="205">
        <v>8696204</v>
      </c>
      <c r="I369" s="205">
        <v>3171894</v>
      </c>
      <c r="J369" s="205">
        <v>11868098</v>
      </c>
      <c r="K369" s="205">
        <v>73.27</v>
      </c>
      <c r="M369" s="215">
        <v>45255</v>
      </c>
      <c r="N369" s="48">
        <v>3336832</v>
      </c>
      <c r="O369" s="48">
        <v>4158650</v>
      </c>
      <c r="P369" s="48">
        <v>7495482</v>
      </c>
      <c r="Q369" s="48">
        <v>44.51</v>
      </c>
      <c r="S369" s="215">
        <v>45255</v>
      </c>
      <c r="T369" s="194">
        <v>1419214</v>
      </c>
      <c r="U369" s="194">
        <v>2617757</v>
      </c>
      <c r="V369" s="194">
        <v>4036971</v>
      </c>
      <c r="W369" s="194">
        <v>35.159999999999997</v>
      </c>
      <c r="Y369" s="215">
        <v>45255</v>
      </c>
      <c r="Z369" s="194">
        <v>2024199</v>
      </c>
      <c r="AA369" s="194">
        <v>396678</v>
      </c>
      <c r="AB369" s="194">
        <v>2420877</v>
      </c>
      <c r="AC369" s="194">
        <v>83.61</v>
      </c>
      <c r="AE369" s="215">
        <v>45255</v>
      </c>
      <c r="AF369" s="194">
        <v>1103428</v>
      </c>
      <c r="AG369" s="194">
        <v>6492</v>
      </c>
      <c r="AH369" s="194">
        <v>1109920</v>
      </c>
      <c r="AI369" s="194">
        <v>99.42</v>
      </c>
      <c r="AK369" s="215">
        <v>45255</v>
      </c>
      <c r="AL369" s="67">
        <v>884095</v>
      </c>
      <c r="AM369" s="67">
        <v>0</v>
      </c>
      <c r="AN369" s="67">
        <v>884095</v>
      </c>
      <c r="AO369" s="67">
        <v>100</v>
      </c>
      <c r="AQ369" s="215">
        <v>45255</v>
      </c>
      <c r="AR369" s="67">
        <v>3240221</v>
      </c>
      <c r="AS369" s="67">
        <v>0</v>
      </c>
      <c r="AT369" s="67">
        <v>3240221</v>
      </c>
      <c r="AU369" s="67">
        <v>100</v>
      </c>
      <c r="AX369" s="113">
        <v>45255</v>
      </c>
      <c r="AY369" s="239" t="s">
        <v>224</v>
      </c>
      <c r="BA369" s="240">
        <v>0</v>
      </c>
      <c r="BB369" s="241">
        <v>0</v>
      </c>
    </row>
    <row r="370" spans="1:54" ht="15.75" hidden="1" x14ac:dyDescent="0.25">
      <c r="A370" s="215">
        <v>45256</v>
      </c>
      <c r="B370" s="205">
        <v>12228824</v>
      </c>
      <c r="C370" s="205">
        <v>1038872</v>
      </c>
      <c r="D370" s="205">
        <v>13267696</v>
      </c>
      <c r="E370" s="205">
        <v>92.17</v>
      </c>
      <c r="G370" s="215">
        <v>45256</v>
      </c>
      <c r="H370" s="205">
        <v>2219297</v>
      </c>
      <c r="I370" s="205">
        <v>845977</v>
      </c>
      <c r="J370" s="205">
        <v>3065274</v>
      </c>
      <c r="K370" s="205">
        <v>72.400000000000006</v>
      </c>
      <c r="M370" s="215">
        <v>45256</v>
      </c>
      <c r="N370" s="48">
        <v>2938909</v>
      </c>
      <c r="O370" s="48">
        <v>3216868</v>
      </c>
      <c r="P370" s="48">
        <v>6155777</v>
      </c>
      <c r="Q370" s="48">
        <v>47.74</v>
      </c>
      <c r="S370" s="215">
        <v>45256</v>
      </c>
      <c r="T370" s="194">
        <v>34137</v>
      </c>
      <c r="U370" s="194">
        <v>3964</v>
      </c>
      <c r="V370" s="194">
        <v>38101</v>
      </c>
      <c r="W370" s="194">
        <v>89.6</v>
      </c>
      <c r="Y370" s="215">
        <v>45256</v>
      </c>
      <c r="Z370" s="194">
        <v>1984864</v>
      </c>
      <c r="AA370" s="194">
        <v>395235</v>
      </c>
      <c r="AB370" s="194">
        <v>2380099</v>
      </c>
      <c r="AC370" s="194">
        <v>83.39</v>
      </c>
      <c r="AE370" s="215">
        <v>45256</v>
      </c>
      <c r="AF370" s="194">
        <v>1109758</v>
      </c>
      <c r="AG370" s="194">
        <v>5844</v>
      </c>
      <c r="AH370" s="194">
        <v>1115602</v>
      </c>
      <c r="AI370" s="194">
        <v>99.48</v>
      </c>
      <c r="AK370" s="215">
        <v>45256</v>
      </c>
      <c r="AL370" s="67">
        <v>886459</v>
      </c>
      <c r="AM370" s="67">
        <v>0</v>
      </c>
      <c r="AN370" s="67">
        <v>886459</v>
      </c>
      <c r="AO370" s="67">
        <v>100</v>
      </c>
      <c r="AQ370" s="215">
        <v>45256</v>
      </c>
      <c r="AR370" s="67">
        <v>887101</v>
      </c>
      <c r="AS370" s="67">
        <v>0</v>
      </c>
      <c r="AT370" s="67">
        <v>887101</v>
      </c>
      <c r="AU370" s="67">
        <v>100</v>
      </c>
      <c r="AX370" s="113">
        <v>45256</v>
      </c>
      <c r="AY370" s="239" t="s">
        <v>224</v>
      </c>
      <c r="BA370" s="240">
        <v>0</v>
      </c>
      <c r="BB370" s="241">
        <v>0</v>
      </c>
    </row>
    <row r="371" spans="1:54" ht="15.75" hidden="1" x14ac:dyDescent="0.25">
      <c r="A371" s="215">
        <v>45257</v>
      </c>
      <c r="B371" s="205">
        <v>14897222</v>
      </c>
      <c r="C371" s="205">
        <v>967055</v>
      </c>
      <c r="D371" s="205">
        <v>15864277</v>
      </c>
      <c r="E371" s="205">
        <v>93.9</v>
      </c>
      <c r="G371" s="215">
        <v>45257</v>
      </c>
      <c r="H371" s="205">
        <v>9165476</v>
      </c>
      <c r="I371" s="205">
        <v>3326081</v>
      </c>
      <c r="J371" s="205">
        <v>12491557</v>
      </c>
      <c r="K371" s="205">
        <v>73.37</v>
      </c>
      <c r="M371" s="215">
        <v>45257</v>
      </c>
      <c r="N371" s="48">
        <v>3473959</v>
      </c>
      <c r="O371" s="48">
        <v>4557429</v>
      </c>
      <c r="P371" s="48">
        <v>8031388</v>
      </c>
      <c r="Q371" s="48">
        <v>43.25</v>
      </c>
      <c r="S371" s="215">
        <v>45257</v>
      </c>
      <c r="T371" s="194">
        <v>1422797</v>
      </c>
      <c r="U371" s="194">
        <v>2614661</v>
      </c>
      <c r="V371" s="194">
        <v>4037458</v>
      </c>
      <c r="W371" s="194">
        <v>35.24</v>
      </c>
      <c r="Y371" s="215">
        <v>45257</v>
      </c>
      <c r="Z371" s="194">
        <v>2009137</v>
      </c>
      <c r="AA371" s="194">
        <v>460482</v>
      </c>
      <c r="AB371" s="194">
        <v>2469619</v>
      </c>
      <c r="AC371" s="194">
        <v>81.349999999999994</v>
      </c>
      <c r="AE371" s="215">
        <v>45257</v>
      </c>
      <c r="AF371" s="194">
        <v>1148119</v>
      </c>
      <c r="AG371" s="194">
        <v>6722</v>
      </c>
      <c r="AH371" s="194">
        <v>1154841</v>
      </c>
      <c r="AI371" s="194">
        <v>99.42</v>
      </c>
      <c r="AK371" s="215">
        <v>45257</v>
      </c>
      <c r="AL371" s="67">
        <v>967470</v>
      </c>
      <c r="AM371" s="67">
        <v>5</v>
      </c>
      <c r="AN371" s="67">
        <v>967475</v>
      </c>
      <c r="AO371" s="67">
        <v>100</v>
      </c>
      <c r="AQ371" s="215">
        <v>45257</v>
      </c>
      <c r="AR371" s="67">
        <v>3023229</v>
      </c>
      <c r="AS371" s="67">
        <v>17</v>
      </c>
      <c r="AT371" s="67">
        <v>3023246</v>
      </c>
      <c r="AU371" s="67">
        <v>100</v>
      </c>
      <c r="AX371" s="113">
        <v>45257</v>
      </c>
      <c r="AY371" s="239" t="s">
        <v>224</v>
      </c>
      <c r="BA371" s="240">
        <v>0</v>
      </c>
      <c r="BB371" s="241">
        <v>0</v>
      </c>
    </row>
    <row r="372" spans="1:54" ht="15.75" hidden="1" x14ac:dyDescent="0.25">
      <c r="A372" s="215">
        <v>45258</v>
      </c>
      <c r="B372" s="205">
        <v>15468003</v>
      </c>
      <c r="C372" s="205">
        <v>1249235</v>
      </c>
      <c r="D372" s="205">
        <v>16717238</v>
      </c>
      <c r="E372" s="205">
        <v>92.53</v>
      </c>
      <c r="G372" s="215">
        <v>45258</v>
      </c>
      <c r="H372" s="205">
        <v>9519869</v>
      </c>
      <c r="I372" s="205">
        <v>3733299</v>
      </c>
      <c r="J372" s="205">
        <v>13253168</v>
      </c>
      <c r="K372" s="205">
        <v>71.83</v>
      </c>
      <c r="M372" s="215">
        <v>45258</v>
      </c>
      <c r="N372" s="48">
        <v>2842661</v>
      </c>
      <c r="O372" s="48">
        <v>3272450</v>
      </c>
      <c r="P372" s="48">
        <v>6115111</v>
      </c>
      <c r="Q372" s="48">
        <v>46.48</v>
      </c>
      <c r="S372" s="215">
        <v>45258</v>
      </c>
      <c r="T372" s="194">
        <v>1528880</v>
      </c>
      <c r="U372" s="194">
        <v>2508474</v>
      </c>
      <c r="V372" s="194">
        <v>4037354</v>
      </c>
      <c r="W372" s="194">
        <v>37.869999999999997</v>
      </c>
      <c r="Y372" s="215">
        <v>45258</v>
      </c>
      <c r="Z372" s="194">
        <v>2101908</v>
      </c>
      <c r="AA372" s="194">
        <v>348937</v>
      </c>
      <c r="AB372" s="194">
        <v>2450845</v>
      </c>
      <c r="AC372" s="194">
        <v>85.76</v>
      </c>
      <c r="AE372" s="215">
        <v>45258</v>
      </c>
      <c r="AF372" s="194">
        <v>1093834</v>
      </c>
      <c r="AG372" s="194">
        <v>6700</v>
      </c>
      <c r="AH372" s="194">
        <v>1100534</v>
      </c>
      <c r="AI372" s="194">
        <v>99.39</v>
      </c>
      <c r="AK372" s="215">
        <v>45258</v>
      </c>
      <c r="AL372" s="67">
        <v>682959</v>
      </c>
      <c r="AM372" s="67">
        <v>3395</v>
      </c>
      <c r="AN372" s="67">
        <v>686354</v>
      </c>
      <c r="AO372" s="67">
        <v>99.51</v>
      </c>
      <c r="AQ372" s="215">
        <v>45258</v>
      </c>
      <c r="AR372" s="67">
        <v>2762801</v>
      </c>
      <c r="AS372" s="67">
        <v>0</v>
      </c>
      <c r="AT372" s="67">
        <v>2762801</v>
      </c>
      <c r="AU372" s="67">
        <v>100</v>
      </c>
      <c r="AX372" s="113">
        <v>45258</v>
      </c>
      <c r="AY372" s="239" t="s">
        <v>224</v>
      </c>
      <c r="BA372" s="240">
        <v>0</v>
      </c>
      <c r="BB372" s="241">
        <v>0</v>
      </c>
    </row>
    <row r="373" spans="1:54" ht="15.75" hidden="1" x14ac:dyDescent="0.25">
      <c r="A373" s="215">
        <v>45259</v>
      </c>
      <c r="B373" s="205">
        <v>14853808</v>
      </c>
      <c r="C373" s="205">
        <v>1044935</v>
      </c>
      <c r="D373" s="205">
        <v>15898743</v>
      </c>
      <c r="E373" s="205">
        <v>93.43</v>
      </c>
      <c r="G373" s="215">
        <v>45259</v>
      </c>
      <c r="H373" s="205">
        <v>8726572</v>
      </c>
      <c r="I373" s="205">
        <v>2598892</v>
      </c>
      <c r="J373" s="205">
        <v>11325464</v>
      </c>
      <c r="K373" s="205">
        <v>77.05</v>
      </c>
      <c r="M373" s="215">
        <v>45259</v>
      </c>
      <c r="N373" s="48">
        <v>3063126</v>
      </c>
      <c r="O373" s="48">
        <v>3673963</v>
      </c>
      <c r="P373" s="48">
        <v>6737089</v>
      </c>
      <c r="Q373" s="48">
        <v>45.46</v>
      </c>
      <c r="S373" s="215">
        <v>45259</v>
      </c>
      <c r="T373" s="194">
        <v>1513483</v>
      </c>
      <c r="U373" s="194">
        <v>2507657</v>
      </c>
      <c r="V373" s="194">
        <v>4021140</v>
      </c>
      <c r="W373" s="194">
        <v>37.64</v>
      </c>
      <c r="Y373" s="215">
        <v>45259</v>
      </c>
      <c r="Z373" s="194">
        <v>2589945</v>
      </c>
      <c r="AA373" s="194">
        <v>350739</v>
      </c>
      <c r="AB373" s="194">
        <v>2940684</v>
      </c>
      <c r="AC373" s="194">
        <v>88.07</v>
      </c>
      <c r="AE373" s="215">
        <v>45259</v>
      </c>
      <c r="AF373" s="194">
        <v>1041349</v>
      </c>
      <c r="AG373" s="194">
        <v>6724</v>
      </c>
      <c r="AH373" s="194">
        <v>1048073</v>
      </c>
      <c r="AI373" s="194">
        <v>99.36</v>
      </c>
      <c r="AK373" s="215">
        <v>45259</v>
      </c>
      <c r="AL373" s="67">
        <v>919710</v>
      </c>
      <c r="AM373" s="67">
        <v>550</v>
      </c>
      <c r="AN373" s="67">
        <v>920260</v>
      </c>
      <c r="AO373" s="67">
        <v>99.94</v>
      </c>
      <c r="AQ373" s="215">
        <v>45259</v>
      </c>
      <c r="AR373" s="67">
        <v>3806354</v>
      </c>
      <c r="AS373" s="67">
        <v>0</v>
      </c>
      <c r="AT373" s="67">
        <v>3806354</v>
      </c>
      <c r="AU373" s="67">
        <v>100</v>
      </c>
      <c r="AX373" s="113">
        <v>45259</v>
      </c>
      <c r="AY373" s="239" t="s">
        <v>224</v>
      </c>
      <c r="BA373" s="240">
        <v>0</v>
      </c>
      <c r="BB373" s="241">
        <v>0</v>
      </c>
    </row>
    <row r="374" spans="1:54" ht="15.75" hidden="1" x14ac:dyDescent="0.25">
      <c r="A374" s="215">
        <v>45260</v>
      </c>
      <c r="B374" s="205">
        <v>14772628</v>
      </c>
      <c r="C374" s="205">
        <v>1020636</v>
      </c>
      <c r="D374" s="205">
        <v>15793264</v>
      </c>
      <c r="E374" s="205">
        <v>93.54</v>
      </c>
      <c r="G374" s="215">
        <v>45260</v>
      </c>
      <c r="H374" s="205">
        <v>6676032</v>
      </c>
      <c r="I374" s="205">
        <v>2174618</v>
      </c>
      <c r="J374" s="205">
        <v>8850650</v>
      </c>
      <c r="K374" s="205">
        <v>75.430000000000007</v>
      </c>
      <c r="M374" s="215">
        <v>45260</v>
      </c>
      <c r="N374" s="48">
        <v>3678757</v>
      </c>
      <c r="O374" s="48">
        <v>4596386</v>
      </c>
      <c r="P374" s="48">
        <v>8275143</v>
      </c>
      <c r="Q374" s="48">
        <v>44.45</v>
      </c>
      <c r="S374" s="215">
        <v>45260</v>
      </c>
      <c r="T374" s="194">
        <v>1526990</v>
      </c>
      <c r="U374" s="194">
        <v>2485704</v>
      </c>
      <c r="V374" s="194">
        <v>4012694</v>
      </c>
      <c r="W374" s="194">
        <v>38.049999999999997</v>
      </c>
      <c r="Y374" s="215">
        <v>45260</v>
      </c>
      <c r="Z374" s="194">
        <v>3006954</v>
      </c>
      <c r="AA374" s="194">
        <v>397940</v>
      </c>
      <c r="AB374" s="194">
        <v>3404894</v>
      </c>
      <c r="AC374" s="194">
        <v>88.31</v>
      </c>
      <c r="AE374" s="215">
        <v>45260</v>
      </c>
      <c r="AF374" s="194">
        <v>1037556</v>
      </c>
      <c r="AG374" s="194">
        <v>6837</v>
      </c>
      <c r="AH374" s="194">
        <v>1044393</v>
      </c>
      <c r="AI374" s="194">
        <v>99.35</v>
      </c>
      <c r="AK374" s="215">
        <v>45260</v>
      </c>
      <c r="AL374" s="67">
        <v>1117364</v>
      </c>
      <c r="AM374" s="67">
        <v>0</v>
      </c>
      <c r="AN374" s="67">
        <v>1117364</v>
      </c>
      <c r="AO374" s="67">
        <v>100</v>
      </c>
      <c r="AQ374" s="215">
        <v>45260</v>
      </c>
      <c r="AR374" s="67">
        <v>4166184</v>
      </c>
      <c r="AS374" s="67">
        <v>3850</v>
      </c>
      <c r="AT374" s="67">
        <v>4170034</v>
      </c>
      <c r="AU374" s="67">
        <v>99.91</v>
      </c>
      <c r="AX374" s="113">
        <v>45260</v>
      </c>
      <c r="AY374" s="239" t="s">
        <v>224</v>
      </c>
      <c r="BA374" s="240">
        <v>0</v>
      </c>
      <c r="BB374" s="241">
        <v>0</v>
      </c>
    </row>
    <row r="375" spans="1:54" ht="15.75" hidden="1" x14ac:dyDescent="0.25">
      <c r="A375" s="215">
        <v>45261</v>
      </c>
      <c r="B375" s="205">
        <v>15627046</v>
      </c>
      <c r="C375" s="205">
        <v>1199261</v>
      </c>
      <c r="D375" s="205">
        <v>16826307</v>
      </c>
      <c r="E375" s="205">
        <v>92.87</v>
      </c>
      <c r="G375" s="215">
        <v>45261</v>
      </c>
      <c r="H375" s="205">
        <v>1989288</v>
      </c>
      <c r="I375" s="205">
        <v>619381</v>
      </c>
      <c r="J375" s="205">
        <v>2608669</v>
      </c>
      <c r="K375" s="205">
        <v>76.260000000000005</v>
      </c>
      <c r="M375" s="215">
        <v>45261</v>
      </c>
      <c r="N375" s="48">
        <v>3397846</v>
      </c>
      <c r="O375" s="48">
        <v>3995026</v>
      </c>
      <c r="P375" s="48">
        <v>7392872</v>
      </c>
      <c r="Q375" s="48">
        <v>45.96</v>
      </c>
      <c r="S375" s="215">
        <v>45261</v>
      </c>
      <c r="T375" s="194">
        <v>1550744</v>
      </c>
      <c r="U375" s="194">
        <v>2473028</v>
      </c>
      <c r="V375" s="194">
        <v>4023772</v>
      </c>
      <c r="W375" s="194">
        <v>38.54</v>
      </c>
      <c r="Y375" s="215">
        <v>45261</v>
      </c>
      <c r="Z375" s="194">
        <v>3069856</v>
      </c>
      <c r="AA375" s="194">
        <v>481105</v>
      </c>
      <c r="AB375" s="194">
        <v>3550961</v>
      </c>
      <c r="AC375" s="194">
        <v>86.45</v>
      </c>
      <c r="AE375" s="215">
        <v>45261</v>
      </c>
      <c r="AF375" s="194">
        <v>1267308</v>
      </c>
      <c r="AG375" s="194">
        <v>9298</v>
      </c>
      <c r="AH375" s="194">
        <v>1276606</v>
      </c>
      <c r="AI375" s="194">
        <v>99.27</v>
      </c>
      <c r="AK375" s="215">
        <v>45261</v>
      </c>
      <c r="AL375" s="67">
        <v>989584</v>
      </c>
      <c r="AM375" s="67">
        <v>0</v>
      </c>
      <c r="AN375" s="67">
        <v>989584</v>
      </c>
      <c r="AO375" s="67">
        <v>100</v>
      </c>
      <c r="AQ375" s="215">
        <v>45261</v>
      </c>
      <c r="AR375" s="67">
        <v>1729067</v>
      </c>
      <c r="AS375" s="67">
        <v>71</v>
      </c>
      <c r="AT375" s="67">
        <v>1729138</v>
      </c>
      <c r="AU375" s="67">
        <v>100</v>
      </c>
      <c r="AX375" s="113">
        <v>45261</v>
      </c>
      <c r="AY375" s="239" t="s">
        <v>224</v>
      </c>
      <c r="BA375" s="240">
        <v>0</v>
      </c>
      <c r="BB375" s="241">
        <v>0</v>
      </c>
    </row>
    <row r="376" spans="1:54" ht="15.75" hidden="1" x14ac:dyDescent="0.25">
      <c r="A376" s="215">
        <v>45262</v>
      </c>
      <c r="B376" s="205">
        <v>15669323</v>
      </c>
      <c r="C376" s="205">
        <v>1174365</v>
      </c>
      <c r="D376" s="205">
        <v>16843688</v>
      </c>
      <c r="E376" s="205">
        <v>93.03</v>
      </c>
      <c r="G376" s="215">
        <v>45262</v>
      </c>
      <c r="H376" s="205">
        <v>670029</v>
      </c>
      <c r="I376" s="205">
        <v>285813</v>
      </c>
      <c r="J376" s="205">
        <v>955842</v>
      </c>
      <c r="K376" s="205">
        <v>70.099999999999994</v>
      </c>
      <c r="M376" s="215">
        <v>45262</v>
      </c>
      <c r="N376" s="48">
        <v>3394302</v>
      </c>
      <c r="O376" s="48">
        <v>4108304</v>
      </c>
      <c r="P376" s="48">
        <v>7502606</v>
      </c>
      <c r="Q376" s="48">
        <v>45.24</v>
      </c>
      <c r="S376" s="215">
        <v>45262</v>
      </c>
      <c r="T376" s="194">
        <v>1566713</v>
      </c>
      <c r="U376" s="194">
        <v>2496272</v>
      </c>
      <c r="V376" s="194">
        <v>4062985</v>
      </c>
      <c r="W376" s="194">
        <v>38.56</v>
      </c>
      <c r="Y376" s="215">
        <v>45262</v>
      </c>
      <c r="Z376" s="194">
        <v>2394445</v>
      </c>
      <c r="AA376" s="194">
        <v>480741</v>
      </c>
      <c r="AB376" s="194">
        <v>2875186</v>
      </c>
      <c r="AC376" s="194">
        <v>83.28</v>
      </c>
      <c r="AE376" s="215">
        <v>45262</v>
      </c>
      <c r="AF376" s="194">
        <v>1040492</v>
      </c>
      <c r="AG376" s="194">
        <v>6926</v>
      </c>
      <c r="AH376" s="194">
        <v>1047418</v>
      </c>
      <c r="AI376" s="194">
        <v>99.34</v>
      </c>
      <c r="AK376" s="215">
        <v>45262</v>
      </c>
      <c r="AL376" s="67">
        <v>893349</v>
      </c>
      <c r="AM376" s="67">
        <v>0</v>
      </c>
      <c r="AN376" s="67">
        <v>893349</v>
      </c>
      <c r="AO376" s="67">
        <v>100</v>
      </c>
      <c r="AQ376" s="215">
        <v>45262</v>
      </c>
      <c r="AR376" s="67">
        <v>492487</v>
      </c>
      <c r="AS376" s="67">
        <v>0</v>
      </c>
      <c r="AT376" s="67">
        <v>492487</v>
      </c>
      <c r="AU376" s="67">
        <v>100</v>
      </c>
      <c r="AX376" s="113">
        <v>45262</v>
      </c>
      <c r="AY376" s="239" t="s">
        <v>224</v>
      </c>
      <c r="BA376" s="240">
        <v>0</v>
      </c>
      <c r="BB376" s="241">
        <v>0</v>
      </c>
    </row>
    <row r="377" spans="1:54" ht="15.75" hidden="1" x14ac:dyDescent="0.25">
      <c r="A377" s="215">
        <v>45263</v>
      </c>
      <c r="B377" s="205">
        <v>13120942</v>
      </c>
      <c r="C377" s="205">
        <v>1133598</v>
      </c>
      <c r="D377" s="205">
        <v>14254540</v>
      </c>
      <c r="E377" s="205">
        <v>92.05</v>
      </c>
      <c r="G377" s="215">
        <v>45263</v>
      </c>
      <c r="H377" s="205">
        <v>1421631</v>
      </c>
      <c r="I377" s="205">
        <v>501835</v>
      </c>
      <c r="J377" s="205">
        <v>1923466</v>
      </c>
      <c r="K377" s="205">
        <v>73.91</v>
      </c>
      <c r="M377" s="215">
        <v>45263</v>
      </c>
      <c r="N377" s="48">
        <v>3069057</v>
      </c>
      <c r="O377" s="48">
        <v>4213348</v>
      </c>
      <c r="P377" s="48">
        <v>7282405</v>
      </c>
      <c r="Q377" s="48">
        <v>42.14</v>
      </c>
      <c r="S377" s="215">
        <v>45263</v>
      </c>
      <c r="T377" s="194">
        <v>34073</v>
      </c>
      <c r="U377" s="194">
        <v>3606</v>
      </c>
      <c r="V377" s="194">
        <v>37679</v>
      </c>
      <c r="W377" s="194">
        <v>90.43</v>
      </c>
      <c r="Y377" s="215">
        <v>45263</v>
      </c>
      <c r="Z377" s="194">
        <v>2087851</v>
      </c>
      <c r="AA377" s="194">
        <v>393071</v>
      </c>
      <c r="AB377" s="194">
        <v>2480922</v>
      </c>
      <c r="AC377" s="194">
        <v>84.16</v>
      </c>
      <c r="AE377" s="215">
        <v>45263</v>
      </c>
      <c r="AF377" s="194">
        <v>1015050</v>
      </c>
      <c r="AG377" s="194">
        <v>5735</v>
      </c>
      <c r="AH377" s="194">
        <v>1020785</v>
      </c>
      <c r="AI377" s="194">
        <v>99.44</v>
      </c>
      <c r="AK377" s="215">
        <v>45263</v>
      </c>
      <c r="AL377" s="67">
        <v>877385</v>
      </c>
      <c r="AM377" s="67">
        <v>0</v>
      </c>
      <c r="AN377" s="67">
        <v>877385</v>
      </c>
      <c r="AO377" s="67">
        <v>100</v>
      </c>
      <c r="AQ377" s="215">
        <v>45263</v>
      </c>
      <c r="AR377" s="67">
        <v>1215892</v>
      </c>
      <c r="AS377" s="67">
        <v>0</v>
      </c>
      <c r="AT377" s="67">
        <v>1215892</v>
      </c>
      <c r="AU377" s="67">
        <v>100</v>
      </c>
      <c r="AX377" s="113">
        <v>45263</v>
      </c>
      <c r="AY377" s="239" t="s">
        <v>224</v>
      </c>
      <c r="BA377" s="240">
        <v>0</v>
      </c>
      <c r="BB377" s="241">
        <v>0</v>
      </c>
    </row>
    <row r="378" spans="1:54" ht="15.75" hidden="1" x14ac:dyDescent="0.25">
      <c r="A378" s="215">
        <v>45264</v>
      </c>
      <c r="B378" s="205">
        <v>15399243</v>
      </c>
      <c r="C378" s="205">
        <v>1067438</v>
      </c>
      <c r="D378" s="205">
        <v>16466681</v>
      </c>
      <c r="E378" s="205">
        <v>93.52</v>
      </c>
      <c r="G378" s="215">
        <v>45264</v>
      </c>
      <c r="H378" s="205">
        <v>1675069</v>
      </c>
      <c r="I378" s="205">
        <v>610842</v>
      </c>
      <c r="J378" s="205">
        <v>2285911</v>
      </c>
      <c r="K378" s="205">
        <v>73.28</v>
      </c>
      <c r="M378" s="215">
        <v>45264</v>
      </c>
      <c r="N378" s="48">
        <v>3540770</v>
      </c>
      <c r="O378" s="48">
        <v>4766241</v>
      </c>
      <c r="P378" s="48">
        <v>8307011</v>
      </c>
      <c r="Q378" s="48">
        <v>42.62</v>
      </c>
      <c r="S378" s="215">
        <v>45264</v>
      </c>
      <c r="T378" s="194">
        <v>1542808</v>
      </c>
      <c r="U378" s="194">
        <v>2489270</v>
      </c>
      <c r="V378" s="194">
        <v>4032078</v>
      </c>
      <c r="W378" s="194">
        <v>38.26</v>
      </c>
      <c r="Y378" s="215">
        <v>45264</v>
      </c>
      <c r="Z378" s="194">
        <v>2163386</v>
      </c>
      <c r="AA378" s="194">
        <v>373606</v>
      </c>
      <c r="AB378" s="194">
        <v>2536992</v>
      </c>
      <c r="AC378" s="194">
        <v>85.27</v>
      </c>
      <c r="AE378" s="215">
        <v>45264</v>
      </c>
      <c r="AF378" s="194">
        <v>1007204</v>
      </c>
      <c r="AG378" s="194">
        <v>6152</v>
      </c>
      <c r="AH378" s="194">
        <v>1013356</v>
      </c>
      <c r="AI378" s="194">
        <v>99.39</v>
      </c>
      <c r="AK378" s="215">
        <v>45264</v>
      </c>
      <c r="AL378" s="67">
        <v>920671</v>
      </c>
      <c r="AM378" s="67">
        <v>10</v>
      </c>
      <c r="AN378" s="67">
        <v>920681</v>
      </c>
      <c r="AO378" s="67">
        <v>100</v>
      </c>
      <c r="AQ378" s="215">
        <v>45264</v>
      </c>
      <c r="AR378" s="67">
        <v>1348364</v>
      </c>
      <c r="AS378" s="67">
        <v>0</v>
      </c>
      <c r="AT378" s="67">
        <v>1348364</v>
      </c>
      <c r="AU378" s="67">
        <v>100</v>
      </c>
      <c r="AX378" s="113">
        <v>45264</v>
      </c>
      <c r="AY378" s="239" t="s">
        <v>224</v>
      </c>
      <c r="BA378" s="240">
        <v>0</v>
      </c>
      <c r="BB378" s="241">
        <v>0</v>
      </c>
    </row>
    <row r="379" spans="1:54" ht="15.75" hidden="1" x14ac:dyDescent="0.25">
      <c r="A379" s="215">
        <v>45265</v>
      </c>
      <c r="B379" s="205">
        <v>15637440</v>
      </c>
      <c r="C379" s="205">
        <v>1179634</v>
      </c>
      <c r="D379" s="205">
        <v>16817074</v>
      </c>
      <c r="E379" s="205">
        <v>92.99</v>
      </c>
      <c r="G379" s="215">
        <v>45265</v>
      </c>
      <c r="H379" s="205">
        <v>4346812</v>
      </c>
      <c r="I379" s="205">
        <v>1050581</v>
      </c>
      <c r="J379" s="205">
        <v>5397393</v>
      </c>
      <c r="K379" s="205">
        <v>80.540000000000006</v>
      </c>
      <c r="M379" s="215">
        <v>45265</v>
      </c>
      <c r="N379" s="48">
        <v>2800982</v>
      </c>
      <c r="O379" s="48">
        <v>3342771</v>
      </c>
      <c r="P379" s="48">
        <v>6143753</v>
      </c>
      <c r="Q379" s="48">
        <v>45.59</v>
      </c>
      <c r="S379" s="215">
        <v>45265</v>
      </c>
      <c r="T379" s="194">
        <v>1306812</v>
      </c>
      <c r="U379" s="194">
        <v>2113849</v>
      </c>
      <c r="V379" s="194">
        <v>3420661</v>
      </c>
      <c r="W379" s="194">
        <v>38.200000000000003</v>
      </c>
      <c r="Y379" s="215">
        <v>45265</v>
      </c>
      <c r="Z379" s="194">
        <v>2489366</v>
      </c>
      <c r="AA379" s="194">
        <v>422983</v>
      </c>
      <c r="AB379" s="194">
        <v>2912349</v>
      </c>
      <c r="AC379" s="194">
        <v>85.48</v>
      </c>
      <c r="AE379" s="215">
        <v>45265</v>
      </c>
      <c r="AF379" s="194">
        <v>1044238</v>
      </c>
      <c r="AG379" s="194">
        <v>6490</v>
      </c>
      <c r="AH379" s="194">
        <v>1050728</v>
      </c>
      <c r="AI379" s="194">
        <v>99.38</v>
      </c>
      <c r="AK379" s="215">
        <v>45265</v>
      </c>
      <c r="AL379" s="67">
        <v>1012103</v>
      </c>
      <c r="AM379" s="67">
        <v>1643</v>
      </c>
      <c r="AN379" s="67">
        <v>1013746</v>
      </c>
      <c r="AO379" s="67">
        <v>99.84</v>
      </c>
      <c r="AQ379" s="215">
        <v>45265</v>
      </c>
      <c r="AR379" s="67">
        <v>3346254</v>
      </c>
      <c r="AS379" s="67">
        <v>0</v>
      </c>
      <c r="AT379" s="67">
        <v>3346254</v>
      </c>
      <c r="AU379" s="67">
        <v>100</v>
      </c>
      <c r="AX379" s="113">
        <v>45265</v>
      </c>
      <c r="AY379" s="239" t="s">
        <v>224</v>
      </c>
      <c r="BA379" s="240">
        <v>0</v>
      </c>
      <c r="BB379" s="241">
        <v>0</v>
      </c>
    </row>
    <row r="380" spans="1:54" ht="15.75" hidden="1" x14ac:dyDescent="0.25">
      <c r="A380" s="215">
        <v>45266</v>
      </c>
      <c r="B380" s="205">
        <v>15397003</v>
      </c>
      <c r="C380" s="205">
        <v>1121593</v>
      </c>
      <c r="D380" s="205">
        <v>16518596</v>
      </c>
      <c r="E380" s="205">
        <v>93.21</v>
      </c>
      <c r="G380" s="215">
        <v>45266</v>
      </c>
      <c r="H380" s="205">
        <v>2220865</v>
      </c>
      <c r="I380" s="205">
        <v>765753</v>
      </c>
      <c r="J380" s="205">
        <v>2986618</v>
      </c>
      <c r="K380" s="205">
        <v>74.36</v>
      </c>
      <c r="M380" s="215">
        <v>45266</v>
      </c>
      <c r="N380" s="48">
        <v>3482417</v>
      </c>
      <c r="O380" s="48">
        <v>4786736</v>
      </c>
      <c r="P380" s="48">
        <v>8269153</v>
      </c>
      <c r="Q380" s="48">
        <v>42.11</v>
      </c>
      <c r="S380" s="215">
        <v>45266</v>
      </c>
      <c r="T380" s="194">
        <v>437874</v>
      </c>
      <c r="U380" s="194">
        <v>138880</v>
      </c>
      <c r="V380" s="194">
        <v>576754</v>
      </c>
      <c r="W380" s="194">
        <v>75.92</v>
      </c>
      <c r="Y380" s="215">
        <v>45266</v>
      </c>
      <c r="Z380" s="194">
        <v>2201410</v>
      </c>
      <c r="AA380" s="194">
        <v>419053</v>
      </c>
      <c r="AB380" s="194">
        <v>2620463</v>
      </c>
      <c r="AC380" s="194">
        <v>84.01</v>
      </c>
      <c r="AE380" s="215">
        <v>45266</v>
      </c>
      <c r="AF380" s="194">
        <v>1018227</v>
      </c>
      <c r="AG380" s="194">
        <v>5818</v>
      </c>
      <c r="AH380" s="194">
        <v>1024045</v>
      </c>
      <c r="AI380" s="194">
        <v>99.43</v>
      </c>
      <c r="AK380" s="215">
        <v>45266</v>
      </c>
      <c r="AL380" s="67">
        <v>896560</v>
      </c>
      <c r="AM380" s="67">
        <v>0</v>
      </c>
      <c r="AN380" s="67">
        <v>896560</v>
      </c>
      <c r="AO380" s="67">
        <v>100</v>
      </c>
      <c r="AQ380" s="215">
        <v>45266</v>
      </c>
      <c r="AR380" s="67">
        <v>1871685</v>
      </c>
      <c r="AS380" s="67">
        <v>0</v>
      </c>
      <c r="AT380" s="67">
        <v>1871685</v>
      </c>
      <c r="AU380" s="67">
        <v>100</v>
      </c>
      <c r="AX380" s="113">
        <v>45266</v>
      </c>
      <c r="AY380" s="239" t="s">
        <v>224</v>
      </c>
      <c r="BA380" s="240">
        <v>0</v>
      </c>
      <c r="BB380" s="241">
        <v>0</v>
      </c>
    </row>
    <row r="381" spans="1:54" hidden="1" x14ac:dyDescent="0.25">
      <c r="A381" s="215">
        <v>45267</v>
      </c>
      <c r="B381" s="104">
        <v>14827583</v>
      </c>
      <c r="C381" s="104">
        <v>1156909</v>
      </c>
      <c r="D381" s="104">
        <v>15984492</v>
      </c>
      <c r="E381" s="104">
        <v>92.76</v>
      </c>
      <c r="G381" s="215">
        <v>45267</v>
      </c>
      <c r="H381" s="104">
        <v>8356828</v>
      </c>
      <c r="I381" s="104">
        <v>3084787</v>
      </c>
      <c r="J381" s="104">
        <v>11441615</v>
      </c>
      <c r="K381" s="104">
        <v>73.040000000000006</v>
      </c>
      <c r="M381" s="215">
        <v>45267</v>
      </c>
      <c r="N381" s="48">
        <v>3441097</v>
      </c>
      <c r="O381" s="48">
        <v>4847235</v>
      </c>
      <c r="P381" s="48">
        <v>8288332</v>
      </c>
      <c r="Q381" s="48">
        <v>41.51</v>
      </c>
      <c r="S381" s="215">
        <v>45267</v>
      </c>
      <c r="T381" s="101">
        <v>6346047</v>
      </c>
      <c r="U381" s="101">
        <v>4843804</v>
      </c>
      <c r="V381" s="101">
        <v>11189851</v>
      </c>
      <c r="W381" s="101">
        <v>56.71</v>
      </c>
      <c r="Y381" s="215">
        <v>45267</v>
      </c>
      <c r="Z381" s="101">
        <v>2297911</v>
      </c>
      <c r="AA381" s="101">
        <v>429312</v>
      </c>
      <c r="AB381" s="101">
        <v>2727223</v>
      </c>
      <c r="AC381" s="101">
        <v>84.26</v>
      </c>
      <c r="AE381" s="215">
        <v>45267</v>
      </c>
      <c r="AF381" s="101">
        <v>1007543</v>
      </c>
      <c r="AG381" s="101">
        <v>6022</v>
      </c>
      <c r="AH381" s="101">
        <v>1013565</v>
      </c>
      <c r="AI381" s="101">
        <v>99.41</v>
      </c>
      <c r="AK381" s="215">
        <v>45267</v>
      </c>
      <c r="AL381" s="48">
        <v>729813</v>
      </c>
      <c r="AM381" s="67">
        <v>0</v>
      </c>
      <c r="AN381" s="48">
        <v>729813</v>
      </c>
      <c r="AO381" s="67">
        <v>100</v>
      </c>
      <c r="AQ381" s="215">
        <v>45267</v>
      </c>
      <c r="AR381" s="48">
        <v>5943109</v>
      </c>
      <c r="AS381" s="67">
        <v>0</v>
      </c>
      <c r="AT381" s="48">
        <v>5943109</v>
      </c>
      <c r="AU381" s="67">
        <v>100</v>
      </c>
      <c r="AX381" s="113">
        <v>45267</v>
      </c>
      <c r="AY381" s="239" t="s">
        <v>224</v>
      </c>
      <c r="BA381" s="240">
        <v>0</v>
      </c>
      <c r="BB381" s="241">
        <v>0</v>
      </c>
    </row>
    <row r="382" spans="1:54" ht="15.75" hidden="1" x14ac:dyDescent="0.25">
      <c r="A382" s="215">
        <v>45268</v>
      </c>
      <c r="B382" s="205">
        <v>15681166</v>
      </c>
      <c r="C382" s="205">
        <v>1179186</v>
      </c>
      <c r="D382" s="205">
        <v>16860352</v>
      </c>
      <c r="E382" s="205">
        <v>93.01</v>
      </c>
      <c r="G382" s="215">
        <v>45268</v>
      </c>
      <c r="H382" s="205">
        <v>7575563</v>
      </c>
      <c r="I382" s="205">
        <v>2670540</v>
      </c>
      <c r="J382" s="205">
        <v>10246103</v>
      </c>
      <c r="K382" s="205">
        <v>73.94</v>
      </c>
      <c r="M382" s="215">
        <v>45268</v>
      </c>
      <c r="N382" s="205">
        <v>4019080</v>
      </c>
      <c r="O382" s="205">
        <v>3505744</v>
      </c>
      <c r="P382" s="205">
        <v>7524824</v>
      </c>
      <c r="Q382" s="205">
        <v>53.41</v>
      </c>
      <c r="S382" s="215">
        <v>45268</v>
      </c>
      <c r="T382" s="194">
        <v>5679387</v>
      </c>
      <c r="U382" s="194">
        <v>4994212</v>
      </c>
      <c r="V382" s="194">
        <v>10673599</v>
      </c>
      <c r="W382" s="194">
        <v>53.21</v>
      </c>
      <c r="Y382" s="215">
        <v>45268</v>
      </c>
      <c r="Z382" s="194">
        <v>2216571</v>
      </c>
      <c r="AA382" s="194">
        <v>353300</v>
      </c>
      <c r="AB382" s="194">
        <v>2569871</v>
      </c>
      <c r="AC382" s="194">
        <v>86.25</v>
      </c>
      <c r="AE382" s="215">
        <v>45268</v>
      </c>
      <c r="AF382" s="194">
        <v>1096503</v>
      </c>
      <c r="AG382" s="194">
        <v>7579</v>
      </c>
      <c r="AH382" s="194">
        <v>1104082</v>
      </c>
      <c r="AI382" s="194">
        <v>99.31</v>
      </c>
      <c r="AK382" s="215">
        <v>45268</v>
      </c>
      <c r="AL382" s="67">
        <v>965689</v>
      </c>
      <c r="AM382" s="67">
        <v>0</v>
      </c>
      <c r="AN382" s="67">
        <v>965689</v>
      </c>
      <c r="AO382" s="67">
        <v>100</v>
      </c>
      <c r="AQ382" s="215">
        <v>45268</v>
      </c>
      <c r="AR382" s="67">
        <v>5622150</v>
      </c>
      <c r="AS382" s="67">
        <v>0</v>
      </c>
      <c r="AT382" s="67">
        <v>5622150</v>
      </c>
      <c r="AU382" s="67">
        <v>100</v>
      </c>
      <c r="AX382" s="113">
        <v>45268</v>
      </c>
      <c r="AY382" s="239" t="s">
        <v>224</v>
      </c>
      <c r="BA382" s="240">
        <v>0</v>
      </c>
      <c r="BB382" s="241">
        <v>0</v>
      </c>
    </row>
    <row r="383" spans="1:54" ht="15.75" hidden="1" x14ac:dyDescent="0.25">
      <c r="A383" s="215">
        <v>45269</v>
      </c>
      <c r="B383" s="205">
        <v>15525425</v>
      </c>
      <c r="C383" s="205">
        <v>1254697</v>
      </c>
      <c r="D383" s="205">
        <v>16780122</v>
      </c>
      <c r="E383" s="205">
        <v>92.52</v>
      </c>
      <c r="G383" s="215">
        <v>45269</v>
      </c>
      <c r="H383" s="205">
        <v>1298543</v>
      </c>
      <c r="I383" s="205">
        <v>498901</v>
      </c>
      <c r="J383" s="205">
        <v>1797444</v>
      </c>
      <c r="K383" s="205">
        <v>72.239999999999995</v>
      </c>
      <c r="M383" s="215">
        <v>45269</v>
      </c>
      <c r="N383" s="205">
        <v>4262851</v>
      </c>
      <c r="O383" s="205">
        <v>3324928</v>
      </c>
      <c r="P383" s="205">
        <v>7587779</v>
      </c>
      <c r="Q383" s="205">
        <v>56.18</v>
      </c>
      <c r="S383" s="215">
        <v>45269</v>
      </c>
      <c r="T383" s="194">
        <v>5546491</v>
      </c>
      <c r="U383" s="194">
        <v>5066645</v>
      </c>
      <c r="V383" s="194">
        <v>10613136</v>
      </c>
      <c r="W383" s="194">
        <v>52.26</v>
      </c>
      <c r="Y383" s="215">
        <v>45269</v>
      </c>
      <c r="Z383" s="194">
        <v>2095975</v>
      </c>
      <c r="AA383" s="194">
        <v>305106</v>
      </c>
      <c r="AB383" s="194">
        <v>2401081</v>
      </c>
      <c r="AC383" s="194">
        <v>87.29</v>
      </c>
      <c r="AE383" s="215">
        <v>45269</v>
      </c>
      <c r="AF383" s="194">
        <v>1039083</v>
      </c>
      <c r="AG383" s="194">
        <v>6699</v>
      </c>
      <c r="AH383" s="194">
        <v>1045782</v>
      </c>
      <c r="AI383" s="194">
        <v>99.36</v>
      </c>
      <c r="AK383" s="215">
        <v>45269</v>
      </c>
      <c r="AL383" s="67">
        <v>969932</v>
      </c>
      <c r="AM383" s="67">
        <v>0</v>
      </c>
      <c r="AN383" s="67">
        <v>969932</v>
      </c>
      <c r="AO383" s="67">
        <v>100</v>
      </c>
      <c r="AQ383" s="215">
        <v>45269</v>
      </c>
      <c r="AR383" s="67">
        <v>1037282</v>
      </c>
      <c r="AS383" s="67">
        <v>0</v>
      </c>
      <c r="AT383" s="67">
        <v>1037282</v>
      </c>
      <c r="AU383" s="67">
        <v>100</v>
      </c>
      <c r="AX383" s="113">
        <v>45269</v>
      </c>
      <c r="AY383" s="239" t="s">
        <v>224</v>
      </c>
      <c r="BA383" s="240">
        <v>0</v>
      </c>
      <c r="BB383" s="241">
        <v>0</v>
      </c>
    </row>
    <row r="384" spans="1:54" ht="15.75" hidden="1" x14ac:dyDescent="0.25">
      <c r="A384" s="215">
        <v>45270</v>
      </c>
      <c r="B384" s="205">
        <f>10430756+264956</f>
        <v>10695712</v>
      </c>
      <c r="C384" s="205">
        <f>3315389+379745</f>
        <v>3695134</v>
      </c>
      <c r="D384" s="205">
        <f>13746145+644701</f>
        <v>14390846</v>
      </c>
      <c r="E384" s="221">
        <f>B384/D384%</f>
        <v>74.323024511554081</v>
      </c>
      <c r="G384" s="215">
        <v>45270</v>
      </c>
      <c r="H384" s="205">
        <f>296494+8041</f>
        <v>304535</v>
      </c>
      <c r="I384" s="205">
        <f>99709+79345</f>
        <v>179054</v>
      </c>
      <c r="J384" s="205">
        <f>396203+87386</f>
        <v>483589</v>
      </c>
      <c r="K384" s="205">
        <f>H384/J384%</f>
        <v>62.973930341674432</v>
      </c>
      <c r="M384" s="215">
        <v>45270</v>
      </c>
      <c r="N384" s="205">
        <v>2731958</v>
      </c>
      <c r="O384" s="205">
        <v>4793433</v>
      </c>
      <c r="P384" s="205">
        <v>7525391</v>
      </c>
      <c r="Q384" s="205">
        <v>36.299999999999997</v>
      </c>
      <c r="S384" s="215">
        <v>45270</v>
      </c>
      <c r="T384" s="194">
        <v>3450682</v>
      </c>
      <c r="U384" s="194">
        <v>1919685</v>
      </c>
      <c r="V384" s="194">
        <v>5370367</v>
      </c>
      <c r="W384" s="194">
        <v>64.25</v>
      </c>
      <c r="Y384" s="215">
        <v>45270</v>
      </c>
      <c r="Z384" s="194">
        <v>1334980</v>
      </c>
      <c r="AA384" s="194">
        <v>111206</v>
      </c>
      <c r="AB384" s="194">
        <v>1446186</v>
      </c>
      <c r="AC384" s="194">
        <v>92.31</v>
      </c>
      <c r="AE384" s="215">
        <v>45270</v>
      </c>
      <c r="AF384" s="194">
        <v>917117</v>
      </c>
      <c r="AG384" s="194">
        <v>196209</v>
      </c>
      <c r="AH384" s="194">
        <v>1113326</v>
      </c>
      <c r="AI384" s="194">
        <v>82.38</v>
      </c>
      <c r="AK384" s="215">
        <v>45270</v>
      </c>
      <c r="AL384" s="67">
        <f>50817+735725</f>
        <v>786542</v>
      </c>
      <c r="AM384" s="67">
        <v>0</v>
      </c>
      <c r="AN384" s="67">
        <f>50817+735725</f>
        <v>786542</v>
      </c>
      <c r="AO384" s="67">
        <v>100</v>
      </c>
      <c r="AQ384" s="215">
        <v>45270</v>
      </c>
      <c r="AR384" s="67">
        <f>3799+241021</f>
        <v>244820</v>
      </c>
      <c r="AS384" s="67">
        <v>0</v>
      </c>
      <c r="AT384" s="67">
        <f>3799+241021</f>
        <v>244820</v>
      </c>
      <c r="AU384" s="67">
        <v>100</v>
      </c>
      <c r="AX384" s="113">
        <v>45270</v>
      </c>
      <c r="AY384" s="239" t="s">
        <v>224</v>
      </c>
      <c r="BA384" s="240">
        <v>0</v>
      </c>
      <c r="BB384" s="241">
        <v>0</v>
      </c>
    </row>
    <row r="385" spans="1:54" hidden="1" x14ac:dyDescent="0.25">
      <c r="A385" s="215">
        <v>45271</v>
      </c>
      <c r="B385" s="48">
        <v>12998732</v>
      </c>
      <c r="C385" s="48">
        <v>2859505</v>
      </c>
      <c r="D385" s="48">
        <v>15858237</v>
      </c>
      <c r="E385" s="48">
        <v>81.96</v>
      </c>
      <c r="G385" s="215">
        <v>45271</v>
      </c>
      <c r="H385" s="48">
        <v>1747468</v>
      </c>
      <c r="I385" s="48">
        <v>745330</v>
      </c>
      <c r="J385" s="48">
        <v>2492798</v>
      </c>
      <c r="K385" s="48">
        <v>70.099999999999994</v>
      </c>
      <c r="M385" s="215">
        <v>45271</v>
      </c>
      <c r="N385" s="48">
        <v>3843949</v>
      </c>
      <c r="O385" s="48">
        <v>4254736</v>
      </c>
      <c r="P385" s="48">
        <v>8098685</v>
      </c>
      <c r="Q385" s="48">
        <v>47.46</v>
      </c>
      <c r="S385" s="215">
        <v>45271</v>
      </c>
      <c r="T385">
        <v>5028911</v>
      </c>
      <c r="U385">
        <v>5041110</v>
      </c>
      <c r="V385">
        <v>10070021</v>
      </c>
      <c r="W385">
        <v>49.93</v>
      </c>
      <c r="Y385" s="215">
        <v>45271</v>
      </c>
      <c r="Z385">
        <v>1998750</v>
      </c>
      <c r="AA385">
        <v>307625</v>
      </c>
      <c r="AB385">
        <v>2306375</v>
      </c>
      <c r="AC385">
        <v>86.66</v>
      </c>
      <c r="AE385" s="215">
        <v>45271</v>
      </c>
      <c r="AF385">
        <v>950150</v>
      </c>
      <c r="AG385">
        <v>75039</v>
      </c>
      <c r="AH385">
        <v>1025189</v>
      </c>
      <c r="AI385">
        <v>92.68</v>
      </c>
      <c r="AK385" s="215">
        <v>45271</v>
      </c>
      <c r="AL385" s="67">
        <v>946124</v>
      </c>
      <c r="AM385" s="67">
        <v>3083</v>
      </c>
      <c r="AN385" s="67">
        <v>949207</v>
      </c>
      <c r="AO385" s="67">
        <v>99.68</v>
      </c>
      <c r="AQ385" s="215">
        <v>45271</v>
      </c>
      <c r="AR385" s="67">
        <v>1420409</v>
      </c>
      <c r="AS385" s="67">
        <v>342</v>
      </c>
      <c r="AT385" s="67">
        <v>1420751</v>
      </c>
      <c r="AU385" s="67">
        <v>99.98</v>
      </c>
      <c r="AX385" s="113">
        <v>45271</v>
      </c>
      <c r="AY385" s="239" t="s">
        <v>224</v>
      </c>
      <c r="BA385" s="240">
        <v>0</v>
      </c>
      <c r="BB385" s="241">
        <v>0</v>
      </c>
    </row>
    <row r="386" spans="1:54" hidden="1" x14ac:dyDescent="0.25">
      <c r="A386" s="215">
        <v>45272</v>
      </c>
      <c r="B386" s="48">
        <v>12953007</v>
      </c>
      <c r="C386" s="48">
        <v>2675934</v>
      </c>
      <c r="D386" s="48">
        <v>15628941</v>
      </c>
      <c r="E386" s="48">
        <v>82.87</v>
      </c>
      <c r="G386" s="215">
        <v>45272</v>
      </c>
      <c r="H386" s="48">
        <v>861400</v>
      </c>
      <c r="I386" s="48">
        <v>424820</v>
      </c>
      <c r="J386" s="48">
        <v>1286220</v>
      </c>
      <c r="K386" s="48">
        <v>66.97</v>
      </c>
      <c r="M386" s="215">
        <v>45272</v>
      </c>
      <c r="N386" s="48">
        <v>2918466</v>
      </c>
      <c r="O386" s="48">
        <v>3454966</v>
      </c>
      <c r="P386" s="48">
        <v>6373432</v>
      </c>
      <c r="Q386" s="48">
        <v>45.79</v>
      </c>
      <c r="S386" s="215">
        <v>45272</v>
      </c>
      <c r="T386">
        <v>3106699</v>
      </c>
      <c r="U386">
        <v>4253308</v>
      </c>
      <c r="V386">
        <v>7360007</v>
      </c>
      <c r="W386">
        <v>42.21</v>
      </c>
      <c r="Y386" s="215">
        <v>45272</v>
      </c>
      <c r="Z386">
        <v>5221914</v>
      </c>
      <c r="AA386">
        <v>453548</v>
      </c>
      <c r="AB386">
        <v>5675462</v>
      </c>
      <c r="AC386">
        <v>92</v>
      </c>
      <c r="AE386" s="215">
        <v>45272</v>
      </c>
      <c r="AF386">
        <v>980129</v>
      </c>
      <c r="AG386">
        <v>64199</v>
      </c>
      <c r="AH386">
        <v>1044328</v>
      </c>
      <c r="AI386">
        <v>93.85</v>
      </c>
      <c r="AK386" s="215">
        <v>45272</v>
      </c>
      <c r="AL386" s="67">
        <v>807050</v>
      </c>
      <c r="AM386" s="48">
        <v>2754</v>
      </c>
      <c r="AN386" s="48">
        <v>809804</v>
      </c>
      <c r="AO386" s="48">
        <v>99.66</v>
      </c>
      <c r="AQ386" s="215">
        <v>45272</v>
      </c>
      <c r="AR386" s="48">
        <v>700127</v>
      </c>
      <c r="AS386" s="67">
        <v>7</v>
      </c>
      <c r="AT386" s="48">
        <v>700134</v>
      </c>
      <c r="AU386" s="48">
        <v>100</v>
      </c>
      <c r="AX386" s="215">
        <v>45272</v>
      </c>
      <c r="AY386" s="239" t="s">
        <v>224</v>
      </c>
      <c r="BA386" s="240">
        <v>0</v>
      </c>
      <c r="BB386" s="241">
        <v>0</v>
      </c>
    </row>
    <row r="387" spans="1:54" hidden="1" x14ac:dyDescent="0.25">
      <c r="A387" s="215">
        <v>45273</v>
      </c>
      <c r="B387" s="104">
        <v>13688749</v>
      </c>
      <c r="C387" s="104">
        <v>1396099</v>
      </c>
      <c r="D387" s="104">
        <v>15084848</v>
      </c>
      <c r="E387" s="104">
        <v>90.75</v>
      </c>
      <c r="G387" s="215">
        <v>45273</v>
      </c>
      <c r="H387" s="104">
        <v>5938031</v>
      </c>
      <c r="I387" s="104">
        <v>2273120</v>
      </c>
      <c r="J387" s="104">
        <v>8211151</v>
      </c>
      <c r="K387" s="104">
        <v>72.319999999999993</v>
      </c>
      <c r="M387" s="215">
        <v>45273</v>
      </c>
      <c r="N387" s="104">
        <v>4133825</v>
      </c>
      <c r="O387" s="104">
        <v>4097584</v>
      </c>
      <c r="P387" s="104">
        <v>8231409</v>
      </c>
      <c r="Q387" s="104">
        <v>50.22</v>
      </c>
      <c r="S387" s="215">
        <v>45273</v>
      </c>
      <c r="T387" s="101">
        <v>2526663</v>
      </c>
      <c r="U387" s="101">
        <v>2299495</v>
      </c>
      <c r="V387" s="101">
        <v>4826158</v>
      </c>
      <c r="W387" s="101">
        <v>52.35</v>
      </c>
      <c r="Y387" s="215">
        <v>45273</v>
      </c>
      <c r="Z387" s="101">
        <v>3856834</v>
      </c>
      <c r="AA387" s="101">
        <v>1544033</v>
      </c>
      <c r="AB387" s="101">
        <v>5400867</v>
      </c>
      <c r="AC387" s="101">
        <v>71.41</v>
      </c>
      <c r="AE387" s="215">
        <v>45273</v>
      </c>
      <c r="AF387" s="101">
        <v>951917</v>
      </c>
      <c r="AG387" s="101">
        <v>32379</v>
      </c>
      <c r="AH387" s="101">
        <v>984296</v>
      </c>
      <c r="AI387" s="101">
        <v>96.71</v>
      </c>
      <c r="AK387" s="215">
        <v>45273</v>
      </c>
      <c r="AL387" s="48">
        <v>978079</v>
      </c>
      <c r="AM387" s="48">
        <v>55</v>
      </c>
      <c r="AN387" s="48">
        <v>978134</v>
      </c>
      <c r="AO387" s="48">
        <v>99.99</v>
      </c>
      <c r="AQ387" s="215">
        <v>45273</v>
      </c>
      <c r="AR387" s="48">
        <v>3766904</v>
      </c>
      <c r="AS387" s="67">
        <v>0</v>
      </c>
      <c r="AT387" s="48">
        <v>3766904</v>
      </c>
      <c r="AU387" s="48">
        <v>100</v>
      </c>
      <c r="AX387" s="215">
        <v>45273</v>
      </c>
      <c r="AY387" s="239" t="s">
        <v>224</v>
      </c>
      <c r="BA387" s="240">
        <v>0</v>
      </c>
      <c r="BB387" s="241">
        <v>0</v>
      </c>
    </row>
    <row r="388" spans="1:54" ht="15.75" hidden="1" x14ac:dyDescent="0.25">
      <c r="A388" s="215">
        <v>45274</v>
      </c>
      <c r="B388" s="205">
        <v>13866001</v>
      </c>
      <c r="C388" s="205">
        <v>1029939</v>
      </c>
      <c r="D388" s="205">
        <v>14895940</v>
      </c>
      <c r="E388" s="205">
        <v>93.09</v>
      </c>
      <c r="G388" s="215">
        <v>45274</v>
      </c>
      <c r="H388" s="205">
        <v>7854635</v>
      </c>
      <c r="I388" s="205">
        <v>3582168</v>
      </c>
      <c r="J388" s="205">
        <v>11436803</v>
      </c>
      <c r="K388" s="205">
        <v>68.680000000000007</v>
      </c>
      <c r="M388" s="215">
        <v>45274</v>
      </c>
      <c r="N388" s="205">
        <v>4004119</v>
      </c>
      <c r="O388" s="205">
        <v>3600648</v>
      </c>
      <c r="P388" s="205">
        <v>7604767</v>
      </c>
      <c r="Q388" s="205">
        <v>52.65</v>
      </c>
      <c r="S388" s="215">
        <v>45274</v>
      </c>
      <c r="T388" s="194">
        <v>3264831</v>
      </c>
      <c r="U388" s="194">
        <v>4038212</v>
      </c>
      <c r="V388" s="194">
        <v>7303043</v>
      </c>
      <c r="W388" s="194">
        <v>44.71</v>
      </c>
      <c r="Y388" s="215">
        <v>45274</v>
      </c>
      <c r="Z388" s="194">
        <v>2046423</v>
      </c>
      <c r="AA388" s="194">
        <v>457604</v>
      </c>
      <c r="AB388" s="194">
        <v>2504027</v>
      </c>
      <c r="AC388" s="194">
        <v>81.73</v>
      </c>
      <c r="AE388" s="215">
        <v>45274</v>
      </c>
      <c r="AF388" s="194">
        <v>1010853</v>
      </c>
      <c r="AG388" s="194">
        <v>18292</v>
      </c>
      <c r="AH388" s="194">
        <v>1029145</v>
      </c>
      <c r="AI388" s="194">
        <v>98.22</v>
      </c>
      <c r="AK388" s="215">
        <v>45274</v>
      </c>
      <c r="AL388" s="67">
        <v>1018595</v>
      </c>
      <c r="AM388" s="67">
        <v>40</v>
      </c>
      <c r="AN388" s="67">
        <v>1018635</v>
      </c>
      <c r="AO388" s="67">
        <v>100</v>
      </c>
      <c r="AQ388" s="215">
        <v>45274</v>
      </c>
      <c r="AR388" s="67">
        <v>5117412</v>
      </c>
      <c r="AS388" s="67">
        <v>97</v>
      </c>
      <c r="AT388" s="67">
        <v>5117509</v>
      </c>
      <c r="AU388" s="67">
        <v>100</v>
      </c>
      <c r="AX388" s="215">
        <v>45274</v>
      </c>
      <c r="AY388" s="239" t="s">
        <v>224</v>
      </c>
      <c r="BA388" s="240">
        <v>0</v>
      </c>
      <c r="BB388" s="241">
        <v>0</v>
      </c>
    </row>
    <row r="389" spans="1:54" ht="15.75" hidden="1" x14ac:dyDescent="0.25">
      <c r="A389" s="215">
        <v>45275</v>
      </c>
      <c r="B389" s="205">
        <v>14260670</v>
      </c>
      <c r="C389" s="205">
        <v>1210144</v>
      </c>
      <c r="D389" s="205">
        <v>15470814</v>
      </c>
      <c r="E389" s="205">
        <v>92.18</v>
      </c>
      <c r="G389" s="215">
        <v>45275</v>
      </c>
      <c r="H389" s="205">
        <v>3803984</v>
      </c>
      <c r="I389" s="205">
        <v>1935577</v>
      </c>
      <c r="J389" s="205">
        <v>5739561</v>
      </c>
      <c r="K389" s="205">
        <v>66.28</v>
      </c>
      <c r="M389" s="215">
        <v>45275</v>
      </c>
      <c r="N389" s="205">
        <v>4111548</v>
      </c>
      <c r="O389" s="205">
        <v>3853254</v>
      </c>
      <c r="P389" s="205">
        <v>7964802</v>
      </c>
      <c r="Q389" s="205">
        <v>51.62</v>
      </c>
      <c r="S389" s="215">
        <v>45275</v>
      </c>
      <c r="T389" s="194">
        <v>1376609</v>
      </c>
      <c r="U389" s="194">
        <v>2589397</v>
      </c>
      <c r="V389" s="194">
        <v>3966006</v>
      </c>
      <c r="W389" s="194">
        <v>34.71</v>
      </c>
      <c r="Y389" s="215">
        <v>45275</v>
      </c>
      <c r="Z389" s="194">
        <v>2051817</v>
      </c>
      <c r="AA389" s="194">
        <v>367009</v>
      </c>
      <c r="AB389" s="194">
        <v>2418826</v>
      </c>
      <c r="AC389" s="194">
        <v>84.83</v>
      </c>
      <c r="AE389" s="215">
        <v>45275</v>
      </c>
      <c r="AF389" s="194">
        <v>1068385</v>
      </c>
      <c r="AG389" s="194">
        <v>14707</v>
      </c>
      <c r="AH389" s="194">
        <v>1083092</v>
      </c>
      <c r="AI389" s="194">
        <v>98.64</v>
      </c>
      <c r="AK389" s="215">
        <v>45275</v>
      </c>
      <c r="AL389" s="67">
        <v>882958</v>
      </c>
      <c r="AM389" s="67">
        <v>1025</v>
      </c>
      <c r="AN389" s="67">
        <v>883983</v>
      </c>
      <c r="AO389" s="67">
        <v>99.88</v>
      </c>
      <c r="AQ389" s="215">
        <v>45275</v>
      </c>
      <c r="AR389" s="67">
        <v>2440989</v>
      </c>
      <c r="AS389" s="67">
        <v>1795</v>
      </c>
      <c r="AT389" s="67">
        <v>2442784</v>
      </c>
      <c r="AU389" s="67">
        <v>99.93</v>
      </c>
      <c r="AX389" s="215">
        <v>45275</v>
      </c>
      <c r="AY389" s="239" t="s">
        <v>224</v>
      </c>
      <c r="BA389" s="240">
        <v>0</v>
      </c>
      <c r="BB389" s="241">
        <v>0</v>
      </c>
    </row>
    <row r="390" spans="1:54" ht="15.75" hidden="1" x14ac:dyDescent="0.25">
      <c r="A390" s="215">
        <v>45276</v>
      </c>
      <c r="B390" s="205">
        <v>14157671</v>
      </c>
      <c r="C390" s="205">
        <v>1156176</v>
      </c>
      <c r="D390" s="205">
        <v>15313847</v>
      </c>
      <c r="E390" s="205">
        <v>92.45</v>
      </c>
      <c r="G390" s="215">
        <v>45276</v>
      </c>
      <c r="H390" s="205">
        <v>8626987</v>
      </c>
      <c r="I390" s="205">
        <v>3522931</v>
      </c>
      <c r="J390" s="205">
        <v>12149918</v>
      </c>
      <c r="K390" s="205">
        <v>71</v>
      </c>
      <c r="M390" s="215">
        <v>45276</v>
      </c>
      <c r="N390" s="205">
        <v>4409936</v>
      </c>
      <c r="O390" s="205">
        <v>3789476</v>
      </c>
      <c r="P390" s="205">
        <v>8199412</v>
      </c>
      <c r="Q390" s="205">
        <v>53.78</v>
      </c>
      <c r="S390" s="215">
        <v>45276</v>
      </c>
      <c r="T390" s="194">
        <v>1400390</v>
      </c>
      <c r="U390" s="194">
        <v>2672775</v>
      </c>
      <c r="V390" s="194">
        <v>4073165</v>
      </c>
      <c r="W390" s="194">
        <v>34.380000000000003</v>
      </c>
      <c r="Y390" s="215">
        <v>45276</v>
      </c>
      <c r="Z390" s="194">
        <v>2128594</v>
      </c>
      <c r="AA390" s="194">
        <v>405751</v>
      </c>
      <c r="AB390" s="194">
        <v>2534345</v>
      </c>
      <c r="AC390" s="194">
        <v>83.99</v>
      </c>
      <c r="AE390" s="215">
        <v>45276</v>
      </c>
      <c r="AF390" s="194">
        <v>1023781</v>
      </c>
      <c r="AG390" s="194">
        <v>15092</v>
      </c>
      <c r="AH390" s="194">
        <v>1038873</v>
      </c>
      <c r="AI390" s="194">
        <v>98.55</v>
      </c>
      <c r="AK390" s="215">
        <v>45276</v>
      </c>
      <c r="AL390" s="67">
        <v>855433</v>
      </c>
      <c r="AM390" s="67">
        <v>0</v>
      </c>
      <c r="AN390" s="67">
        <v>855433</v>
      </c>
      <c r="AO390" s="67">
        <v>100</v>
      </c>
      <c r="AQ390" s="215">
        <v>45276</v>
      </c>
      <c r="AR390" s="67">
        <v>5950690</v>
      </c>
      <c r="AS390" s="67">
        <v>0</v>
      </c>
      <c r="AT390" s="67">
        <v>5950690</v>
      </c>
      <c r="AU390" s="67">
        <v>100</v>
      </c>
      <c r="AX390" s="215">
        <v>45276</v>
      </c>
      <c r="AY390" s="239" t="s">
        <v>224</v>
      </c>
      <c r="BA390" s="240">
        <v>0</v>
      </c>
      <c r="BB390" s="241">
        <v>0</v>
      </c>
    </row>
    <row r="391" spans="1:54" ht="15.75" hidden="1" x14ac:dyDescent="0.25">
      <c r="A391" s="215">
        <v>45277</v>
      </c>
      <c r="B391" s="205">
        <v>11847989</v>
      </c>
      <c r="C391" s="205">
        <v>1087305</v>
      </c>
      <c r="D391" s="205">
        <v>12935294</v>
      </c>
      <c r="E391" s="205">
        <v>91.59</v>
      </c>
      <c r="G391" s="215">
        <v>45277</v>
      </c>
      <c r="H391" s="205">
        <v>289520</v>
      </c>
      <c r="I391" s="205">
        <v>198590</v>
      </c>
      <c r="J391" s="205">
        <v>488110</v>
      </c>
      <c r="K391" s="205">
        <v>59.31</v>
      </c>
      <c r="M391" s="215">
        <v>45277</v>
      </c>
      <c r="N391" s="205">
        <v>3592085</v>
      </c>
      <c r="O391" s="205">
        <v>4292642</v>
      </c>
      <c r="P391" s="205">
        <v>7884727</v>
      </c>
      <c r="Q391" s="205">
        <v>45.56</v>
      </c>
      <c r="S391" s="215">
        <v>45277</v>
      </c>
      <c r="T391" s="194">
        <v>29560</v>
      </c>
      <c r="U391" s="194">
        <v>4737</v>
      </c>
      <c r="V391" s="194">
        <v>34297</v>
      </c>
      <c r="W391" s="194">
        <v>86.19</v>
      </c>
      <c r="Y391" s="215">
        <v>45277</v>
      </c>
      <c r="Z391" s="194">
        <v>1913408</v>
      </c>
      <c r="AA391" s="194">
        <v>396600</v>
      </c>
      <c r="AB391" s="194">
        <v>2310008</v>
      </c>
      <c r="AC391" s="194">
        <v>82.83</v>
      </c>
      <c r="AE391" s="215">
        <v>45277</v>
      </c>
      <c r="AF391" s="194">
        <v>1037361</v>
      </c>
      <c r="AG391" s="194">
        <v>13551</v>
      </c>
      <c r="AH391" s="194">
        <v>1050912</v>
      </c>
      <c r="AI391" s="194">
        <v>98.71</v>
      </c>
      <c r="AK391" s="215">
        <v>45277</v>
      </c>
      <c r="AL391" s="67">
        <v>911625</v>
      </c>
      <c r="AM391" s="67">
        <v>0</v>
      </c>
      <c r="AN391" s="67">
        <v>911625</v>
      </c>
      <c r="AO391" s="67">
        <v>100</v>
      </c>
      <c r="AQ391" s="215">
        <v>45277</v>
      </c>
      <c r="AR391" s="67">
        <v>239541</v>
      </c>
      <c r="AS391" s="67">
        <v>0</v>
      </c>
      <c r="AT391" s="67">
        <v>239541</v>
      </c>
      <c r="AU391" s="67">
        <v>100</v>
      </c>
      <c r="AX391" s="215">
        <v>45277</v>
      </c>
      <c r="AY391" s="239" t="s">
        <v>224</v>
      </c>
      <c r="BA391" s="240">
        <v>0</v>
      </c>
      <c r="BB391" s="241">
        <v>0</v>
      </c>
    </row>
    <row r="392" spans="1:54" ht="15.75" hidden="1" x14ac:dyDescent="0.25">
      <c r="A392" s="215">
        <v>45278</v>
      </c>
      <c r="B392" s="205">
        <v>14198625</v>
      </c>
      <c r="C392" s="205">
        <v>1077965</v>
      </c>
      <c r="D392" s="205">
        <v>15276590</v>
      </c>
      <c r="E392" s="205">
        <v>92.94</v>
      </c>
      <c r="G392" s="215">
        <v>45278</v>
      </c>
      <c r="H392" s="205">
        <v>4336305</v>
      </c>
      <c r="I392" s="205">
        <v>1848833</v>
      </c>
      <c r="J392" s="205">
        <v>6185138</v>
      </c>
      <c r="K392" s="205">
        <v>70.11</v>
      </c>
      <c r="M392" s="215">
        <v>45278</v>
      </c>
      <c r="N392" s="205">
        <v>4528589</v>
      </c>
      <c r="O392" s="205">
        <v>3686495</v>
      </c>
      <c r="P392" s="205">
        <v>8215084</v>
      </c>
      <c r="Q392" s="205">
        <v>55.13</v>
      </c>
      <c r="S392" s="215">
        <v>45278</v>
      </c>
      <c r="T392" s="194">
        <v>1385577</v>
      </c>
      <c r="U392" s="194">
        <v>2653146</v>
      </c>
      <c r="V392" s="194">
        <v>4038723</v>
      </c>
      <c r="W392" s="194">
        <v>34.31</v>
      </c>
      <c r="Y392" s="215">
        <v>45278</v>
      </c>
      <c r="Z392" s="194">
        <v>1967409</v>
      </c>
      <c r="AA392" s="194">
        <v>362751</v>
      </c>
      <c r="AB392" s="194">
        <v>2330160</v>
      </c>
      <c r="AC392" s="194">
        <v>84.43</v>
      </c>
      <c r="AE392" s="215">
        <v>45278</v>
      </c>
      <c r="AF392" s="194">
        <v>1023038</v>
      </c>
      <c r="AG392" s="194">
        <v>14386</v>
      </c>
      <c r="AH392" s="194">
        <v>1037424</v>
      </c>
      <c r="AI392" s="194">
        <v>98.61</v>
      </c>
      <c r="AK392" s="215">
        <v>45278</v>
      </c>
      <c r="AL392" s="67">
        <v>1027329</v>
      </c>
      <c r="AM392" s="67">
        <v>0</v>
      </c>
      <c r="AN392" s="67">
        <v>1027329</v>
      </c>
      <c r="AO392" s="67">
        <v>100</v>
      </c>
      <c r="AQ392" s="215">
        <v>45278</v>
      </c>
      <c r="AR392" s="67">
        <v>3214028</v>
      </c>
      <c r="AS392" s="67">
        <v>3449</v>
      </c>
      <c r="AT392" s="67">
        <v>3217477</v>
      </c>
      <c r="AU392" s="67">
        <v>99.89</v>
      </c>
      <c r="AX392" s="215">
        <v>45278</v>
      </c>
      <c r="AY392" s="239" t="s">
        <v>224</v>
      </c>
      <c r="BA392" s="240">
        <v>0</v>
      </c>
      <c r="BB392" s="241">
        <v>0</v>
      </c>
    </row>
    <row r="393" spans="1:54" ht="15.75" hidden="1" x14ac:dyDescent="0.25">
      <c r="A393" s="215">
        <v>45279</v>
      </c>
      <c r="B393" s="205">
        <v>14881860</v>
      </c>
      <c r="C393" s="205">
        <v>1157522</v>
      </c>
      <c r="D393" s="205">
        <v>16039382</v>
      </c>
      <c r="E393" s="205">
        <v>92.78</v>
      </c>
      <c r="G393" s="215">
        <v>45279</v>
      </c>
      <c r="H393" s="205">
        <v>1056848</v>
      </c>
      <c r="I393" s="205">
        <v>481198</v>
      </c>
      <c r="J393" s="205">
        <v>1538046</v>
      </c>
      <c r="K393" s="205">
        <v>68.709999999999994</v>
      </c>
      <c r="M393" s="215">
        <v>45279</v>
      </c>
      <c r="N393" s="205">
        <v>3962727</v>
      </c>
      <c r="O393" s="205">
        <v>3736787</v>
      </c>
      <c r="P393" s="205">
        <v>7699514</v>
      </c>
      <c r="Q393" s="205">
        <v>51.47</v>
      </c>
      <c r="S393" s="215">
        <v>45279</v>
      </c>
      <c r="T393" s="194">
        <v>1383208</v>
      </c>
      <c r="U393" s="194">
        <v>2642936</v>
      </c>
      <c r="V393" s="194">
        <v>4026144</v>
      </c>
      <c r="W393" s="194">
        <v>34.36</v>
      </c>
      <c r="Y393" s="215">
        <v>45279</v>
      </c>
      <c r="Z393" s="194">
        <v>2286615</v>
      </c>
      <c r="AA393" s="194">
        <v>368428</v>
      </c>
      <c r="AB393" s="194">
        <v>2655043</v>
      </c>
      <c r="AC393" s="194">
        <v>86.12</v>
      </c>
      <c r="AE393" s="215">
        <v>45279</v>
      </c>
      <c r="AF393" s="194">
        <v>1066948</v>
      </c>
      <c r="AG393" s="194">
        <v>14124</v>
      </c>
      <c r="AH393" s="194">
        <v>1081072</v>
      </c>
      <c r="AI393" s="194">
        <v>98.69</v>
      </c>
      <c r="AK393" s="215">
        <v>45279</v>
      </c>
      <c r="AL393" s="67">
        <v>935749</v>
      </c>
      <c r="AM393" s="67">
        <v>0</v>
      </c>
      <c r="AN393" s="67">
        <v>935749</v>
      </c>
      <c r="AO393" s="67">
        <v>100</v>
      </c>
      <c r="AQ393" s="215">
        <v>45279</v>
      </c>
      <c r="AR393" s="67">
        <v>812329</v>
      </c>
      <c r="AS393" s="67">
        <v>1</v>
      </c>
      <c r="AT393" s="67">
        <v>812330</v>
      </c>
      <c r="AU393" s="67">
        <v>100</v>
      </c>
      <c r="AX393" s="215">
        <v>45279</v>
      </c>
      <c r="AY393" s="239" t="s">
        <v>224</v>
      </c>
      <c r="BA393" s="240">
        <v>0</v>
      </c>
      <c r="BB393" s="241">
        <v>0</v>
      </c>
    </row>
    <row r="394" spans="1:54" hidden="1" x14ac:dyDescent="0.25">
      <c r="A394" s="215">
        <v>45280</v>
      </c>
      <c r="B394" s="104">
        <v>14276286</v>
      </c>
      <c r="C394" s="104">
        <v>1135688</v>
      </c>
      <c r="D394" s="104">
        <v>15411974</v>
      </c>
      <c r="E394" s="104">
        <v>92.63</v>
      </c>
      <c r="G394" s="215">
        <v>45280</v>
      </c>
      <c r="H394" s="104">
        <v>1379718</v>
      </c>
      <c r="I394" s="104">
        <v>581285</v>
      </c>
      <c r="J394" s="104">
        <v>1961003</v>
      </c>
      <c r="K394" s="104">
        <v>70.36</v>
      </c>
      <c r="M394" s="215">
        <v>45280</v>
      </c>
      <c r="N394" s="104">
        <v>3973961</v>
      </c>
      <c r="O394" s="104">
        <v>3986906</v>
      </c>
      <c r="P394" s="104">
        <v>7960867</v>
      </c>
      <c r="Q394" s="104">
        <v>49.92</v>
      </c>
      <c r="S394" s="215">
        <v>45280</v>
      </c>
      <c r="T394" s="101">
        <v>377028</v>
      </c>
      <c r="U394" s="101">
        <v>864064</v>
      </c>
      <c r="V394" s="101">
        <v>1241092</v>
      </c>
      <c r="W394" s="101">
        <v>30.38</v>
      </c>
      <c r="Y394" s="215">
        <v>45280</v>
      </c>
      <c r="Z394" s="101">
        <v>2046292</v>
      </c>
      <c r="AA394" s="101">
        <v>339637</v>
      </c>
      <c r="AB394" s="101">
        <v>2385929</v>
      </c>
      <c r="AC394" s="101">
        <v>85.76</v>
      </c>
      <c r="AE394" s="215">
        <v>45280</v>
      </c>
      <c r="AF394" s="101">
        <v>1052128</v>
      </c>
      <c r="AG394" s="101">
        <v>30514</v>
      </c>
      <c r="AH394" s="101">
        <v>1082642</v>
      </c>
      <c r="AI394" s="101">
        <v>97.18</v>
      </c>
      <c r="AK394" s="215">
        <v>45280</v>
      </c>
      <c r="AL394" s="48">
        <v>852066</v>
      </c>
      <c r="AM394" s="67">
        <v>0</v>
      </c>
      <c r="AN394" s="67">
        <v>852066</v>
      </c>
      <c r="AO394" s="67">
        <v>100</v>
      </c>
      <c r="AQ394" s="215">
        <v>45280</v>
      </c>
      <c r="AR394" s="48">
        <v>1122401</v>
      </c>
      <c r="AS394" s="67">
        <v>0</v>
      </c>
      <c r="AT394" s="48">
        <v>1122401</v>
      </c>
      <c r="AU394" s="67">
        <v>100</v>
      </c>
      <c r="AX394" s="215">
        <v>45280</v>
      </c>
      <c r="AY394" s="239" t="s">
        <v>224</v>
      </c>
      <c r="BA394" s="240">
        <v>0</v>
      </c>
      <c r="BB394" s="241">
        <v>0</v>
      </c>
    </row>
    <row r="395" spans="1:54" hidden="1" x14ac:dyDescent="0.25">
      <c r="A395" s="215">
        <v>45281</v>
      </c>
      <c r="B395" s="104">
        <v>14526272</v>
      </c>
      <c r="C395" s="104">
        <v>1125494</v>
      </c>
      <c r="D395" s="104">
        <v>15651766</v>
      </c>
      <c r="E395" s="104">
        <v>92.81</v>
      </c>
      <c r="G395" s="215">
        <v>45281</v>
      </c>
      <c r="H395" s="104">
        <v>1522518</v>
      </c>
      <c r="I395" s="104">
        <v>594032</v>
      </c>
      <c r="J395" s="104">
        <v>2116550</v>
      </c>
      <c r="K395" s="104">
        <v>71.930000000000007</v>
      </c>
      <c r="M395" s="215">
        <v>45281</v>
      </c>
      <c r="N395" s="104">
        <v>3973679</v>
      </c>
      <c r="O395" s="104">
        <v>4215694</v>
      </c>
      <c r="P395" s="104">
        <v>8189373</v>
      </c>
      <c r="Q395" s="104">
        <v>48.52</v>
      </c>
      <c r="S395" s="215">
        <v>45281</v>
      </c>
      <c r="T395" s="101">
        <v>1415736</v>
      </c>
      <c r="U395" s="101">
        <v>2604308</v>
      </c>
      <c r="V395" s="101">
        <v>4020044</v>
      </c>
      <c r="W395" s="101">
        <v>35.22</v>
      </c>
      <c r="Y395" s="215">
        <v>45281</v>
      </c>
      <c r="Z395" s="101">
        <v>2334825</v>
      </c>
      <c r="AA395" s="101">
        <v>366067</v>
      </c>
      <c r="AB395" s="101">
        <v>2700892</v>
      </c>
      <c r="AC395" s="101">
        <v>86.45</v>
      </c>
      <c r="AE395" s="215">
        <v>45281</v>
      </c>
      <c r="AF395" s="101">
        <v>1081701</v>
      </c>
      <c r="AG395" s="101">
        <v>12527</v>
      </c>
      <c r="AH395" s="101">
        <v>1094228</v>
      </c>
      <c r="AI395" s="101">
        <v>98.86</v>
      </c>
      <c r="AK395" s="215">
        <v>45281</v>
      </c>
      <c r="AL395" s="48">
        <v>495273</v>
      </c>
      <c r="AM395" s="67">
        <v>0</v>
      </c>
      <c r="AN395" s="48">
        <v>495273</v>
      </c>
      <c r="AO395" s="67">
        <v>100</v>
      </c>
      <c r="AQ395" s="215">
        <v>45281</v>
      </c>
      <c r="AR395" s="48">
        <v>1071531</v>
      </c>
      <c r="AS395" s="67">
        <v>0</v>
      </c>
      <c r="AT395" s="48">
        <v>1071531</v>
      </c>
      <c r="AU395" s="67">
        <v>100</v>
      </c>
      <c r="AX395" s="215">
        <v>45281</v>
      </c>
      <c r="AY395" s="239" t="s">
        <v>224</v>
      </c>
      <c r="BA395" s="240">
        <v>0</v>
      </c>
      <c r="BB395" s="241">
        <v>0</v>
      </c>
    </row>
    <row r="396" spans="1:54" hidden="1" x14ac:dyDescent="0.25">
      <c r="A396" s="215">
        <v>45282</v>
      </c>
      <c r="B396" s="104">
        <v>15894936</v>
      </c>
      <c r="C396" s="104">
        <v>1354757</v>
      </c>
      <c r="D396" s="104">
        <v>17249693</v>
      </c>
      <c r="E396" s="104">
        <v>92.15</v>
      </c>
      <c r="G396" s="215">
        <v>45282</v>
      </c>
      <c r="H396" s="104">
        <v>8749257</v>
      </c>
      <c r="I396" s="104">
        <v>3519490</v>
      </c>
      <c r="J396" s="104">
        <v>12268747</v>
      </c>
      <c r="K396" s="104">
        <v>71.31</v>
      </c>
      <c r="M396" s="215">
        <v>45282</v>
      </c>
      <c r="N396" s="104">
        <v>4498722</v>
      </c>
      <c r="O396" s="104">
        <v>3480255</v>
      </c>
      <c r="P396" s="104">
        <v>7978977</v>
      </c>
      <c r="Q396" s="104">
        <v>56.38</v>
      </c>
      <c r="S396" s="215">
        <v>45282</v>
      </c>
      <c r="T396" s="101">
        <v>1455883</v>
      </c>
      <c r="U396" s="101">
        <v>2545297</v>
      </c>
      <c r="V396" s="101">
        <v>4001180</v>
      </c>
      <c r="W396" s="101">
        <v>36.39</v>
      </c>
      <c r="Y396" s="215">
        <v>45282</v>
      </c>
      <c r="Z396" s="101">
        <v>2332650</v>
      </c>
      <c r="AA396" s="101">
        <v>355007</v>
      </c>
      <c r="AB396" s="101">
        <v>2687657</v>
      </c>
      <c r="AC396" s="101">
        <v>86.79</v>
      </c>
      <c r="AE396" s="215">
        <v>45282</v>
      </c>
      <c r="AF396" s="101">
        <v>1131877</v>
      </c>
      <c r="AG396" s="101">
        <v>15074</v>
      </c>
      <c r="AH396" s="101">
        <v>1146951</v>
      </c>
      <c r="AI396" s="101">
        <v>98.69</v>
      </c>
      <c r="AK396" s="215">
        <v>45282</v>
      </c>
      <c r="AL396" s="48">
        <v>662629</v>
      </c>
      <c r="AM396" s="48">
        <v>4</v>
      </c>
      <c r="AN396" s="48">
        <v>662629</v>
      </c>
      <c r="AO396" s="48">
        <v>100</v>
      </c>
      <c r="AQ396" s="215">
        <v>45282</v>
      </c>
      <c r="AR396" s="48">
        <v>5503877</v>
      </c>
      <c r="AS396" s="67">
        <v>0</v>
      </c>
      <c r="AT396" s="48">
        <v>5503877</v>
      </c>
      <c r="AU396" s="67">
        <v>100</v>
      </c>
      <c r="AX396" s="215">
        <v>45282</v>
      </c>
      <c r="AY396" s="239" t="s">
        <v>224</v>
      </c>
      <c r="BA396" s="240">
        <v>0</v>
      </c>
      <c r="BB396" s="241">
        <v>0</v>
      </c>
    </row>
    <row r="397" spans="1:54" hidden="1" x14ac:dyDescent="0.25">
      <c r="A397" s="215">
        <v>45283</v>
      </c>
      <c r="B397" s="104">
        <v>15947712</v>
      </c>
      <c r="C397" s="104">
        <v>1241397</v>
      </c>
      <c r="D397" s="104">
        <v>17189109</v>
      </c>
      <c r="E397" s="104">
        <v>92.78</v>
      </c>
      <c r="G397" s="215">
        <v>45283</v>
      </c>
      <c r="H397" s="104">
        <v>1578264</v>
      </c>
      <c r="I397" s="104">
        <v>546561</v>
      </c>
      <c r="J397" s="104">
        <v>2124825</v>
      </c>
      <c r="K397" s="104">
        <v>74.28</v>
      </c>
      <c r="M397" s="215">
        <v>45283</v>
      </c>
      <c r="N397" s="104">
        <v>145865</v>
      </c>
      <c r="O397" s="104">
        <v>267632</v>
      </c>
      <c r="P397" s="104">
        <v>413497</v>
      </c>
      <c r="Q397" s="104">
        <v>35.28</v>
      </c>
      <c r="S397" s="215">
        <v>45283</v>
      </c>
      <c r="T397" s="101">
        <v>1475491</v>
      </c>
      <c r="U397" s="101">
        <v>2581635</v>
      </c>
      <c r="V397" s="101">
        <v>4057126</v>
      </c>
      <c r="W397" s="101">
        <v>36.369999999999997</v>
      </c>
      <c r="Y397" s="215">
        <v>45283</v>
      </c>
      <c r="Z397" s="101">
        <v>1850051</v>
      </c>
      <c r="AA397" s="101">
        <v>342559</v>
      </c>
      <c r="AB397" s="101">
        <v>2192610</v>
      </c>
      <c r="AC397" s="101">
        <v>84.38</v>
      </c>
      <c r="AE397" s="215">
        <v>45283</v>
      </c>
      <c r="AF397" s="101">
        <v>1085775</v>
      </c>
      <c r="AG397" s="101">
        <v>15245</v>
      </c>
      <c r="AH397" s="101">
        <v>1101020</v>
      </c>
      <c r="AI397" s="101">
        <v>98.62</v>
      </c>
      <c r="AK397" s="215">
        <v>45283</v>
      </c>
      <c r="AL397" s="48">
        <v>743554</v>
      </c>
      <c r="AM397" s="48">
        <v>639</v>
      </c>
      <c r="AN397" s="48">
        <v>744193</v>
      </c>
      <c r="AO397" s="48">
        <v>99.91</v>
      </c>
      <c r="AQ397" s="215">
        <v>45283</v>
      </c>
      <c r="AR397" s="48">
        <v>5425706</v>
      </c>
      <c r="AS397" s="67">
        <v>0</v>
      </c>
      <c r="AT397" s="48">
        <v>5425706</v>
      </c>
      <c r="AU397" s="67">
        <v>100</v>
      </c>
      <c r="AX397" s="215">
        <v>45283</v>
      </c>
      <c r="AY397" s="239" t="s">
        <v>224</v>
      </c>
      <c r="BA397" s="240">
        <v>0</v>
      </c>
      <c r="BB397" s="241">
        <v>0</v>
      </c>
    </row>
    <row r="398" spans="1:54" hidden="1" x14ac:dyDescent="0.25">
      <c r="A398" s="215">
        <v>45284</v>
      </c>
      <c r="B398" s="104">
        <v>13793518</v>
      </c>
      <c r="C398" s="104">
        <v>1186250</v>
      </c>
      <c r="D398" s="104">
        <v>14979768</v>
      </c>
      <c r="E398" s="104">
        <v>92.08</v>
      </c>
      <c r="G398" s="215">
        <v>45284</v>
      </c>
      <c r="H398" s="104">
        <v>1578264</v>
      </c>
      <c r="I398" s="104">
        <v>546561</v>
      </c>
      <c r="J398" s="104">
        <v>2124825</v>
      </c>
      <c r="K398" s="104">
        <v>74.28</v>
      </c>
      <c r="M398" s="215">
        <v>45284</v>
      </c>
      <c r="N398" s="104">
        <v>145865</v>
      </c>
      <c r="O398" s="104">
        <v>267632</v>
      </c>
      <c r="P398" s="104">
        <v>413497</v>
      </c>
      <c r="Q398" s="104">
        <v>35.28</v>
      </c>
      <c r="S398" s="215">
        <v>45284</v>
      </c>
      <c r="T398" s="101">
        <v>26223</v>
      </c>
      <c r="U398" s="101">
        <v>4074</v>
      </c>
      <c r="V398" s="101">
        <v>30297</v>
      </c>
      <c r="W398" s="101">
        <v>86.55</v>
      </c>
      <c r="Y398" s="215">
        <v>45284</v>
      </c>
      <c r="Z398" s="101">
        <v>1850051</v>
      </c>
      <c r="AA398" s="101">
        <v>342559</v>
      </c>
      <c r="AB398" s="101">
        <v>2192610</v>
      </c>
      <c r="AC398" s="101">
        <v>84.38</v>
      </c>
      <c r="AE398" s="215">
        <v>45284</v>
      </c>
      <c r="AF398" s="101">
        <v>1016055</v>
      </c>
      <c r="AG398" s="101">
        <v>11685</v>
      </c>
      <c r="AH398" s="101">
        <v>1027740</v>
      </c>
      <c r="AI398" s="101">
        <v>98.86</v>
      </c>
      <c r="AK398" s="215">
        <v>45284</v>
      </c>
      <c r="AL398" s="48">
        <v>705025</v>
      </c>
      <c r="AM398" s="48">
        <v>5</v>
      </c>
      <c r="AN398" s="48">
        <v>705030</v>
      </c>
      <c r="AO398" s="48">
        <v>100</v>
      </c>
      <c r="AQ398" s="215">
        <v>45284</v>
      </c>
      <c r="AR398" s="48">
        <v>1378474</v>
      </c>
      <c r="AS398" s="67">
        <v>0</v>
      </c>
      <c r="AT398" s="48">
        <v>1378474</v>
      </c>
      <c r="AU398" s="67">
        <v>100</v>
      </c>
      <c r="AX398" s="215">
        <v>45284</v>
      </c>
      <c r="AY398" s="239" t="s">
        <v>224</v>
      </c>
      <c r="BA398" s="240">
        <v>0</v>
      </c>
      <c r="BB398" s="241">
        <v>0</v>
      </c>
    </row>
    <row r="399" spans="1:54" hidden="1" x14ac:dyDescent="0.25">
      <c r="A399" s="215">
        <v>45285</v>
      </c>
      <c r="B399" s="104">
        <v>13686184</v>
      </c>
      <c r="C399" s="104">
        <v>1199920</v>
      </c>
      <c r="D399" s="104">
        <v>14886104</v>
      </c>
      <c r="E399" s="104">
        <v>91.93</v>
      </c>
      <c r="G399" s="215">
        <v>45285</v>
      </c>
      <c r="H399" s="104">
        <v>3387726</v>
      </c>
      <c r="I399" s="104">
        <v>1413954</v>
      </c>
      <c r="J399" s="104">
        <v>4801680</v>
      </c>
      <c r="K399" s="104">
        <v>70.55</v>
      </c>
      <c r="M399" s="215">
        <v>45285</v>
      </c>
      <c r="N399" s="104">
        <v>54935</v>
      </c>
      <c r="O399" s="104">
        <v>100778</v>
      </c>
      <c r="P399" s="104">
        <v>155713</v>
      </c>
      <c r="Q399" s="104">
        <v>35.270000000000003</v>
      </c>
      <c r="S399" s="215">
        <v>45285</v>
      </c>
      <c r="T399" s="101">
        <v>24893</v>
      </c>
      <c r="U399" s="101">
        <v>5186</v>
      </c>
      <c r="V399" s="101">
        <v>30079</v>
      </c>
      <c r="W399" s="101">
        <v>82.75</v>
      </c>
      <c r="Y399" s="215">
        <v>45285</v>
      </c>
      <c r="Z399" s="101">
        <v>1632075</v>
      </c>
      <c r="AA399" s="101">
        <v>303307</v>
      </c>
      <c r="AB399" s="101">
        <v>1935382</v>
      </c>
      <c r="AC399" s="101">
        <v>84.32</v>
      </c>
      <c r="AE399" s="215">
        <v>45285</v>
      </c>
      <c r="AF399" s="101">
        <v>1055993</v>
      </c>
      <c r="AG399" s="101">
        <v>11436</v>
      </c>
      <c r="AH399" s="101">
        <v>1067429</v>
      </c>
      <c r="AI399" s="101">
        <v>98.92</v>
      </c>
      <c r="AK399" s="215">
        <v>45285</v>
      </c>
      <c r="AL399" s="48">
        <v>495485</v>
      </c>
      <c r="AM399" s="48">
        <v>163</v>
      </c>
      <c r="AN399" s="48">
        <v>495648</v>
      </c>
      <c r="AO399" s="48">
        <v>99.97</v>
      </c>
      <c r="AQ399" s="215">
        <v>45285</v>
      </c>
      <c r="AR399" s="48">
        <v>2398403</v>
      </c>
      <c r="AS399" s="67">
        <v>0</v>
      </c>
      <c r="AT399" s="48">
        <v>2398403</v>
      </c>
      <c r="AU399" s="67">
        <v>100</v>
      </c>
      <c r="AX399" s="215">
        <v>45285</v>
      </c>
      <c r="AY399" s="239" t="s">
        <v>224</v>
      </c>
      <c r="BA399" s="240">
        <v>0</v>
      </c>
      <c r="BB399" s="241">
        <v>0</v>
      </c>
    </row>
    <row r="400" spans="1:54" hidden="1" x14ac:dyDescent="0.25">
      <c r="A400" s="215">
        <v>45286</v>
      </c>
      <c r="B400" s="104">
        <v>15402926</v>
      </c>
      <c r="C400" s="104">
        <v>1177360</v>
      </c>
      <c r="D400" s="104">
        <v>16580286</v>
      </c>
      <c r="E400" s="104">
        <v>92.9</v>
      </c>
      <c r="G400" s="215">
        <v>45286</v>
      </c>
      <c r="H400" s="104">
        <v>1556786</v>
      </c>
      <c r="I400" s="104">
        <v>553976</v>
      </c>
      <c r="J400" s="104">
        <v>2110762</v>
      </c>
      <c r="K400" s="104">
        <v>73.75</v>
      </c>
      <c r="M400" s="215">
        <v>45286</v>
      </c>
      <c r="N400" s="104">
        <v>3449976</v>
      </c>
      <c r="O400" s="104">
        <v>2974953</v>
      </c>
      <c r="P400" s="104">
        <v>6424929</v>
      </c>
      <c r="Q400" s="104">
        <v>53.7</v>
      </c>
      <c r="S400" s="215">
        <v>45286</v>
      </c>
      <c r="T400" s="101">
        <v>1445094</v>
      </c>
      <c r="U400" s="101">
        <v>2582245</v>
      </c>
      <c r="V400" s="101">
        <v>4027339</v>
      </c>
      <c r="W400" s="101">
        <v>35.880000000000003</v>
      </c>
      <c r="Y400" s="215">
        <v>45286</v>
      </c>
      <c r="Z400" s="101">
        <v>2010031</v>
      </c>
      <c r="AA400" s="101">
        <v>308383</v>
      </c>
      <c r="AB400" s="101">
        <v>2318414</v>
      </c>
      <c r="AC400" s="101">
        <v>86.7</v>
      </c>
      <c r="AE400" s="215">
        <v>45286</v>
      </c>
      <c r="AF400" s="101">
        <v>1138458</v>
      </c>
      <c r="AG400" s="101">
        <v>14315</v>
      </c>
      <c r="AH400" s="101">
        <v>1152773</v>
      </c>
      <c r="AI400" s="101">
        <v>98.76</v>
      </c>
      <c r="AK400" s="215">
        <v>45286</v>
      </c>
      <c r="AL400" s="48">
        <v>925044</v>
      </c>
      <c r="AM400" s="48">
        <v>0</v>
      </c>
      <c r="AN400" s="48">
        <v>925044</v>
      </c>
      <c r="AO400" s="48">
        <v>100</v>
      </c>
      <c r="AQ400" s="215">
        <v>45286</v>
      </c>
      <c r="AR400" s="48">
        <v>1360580</v>
      </c>
      <c r="AS400" s="67">
        <v>0</v>
      </c>
      <c r="AT400" s="48">
        <v>1360580</v>
      </c>
      <c r="AU400" s="67">
        <v>100</v>
      </c>
      <c r="AX400" s="215">
        <v>45286</v>
      </c>
      <c r="AY400" s="239" t="s">
        <v>224</v>
      </c>
      <c r="BA400" s="240">
        <v>0</v>
      </c>
      <c r="BB400" s="241">
        <v>0</v>
      </c>
    </row>
    <row r="401" spans="1:54" hidden="1" x14ac:dyDescent="0.25">
      <c r="A401" s="215">
        <v>45287</v>
      </c>
      <c r="B401" s="104">
        <v>14523147</v>
      </c>
      <c r="C401" s="104">
        <v>1260601</v>
      </c>
      <c r="D401" s="104">
        <v>15783748</v>
      </c>
      <c r="E401" s="104">
        <v>92.01</v>
      </c>
      <c r="G401" s="215">
        <v>45287</v>
      </c>
      <c r="H401" s="104">
        <v>1247562</v>
      </c>
      <c r="I401" s="104">
        <v>463900</v>
      </c>
      <c r="J401" s="104">
        <v>1711462</v>
      </c>
      <c r="K401" s="104">
        <v>72.89</v>
      </c>
      <c r="M401" s="215">
        <v>45287</v>
      </c>
      <c r="N401" s="104">
        <v>3718248</v>
      </c>
      <c r="O401" s="104">
        <v>4307725</v>
      </c>
      <c r="P401" s="104">
        <v>8025973</v>
      </c>
      <c r="Q401" s="104">
        <v>46.33</v>
      </c>
      <c r="S401" s="215">
        <v>45287</v>
      </c>
      <c r="T401" s="101">
        <v>1445918</v>
      </c>
      <c r="U401" s="101">
        <v>2549957</v>
      </c>
      <c r="V401" s="101">
        <v>3995875</v>
      </c>
      <c r="W401" s="101">
        <v>36.19</v>
      </c>
      <c r="Y401" s="215">
        <v>45287</v>
      </c>
      <c r="Z401" s="101">
        <v>1709018</v>
      </c>
      <c r="AA401" s="101">
        <v>291738</v>
      </c>
      <c r="AB401" s="101">
        <v>2000756</v>
      </c>
      <c r="AC401" s="101">
        <v>85.42</v>
      </c>
      <c r="AE401" s="215">
        <v>45287</v>
      </c>
      <c r="AF401" s="101">
        <v>1122768</v>
      </c>
      <c r="AG401" s="101">
        <v>15429</v>
      </c>
      <c r="AH401" s="101">
        <v>1138197</v>
      </c>
      <c r="AI401" s="101">
        <v>98.64</v>
      </c>
      <c r="AK401" s="215">
        <v>45287</v>
      </c>
      <c r="AL401" s="48">
        <v>974202</v>
      </c>
      <c r="AM401" s="48">
        <v>0</v>
      </c>
      <c r="AN401" s="48">
        <v>974202</v>
      </c>
      <c r="AO401" s="48">
        <v>100</v>
      </c>
      <c r="AQ401" s="215">
        <v>45287</v>
      </c>
      <c r="AR401" s="48">
        <v>1089473</v>
      </c>
      <c r="AS401" s="67">
        <v>0</v>
      </c>
      <c r="AT401" s="48">
        <v>1089473</v>
      </c>
      <c r="AU401" s="67">
        <v>100</v>
      </c>
      <c r="AX401" s="215">
        <v>45287</v>
      </c>
      <c r="AY401" s="239" t="s">
        <v>224</v>
      </c>
      <c r="BA401" s="240">
        <v>0</v>
      </c>
      <c r="BB401" s="241">
        <v>0</v>
      </c>
    </row>
    <row r="402" spans="1:54" hidden="1" x14ac:dyDescent="0.25">
      <c r="A402" s="215">
        <v>45288</v>
      </c>
      <c r="B402" s="104">
        <v>14340228</v>
      </c>
      <c r="C402" s="104">
        <v>1179648</v>
      </c>
      <c r="D402" s="104">
        <v>15519876</v>
      </c>
      <c r="E402" s="104">
        <v>92.4</v>
      </c>
      <c r="G402" s="215">
        <v>45288</v>
      </c>
      <c r="H402" s="104">
        <v>1918670</v>
      </c>
      <c r="I402" s="104">
        <v>734915</v>
      </c>
      <c r="J402" s="104">
        <v>2653585</v>
      </c>
      <c r="K402" s="104">
        <v>72.3</v>
      </c>
      <c r="M402" s="215">
        <v>45288</v>
      </c>
      <c r="N402" s="104">
        <v>3653491</v>
      </c>
      <c r="O402" s="104">
        <v>4494509</v>
      </c>
      <c r="P402" s="104">
        <v>8148000</v>
      </c>
      <c r="Q402" s="104">
        <v>44.84</v>
      </c>
      <c r="S402" s="215">
        <v>45288</v>
      </c>
      <c r="T402" s="101">
        <v>1372298</v>
      </c>
      <c r="U402" s="101">
        <v>2645675</v>
      </c>
      <c r="V402" s="101">
        <v>4017973</v>
      </c>
      <c r="W402" s="101">
        <v>34.15</v>
      </c>
      <c r="Y402" s="215">
        <v>45288</v>
      </c>
      <c r="Z402" s="101">
        <v>2082978</v>
      </c>
      <c r="AA402" s="101">
        <v>368398</v>
      </c>
      <c r="AB402" s="101">
        <v>2451376</v>
      </c>
      <c r="AC402" s="101">
        <v>84.97</v>
      </c>
      <c r="AE402" s="215">
        <v>45288</v>
      </c>
      <c r="AF402" s="101">
        <v>1107347</v>
      </c>
      <c r="AG402" s="101">
        <v>32400</v>
      </c>
      <c r="AH402" s="101">
        <v>1139747</v>
      </c>
      <c r="AI402" s="101">
        <v>97.16</v>
      </c>
      <c r="AK402" s="215">
        <v>45288</v>
      </c>
      <c r="AL402" s="48">
        <v>594042</v>
      </c>
      <c r="AM402" s="48">
        <v>0</v>
      </c>
      <c r="AN402" s="48">
        <v>594042</v>
      </c>
      <c r="AO402" s="48">
        <v>100</v>
      </c>
      <c r="AQ402" s="215">
        <v>45288</v>
      </c>
      <c r="AR402" s="48">
        <v>1529377</v>
      </c>
      <c r="AS402" s="67">
        <v>0</v>
      </c>
      <c r="AT402" s="48">
        <v>1529377</v>
      </c>
      <c r="AU402" s="67">
        <v>100</v>
      </c>
      <c r="AX402" s="215">
        <v>45288</v>
      </c>
      <c r="AY402" s="239" t="s">
        <v>224</v>
      </c>
      <c r="BA402" s="240">
        <v>0</v>
      </c>
      <c r="BB402" s="241">
        <v>0</v>
      </c>
    </row>
    <row r="403" spans="1:54" hidden="1" x14ac:dyDescent="0.25">
      <c r="A403" s="215">
        <v>45289</v>
      </c>
      <c r="B403" s="104">
        <v>16459666</v>
      </c>
      <c r="C403" s="104">
        <v>1235888</v>
      </c>
      <c r="D403" s="104">
        <v>17695554</v>
      </c>
      <c r="E403" s="104">
        <v>93.02</v>
      </c>
      <c r="G403" s="215">
        <v>45289</v>
      </c>
      <c r="H403" s="104">
        <v>1094065</v>
      </c>
      <c r="I403" s="104">
        <v>424379</v>
      </c>
      <c r="J403" s="104">
        <v>1518444</v>
      </c>
      <c r="K403" s="104">
        <v>72.05</v>
      </c>
      <c r="M403" s="215">
        <v>45289</v>
      </c>
      <c r="N403" s="104">
        <v>2247515</v>
      </c>
      <c r="O403" s="104">
        <v>2408235</v>
      </c>
      <c r="P403" s="104">
        <v>4655750</v>
      </c>
      <c r="Q403" s="104">
        <v>48.27</v>
      </c>
      <c r="S403" s="113">
        <v>45289</v>
      </c>
      <c r="T403" s="101">
        <v>1059260</v>
      </c>
      <c r="U403" s="101">
        <v>1798192</v>
      </c>
      <c r="V403" s="101">
        <v>2857452</v>
      </c>
      <c r="W403" s="101">
        <v>37.07</v>
      </c>
      <c r="Y403" s="113">
        <v>45289</v>
      </c>
      <c r="Z403" s="101">
        <v>2057491</v>
      </c>
      <c r="AA403" s="101">
        <v>335375</v>
      </c>
      <c r="AB403" s="101">
        <v>2392866</v>
      </c>
      <c r="AC403" s="101">
        <v>85.98</v>
      </c>
      <c r="AE403" s="113">
        <v>45289</v>
      </c>
      <c r="AF403" s="101">
        <v>1097795</v>
      </c>
      <c r="AG403" s="101">
        <v>13294</v>
      </c>
      <c r="AH403" s="101">
        <v>1111089</v>
      </c>
      <c r="AI403" s="101">
        <v>98.8</v>
      </c>
      <c r="AK403" s="215">
        <v>45289</v>
      </c>
      <c r="AL403" s="67">
        <v>1016460</v>
      </c>
      <c r="AM403" s="67">
        <v>0</v>
      </c>
      <c r="AN403" s="67">
        <v>1016460</v>
      </c>
      <c r="AO403" s="67">
        <v>100</v>
      </c>
      <c r="AQ403" s="215">
        <v>45289</v>
      </c>
      <c r="AR403" s="48">
        <v>961344</v>
      </c>
      <c r="AS403" s="67">
        <v>0</v>
      </c>
      <c r="AT403" s="48">
        <v>961344</v>
      </c>
      <c r="AU403" s="67">
        <v>100</v>
      </c>
      <c r="AX403" s="113">
        <v>45289</v>
      </c>
    </row>
    <row r="404" spans="1:54" hidden="1" x14ac:dyDescent="0.25">
      <c r="A404" s="215">
        <v>45290</v>
      </c>
      <c r="B404" s="104">
        <v>17182842</v>
      </c>
      <c r="C404" s="104">
        <v>1296672</v>
      </c>
      <c r="D404" s="104">
        <v>18479514</v>
      </c>
      <c r="E404" s="104">
        <v>92.98</v>
      </c>
      <c r="G404" s="215">
        <v>45290</v>
      </c>
      <c r="H404" s="104">
        <v>317751</v>
      </c>
      <c r="I404" s="104">
        <v>176621</v>
      </c>
      <c r="J404" s="104">
        <v>494372</v>
      </c>
      <c r="K404" s="104">
        <v>64.27</v>
      </c>
      <c r="M404" s="215">
        <v>45290</v>
      </c>
      <c r="N404" s="104">
        <v>4274248</v>
      </c>
      <c r="O404" s="104">
        <v>3899680</v>
      </c>
      <c r="P404" s="104">
        <v>8173928</v>
      </c>
      <c r="Q404" s="104">
        <v>52.29</v>
      </c>
      <c r="S404" s="113">
        <v>45290</v>
      </c>
      <c r="T404" s="101">
        <v>1439177</v>
      </c>
      <c r="U404" s="101">
        <v>2634799</v>
      </c>
      <c r="V404" s="101">
        <v>4073976</v>
      </c>
      <c r="W404" s="101">
        <v>35.33</v>
      </c>
      <c r="Y404" s="113">
        <v>45290</v>
      </c>
      <c r="Z404" s="101">
        <v>1862303</v>
      </c>
      <c r="AA404" s="101">
        <v>332029</v>
      </c>
      <c r="AB404" s="101">
        <v>2194332</v>
      </c>
      <c r="AC404" s="101">
        <v>84.87</v>
      </c>
      <c r="AE404" s="113">
        <v>45290</v>
      </c>
      <c r="AF404" s="101">
        <v>1071948</v>
      </c>
      <c r="AG404" s="101">
        <v>13901</v>
      </c>
      <c r="AH404" s="101">
        <v>1085849</v>
      </c>
      <c r="AI404" s="101">
        <v>98.72</v>
      </c>
      <c r="AK404" s="215">
        <v>45290</v>
      </c>
      <c r="AL404" s="48">
        <v>874522</v>
      </c>
      <c r="AM404" s="67">
        <v>0</v>
      </c>
      <c r="AN404" s="48">
        <v>874522</v>
      </c>
      <c r="AO404" s="67">
        <v>100</v>
      </c>
      <c r="AQ404" s="215">
        <v>45290</v>
      </c>
      <c r="AR404" s="48">
        <v>256001</v>
      </c>
      <c r="AS404" s="67">
        <v>0</v>
      </c>
      <c r="AT404" s="48">
        <v>256001</v>
      </c>
      <c r="AU404" s="67">
        <v>100</v>
      </c>
      <c r="AX404" s="113">
        <v>45290</v>
      </c>
    </row>
    <row r="405" spans="1:54" hidden="1" x14ac:dyDescent="0.25">
      <c r="A405" s="215">
        <v>45291</v>
      </c>
      <c r="B405" s="104">
        <v>16921464</v>
      </c>
      <c r="C405" s="104">
        <v>1388136</v>
      </c>
      <c r="D405" s="104">
        <v>18309600</v>
      </c>
      <c r="E405" s="104">
        <v>92.42</v>
      </c>
      <c r="G405" s="215">
        <v>45291</v>
      </c>
      <c r="H405" s="104">
        <v>776711</v>
      </c>
      <c r="I405" s="104">
        <v>315914</v>
      </c>
      <c r="J405" s="104">
        <v>1092625</v>
      </c>
      <c r="K405" s="104">
        <v>71.09</v>
      </c>
      <c r="M405" s="215">
        <v>45291</v>
      </c>
      <c r="N405" s="104">
        <v>78719</v>
      </c>
      <c r="O405" s="104">
        <v>65029</v>
      </c>
      <c r="P405" s="104">
        <v>143748</v>
      </c>
      <c r="Q405" s="104">
        <v>54.76</v>
      </c>
      <c r="S405" s="113">
        <v>45291</v>
      </c>
      <c r="T405" s="101">
        <v>36291</v>
      </c>
      <c r="U405" s="101">
        <v>7336</v>
      </c>
      <c r="V405" s="101">
        <v>43627</v>
      </c>
      <c r="W405" s="101">
        <v>83.18</v>
      </c>
      <c r="Y405" s="113">
        <v>45291</v>
      </c>
      <c r="Z405" s="101">
        <v>1886820</v>
      </c>
      <c r="AA405" s="101">
        <v>337286</v>
      </c>
      <c r="AB405" s="101">
        <v>2224106</v>
      </c>
      <c r="AC405" s="101">
        <v>84.83</v>
      </c>
      <c r="AE405" s="113">
        <v>45291</v>
      </c>
      <c r="AF405" s="101">
        <v>1081983</v>
      </c>
      <c r="AG405" s="101">
        <v>11616</v>
      </c>
      <c r="AH405" s="101">
        <v>1093599</v>
      </c>
      <c r="AI405" s="101">
        <v>98.94</v>
      </c>
      <c r="AK405" s="215">
        <v>45291</v>
      </c>
      <c r="AL405" s="67">
        <v>747190</v>
      </c>
      <c r="AM405" s="67">
        <v>0</v>
      </c>
      <c r="AN405" s="67">
        <v>747190</v>
      </c>
      <c r="AO405" s="67">
        <v>100</v>
      </c>
      <c r="AQ405" s="215">
        <v>45291</v>
      </c>
      <c r="AR405" s="48">
        <v>664430</v>
      </c>
      <c r="AS405" s="67">
        <v>0</v>
      </c>
      <c r="AT405" s="48">
        <v>664430</v>
      </c>
      <c r="AU405" s="67">
        <v>100</v>
      </c>
      <c r="AX405" s="113">
        <v>45291</v>
      </c>
    </row>
    <row r="406" spans="1:54" hidden="1" x14ac:dyDescent="0.25">
      <c r="A406" s="215">
        <v>45292</v>
      </c>
      <c r="B406" s="104">
        <v>12053107</v>
      </c>
      <c r="C406" s="104">
        <v>1426579</v>
      </c>
      <c r="D406" s="104">
        <v>13479686</v>
      </c>
      <c r="E406" s="104">
        <v>89.42</v>
      </c>
      <c r="G406" s="215">
        <v>45292</v>
      </c>
      <c r="H406" s="104">
        <v>293353</v>
      </c>
      <c r="I406" s="104">
        <v>167843</v>
      </c>
      <c r="J406" s="104">
        <v>461196</v>
      </c>
      <c r="K406" s="104">
        <v>63.61</v>
      </c>
      <c r="M406" s="215">
        <v>45292</v>
      </c>
      <c r="N406" s="104">
        <v>381787</v>
      </c>
      <c r="O406" s="104">
        <v>263480</v>
      </c>
      <c r="P406" s="104">
        <v>645267</v>
      </c>
      <c r="Q406" s="104">
        <v>59.17</v>
      </c>
      <c r="S406" s="113">
        <v>45292</v>
      </c>
      <c r="T406" s="101">
        <v>42611</v>
      </c>
      <c r="U406" s="101">
        <v>11879</v>
      </c>
      <c r="V406" s="101">
        <v>54490</v>
      </c>
      <c r="W406" s="101">
        <v>78.2</v>
      </c>
      <c r="Y406" s="113">
        <v>45292</v>
      </c>
      <c r="Z406" s="101">
        <v>1780169</v>
      </c>
      <c r="AA406" s="101">
        <v>348790</v>
      </c>
      <c r="AB406" s="101">
        <v>2128959</v>
      </c>
      <c r="AC406" s="101">
        <v>83.62</v>
      </c>
      <c r="AE406" s="113">
        <v>45292</v>
      </c>
      <c r="AF406" s="101">
        <v>1102193</v>
      </c>
      <c r="AG406" s="101">
        <v>12296</v>
      </c>
      <c r="AH406" s="101">
        <v>1114489</v>
      </c>
      <c r="AI406" s="101">
        <v>98.9</v>
      </c>
      <c r="AK406" s="215">
        <v>45292</v>
      </c>
      <c r="AL406" s="67">
        <v>868313</v>
      </c>
      <c r="AM406" s="67">
        <v>23</v>
      </c>
      <c r="AN406" s="67">
        <v>868336</v>
      </c>
      <c r="AO406" s="67">
        <v>100</v>
      </c>
      <c r="AQ406" s="215">
        <v>45292</v>
      </c>
      <c r="AR406" s="67">
        <v>229265</v>
      </c>
      <c r="AS406" s="67">
        <v>0</v>
      </c>
      <c r="AT406" s="67">
        <v>229265</v>
      </c>
      <c r="AU406" s="67">
        <v>100</v>
      </c>
      <c r="AX406" s="113">
        <v>45292</v>
      </c>
    </row>
    <row r="407" spans="1:54" hidden="1" x14ac:dyDescent="0.25">
      <c r="A407" s="215">
        <v>45293</v>
      </c>
      <c r="B407" s="104">
        <v>13546144</v>
      </c>
      <c r="C407" s="104">
        <v>1134368</v>
      </c>
      <c r="D407" s="104">
        <v>14680512</v>
      </c>
      <c r="E407" s="104">
        <v>92.27</v>
      </c>
      <c r="G407" s="215">
        <v>45293</v>
      </c>
      <c r="H407" s="104">
        <v>278682</v>
      </c>
      <c r="I407" s="104">
        <v>164535</v>
      </c>
      <c r="J407" s="104">
        <v>443217</v>
      </c>
      <c r="K407" s="104">
        <v>62.88</v>
      </c>
      <c r="M407" s="215">
        <v>45293</v>
      </c>
      <c r="N407" s="104">
        <v>3138532</v>
      </c>
      <c r="O407" s="104">
        <v>2700082</v>
      </c>
      <c r="P407" s="104">
        <v>5838614</v>
      </c>
      <c r="Q407" s="104">
        <v>53.75</v>
      </c>
      <c r="S407" s="113">
        <v>45293</v>
      </c>
      <c r="T407" s="101">
        <v>1389084</v>
      </c>
      <c r="U407" s="101">
        <v>2650056</v>
      </c>
      <c r="V407" s="101">
        <v>4039140</v>
      </c>
      <c r="W407" s="101">
        <v>34.39</v>
      </c>
      <c r="Y407" s="113">
        <v>45293</v>
      </c>
      <c r="Z407" s="101">
        <v>1774260</v>
      </c>
      <c r="AA407" s="101">
        <v>310611</v>
      </c>
      <c r="AB407" s="101">
        <v>2084871</v>
      </c>
      <c r="AC407" s="101">
        <v>85.1</v>
      </c>
      <c r="AE407" s="113">
        <v>45293</v>
      </c>
      <c r="AF407" s="101">
        <v>1074065</v>
      </c>
      <c r="AG407" s="101">
        <v>13478</v>
      </c>
      <c r="AH407" s="101">
        <v>1087543</v>
      </c>
      <c r="AI407" s="101">
        <v>98.76</v>
      </c>
      <c r="AK407" s="215">
        <v>45293</v>
      </c>
      <c r="AL407" s="67">
        <v>942943</v>
      </c>
      <c r="AM407" s="67">
        <v>0</v>
      </c>
      <c r="AN407" s="67">
        <v>942943</v>
      </c>
      <c r="AO407" s="67">
        <v>100</v>
      </c>
      <c r="AQ407" s="215">
        <v>45293</v>
      </c>
      <c r="AR407" s="67">
        <v>219214</v>
      </c>
      <c r="AS407" s="67">
        <v>0</v>
      </c>
      <c r="AT407" s="67">
        <v>219214</v>
      </c>
      <c r="AU407" s="67">
        <v>100</v>
      </c>
      <c r="AX407" s="113">
        <v>45293</v>
      </c>
    </row>
    <row r="408" spans="1:54" hidden="1" x14ac:dyDescent="0.25">
      <c r="A408" s="215">
        <v>45294</v>
      </c>
      <c r="B408" s="104">
        <v>13902392</v>
      </c>
      <c r="C408" s="104">
        <v>1164766</v>
      </c>
      <c r="D408" s="104">
        <v>15067158</v>
      </c>
      <c r="E408" s="104">
        <v>92.27</v>
      </c>
      <c r="G408" s="215">
        <v>45294</v>
      </c>
      <c r="H408" s="104">
        <v>8872815</v>
      </c>
      <c r="I408" s="104">
        <v>3970949</v>
      </c>
      <c r="J408" s="104">
        <v>12843764</v>
      </c>
      <c r="K408" s="104">
        <v>69.08</v>
      </c>
      <c r="M408" s="215">
        <v>45294</v>
      </c>
      <c r="N408" s="48">
        <v>3028002</v>
      </c>
      <c r="O408" s="48">
        <v>3415139</v>
      </c>
      <c r="P408" s="48">
        <v>6443141</v>
      </c>
      <c r="Q408" s="48">
        <v>46.99</v>
      </c>
      <c r="S408" s="113">
        <v>45294</v>
      </c>
      <c r="T408" s="101">
        <v>1398488</v>
      </c>
      <c r="U408" s="101">
        <v>2653995</v>
      </c>
      <c r="V408" s="101">
        <v>4052483</v>
      </c>
      <c r="W408" s="101">
        <v>34.51</v>
      </c>
      <c r="Y408" s="113">
        <v>45294</v>
      </c>
      <c r="Z408" s="101">
        <v>1617962</v>
      </c>
      <c r="AA408" s="101">
        <v>286237</v>
      </c>
      <c r="AB408" s="101">
        <v>1904199</v>
      </c>
      <c r="AC408" s="101">
        <v>84.97</v>
      </c>
      <c r="AE408" s="113">
        <v>45294</v>
      </c>
      <c r="AF408" s="101">
        <v>1085341</v>
      </c>
      <c r="AG408" s="101">
        <v>14720</v>
      </c>
      <c r="AH408" s="101">
        <v>1100061</v>
      </c>
      <c r="AI408" s="101">
        <v>98.66</v>
      </c>
      <c r="AK408" s="215">
        <v>45294</v>
      </c>
      <c r="AL408" s="67">
        <v>902894</v>
      </c>
      <c r="AM408" s="67">
        <v>0</v>
      </c>
      <c r="AN408" s="67">
        <v>902894</v>
      </c>
      <c r="AO408" s="67">
        <v>100</v>
      </c>
      <c r="AQ408" s="215">
        <v>45294</v>
      </c>
      <c r="AR408" s="67">
        <v>5146917</v>
      </c>
      <c r="AS408" s="67">
        <v>0</v>
      </c>
      <c r="AT408" s="67">
        <v>5146917</v>
      </c>
      <c r="AU408" s="67">
        <v>100</v>
      </c>
      <c r="AX408" s="113">
        <v>45294</v>
      </c>
    </row>
    <row r="409" spans="1:54" hidden="1" x14ac:dyDescent="0.25">
      <c r="A409" s="215">
        <v>45295</v>
      </c>
      <c r="B409" s="104">
        <v>13553860</v>
      </c>
      <c r="C409" s="104">
        <v>1250271</v>
      </c>
      <c r="D409" s="104">
        <v>14804131</v>
      </c>
      <c r="E409" s="104">
        <v>91.55</v>
      </c>
      <c r="G409" s="215">
        <v>45295</v>
      </c>
      <c r="H409" s="104">
        <v>8335158</v>
      </c>
      <c r="I409" s="104">
        <v>3787762</v>
      </c>
      <c r="J409" s="104">
        <v>12122920</v>
      </c>
      <c r="K409" s="104">
        <v>68.760000000000005</v>
      </c>
      <c r="M409" s="215">
        <v>45295</v>
      </c>
      <c r="N409" s="48">
        <v>3001995</v>
      </c>
      <c r="O409" s="48">
        <v>4321583</v>
      </c>
      <c r="P409" s="48">
        <v>7323578</v>
      </c>
      <c r="Q409" s="48">
        <v>40.99</v>
      </c>
      <c r="S409" s="113">
        <v>45295</v>
      </c>
      <c r="T409" s="101">
        <v>1403225</v>
      </c>
      <c r="U409" s="101">
        <v>2652795</v>
      </c>
      <c r="V409" s="101">
        <v>4056020</v>
      </c>
      <c r="W409" s="101">
        <v>34.6</v>
      </c>
      <c r="Y409" s="113">
        <v>45295</v>
      </c>
      <c r="Z409" s="101">
        <v>1857246</v>
      </c>
      <c r="AA409" s="101">
        <v>292498</v>
      </c>
      <c r="AB409" s="101">
        <v>2149744</v>
      </c>
      <c r="AC409" s="101">
        <v>86.39</v>
      </c>
      <c r="AE409" s="113">
        <v>45295</v>
      </c>
      <c r="AF409" s="101">
        <v>1092105</v>
      </c>
      <c r="AG409" s="101">
        <v>14030</v>
      </c>
      <c r="AH409" s="101">
        <v>1106135</v>
      </c>
      <c r="AI409" s="101">
        <v>98.73</v>
      </c>
      <c r="AK409" s="215">
        <v>45295</v>
      </c>
      <c r="AL409" s="67">
        <v>663009</v>
      </c>
      <c r="AM409" s="67">
        <v>0</v>
      </c>
      <c r="AN409" s="67">
        <v>663009</v>
      </c>
      <c r="AO409" s="67">
        <v>100</v>
      </c>
      <c r="AQ409" s="215">
        <v>45295</v>
      </c>
      <c r="AR409" s="67">
        <v>4839298</v>
      </c>
      <c r="AS409" s="67">
        <v>15</v>
      </c>
      <c r="AT409" s="67">
        <v>4839313</v>
      </c>
      <c r="AU409" s="67">
        <v>100</v>
      </c>
      <c r="AX409" s="113">
        <v>45295</v>
      </c>
    </row>
    <row r="410" spans="1:54" hidden="1" x14ac:dyDescent="0.25">
      <c r="A410" s="215">
        <v>45296</v>
      </c>
      <c r="B410" s="104">
        <v>14682999</v>
      </c>
      <c r="C410" s="104">
        <v>1141559</v>
      </c>
      <c r="D410" s="104">
        <v>15824558</v>
      </c>
      <c r="E410" s="104">
        <v>92.79</v>
      </c>
      <c r="G410" s="215">
        <v>45296</v>
      </c>
      <c r="H410" s="104">
        <v>579565</v>
      </c>
      <c r="I410" s="104">
        <v>266270</v>
      </c>
      <c r="J410" s="104">
        <v>845835</v>
      </c>
      <c r="K410" s="104">
        <v>68.52</v>
      </c>
      <c r="M410" s="215">
        <v>45296</v>
      </c>
      <c r="N410" s="48">
        <v>2226277</v>
      </c>
      <c r="O410" s="48">
        <v>2929114</v>
      </c>
      <c r="P410" s="48">
        <v>5155391</v>
      </c>
      <c r="Q410" s="48">
        <v>43.18</v>
      </c>
      <c r="S410" s="113">
        <v>45296</v>
      </c>
      <c r="T410" s="101">
        <v>1244347</v>
      </c>
      <c r="U410" s="101">
        <v>2352234</v>
      </c>
      <c r="V410" s="101">
        <v>3596581</v>
      </c>
      <c r="W410" s="101">
        <v>34.6</v>
      </c>
      <c r="Y410" s="113">
        <v>45296</v>
      </c>
      <c r="Z410" s="101">
        <v>1938193</v>
      </c>
      <c r="AA410" s="101">
        <v>421794</v>
      </c>
      <c r="AB410" s="101">
        <v>2359987</v>
      </c>
      <c r="AC410" s="101">
        <v>82.13</v>
      </c>
      <c r="AE410" s="113">
        <v>45296</v>
      </c>
      <c r="AF410" s="101">
        <v>1105723</v>
      </c>
      <c r="AG410" s="101">
        <v>14540</v>
      </c>
      <c r="AH410" s="101">
        <v>1120263</v>
      </c>
      <c r="AI410" s="101">
        <v>98.7</v>
      </c>
      <c r="AK410" s="215">
        <v>45296</v>
      </c>
      <c r="AL410" s="67">
        <v>912999</v>
      </c>
      <c r="AM410" s="67">
        <v>0</v>
      </c>
      <c r="AN410" s="67">
        <v>912999</v>
      </c>
      <c r="AO410" s="67">
        <v>100</v>
      </c>
      <c r="AQ410" s="215">
        <v>45296</v>
      </c>
      <c r="AR410" s="67">
        <v>486865</v>
      </c>
      <c r="AS410" s="67">
        <v>0</v>
      </c>
      <c r="AT410" s="67">
        <v>486865</v>
      </c>
      <c r="AU410" s="67">
        <v>100</v>
      </c>
      <c r="AX410" s="113">
        <v>45296</v>
      </c>
    </row>
    <row r="411" spans="1:54" hidden="1" x14ac:dyDescent="0.25">
      <c r="A411" s="215">
        <v>45297</v>
      </c>
      <c r="B411" s="104">
        <v>14325655</v>
      </c>
      <c r="C411" s="104">
        <v>1222076</v>
      </c>
      <c r="D411" s="104">
        <v>15547731</v>
      </c>
      <c r="E411" s="104">
        <v>92.14</v>
      </c>
      <c r="G411" s="215">
        <v>45297</v>
      </c>
      <c r="H411" s="104">
        <v>515190</v>
      </c>
      <c r="I411" s="104">
        <v>233900</v>
      </c>
      <c r="J411" s="104">
        <v>749090</v>
      </c>
      <c r="K411" s="104">
        <v>68.78</v>
      </c>
      <c r="M411" s="215">
        <v>45297</v>
      </c>
      <c r="N411" s="48">
        <v>3726889</v>
      </c>
      <c r="O411" s="48">
        <v>4271877</v>
      </c>
      <c r="P411" s="48">
        <v>7998766</v>
      </c>
      <c r="Q411" s="48">
        <v>46.59</v>
      </c>
      <c r="S411" s="113">
        <v>45297</v>
      </c>
      <c r="T411" s="101">
        <v>636751</v>
      </c>
      <c r="U411" s="101">
        <v>1117083</v>
      </c>
      <c r="V411" s="101">
        <v>1753834</v>
      </c>
      <c r="W411" s="101">
        <v>36.31</v>
      </c>
      <c r="Y411" s="113">
        <v>45297</v>
      </c>
      <c r="Z411" s="101">
        <v>1898227</v>
      </c>
      <c r="AA411" s="101">
        <v>416617</v>
      </c>
      <c r="AB411" s="101">
        <v>2314844</v>
      </c>
      <c r="AC411" s="101">
        <v>82</v>
      </c>
      <c r="AE411" s="113">
        <v>45297</v>
      </c>
      <c r="AF411" s="101">
        <v>1051272</v>
      </c>
      <c r="AG411" s="101">
        <v>13142</v>
      </c>
      <c r="AH411" s="101">
        <v>1064414</v>
      </c>
      <c r="AI411" s="101">
        <v>98.77</v>
      </c>
      <c r="AK411" s="215">
        <v>45297</v>
      </c>
      <c r="AL411" s="67">
        <v>864489</v>
      </c>
      <c r="AM411" s="67">
        <v>0</v>
      </c>
      <c r="AN411" s="67">
        <v>864489</v>
      </c>
      <c r="AO411" s="67">
        <v>100</v>
      </c>
      <c r="AQ411" s="215">
        <v>45297</v>
      </c>
      <c r="AR411" s="67">
        <v>433461</v>
      </c>
      <c r="AS411" s="67">
        <v>0</v>
      </c>
      <c r="AT411" s="67">
        <v>433461</v>
      </c>
      <c r="AU411" s="67">
        <v>100</v>
      </c>
      <c r="AX411" s="113">
        <v>45297</v>
      </c>
    </row>
    <row r="412" spans="1:54" hidden="1" x14ac:dyDescent="0.25">
      <c r="A412" s="215">
        <v>45298</v>
      </c>
      <c r="B412" s="104">
        <v>12546314</v>
      </c>
      <c r="C412" s="104">
        <v>1099142</v>
      </c>
      <c r="D412" s="104">
        <v>13645456</v>
      </c>
      <c r="E412" s="104">
        <v>91.94</v>
      </c>
      <c r="G412" s="215">
        <v>45298</v>
      </c>
      <c r="H412" s="104">
        <v>308568</v>
      </c>
      <c r="I412" s="104">
        <v>165268</v>
      </c>
      <c r="J412" s="104">
        <v>473836</v>
      </c>
      <c r="K412" s="104">
        <v>65.12</v>
      </c>
      <c r="M412" s="215">
        <v>45298</v>
      </c>
      <c r="N412" s="48">
        <v>2849384</v>
      </c>
      <c r="O412" s="48">
        <v>3299920</v>
      </c>
      <c r="P412" s="48">
        <v>6149304</v>
      </c>
      <c r="Q412" s="48">
        <v>46.33</v>
      </c>
      <c r="S412" s="113">
        <v>45298</v>
      </c>
      <c r="T412" s="101">
        <v>27365</v>
      </c>
      <c r="U412" s="101">
        <v>4677</v>
      </c>
      <c r="V412" s="101">
        <v>32042</v>
      </c>
      <c r="W412" s="101">
        <v>85.4</v>
      </c>
      <c r="Y412" s="113">
        <v>45298</v>
      </c>
      <c r="Z412" s="101">
        <v>1972130</v>
      </c>
      <c r="AA412" s="101">
        <v>429416</v>
      </c>
      <c r="AB412" s="101">
        <v>2401546</v>
      </c>
      <c r="AC412" s="101">
        <v>82.12</v>
      </c>
      <c r="AE412" s="113">
        <v>45298</v>
      </c>
      <c r="AF412" s="101">
        <v>1068775</v>
      </c>
      <c r="AG412" s="101">
        <v>11497</v>
      </c>
      <c r="AH412" s="101">
        <v>1080272</v>
      </c>
      <c r="AI412" s="101">
        <v>98.94</v>
      </c>
      <c r="AK412" s="215">
        <v>45298</v>
      </c>
      <c r="AL412" s="67">
        <v>745349</v>
      </c>
      <c r="AM412" s="67">
        <v>0</v>
      </c>
      <c r="AN412" s="67">
        <v>745349</v>
      </c>
      <c r="AO412" s="67">
        <v>100</v>
      </c>
      <c r="AQ412" s="215">
        <v>45298</v>
      </c>
      <c r="AR412" s="67">
        <v>242731</v>
      </c>
      <c r="AS412" s="67">
        <v>0</v>
      </c>
      <c r="AT412" s="67">
        <v>242731</v>
      </c>
      <c r="AU412" s="67">
        <v>100</v>
      </c>
      <c r="AX412" s="113">
        <v>45298</v>
      </c>
    </row>
    <row r="413" spans="1:54" hidden="1" x14ac:dyDescent="0.25">
      <c r="A413" s="215">
        <v>45299</v>
      </c>
      <c r="B413" s="104">
        <v>14577977</v>
      </c>
      <c r="C413" s="104">
        <v>1098547</v>
      </c>
      <c r="D413" s="104">
        <v>15676524</v>
      </c>
      <c r="E413" s="104">
        <v>92.99</v>
      </c>
      <c r="G413" s="215">
        <v>45299</v>
      </c>
      <c r="H413" s="104">
        <v>547543</v>
      </c>
      <c r="I413" s="104">
        <v>247626</v>
      </c>
      <c r="J413" s="104">
        <v>795169</v>
      </c>
      <c r="K413" s="104">
        <v>68.86</v>
      </c>
      <c r="M413" s="215">
        <v>45299</v>
      </c>
      <c r="N413" s="48">
        <v>3491088</v>
      </c>
      <c r="O413" s="48">
        <v>3880925</v>
      </c>
      <c r="P413" s="48">
        <v>7372013</v>
      </c>
      <c r="Q413" s="48">
        <v>47.35</v>
      </c>
      <c r="S413" s="113">
        <v>45299</v>
      </c>
      <c r="T413" s="101">
        <v>1395437</v>
      </c>
      <c r="U413" s="101">
        <v>2635038</v>
      </c>
      <c r="V413" s="101">
        <v>4030475</v>
      </c>
      <c r="W413" s="101">
        <v>34.619999999999997</v>
      </c>
      <c r="Y413" s="113">
        <v>45299</v>
      </c>
      <c r="Z413" s="101">
        <v>1899975</v>
      </c>
      <c r="AA413" s="101">
        <v>403535</v>
      </c>
      <c r="AB413" s="101">
        <v>2303510</v>
      </c>
      <c r="AC413" s="101">
        <v>82.48</v>
      </c>
      <c r="AE413" s="113">
        <v>45299</v>
      </c>
      <c r="AF413" s="101">
        <v>1092715</v>
      </c>
      <c r="AG413" s="101">
        <v>12750</v>
      </c>
      <c r="AH413" s="101">
        <v>1105465</v>
      </c>
      <c r="AI413" s="101">
        <v>98.85</v>
      </c>
      <c r="AK413" s="215">
        <v>45299</v>
      </c>
      <c r="AL413" s="67">
        <v>691407</v>
      </c>
      <c r="AM413" s="67">
        <v>897</v>
      </c>
      <c r="AN413" s="67">
        <v>692304</v>
      </c>
      <c r="AO413" s="67">
        <v>99.87</v>
      </c>
      <c r="AQ413" s="215">
        <v>45299</v>
      </c>
      <c r="AR413" s="48">
        <v>460749</v>
      </c>
      <c r="AS413" s="67">
        <v>0</v>
      </c>
      <c r="AT413" s="48">
        <v>460749</v>
      </c>
      <c r="AU413" s="67">
        <v>100</v>
      </c>
      <c r="AX413" s="113">
        <v>45299</v>
      </c>
    </row>
    <row r="414" spans="1:54" hidden="1" x14ac:dyDescent="0.25">
      <c r="A414" s="215">
        <v>45300</v>
      </c>
      <c r="B414" s="104">
        <v>14620397</v>
      </c>
      <c r="C414" s="104">
        <v>1118888</v>
      </c>
      <c r="D414" s="104">
        <v>15739285</v>
      </c>
      <c r="E414" s="104">
        <v>92.89</v>
      </c>
      <c r="G414" s="215">
        <v>45300</v>
      </c>
      <c r="H414" s="104">
        <v>732503</v>
      </c>
      <c r="I414" s="104">
        <v>328844</v>
      </c>
      <c r="J414" s="104">
        <v>1061347</v>
      </c>
      <c r="K414" s="104">
        <v>69.02</v>
      </c>
      <c r="M414" s="215">
        <v>45300</v>
      </c>
      <c r="N414" s="48">
        <v>2072255</v>
      </c>
      <c r="O414" s="48">
        <v>2364380</v>
      </c>
      <c r="P414" s="48">
        <v>4436635</v>
      </c>
      <c r="Q414" s="48">
        <v>46.7</v>
      </c>
      <c r="S414" s="113">
        <v>45300</v>
      </c>
      <c r="T414" s="101">
        <v>1373396</v>
      </c>
      <c r="U414" s="101">
        <v>2631193</v>
      </c>
      <c r="V414" s="101">
        <v>4004589</v>
      </c>
      <c r="W414" s="101">
        <v>34.299999999999997</v>
      </c>
      <c r="Y414" s="113">
        <v>45300</v>
      </c>
      <c r="Z414" s="101">
        <v>1932019</v>
      </c>
      <c r="AA414" s="101">
        <v>386198</v>
      </c>
      <c r="AB414" s="101">
        <v>2318217</v>
      </c>
      <c r="AC414" s="101">
        <v>83.34</v>
      </c>
      <c r="AE414" s="113">
        <v>45300</v>
      </c>
      <c r="AF414" s="101">
        <v>1123588</v>
      </c>
      <c r="AG414" s="101">
        <v>13203</v>
      </c>
      <c r="AH414" s="101">
        <v>1136791</v>
      </c>
      <c r="AI414" s="101">
        <v>98.84</v>
      </c>
      <c r="AK414" s="215">
        <v>45300</v>
      </c>
      <c r="AL414" s="67">
        <v>951604</v>
      </c>
      <c r="AM414" s="67">
        <v>11</v>
      </c>
      <c r="AN414" s="67">
        <v>951615</v>
      </c>
      <c r="AO414" s="67">
        <v>100</v>
      </c>
      <c r="AQ414" s="215">
        <v>45300</v>
      </c>
      <c r="AR414" s="48">
        <v>488151</v>
      </c>
      <c r="AS414" s="67">
        <v>1</v>
      </c>
      <c r="AT414" s="48">
        <v>488152</v>
      </c>
      <c r="AU414" s="48">
        <v>100</v>
      </c>
      <c r="AX414" s="113">
        <v>45300</v>
      </c>
    </row>
    <row r="415" spans="1:54" hidden="1" x14ac:dyDescent="0.25">
      <c r="A415" s="215">
        <v>45301</v>
      </c>
      <c r="B415" s="104">
        <v>14206620</v>
      </c>
      <c r="C415" s="104">
        <v>1064801</v>
      </c>
      <c r="D415" s="104">
        <v>15271421</v>
      </c>
      <c r="E415" s="104">
        <v>93.03</v>
      </c>
      <c r="G415" s="215">
        <v>45301</v>
      </c>
      <c r="H415" s="104">
        <v>493719</v>
      </c>
      <c r="I415" s="104">
        <v>216446</v>
      </c>
      <c r="J415" s="104">
        <v>710165</v>
      </c>
      <c r="K415" s="104">
        <v>69.52</v>
      </c>
      <c r="M415" s="215">
        <v>45301</v>
      </c>
      <c r="N415" s="48">
        <v>2628449</v>
      </c>
      <c r="O415" s="48">
        <v>3074379</v>
      </c>
      <c r="P415" s="48">
        <v>5702828</v>
      </c>
      <c r="Q415" s="48">
        <v>46.09</v>
      </c>
      <c r="S415" s="113">
        <v>45301</v>
      </c>
      <c r="T415" s="101">
        <v>1383140</v>
      </c>
      <c r="U415" s="101">
        <v>2642862</v>
      </c>
      <c r="V415" s="101">
        <v>4026002</v>
      </c>
      <c r="W415" s="101">
        <v>34.36</v>
      </c>
      <c r="Y415" s="113">
        <v>45301</v>
      </c>
      <c r="Z415" s="101">
        <v>1942043</v>
      </c>
      <c r="AA415" s="101">
        <v>367017</v>
      </c>
      <c r="AB415" s="101">
        <v>2309060</v>
      </c>
      <c r="AC415" s="101">
        <v>84.11</v>
      </c>
      <c r="AE415" s="113">
        <v>45301</v>
      </c>
      <c r="AF415" s="101">
        <v>1086953</v>
      </c>
      <c r="AG415" s="101">
        <v>12975</v>
      </c>
      <c r="AH415" s="101">
        <v>1099928</v>
      </c>
      <c r="AI415" s="101">
        <v>98.82</v>
      </c>
      <c r="AK415" s="215">
        <v>45301</v>
      </c>
      <c r="AL415" s="67">
        <v>911538</v>
      </c>
      <c r="AM415" s="67">
        <v>0</v>
      </c>
      <c r="AN415" s="67">
        <v>911538</v>
      </c>
      <c r="AO415" s="67">
        <v>100</v>
      </c>
      <c r="AQ415" s="215">
        <v>45301</v>
      </c>
      <c r="AR415" s="48">
        <v>384416</v>
      </c>
      <c r="AS415" s="48">
        <v>28120</v>
      </c>
      <c r="AT415" s="48">
        <v>412536</v>
      </c>
      <c r="AU415" s="48">
        <v>93.18</v>
      </c>
      <c r="AX415" s="113">
        <v>45301</v>
      </c>
    </row>
    <row r="416" spans="1:54" hidden="1" x14ac:dyDescent="0.25">
      <c r="A416" s="215">
        <v>45302</v>
      </c>
      <c r="B416" s="104">
        <v>13876902</v>
      </c>
      <c r="C416" s="104">
        <v>1106780</v>
      </c>
      <c r="D416" s="104">
        <v>14983682</v>
      </c>
      <c r="E416" s="104">
        <v>92.61</v>
      </c>
      <c r="G416" s="215">
        <v>45302</v>
      </c>
      <c r="H416" s="104">
        <v>923080</v>
      </c>
      <c r="I416" s="104">
        <v>396056</v>
      </c>
      <c r="J416" s="104">
        <v>1319136</v>
      </c>
      <c r="K416" s="104">
        <v>69.98</v>
      </c>
      <c r="M416" s="215">
        <v>45302</v>
      </c>
      <c r="N416" s="48">
        <v>3096502</v>
      </c>
      <c r="O416" s="48">
        <v>3836635</v>
      </c>
      <c r="P416" s="48">
        <v>6933137</v>
      </c>
      <c r="Q416" s="48">
        <v>44.66</v>
      </c>
      <c r="S416" s="113">
        <v>45302</v>
      </c>
      <c r="T416" s="101">
        <v>1379558</v>
      </c>
      <c r="U416" s="101">
        <v>2639260</v>
      </c>
      <c r="V416" s="101">
        <v>4018818</v>
      </c>
      <c r="W416" s="101">
        <v>34.33</v>
      </c>
      <c r="Y416" s="113">
        <v>45302</v>
      </c>
      <c r="Z416" s="101">
        <v>2212240</v>
      </c>
      <c r="AA416" s="101">
        <v>401543</v>
      </c>
      <c r="AB416" s="101">
        <v>2613783</v>
      </c>
      <c r="AC416" s="101">
        <v>84.64</v>
      </c>
      <c r="AE416" s="113">
        <v>45302</v>
      </c>
      <c r="AF416" s="101">
        <v>1057444</v>
      </c>
      <c r="AG416" s="101">
        <v>13412</v>
      </c>
      <c r="AH416" s="101">
        <v>1070856</v>
      </c>
      <c r="AI416" s="101">
        <v>98.75</v>
      </c>
      <c r="AK416" s="215">
        <v>45302</v>
      </c>
      <c r="AL416" s="67">
        <v>687353</v>
      </c>
      <c r="AM416" s="67">
        <v>0</v>
      </c>
      <c r="AN416" s="67">
        <v>687353</v>
      </c>
      <c r="AO416" s="67">
        <v>100</v>
      </c>
      <c r="AQ416" s="215">
        <v>45302</v>
      </c>
      <c r="AR416" s="48">
        <v>595769</v>
      </c>
      <c r="AS416" s="48">
        <v>74309</v>
      </c>
      <c r="AT416" s="48">
        <v>670078</v>
      </c>
      <c r="AU416" s="48">
        <v>88.91</v>
      </c>
      <c r="AX416" s="113">
        <v>45302</v>
      </c>
    </row>
    <row r="417" spans="1:50" hidden="1" x14ac:dyDescent="0.25">
      <c r="A417" s="215">
        <v>45303</v>
      </c>
      <c r="B417" s="48">
        <v>14974841</v>
      </c>
      <c r="C417" s="48">
        <v>1133376</v>
      </c>
      <c r="D417" s="48">
        <v>16108217</v>
      </c>
      <c r="E417" s="48">
        <v>92.96</v>
      </c>
      <c r="G417" s="215">
        <v>45303</v>
      </c>
      <c r="H417" s="48">
        <v>517483</v>
      </c>
      <c r="I417" s="48">
        <v>250149</v>
      </c>
      <c r="J417" s="48">
        <v>767632</v>
      </c>
      <c r="K417" s="48">
        <v>67.41</v>
      </c>
      <c r="M417" s="215">
        <v>45303</v>
      </c>
      <c r="N417" s="48">
        <v>2828975</v>
      </c>
      <c r="O417" s="48">
        <v>3375203</v>
      </c>
      <c r="P417" s="48">
        <v>6204178</v>
      </c>
      <c r="Q417" s="48">
        <v>45.59</v>
      </c>
      <c r="S417" s="113">
        <v>45303</v>
      </c>
      <c r="T417">
        <v>1233599</v>
      </c>
      <c r="U417">
        <v>2353088</v>
      </c>
      <c r="V417">
        <v>3586687</v>
      </c>
      <c r="W417">
        <v>34.39</v>
      </c>
      <c r="Y417" s="113">
        <v>45303</v>
      </c>
      <c r="Z417">
        <v>2139498</v>
      </c>
      <c r="AA417">
        <v>407548</v>
      </c>
      <c r="AB417">
        <v>2547046</v>
      </c>
      <c r="AC417">
        <v>83.99</v>
      </c>
      <c r="AE417" s="113">
        <v>45303</v>
      </c>
      <c r="AF417">
        <v>1091551</v>
      </c>
      <c r="AG417">
        <v>12572</v>
      </c>
      <c r="AH417">
        <v>1104123</v>
      </c>
      <c r="AI417">
        <v>98.86</v>
      </c>
      <c r="AK417" s="215">
        <v>45303</v>
      </c>
      <c r="AL417" s="67">
        <v>771325</v>
      </c>
      <c r="AM417" s="67">
        <v>0</v>
      </c>
      <c r="AN417" s="67">
        <v>771325</v>
      </c>
      <c r="AO417" s="67">
        <v>100</v>
      </c>
      <c r="AQ417" s="215">
        <v>45303</v>
      </c>
      <c r="AR417" s="67">
        <v>405917</v>
      </c>
      <c r="AS417" s="67">
        <v>32193</v>
      </c>
      <c r="AT417" s="67">
        <v>438110</v>
      </c>
      <c r="AU417" s="67">
        <v>92.65</v>
      </c>
      <c r="AX417" s="113">
        <v>45303</v>
      </c>
    </row>
    <row r="418" spans="1:50" hidden="1" x14ac:dyDescent="0.25">
      <c r="A418" s="215">
        <v>45304</v>
      </c>
      <c r="B418" s="48">
        <v>14113291</v>
      </c>
      <c r="C418" s="48">
        <v>1208785</v>
      </c>
      <c r="D418" s="48">
        <v>15322076</v>
      </c>
      <c r="E418" s="48">
        <v>92.11</v>
      </c>
      <c r="G418" s="215">
        <v>45304</v>
      </c>
      <c r="H418" s="48">
        <v>516078</v>
      </c>
      <c r="I418" s="48">
        <v>253688</v>
      </c>
      <c r="J418" s="48">
        <v>769766</v>
      </c>
      <c r="K418" s="48">
        <v>67.040000000000006</v>
      </c>
      <c r="M418" s="215">
        <v>45304</v>
      </c>
      <c r="N418" s="48">
        <v>3828008</v>
      </c>
      <c r="O418" s="48">
        <v>4429423</v>
      </c>
      <c r="P418" s="48">
        <v>8257431</v>
      </c>
      <c r="Q418" s="48">
        <v>46.35</v>
      </c>
      <c r="S418" s="113">
        <v>45304</v>
      </c>
      <c r="T418">
        <v>545686</v>
      </c>
      <c r="U418">
        <v>1013474</v>
      </c>
      <c r="V418">
        <v>1559160</v>
      </c>
      <c r="W418">
        <v>34.99</v>
      </c>
      <c r="Y418" s="113">
        <v>45304</v>
      </c>
      <c r="Z418">
        <v>2258870</v>
      </c>
      <c r="AA418">
        <v>434013</v>
      </c>
      <c r="AB418">
        <v>2692883</v>
      </c>
      <c r="AC418">
        <v>83.88</v>
      </c>
      <c r="AE418" s="113">
        <v>45304</v>
      </c>
      <c r="AF418">
        <v>984065</v>
      </c>
      <c r="AG418">
        <v>11913</v>
      </c>
      <c r="AH418">
        <v>995978</v>
      </c>
      <c r="AI418">
        <v>98.8</v>
      </c>
      <c r="AK418" s="215">
        <v>45304</v>
      </c>
      <c r="AL418" s="67">
        <v>737121</v>
      </c>
      <c r="AM418" s="67">
        <v>0</v>
      </c>
      <c r="AN418" s="67">
        <v>737121</v>
      </c>
      <c r="AO418" s="67">
        <v>100</v>
      </c>
      <c r="AQ418" s="215">
        <v>45304</v>
      </c>
      <c r="AR418" s="67">
        <v>425237</v>
      </c>
      <c r="AS418" s="67">
        <v>0</v>
      </c>
      <c r="AT418" s="67">
        <v>425237</v>
      </c>
      <c r="AU418" s="67">
        <v>100</v>
      </c>
      <c r="AX418" s="113">
        <v>45304</v>
      </c>
    </row>
    <row r="419" spans="1:50" hidden="1" x14ac:dyDescent="0.25">
      <c r="A419" s="215">
        <v>45305</v>
      </c>
      <c r="B419" s="48">
        <v>12526238</v>
      </c>
      <c r="C419" s="48">
        <v>1021448</v>
      </c>
      <c r="D419" s="48">
        <v>13547686</v>
      </c>
      <c r="E419" s="48">
        <v>92.46</v>
      </c>
      <c r="G419" s="215">
        <v>45305</v>
      </c>
      <c r="H419" s="48">
        <v>296495</v>
      </c>
      <c r="I419" s="48">
        <v>166960</v>
      </c>
      <c r="J419" s="48">
        <v>463455</v>
      </c>
      <c r="K419" s="48">
        <v>63.97</v>
      </c>
      <c r="M419" s="215">
        <v>45305</v>
      </c>
      <c r="N419" s="48">
        <v>3460812</v>
      </c>
      <c r="O419" s="48">
        <v>4390586</v>
      </c>
      <c r="P419" s="48">
        <v>7851398</v>
      </c>
      <c r="Q419" s="48">
        <v>44.07</v>
      </c>
      <c r="S419" s="113">
        <v>45305</v>
      </c>
      <c r="T419">
        <v>22821</v>
      </c>
      <c r="U419">
        <v>4062</v>
      </c>
      <c r="V419">
        <v>26883</v>
      </c>
      <c r="W419">
        <v>84.89</v>
      </c>
      <c r="Y419" s="113">
        <v>45305</v>
      </c>
      <c r="Z419">
        <v>2113999</v>
      </c>
      <c r="AA419">
        <v>459296</v>
      </c>
      <c r="AB419">
        <v>2573295</v>
      </c>
      <c r="AC419">
        <v>82.15</v>
      </c>
      <c r="AE419" s="113">
        <v>45305</v>
      </c>
      <c r="AF419">
        <v>1045501</v>
      </c>
      <c r="AG419">
        <v>11754</v>
      </c>
      <c r="AH419">
        <v>1057255</v>
      </c>
      <c r="AI419">
        <v>98.88</v>
      </c>
      <c r="AK419" s="215">
        <v>45305</v>
      </c>
      <c r="AL419" s="67">
        <v>672386</v>
      </c>
      <c r="AM419" s="67">
        <v>2</v>
      </c>
      <c r="AN419" s="67">
        <v>672388</v>
      </c>
      <c r="AO419" s="67">
        <v>100</v>
      </c>
      <c r="AQ419" s="215">
        <v>45305</v>
      </c>
      <c r="AR419" s="67">
        <v>224540</v>
      </c>
      <c r="AS419" s="67">
        <v>0</v>
      </c>
      <c r="AT419" s="67">
        <v>224540</v>
      </c>
      <c r="AU419" s="67">
        <v>100</v>
      </c>
      <c r="AX419" s="113">
        <v>45305</v>
      </c>
    </row>
    <row r="420" spans="1:50" hidden="1" x14ac:dyDescent="0.25">
      <c r="A420" s="215">
        <v>45306</v>
      </c>
      <c r="B420" s="48">
        <v>14474418</v>
      </c>
      <c r="C420" s="48">
        <v>1058997</v>
      </c>
      <c r="D420" s="48">
        <v>15533415</v>
      </c>
      <c r="E420" s="48">
        <v>93.18</v>
      </c>
      <c r="G420" s="215">
        <v>45306</v>
      </c>
      <c r="H420" s="48">
        <v>293442</v>
      </c>
      <c r="I420" s="48">
        <v>165046</v>
      </c>
      <c r="J420" s="48">
        <v>458488</v>
      </c>
      <c r="K420" s="48">
        <v>64</v>
      </c>
      <c r="M420" s="215">
        <v>45306</v>
      </c>
      <c r="N420" s="48">
        <v>3400956</v>
      </c>
      <c r="O420" s="48">
        <v>4442172</v>
      </c>
      <c r="P420" s="48">
        <v>7843128</v>
      </c>
      <c r="Q420" s="48">
        <v>43.36</v>
      </c>
      <c r="S420" s="113">
        <v>45306</v>
      </c>
      <c r="T420">
        <v>1401838</v>
      </c>
      <c r="U420">
        <v>2641719</v>
      </c>
      <c r="V420">
        <v>4043557</v>
      </c>
      <c r="W420">
        <v>34.659999999999997</v>
      </c>
      <c r="Y420" s="113">
        <v>45306</v>
      </c>
      <c r="Z420">
        <v>2002808</v>
      </c>
      <c r="AA420">
        <v>420700</v>
      </c>
      <c r="AB420">
        <v>2423508</v>
      </c>
      <c r="AC420">
        <v>82.64</v>
      </c>
      <c r="AE420" s="113">
        <v>45306</v>
      </c>
      <c r="AF420">
        <v>1042874</v>
      </c>
      <c r="AG420">
        <v>12501</v>
      </c>
      <c r="AH420">
        <v>1055375</v>
      </c>
      <c r="AI420">
        <v>98.81</v>
      </c>
      <c r="AK420" s="215">
        <v>45306</v>
      </c>
      <c r="AL420" s="67">
        <v>914966</v>
      </c>
      <c r="AM420" s="67">
        <v>2</v>
      </c>
      <c r="AN420" s="67">
        <v>914968</v>
      </c>
      <c r="AO420" s="67">
        <v>100</v>
      </c>
      <c r="AQ420" s="215">
        <v>45306</v>
      </c>
      <c r="AR420" s="67">
        <v>223466</v>
      </c>
      <c r="AS420" s="67">
        <v>287</v>
      </c>
      <c r="AT420" s="67">
        <v>223753</v>
      </c>
      <c r="AU420" s="67">
        <v>99.87</v>
      </c>
    </row>
    <row r="421" spans="1:50" hidden="1" x14ac:dyDescent="0.25">
      <c r="A421" s="215">
        <v>45307</v>
      </c>
      <c r="B421" s="104">
        <v>14471340</v>
      </c>
      <c r="C421" s="104">
        <v>1131343</v>
      </c>
      <c r="D421" s="104">
        <v>15602683</v>
      </c>
      <c r="E421" s="104">
        <v>92.75</v>
      </c>
      <c r="G421" s="215">
        <v>45307</v>
      </c>
      <c r="H421" s="104">
        <v>959509</v>
      </c>
      <c r="I421" s="104">
        <v>393254</v>
      </c>
      <c r="J421" s="104">
        <v>1352763</v>
      </c>
      <c r="K421" s="104">
        <v>70.930000000000007</v>
      </c>
      <c r="M421" s="215">
        <v>45307</v>
      </c>
      <c r="N421" s="48">
        <v>2387047</v>
      </c>
      <c r="O421" s="48">
        <v>2447337</v>
      </c>
      <c r="P421" s="48">
        <v>4834384</v>
      </c>
      <c r="Q421" s="48">
        <v>49.37</v>
      </c>
      <c r="S421" s="113">
        <v>45307</v>
      </c>
      <c r="T421" s="101">
        <v>1403548</v>
      </c>
      <c r="U421" s="101">
        <v>2639933</v>
      </c>
      <c r="V421" s="101">
        <v>4043481</v>
      </c>
      <c r="W421" s="101">
        <v>34.71</v>
      </c>
      <c r="Y421" s="113">
        <v>45307</v>
      </c>
      <c r="Z421" s="101">
        <v>2183405</v>
      </c>
      <c r="AA421" s="101">
        <v>447013</v>
      </c>
      <c r="AB421" s="101">
        <v>2630418</v>
      </c>
      <c r="AC421" s="101">
        <v>83.01</v>
      </c>
      <c r="AE421" s="113">
        <v>45307</v>
      </c>
      <c r="AF421" s="101">
        <v>1038776</v>
      </c>
      <c r="AG421" s="101">
        <v>12187</v>
      </c>
      <c r="AH421" s="101">
        <v>1050963</v>
      </c>
      <c r="AI421" s="101">
        <v>98.84</v>
      </c>
      <c r="AK421" s="215">
        <v>45307</v>
      </c>
      <c r="AL421" s="48">
        <v>408800</v>
      </c>
      <c r="AM421" s="48">
        <v>112</v>
      </c>
      <c r="AN421" s="48">
        <v>408912</v>
      </c>
      <c r="AO421" s="48">
        <v>99.97</v>
      </c>
      <c r="AQ421" s="215">
        <v>45307</v>
      </c>
      <c r="AR421" s="48">
        <v>679847</v>
      </c>
      <c r="AS421" s="48">
        <v>22</v>
      </c>
      <c r="AT421" s="48">
        <v>679869</v>
      </c>
      <c r="AU421" s="67">
        <v>100</v>
      </c>
    </row>
    <row r="422" spans="1:50" hidden="1" x14ac:dyDescent="0.25">
      <c r="A422" s="215">
        <v>45308</v>
      </c>
      <c r="B422" s="104">
        <v>13870996</v>
      </c>
      <c r="C422" s="104">
        <v>1036902</v>
      </c>
      <c r="D422" s="104">
        <v>14907898</v>
      </c>
      <c r="E422" s="104">
        <v>93.04</v>
      </c>
      <c r="G422" s="215">
        <v>45308</v>
      </c>
      <c r="H422" s="104">
        <v>278489</v>
      </c>
      <c r="I422" s="104">
        <v>160415</v>
      </c>
      <c r="J422" s="104">
        <v>438904</v>
      </c>
      <c r="K422" s="104">
        <v>63.45</v>
      </c>
      <c r="M422" s="215">
        <v>45308</v>
      </c>
      <c r="N422" s="48">
        <v>3486946</v>
      </c>
      <c r="O422" s="48">
        <v>3600990</v>
      </c>
      <c r="P422" s="48">
        <v>7087936</v>
      </c>
      <c r="Q422" s="48">
        <v>49.19</v>
      </c>
      <c r="S422" s="113">
        <v>45308</v>
      </c>
      <c r="T422" s="173">
        <v>1396156</v>
      </c>
      <c r="U422" s="173">
        <v>2647368</v>
      </c>
      <c r="V422" s="173">
        <v>4043524</v>
      </c>
      <c r="W422" s="173">
        <v>34.53</v>
      </c>
      <c r="Y422" s="113">
        <v>45308</v>
      </c>
      <c r="Z422" s="173">
        <v>2015688</v>
      </c>
      <c r="AA422" s="173">
        <v>457056</v>
      </c>
      <c r="AB422" s="173">
        <v>2472744</v>
      </c>
      <c r="AC422" s="173">
        <v>81.52</v>
      </c>
      <c r="AE422" s="113">
        <v>45308</v>
      </c>
      <c r="AF422" s="173">
        <v>1009294</v>
      </c>
      <c r="AG422" s="173">
        <v>11971</v>
      </c>
      <c r="AH422" s="173">
        <v>1021265</v>
      </c>
      <c r="AI422" s="173">
        <v>98.83</v>
      </c>
      <c r="AK422" s="215">
        <v>45308</v>
      </c>
      <c r="AL422" s="48">
        <v>729265</v>
      </c>
      <c r="AM422" s="67">
        <v>1</v>
      </c>
      <c r="AN422" s="48">
        <v>729266</v>
      </c>
      <c r="AO422" s="67">
        <v>100</v>
      </c>
      <c r="AQ422" s="215">
        <v>45308</v>
      </c>
      <c r="AR422" s="48">
        <v>216930</v>
      </c>
      <c r="AS422" s="67">
        <v>0</v>
      </c>
      <c r="AT422" s="48">
        <v>216930</v>
      </c>
      <c r="AU422" s="67">
        <v>100</v>
      </c>
    </row>
    <row r="423" spans="1:50" hidden="1" x14ac:dyDescent="0.25">
      <c r="A423" s="215">
        <v>45309</v>
      </c>
      <c r="B423" s="104">
        <v>13619278</v>
      </c>
      <c r="C423" s="104">
        <v>1080958</v>
      </c>
      <c r="D423" s="104">
        <v>14700236</v>
      </c>
      <c r="E423" s="104">
        <v>92.65</v>
      </c>
      <c r="G423" s="215">
        <v>45309</v>
      </c>
      <c r="H423" s="104">
        <v>1111717</v>
      </c>
      <c r="I423" s="104">
        <v>437227</v>
      </c>
      <c r="J423" s="104">
        <v>1548944</v>
      </c>
      <c r="K423" s="104">
        <v>71.77</v>
      </c>
      <c r="M423" s="215">
        <v>45309</v>
      </c>
      <c r="N423" s="48">
        <v>3396858</v>
      </c>
      <c r="O423" s="48">
        <v>4589833</v>
      </c>
      <c r="P423" s="48">
        <v>7986691</v>
      </c>
      <c r="Q423" s="48">
        <v>42.53</v>
      </c>
      <c r="S423" s="215">
        <v>45309</v>
      </c>
      <c r="T423" s="104">
        <v>1403786</v>
      </c>
      <c r="U423" s="104">
        <v>2641143</v>
      </c>
      <c r="V423" s="104">
        <v>4044929</v>
      </c>
      <c r="W423" s="104">
        <v>34.700000000000003</v>
      </c>
      <c r="Y423" s="215">
        <v>45309</v>
      </c>
      <c r="Z423" s="104">
        <v>2180835</v>
      </c>
      <c r="AA423" s="104">
        <v>451240</v>
      </c>
      <c r="AB423" s="104">
        <v>2632075</v>
      </c>
      <c r="AC423" s="104">
        <v>82.86</v>
      </c>
      <c r="AE423" s="215">
        <v>45309</v>
      </c>
      <c r="AF423" s="104">
        <v>983671</v>
      </c>
      <c r="AG423" s="104">
        <v>11578</v>
      </c>
      <c r="AH423" s="104">
        <v>995249</v>
      </c>
      <c r="AI423" s="104">
        <v>98.84</v>
      </c>
      <c r="AK423" s="215">
        <v>45309</v>
      </c>
      <c r="AL423" s="48">
        <v>531487</v>
      </c>
      <c r="AM423" s="67">
        <v>0</v>
      </c>
      <c r="AN423" s="48">
        <v>531487</v>
      </c>
      <c r="AO423" s="67">
        <v>100</v>
      </c>
      <c r="AQ423" s="215">
        <v>45309</v>
      </c>
      <c r="AR423" s="48">
        <v>822639</v>
      </c>
      <c r="AS423" s="67">
        <v>0</v>
      </c>
      <c r="AT423" s="48">
        <v>822639</v>
      </c>
      <c r="AU423" s="67">
        <v>100</v>
      </c>
    </row>
    <row r="424" spans="1:50" hidden="1" x14ac:dyDescent="0.25">
      <c r="A424" s="215">
        <v>45310</v>
      </c>
      <c r="B424" s="48">
        <v>14367215</v>
      </c>
      <c r="C424" s="48">
        <v>1091430</v>
      </c>
      <c r="D424" s="48">
        <v>15458645</v>
      </c>
      <c r="E424" s="71">
        <v>92.939678700000002</v>
      </c>
      <c r="G424" s="215">
        <v>45310</v>
      </c>
      <c r="H424" s="48">
        <v>450832</v>
      </c>
      <c r="I424" s="48">
        <v>195022</v>
      </c>
      <c r="J424" s="48">
        <v>645854</v>
      </c>
      <c r="K424" s="71">
        <v>69.804011399999993</v>
      </c>
      <c r="M424" s="215">
        <v>45310</v>
      </c>
      <c r="N424" s="48">
        <v>2361834</v>
      </c>
      <c r="O424" s="48">
        <v>2243473</v>
      </c>
      <c r="P424" s="48">
        <v>4605307</v>
      </c>
      <c r="Q424" s="48">
        <v>51.28</v>
      </c>
      <c r="S424" s="215">
        <v>45310</v>
      </c>
      <c r="T424" s="48">
        <v>1264383</v>
      </c>
      <c r="U424" s="48">
        <v>2349051</v>
      </c>
      <c r="V424" s="48">
        <v>3613434</v>
      </c>
      <c r="W424" s="48">
        <v>34.991</v>
      </c>
      <c r="Y424" s="215">
        <v>45310</v>
      </c>
      <c r="Z424" s="48">
        <v>2066191</v>
      </c>
      <c r="AA424" s="48">
        <v>412440</v>
      </c>
      <c r="AB424" s="48">
        <v>2478631</v>
      </c>
      <c r="AC424" s="48">
        <v>83.36</v>
      </c>
      <c r="AE424" s="215">
        <v>45310</v>
      </c>
      <c r="AF424" s="48">
        <v>1117028</v>
      </c>
      <c r="AG424" s="48">
        <v>12242</v>
      </c>
      <c r="AH424" s="48">
        <v>1129270</v>
      </c>
      <c r="AI424" s="48">
        <v>98.91</v>
      </c>
      <c r="AK424" s="215">
        <v>45310</v>
      </c>
      <c r="AL424" s="48">
        <v>794296</v>
      </c>
      <c r="AM424" s="67">
        <v>457</v>
      </c>
      <c r="AN424" s="48">
        <v>794753</v>
      </c>
      <c r="AO424" s="67">
        <v>99.94</v>
      </c>
      <c r="AQ424" s="215">
        <v>45310</v>
      </c>
      <c r="AR424" s="48">
        <v>371284</v>
      </c>
      <c r="AS424" s="67">
        <v>0</v>
      </c>
      <c r="AT424" s="48">
        <v>371284</v>
      </c>
      <c r="AU424" s="67">
        <v>100</v>
      </c>
    </row>
    <row r="425" spans="1:50" hidden="1" x14ac:dyDescent="0.25">
      <c r="A425" s="215">
        <v>45311</v>
      </c>
      <c r="B425" s="48">
        <v>14440838</v>
      </c>
      <c r="C425" s="48">
        <v>1213713</v>
      </c>
      <c r="D425" s="48">
        <v>15654551</v>
      </c>
      <c r="E425" s="71">
        <v>92.246899999999997</v>
      </c>
      <c r="G425" s="215">
        <v>45311</v>
      </c>
      <c r="H425" s="48">
        <v>698213</v>
      </c>
      <c r="I425" s="48">
        <v>286645</v>
      </c>
      <c r="J425" s="48">
        <v>984858</v>
      </c>
      <c r="K425" s="71">
        <v>70.894788899999995</v>
      </c>
      <c r="M425" s="215">
        <v>45311</v>
      </c>
      <c r="N425" s="48">
        <v>3680921</v>
      </c>
      <c r="O425" s="48">
        <v>4156734</v>
      </c>
      <c r="P425" s="48">
        <v>7837655</v>
      </c>
      <c r="Q425" s="48">
        <v>46.96</v>
      </c>
      <c r="S425" s="215">
        <v>45311</v>
      </c>
      <c r="T425" s="48">
        <v>527870</v>
      </c>
      <c r="U425" s="48">
        <v>952516</v>
      </c>
      <c r="V425" s="48">
        <v>1480386</v>
      </c>
      <c r="W425" s="48">
        <v>35.65</v>
      </c>
      <c r="Y425" s="215">
        <v>45311</v>
      </c>
      <c r="Z425" s="48">
        <v>1920152</v>
      </c>
      <c r="AA425" s="48">
        <v>400650</v>
      </c>
      <c r="AB425" s="48">
        <v>2320802</v>
      </c>
      <c r="AC425" s="48">
        <v>82.73</v>
      </c>
      <c r="AE425" s="215">
        <v>45311</v>
      </c>
      <c r="AF425" s="48">
        <v>1085693</v>
      </c>
      <c r="AG425" s="48">
        <v>12435</v>
      </c>
      <c r="AH425" s="48">
        <v>1098128</v>
      </c>
      <c r="AI425" s="48">
        <v>98.86</v>
      </c>
      <c r="AK425" s="215">
        <v>45311</v>
      </c>
      <c r="AL425" s="48">
        <v>511079</v>
      </c>
      <c r="AM425" s="67">
        <v>1358</v>
      </c>
      <c r="AN425" s="67">
        <v>512437</v>
      </c>
      <c r="AO425" s="67">
        <v>99.73</v>
      </c>
      <c r="AQ425" s="215">
        <v>45311</v>
      </c>
      <c r="AR425" s="67">
        <v>532548</v>
      </c>
      <c r="AS425" s="67">
        <v>0</v>
      </c>
      <c r="AT425" s="67">
        <v>532548</v>
      </c>
      <c r="AU425" s="67">
        <v>100</v>
      </c>
    </row>
    <row r="426" spans="1:50" hidden="1" x14ac:dyDescent="0.25">
      <c r="A426" s="215">
        <v>45312</v>
      </c>
      <c r="B426" s="48">
        <v>11963968</v>
      </c>
      <c r="C426" s="48">
        <v>1058779</v>
      </c>
      <c r="D426" s="48">
        <v>13022747</v>
      </c>
      <c r="E426" s="71">
        <v>91.8697722</v>
      </c>
      <c r="G426" s="215">
        <v>45312</v>
      </c>
      <c r="H426" s="48">
        <v>292966</v>
      </c>
      <c r="I426" s="48">
        <v>163091</v>
      </c>
      <c r="J426" s="48">
        <v>456057</v>
      </c>
      <c r="K426" s="71">
        <v>64.238900000000001</v>
      </c>
      <c r="M426" s="215">
        <v>45312</v>
      </c>
      <c r="N426" s="48">
        <v>1779511</v>
      </c>
      <c r="O426" s="48">
        <v>2777966</v>
      </c>
      <c r="P426" s="48">
        <v>4557477</v>
      </c>
      <c r="Q426" s="48">
        <v>39.04</v>
      </c>
      <c r="S426" s="215">
        <v>45312</v>
      </c>
      <c r="T426" s="48">
        <v>26574</v>
      </c>
      <c r="U426" s="48">
        <v>4672</v>
      </c>
      <c r="V426" s="48">
        <v>31246</v>
      </c>
      <c r="W426" s="48">
        <v>85.046999999999997</v>
      </c>
      <c r="Y426" s="215">
        <v>45312</v>
      </c>
      <c r="Z426" s="48">
        <v>1938315</v>
      </c>
      <c r="AA426" s="48">
        <v>408113</v>
      </c>
      <c r="AB426" s="48">
        <v>2346428</v>
      </c>
      <c r="AC426" s="48">
        <v>82.6</v>
      </c>
      <c r="AE426" s="215">
        <v>45312</v>
      </c>
      <c r="AF426" s="48">
        <v>1094454</v>
      </c>
      <c r="AG426" s="48">
        <v>11984</v>
      </c>
      <c r="AH426" s="48">
        <v>1106438</v>
      </c>
      <c r="AI426" s="48">
        <v>98.91</v>
      </c>
      <c r="AK426" s="215">
        <v>45312</v>
      </c>
      <c r="AL426" s="48">
        <v>210946</v>
      </c>
      <c r="AM426" s="67">
        <v>2006</v>
      </c>
      <c r="AN426" s="48">
        <v>212952</v>
      </c>
      <c r="AO426" s="48">
        <v>99.06</v>
      </c>
      <c r="AQ426" s="215">
        <v>45312</v>
      </c>
      <c r="AR426" s="48">
        <v>223131</v>
      </c>
      <c r="AS426" s="67">
        <v>0</v>
      </c>
      <c r="AT426" s="48">
        <v>223131</v>
      </c>
      <c r="AU426" s="67">
        <v>100</v>
      </c>
    </row>
    <row r="427" spans="1:50" hidden="1" x14ac:dyDescent="0.25">
      <c r="A427" s="215">
        <v>45313</v>
      </c>
      <c r="B427" s="104">
        <v>14052919</v>
      </c>
      <c r="C427" s="104">
        <v>1098644</v>
      </c>
      <c r="D427" s="104">
        <v>15151563</v>
      </c>
      <c r="E427" s="104">
        <v>92.75</v>
      </c>
      <c r="G427" s="215">
        <v>45313</v>
      </c>
      <c r="H427" s="104">
        <v>520484</v>
      </c>
      <c r="I427" s="104">
        <v>231879</v>
      </c>
      <c r="J427" s="104">
        <v>752363</v>
      </c>
      <c r="K427" s="104">
        <v>69.180000000000007</v>
      </c>
      <c r="M427" s="215">
        <v>45313</v>
      </c>
      <c r="N427" s="48">
        <v>2686743</v>
      </c>
      <c r="O427" s="48">
        <v>3109991</v>
      </c>
      <c r="P427" s="48">
        <v>5796734</v>
      </c>
      <c r="Q427" s="48">
        <v>46.34</v>
      </c>
      <c r="S427" s="215">
        <v>45313</v>
      </c>
      <c r="T427" s="104">
        <v>1381366</v>
      </c>
      <c r="U427" s="104">
        <v>2639068</v>
      </c>
      <c r="V427" s="104">
        <v>4020434</v>
      </c>
      <c r="W427" s="104">
        <v>34.36</v>
      </c>
      <c r="Y427" s="215">
        <v>45313</v>
      </c>
      <c r="Z427" s="104">
        <v>1813710</v>
      </c>
      <c r="AA427" s="104">
        <v>365361</v>
      </c>
      <c r="AB427" s="104">
        <v>2179071</v>
      </c>
      <c r="AC427" s="104">
        <v>83.23</v>
      </c>
      <c r="AE427" s="215">
        <v>45313</v>
      </c>
      <c r="AF427" s="104">
        <v>1086867</v>
      </c>
      <c r="AG427" s="104">
        <v>13112</v>
      </c>
      <c r="AH427" s="104">
        <v>1099979</v>
      </c>
      <c r="AI427" s="104">
        <v>98.81</v>
      </c>
      <c r="AK427" s="215">
        <v>45313</v>
      </c>
      <c r="AL427" s="67">
        <v>704551</v>
      </c>
      <c r="AM427" s="67">
        <v>0</v>
      </c>
      <c r="AN427" s="67">
        <v>704551</v>
      </c>
      <c r="AO427" s="67">
        <v>100</v>
      </c>
      <c r="AQ427" s="215">
        <v>45313</v>
      </c>
      <c r="AR427" s="48">
        <v>436118</v>
      </c>
      <c r="AS427" s="67">
        <v>0</v>
      </c>
      <c r="AT427" s="48">
        <v>436118</v>
      </c>
      <c r="AU427" s="67">
        <v>100</v>
      </c>
    </row>
    <row r="428" spans="1:50" hidden="1" x14ac:dyDescent="0.25">
      <c r="A428" s="215">
        <v>45314</v>
      </c>
      <c r="B428" s="104">
        <v>14062333</v>
      </c>
      <c r="C428" s="104">
        <v>1156945</v>
      </c>
      <c r="D428" s="104">
        <v>15219278</v>
      </c>
      <c r="E428" s="104">
        <v>92.4</v>
      </c>
      <c r="G428" s="215">
        <v>45314</v>
      </c>
      <c r="H428" s="104">
        <v>738476</v>
      </c>
      <c r="I428" s="104">
        <v>292548</v>
      </c>
      <c r="J428" s="104">
        <v>1031024</v>
      </c>
      <c r="K428" s="104">
        <v>71.63</v>
      </c>
      <c r="M428" s="215">
        <v>45314</v>
      </c>
      <c r="N428" s="48">
        <v>2374683</v>
      </c>
      <c r="O428" s="48">
        <v>2738835</v>
      </c>
      <c r="P428" s="48">
        <v>5113518</v>
      </c>
      <c r="Q428" s="48">
        <v>46.43</v>
      </c>
      <c r="S428" s="215">
        <v>45314</v>
      </c>
      <c r="T428" s="104">
        <v>1371915</v>
      </c>
      <c r="U428" s="104">
        <v>2646428</v>
      </c>
      <c r="V428" s="104">
        <v>4018343</v>
      </c>
      <c r="W428" s="104">
        <v>34.14</v>
      </c>
      <c r="Y428" s="215">
        <v>45314</v>
      </c>
      <c r="Z428" s="104">
        <v>2022971</v>
      </c>
      <c r="AA428" s="104">
        <v>381225</v>
      </c>
      <c r="AB428" s="104">
        <v>2404196</v>
      </c>
      <c r="AC428" s="104">
        <v>84.14</v>
      </c>
      <c r="AE428" s="215">
        <v>45314</v>
      </c>
      <c r="AF428" s="104">
        <v>1122006</v>
      </c>
      <c r="AG428" s="104">
        <v>12934</v>
      </c>
      <c r="AH428" s="104">
        <v>1134940</v>
      </c>
      <c r="AI428" s="104">
        <v>98.86</v>
      </c>
      <c r="AK428" s="215">
        <v>45314</v>
      </c>
      <c r="AL428" s="67">
        <v>977573</v>
      </c>
      <c r="AM428" s="67">
        <v>0</v>
      </c>
      <c r="AN428" s="67">
        <v>977573</v>
      </c>
      <c r="AO428" s="67">
        <v>100</v>
      </c>
      <c r="AQ428" s="215">
        <v>45314</v>
      </c>
      <c r="AR428" s="67">
        <v>626907</v>
      </c>
      <c r="AS428" s="67">
        <v>0</v>
      </c>
      <c r="AT428" s="67">
        <v>626907</v>
      </c>
      <c r="AU428" s="67">
        <v>100</v>
      </c>
    </row>
    <row r="429" spans="1:50" hidden="1" x14ac:dyDescent="0.25">
      <c r="A429" s="215">
        <v>45315</v>
      </c>
      <c r="B429" s="104">
        <v>13436104</v>
      </c>
      <c r="C429" s="104">
        <v>1039536</v>
      </c>
      <c r="D429" s="104">
        <v>14475640</v>
      </c>
      <c r="E429" s="104">
        <v>92.82</v>
      </c>
      <c r="G429" s="215">
        <v>45315</v>
      </c>
      <c r="H429" s="104">
        <v>965022</v>
      </c>
      <c r="I429" s="104">
        <v>384200</v>
      </c>
      <c r="J429" s="104">
        <v>1349222</v>
      </c>
      <c r="K429" s="104">
        <v>71.52</v>
      </c>
      <c r="M429" s="215">
        <v>45315</v>
      </c>
      <c r="N429" s="48">
        <v>2886789</v>
      </c>
      <c r="O429" s="48">
        <v>3330204</v>
      </c>
      <c r="P429" s="48">
        <v>6216993</v>
      </c>
      <c r="Q429" s="48">
        <v>46.43</v>
      </c>
      <c r="S429" s="215">
        <v>45315</v>
      </c>
      <c r="T429" s="104">
        <v>1369479</v>
      </c>
      <c r="U429" s="104">
        <v>2644629</v>
      </c>
      <c r="V429" s="104">
        <v>4014108</v>
      </c>
      <c r="W429" s="104">
        <v>34.119999999999997</v>
      </c>
      <c r="Y429" s="215">
        <v>45315</v>
      </c>
      <c r="Z429" s="104">
        <v>1862495</v>
      </c>
      <c r="AA429" s="104">
        <v>396030</v>
      </c>
      <c r="AB429" s="104">
        <v>2258525</v>
      </c>
      <c r="AC429" s="104">
        <v>82.47</v>
      </c>
      <c r="AE429" s="215">
        <v>45315</v>
      </c>
      <c r="AF429" s="104">
        <v>1077216</v>
      </c>
      <c r="AG429" s="104">
        <v>12338</v>
      </c>
      <c r="AH429" s="104">
        <v>1089554</v>
      </c>
      <c r="AI429" s="104">
        <v>98.87</v>
      </c>
      <c r="AK429" s="215">
        <v>45315</v>
      </c>
      <c r="AL429" s="48">
        <v>794044</v>
      </c>
      <c r="AM429" s="67">
        <v>0</v>
      </c>
      <c r="AN429" s="48">
        <v>794044</v>
      </c>
      <c r="AO429" s="67">
        <v>100</v>
      </c>
      <c r="AQ429" s="215">
        <v>45315</v>
      </c>
      <c r="AR429" s="48">
        <v>684520</v>
      </c>
      <c r="AS429" s="67">
        <v>0</v>
      </c>
      <c r="AT429" s="48">
        <v>684520</v>
      </c>
      <c r="AU429" s="67">
        <v>100</v>
      </c>
    </row>
    <row r="430" spans="1:50" hidden="1" x14ac:dyDescent="0.25">
      <c r="A430" s="215">
        <v>45316</v>
      </c>
      <c r="B430" s="48">
        <v>13379155</v>
      </c>
      <c r="C430" s="48">
        <v>1694957</v>
      </c>
      <c r="D430" s="48">
        <v>15074112</v>
      </c>
      <c r="E430" s="48">
        <v>88.75</v>
      </c>
      <c r="G430" s="215">
        <v>45316</v>
      </c>
      <c r="H430" s="48">
        <v>723979</v>
      </c>
      <c r="I430" s="48">
        <v>302702</v>
      </c>
      <c r="J430" s="48">
        <v>1026681</v>
      </c>
      <c r="K430" s="48">
        <v>70.510000000000005</v>
      </c>
      <c r="M430" s="215">
        <v>45316</v>
      </c>
      <c r="N430" s="48">
        <v>2674187</v>
      </c>
      <c r="O430" s="48">
        <v>4542299</v>
      </c>
      <c r="P430" s="48">
        <v>7216486</v>
      </c>
      <c r="Q430" s="48">
        <v>37.055999999999997</v>
      </c>
      <c r="S430" s="215">
        <v>45316</v>
      </c>
      <c r="T430" s="48">
        <v>1362146</v>
      </c>
      <c r="U430" s="48">
        <v>2645386</v>
      </c>
      <c r="V430" s="48">
        <v>4007532</v>
      </c>
      <c r="W430" s="48">
        <v>33.979999999999997</v>
      </c>
      <c r="Y430" s="215">
        <v>45316</v>
      </c>
      <c r="Z430" s="48">
        <v>2040364</v>
      </c>
      <c r="AA430" s="48">
        <v>423791</v>
      </c>
      <c r="AB430" s="48">
        <v>2464155</v>
      </c>
      <c r="AC430" s="48">
        <v>82.801000000000002</v>
      </c>
      <c r="AE430" s="215">
        <v>45316</v>
      </c>
      <c r="AF430" s="48">
        <v>1066143</v>
      </c>
      <c r="AG430" s="48">
        <v>12037</v>
      </c>
      <c r="AH430" s="48">
        <v>1078180</v>
      </c>
      <c r="AI430" s="71">
        <v>98.882999999999996</v>
      </c>
      <c r="AK430" s="215">
        <v>45316</v>
      </c>
      <c r="AL430" s="48">
        <v>553657</v>
      </c>
      <c r="AM430" s="67">
        <v>0</v>
      </c>
      <c r="AN430" s="48">
        <v>553657</v>
      </c>
      <c r="AO430" s="67">
        <v>100</v>
      </c>
      <c r="AQ430" s="215">
        <v>45316</v>
      </c>
      <c r="AR430" s="48">
        <v>616257</v>
      </c>
      <c r="AS430" s="67">
        <v>0</v>
      </c>
      <c r="AT430" s="48">
        <v>616257</v>
      </c>
      <c r="AU430" s="67">
        <v>100</v>
      </c>
    </row>
    <row r="431" spans="1:50" hidden="1" x14ac:dyDescent="0.25">
      <c r="A431" s="215">
        <v>45317</v>
      </c>
      <c r="B431" s="48">
        <v>14049643</v>
      </c>
      <c r="C431" s="48">
        <v>1239930</v>
      </c>
      <c r="D431" s="48">
        <v>15289573</v>
      </c>
      <c r="E431" s="48">
        <v>91.89</v>
      </c>
      <c r="G431" s="215">
        <v>45317</v>
      </c>
      <c r="H431" s="48">
        <v>349239</v>
      </c>
      <c r="I431" s="48">
        <v>183529</v>
      </c>
      <c r="J431" s="48">
        <v>532768</v>
      </c>
      <c r="K431" s="48">
        <v>65.55</v>
      </c>
      <c r="M431" s="215">
        <v>45317</v>
      </c>
      <c r="N431" s="48">
        <v>2255154</v>
      </c>
      <c r="O431" s="48">
        <v>2440115</v>
      </c>
      <c r="P431" s="48">
        <v>4695269</v>
      </c>
      <c r="Q431" s="48">
        <v>48.03</v>
      </c>
      <c r="S431" s="215">
        <v>45317</v>
      </c>
      <c r="T431" s="48">
        <v>1245598</v>
      </c>
      <c r="U431" s="48">
        <v>2347508</v>
      </c>
      <c r="V431" s="48">
        <v>3593106</v>
      </c>
      <c r="W431" s="48">
        <v>34.659999999999997</v>
      </c>
      <c r="Y431" s="215">
        <v>45317</v>
      </c>
      <c r="Z431" s="48">
        <v>1849826</v>
      </c>
      <c r="AA431" s="48">
        <v>527808</v>
      </c>
      <c r="AB431" s="48">
        <v>2377634</v>
      </c>
      <c r="AC431" s="48">
        <v>77.8</v>
      </c>
      <c r="AE431" s="215">
        <v>45317</v>
      </c>
      <c r="AF431" s="48">
        <v>1138330</v>
      </c>
      <c r="AG431" s="48">
        <v>12063</v>
      </c>
      <c r="AH431" s="48">
        <v>1150393</v>
      </c>
      <c r="AI431" s="71">
        <v>98.950999999999993</v>
      </c>
      <c r="AK431" s="215">
        <v>45317</v>
      </c>
      <c r="AL431" s="48">
        <v>799139</v>
      </c>
      <c r="AM431" s="67">
        <v>0</v>
      </c>
      <c r="AN431" s="48">
        <v>799139</v>
      </c>
      <c r="AO431" s="67">
        <v>100</v>
      </c>
      <c r="AQ431" s="215">
        <v>45317</v>
      </c>
      <c r="AR431" s="67">
        <v>283428</v>
      </c>
      <c r="AS431" s="67">
        <v>84</v>
      </c>
      <c r="AT431" s="48">
        <v>283512</v>
      </c>
      <c r="AU431" s="67">
        <v>99.97</v>
      </c>
    </row>
    <row r="432" spans="1:50" hidden="1" x14ac:dyDescent="0.25">
      <c r="A432" s="215">
        <v>45318</v>
      </c>
      <c r="B432" s="48">
        <v>14059648</v>
      </c>
      <c r="C432" s="48">
        <v>1033398</v>
      </c>
      <c r="D432" s="48">
        <v>15093046</v>
      </c>
      <c r="E432" s="48">
        <v>93.15</v>
      </c>
      <c r="G432" s="215">
        <v>45318</v>
      </c>
      <c r="H432" s="48">
        <v>988381</v>
      </c>
      <c r="I432" s="48">
        <v>387656</v>
      </c>
      <c r="J432" s="48">
        <v>1376037</v>
      </c>
      <c r="K432" s="48">
        <v>71.819999999999993</v>
      </c>
      <c r="M432" s="215">
        <v>45318</v>
      </c>
      <c r="N432" s="48">
        <v>3678351</v>
      </c>
      <c r="O432" s="48">
        <v>4098000</v>
      </c>
      <c r="P432" s="48">
        <v>7776351</v>
      </c>
      <c r="Q432" s="48">
        <v>47.301000000000002</v>
      </c>
      <c r="S432" s="215">
        <v>45318</v>
      </c>
      <c r="T432" s="48">
        <v>494781</v>
      </c>
      <c r="U432" s="48">
        <v>911365</v>
      </c>
      <c r="V432" s="48">
        <v>1406146</v>
      </c>
      <c r="W432" s="48">
        <v>35.18</v>
      </c>
      <c r="Y432" s="215">
        <v>45318</v>
      </c>
      <c r="Z432" s="48">
        <v>1897500</v>
      </c>
      <c r="AA432" s="48">
        <v>845532</v>
      </c>
      <c r="AB432" s="48">
        <v>2743032</v>
      </c>
      <c r="AC432" s="48">
        <v>69.174999999999997</v>
      </c>
      <c r="AE432" s="215">
        <v>45318</v>
      </c>
      <c r="AF432" s="48">
        <v>1100500</v>
      </c>
      <c r="AG432" s="48">
        <v>11061</v>
      </c>
      <c r="AH432" s="48">
        <v>1111561</v>
      </c>
      <c r="AI432" s="71">
        <v>99.004000000000005</v>
      </c>
      <c r="AK432" s="215">
        <v>45318</v>
      </c>
      <c r="AL432" s="67">
        <v>816799</v>
      </c>
      <c r="AM432" s="67">
        <v>0</v>
      </c>
      <c r="AN432" s="67">
        <v>816799</v>
      </c>
      <c r="AO432" s="67">
        <v>100</v>
      </c>
      <c r="AQ432" s="215">
        <v>45318</v>
      </c>
      <c r="AR432" s="48">
        <v>704898</v>
      </c>
      <c r="AS432" s="67">
        <v>0</v>
      </c>
      <c r="AT432" s="48">
        <v>704898</v>
      </c>
      <c r="AU432" s="67">
        <v>100</v>
      </c>
    </row>
    <row r="433" spans="1:47" hidden="1" x14ac:dyDescent="0.25">
      <c r="A433" s="215">
        <v>45319</v>
      </c>
      <c r="B433" s="48">
        <v>11705030</v>
      </c>
      <c r="C433" s="48">
        <v>962398</v>
      </c>
      <c r="D433" s="48">
        <v>12667428</v>
      </c>
      <c r="E433" s="48">
        <v>92.4</v>
      </c>
      <c r="G433" s="215">
        <v>45319</v>
      </c>
      <c r="H433" s="48">
        <v>529678</v>
      </c>
      <c r="I433" s="48">
        <v>224709</v>
      </c>
      <c r="J433" s="48">
        <v>754387</v>
      </c>
      <c r="K433" s="48">
        <v>70.209999999999994</v>
      </c>
      <c r="M433" s="215">
        <v>45319</v>
      </c>
      <c r="N433" s="48">
        <v>2510268</v>
      </c>
      <c r="O433" s="48">
        <v>2556802</v>
      </c>
      <c r="P433" s="48">
        <v>5067070</v>
      </c>
      <c r="Q433" s="48">
        <v>49.54</v>
      </c>
      <c r="S433" s="215">
        <v>45319</v>
      </c>
      <c r="T433" s="48">
        <v>21407</v>
      </c>
      <c r="U433" s="48">
        <v>4150</v>
      </c>
      <c r="V433" s="48">
        <v>25557</v>
      </c>
      <c r="W433" s="48">
        <v>83.76</v>
      </c>
      <c r="Y433" s="215">
        <v>45319</v>
      </c>
      <c r="Z433" s="48">
        <v>2000940</v>
      </c>
      <c r="AA433" s="48">
        <v>1395320</v>
      </c>
      <c r="AB433" s="48">
        <v>3396260</v>
      </c>
      <c r="AC433" s="48">
        <v>58.914999999999999</v>
      </c>
      <c r="AE433" s="215">
        <v>45319</v>
      </c>
      <c r="AF433" s="48">
        <v>1093156</v>
      </c>
      <c r="AG433" s="48">
        <v>10309</v>
      </c>
      <c r="AH433" s="48">
        <v>1103465</v>
      </c>
      <c r="AI433" s="48">
        <v>99.06</v>
      </c>
      <c r="AK433" s="215">
        <v>45319</v>
      </c>
      <c r="AL433" s="48">
        <v>844004</v>
      </c>
      <c r="AM433" s="67">
        <v>0</v>
      </c>
      <c r="AN433" s="48">
        <v>844004</v>
      </c>
      <c r="AO433" s="67">
        <v>100</v>
      </c>
      <c r="AQ433" s="215">
        <v>45319</v>
      </c>
      <c r="AR433" s="48">
        <v>433905</v>
      </c>
      <c r="AS433" s="67">
        <v>0</v>
      </c>
      <c r="AT433" s="48">
        <v>433905</v>
      </c>
      <c r="AU433" s="67">
        <v>100</v>
      </c>
    </row>
    <row r="434" spans="1:47" hidden="1" x14ac:dyDescent="0.25">
      <c r="A434" s="215">
        <v>45320</v>
      </c>
      <c r="B434" s="101">
        <v>13184954</v>
      </c>
      <c r="C434" s="101">
        <v>990678</v>
      </c>
      <c r="D434" s="101">
        <v>14175632</v>
      </c>
      <c r="E434" s="101">
        <v>93.01</v>
      </c>
      <c r="G434" s="215">
        <v>45320</v>
      </c>
      <c r="H434" s="101">
        <v>992679</v>
      </c>
      <c r="I434" s="101">
        <v>384415</v>
      </c>
      <c r="J434" s="101">
        <v>1377094</v>
      </c>
      <c r="K434" s="101">
        <v>72.09</v>
      </c>
      <c r="M434" s="215">
        <v>45320</v>
      </c>
      <c r="N434" s="48">
        <v>3123524</v>
      </c>
      <c r="O434" s="48">
        <v>3316027</v>
      </c>
      <c r="P434" s="48">
        <v>6439551</v>
      </c>
      <c r="Q434" s="48">
        <v>48.5</v>
      </c>
      <c r="S434" s="215">
        <v>45320</v>
      </c>
      <c r="T434" s="101">
        <v>1400711</v>
      </c>
      <c r="U434" s="101">
        <v>2637814</v>
      </c>
      <c r="V434" s="101">
        <v>4038525</v>
      </c>
      <c r="W434" s="101">
        <v>34.68</v>
      </c>
      <c r="Y434" s="215">
        <v>45320</v>
      </c>
      <c r="Z434" s="101">
        <v>1944156</v>
      </c>
      <c r="AA434" s="101">
        <v>924161</v>
      </c>
      <c r="AB434" s="101">
        <v>2868317</v>
      </c>
      <c r="AC434" s="101">
        <v>67.78</v>
      </c>
      <c r="AE434" s="215">
        <v>45320</v>
      </c>
      <c r="AF434" s="101">
        <v>1021678</v>
      </c>
      <c r="AG434" s="101">
        <v>11619</v>
      </c>
      <c r="AH434" s="101">
        <v>1033297</v>
      </c>
      <c r="AI434" s="101">
        <v>98.88</v>
      </c>
      <c r="AK434" s="215">
        <v>45320</v>
      </c>
      <c r="AL434" s="48">
        <v>748210</v>
      </c>
      <c r="AM434" s="67">
        <v>0</v>
      </c>
      <c r="AN434" s="48">
        <v>748210</v>
      </c>
      <c r="AO434" s="67">
        <v>100</v>
      </c>
      <c r="AQ434" s="215">
        <v>45320</v>
      </c>
      <c r="AR434" s="48">
        <v>707934</v>
      </c>
      <c r="AS434" s="67">
        <v>0</v>
      </c>
      <c r="AT434" s="48">
        <v>707934</v>
      </c>
      <c r="AU434" s="67">
        <v>100</v>
      </c>
    </row>
    <row r="435" spans="1:47" hidden="1" x14ac:dyDescent="0.25">
      <c r="A435" s="215">
        <v>45321</v>
      </c>
      <c r="B435" s="101">
        <v>14046666</v>
      </c>
      <c r="C435" s="101">
        <v>985283</v>
      </c>
      <c r="D435" s="101">
        <v>15031949</v>
      </c>
      <c r="E435" s="101">
        <v>93.45</v>
      </c>
      <c r="G435" s="215">
        <v>45321</v>
      </c>
      <c r="H435" s="101">
        <v>518970</v>
      </c>
      <c r="I435" s="101">
        <v>233049</v>
      </c>
      <c r="J435" s="101">
        <v>752019</v>
      </c>
      <c r="K435" s="101">
        <v>69.010000000000005</v>
      </c>
      <c r="M435" s="215">
        <v>45321</v>
      </c>
      <c r="N435" s="48">
        <v>2181225</v>
      </c>
      <c r="O435" s="48">
        <v>2547749</v>
      </c>
      <c r="P435" s="48">
        <v>4728974</v>
      </c>
      <c r="Q435" s="48">
        <v>46.12</v>
      </c>
      <c r="S435" s="215">
        <v>45321</v>
      </c>
      <c r="T435" s="101">
        <v>3885118</v>
      </c>
      <c r="U435" s="101">
        <v>2958731</v>
      </c>
      <c r="V435" s="101">
        <v>6843849</v>
      </c>
      <c r="W435" s="101">
        <v>56.77</v>
      </c>
      <c r="Y435" s="215">
        <v>45321</v>
      </c>
      <c r="Z435" s="101">
        <v>2318270</v>
      </c>
      <c r="AA435" s="101">
        <v>756139</v>
      </c>
      <c r="AB435" s="101">
        <v>3074409</v>
      </c>
      <c r="AC435" s="101">
        <v>75.41</v>
      </c>
      <c r="AE435" s="215">
        <v>45321</v>
      </c>
      <c r="AF435" s="101">
        <v>1178185</v>
      </c>
      <c r="AG435" s="101">
        <v>12718</v>
      </c>
      <c r="AH435" s="101">
        <v>1190903</v>
      </c>
      <c r="AI435" s="101">
        <v>98.93</v>
      </c>
      <c r="AK435" s="215">
        <v>45321</v>
      </c>
      <c r="AL435" s="48">
        <v>816125</v>
      </c>
      <c r="AM435" s="67">
        <v>0</v>
      </c>
      <c r="AN435" s="48">
        <v>816125</v>
      </c>
      <c r="AO435" s="67">
        <v>100</v>
      </c>
      <c r="AQ435" s="215">
        <v>45321</v>
      </c>
      <c r="AR435" s="48">
        <v>427726</v>
      </c>
      <c r="AS435" s="48">
        <v>69</v>
      </c>
      <c r="AT435" s="48">
        <v>427795</v>
      </c>
      <c r="AU435" s="48">
        <v>99.98</v>
      </c>
    </row>
    <row r="436" spans="1:47" hidden="1" x14ac:dyDescent="0.25">
      <c r="A436" s="215">
        <v>45322</v>
      </c>
      <c r="B436" s="101">
        <v>13522574</v>
      </c>
      <c r="C436" s="101">
        <v>955946</v>
      </c>
      <c r="D436" s="101">
        <v>14478520</v>
      </c>
      <c r="E436" s="101">
        <v>93.4</v>
      </c>
      <c r="G436" s="215">
        <v>45322</v>
      </c>
      <c r="H436" s="101">
        <v>518081</v>
      </c>
      <c r="I436" s="101">
        <v>220208</v>
      </c>
      <c r="J436" s="101">
        <v>738289</v>
      </c>
      <c r="K436" s="101">
        <v>70.17</v>
      </c>
      <c r="M436" s="215">
        <v>45322</v>
      </c>
      <c r="N436" s="48">
        <v>3626022</v>
      </c>
      <c r="O436" s="48">
        <v>3837998</v>
      </c>
      <c r="P436" s="48">
        <v>7464020</v>
      </c>
      <c r="Q436" s="48">
        <v>48.58</v>
      </c>
      <c r="S436" s="215">
        <v>45322</v>
      </c>
      <c r="T436" s="101">
        <v>2925496</v>
      </c>
      <c r="U436" s="101">
        <v>2806413</v>
      </c>
      <c r="V436" s="101">
        <v>5731909</v>
      </c>
      <c r="W436" s="101">
        <v>51.04</v>
      </c>
      <c r="Y436" s="215">
        <v>45322</v>
      </c>
      <c r="Z436" s="101">
        <v>1832453</v>
      </c>
      <c r="AA436" s="101">
        <v>786489</v>
      </c>
      <c r="AB436" s="101">
        <v>2618942</v>
      </c>
      <c r="AC436" s="101">
        <v>69.97</v>
      </c>
      <c r="AE436" s="215">
        <v>45322</v>
      </c>
      <c r="AF436" s="101">
        <v>1188445</v>
      </c>
      <c r="AG436" s="101">
        <v>13947</v>
      </c>
      <c r="AH436" s="101">
        <v>1202392</v>
      </c>
      <c r="AI436" s="101">
        <v>98.84</v>
      </c>
      <c r="AK436" s="215">
        <v>45322</v>
      </c>
      <c r="AL436" s="48">
        <v>767543</v>
      </c>
      <c r="AM436" s="48">
        <v>1880</v>
      </c>
      <c r="AN436" s="48">
        <v>769423</v>
      </c>
      <c r="AO436" s="48">
        <v>99.76</v>
      </c>
      <c r="AQ436" s="215">
        <v>45322</v>
      </c>
      <c r="AR436" s="48">
        <v>428542</v>
      </c>
      <c r="AS436" s="48">
        <v>3302</v>
      </c>
      <c r="AT436" s="48">
        <v>431844</v>
      </c>
      <c r="AU436" s="48">
        <v>99.24</v>
      </c>
    </row>
    <row r="437" spans="1:47" hidden="1" x14ac:dyDescent="0.25">
      <c r="A437" s="215">
        <v>45323</v>
      </c>
      <c r="B437" s="101">
        <v>13556425</v>
      </c>
      <c r="C437" s="101">
        <v>928367</v>
      </c>
      <c r="D437" s="101">
        <v>14484792</v>
      </c>
      <c r="E437" s="101">
        <v>93.59</v>
      </c>
      <c r="G437" s="215">
        <v>45323</v>
      </c>
      <c r="H437" s="101">
        <v>738760</v>
      </c>
      <c r="I437" s="101">
        <v>299332</v>
      </c>
      <c r="J437" s="101">
        <v>1038092</v>
      </c>
      <c r="K437" s="101">
        <v>71.17</v>
      </c>
      <c r="M437" s="215">
        <v>45323</v>
      </c>
      <c r="N437" s="48">
        <v>3027971</v>
      </c>
      <c r="O437" s="48">
        <v>3763543</v>
      </c>
      <c r="P437" s="48">
        <v>6791514</v>
      </c>
      <c r="Q437" s="48">
        <v>44.58</v>
      </c>
      <c r="S437" s="215">
        <v>45323</v>
      </c>
      <c r="T437" s="101">
        <v>1538366</v>
      </c>
      <c r="U437" s="101">
        <v>2532259</v>
      </c>
      <c r="V437" s="101">
        <v>4070625</v>
      </c>
      <c r="W437" s="101">
        <v>37.79</v>
      </c>
      <c r="Y437" s="215">
        <v>45323</v>
      </c>
      <c r="Z437" s="101">
        <v>2340924</v>
      </c>
      <c r="AA437" s="101">
        <v>1034426</v>
      </c>
      <c r="AB437" s="101">
        <v>3375350</v>
      </c>
      <c r="AC437" s="101">
        <v>69.349999999999994</v>
      </c>
      <c r="AE437" s="215">
        <v>45323</v>
      </c>
      <c r="AF437" s="101">
        <v>1122242</v>
      </c>
      <c r="AG437" s="101">
        <v>13590</v>
      </c>
      <c r="AH437" s="101">
        <v>1135832</v>
      </c>
      <c r="AI437" s="101">
        <v>98.8</v>
      </c>
      <c r="AK437" s="215">
        <v>45323</v>
      </c>
      <c r="AL437" s="48">
        <v>622043</v>
      </c>
      <c r="AM437" s="48">
        <v>59</v>
      </c>
      <c r="AN437" s="48">
        <v>622102</v>
      </c>
      <c r="AO437" s="48">
        <v>99.99</v>
      </c>
      <c r="AQ437" s="215">
        <v>45323</v>
      </c>
      <c r="AR437" s="48">
        <v>491380</v>
      </c>
      <c r="AS437" s="67">
        <v>0</v>
      </c>
      <c r="AT437" s="48">
        <v>491380</v>
      </c>
      <c r="AU437" s="67">
        <v>100</v>
      </c>
    </row>
    <row r="438" spans="1:47" hidden="1" x14ac:dyDescent="0.25">
      <c r="A438" s="215">
        <v>45324</v>
      </c>
      <c r="B438" s="101">
        <v>14289871</v>
      </c>
      <c r="C438" s="101">
        <v>997023</v>
      </c>
      <c r="D438" s="101">
        <v>15286894</v>
      </c>
      <c r="E438" s="101">
        <v>93.48</v>
      </c>
      <c r="G438" s="215">
        <v>45324</v>
      </c>
      <c r="H438" s="101">
        <v>296011</v>
      </c>
      <c r="I438" s="101">
        <v>139720</v>
      </c>
      <c r="J438" s="101">
        <v>435731</v>
      </c>
      <c r="K438" s="101">
        <v>67.930000000000007</v>
      </c>
      <c r="M438" s="215">
        <v>45324</v>
      </c>
      <c r="N438" s="48">
        <v>2353882</v>
      </c>
      <c r="O438" s="48">
        <v>2658231</v>
      </c>
      <c r="P438" s="48">
        <v>5012113</v>
      </c>
      <c r="Q438" s="48">
        <v>46.96</v>
      </c>
      <c r="S438" s="215">
        <v>45324</v>
      </c>
      <c r="T438" s="101">
        <v>1510223</v>
      </c>
      <c r="U438" s="101">
        <v>2506491</v>
      </c>
      <c r="V438" s="101">
        <v>4016714</v>
      </c>
      <c r="W438" s="101">
        <v>37.6</v>
      </c>
      <c r="Y438" s="215">
        <v>45324</v>
      </c>
      <c r="Z438" s="101">
        <v>2378645</v>
      </c>
      <c r="AA438" s="101">
        <v>1032547</v>
      </c>
      <c r="AB438" s="101">
        <v>3411192</v>
      </c>
      <c r="AC438" s="101">
        <v>69.73</v>
      </c>
      <c r="AE438" s="215">
        <v>45324</v>
      </c>
      <c r="AF438" s="101">
        <v>1167686</v>
      </c>
      <c r="AG438" s="101">
        <v>14501</v>
      </c>
      <c r="AH438" s="101">
        <v>1182187</v>
      </c>
      <c r="AI438" s="101">
        <v>98.77</v>
      </c>
      <c r="AK438" s="215">
        <v>45324</v>
      </c>
      <c r="AL438" s="67">
        <v>718188</v>
      </c>
      <c r="AM438" s="67">
        <v>0</v>
      </c>
      <c r="AN438" s="67">
        <v>718188</v>
      </c>
      <c r="AO438" s="67">
        <v>100</v>
      </c>
      <c r="AQ438" s="215">
        <v>45324</v>
      </c>
      <c r="AR438" s="48">
        <v>238973</v>
      </c>
      <c r="AS438" s="67">
        <v>0</v>
      </c>
      <c r="AT438" s="48">
        <v>238973</v>
      </c>
      <c r="AU438" s="67">
        <v>100</v>
      </c>
    </row>
    <row r="439" spans="1:47" hidden="1" x14ac:dyDescent="0.25">
      <c r="A439" s="215">
        <v>45325</v>
      </c>
      <c r="B439" s="101">
        <v>13183194</v>
      </c>
      <c r="C439" s="101">
        <v>1005343</v>
      </c>
      <c r="D439" s="101">
        <v>14188537</v>
      </c>
      <c r="E439" s="101">
        <v>92.91</v>
      </c>
      <c r="G439" s="215">
        <v>45325</v>
      </c>
      <c r="H439" s="101">
        <v>742411</v>
      </c>
      <c r="I439" s="101">
        <v>299526</v>
      </c>
      <c r="J439" s="101">
        <v>1041937</v>
      </c>
      <c r="K439" s="101">
        <v>71.25</v>
      </c>
      <c r="M439" s="215">
        <v>45325</v>
      </c>
      <c r="N439" s="48">
        <v>3943151</v>
      </c>
      <c r="O439" s="48">
        <v>3997072</v>
      </c>
      <c r="P439" s="48">
        <v>7940223</v>
      </c>
      <c r="Q439" s="48">
        <v>49.66</v>
      </c>
      <c r="S439" s="215">
        <v>45325</v>
      </c>
      <c r="T439" s="101">
        <v>1529539</v>
      </c>
      <c r="U439" s="101">
        <v>2530975</v>
      </c>
      <c r="V439" s="101">
        <v>4060514</v>
      </c>
      <c r="W439" s="101">
        <v>37.67</v>
      </c>
      <c r="Y439" s="215">
        <v>45325</v>
      </c>
      <c r="Z439" s="101">
        <v>2222137</v>
      </c>
      <c r="AA439" s="101">
        <v>524391</v>
      </c>
      <c r="AB439" s="101">
        <v>2746528</v>
      </c>
      <c r="AC439" s="101">
        <v>80.91</v>
      </c>
      <c r="AE439" s="215">
        <v>45325</v>
      </c>
      <c r="AF439" s="101">
        <v>1046064</v>
      </c>
      <c r="AG439" s="101">
        <v>12902</v>
      </c>
      <c r="AH439" s="101">
        <v>1058966</v>
      </c>
      <c r="AI439" s="101">
        <v>98.78</v>
      </c>
      <c r="AK439" s="215">
        <v>45325</v>
      </c>
      <c r="AL439" s="48">
        <v>767202</v>
      </c>
      <c r="AM439" s="48">
        <v>420</v>
      </c>
      <c r="AN439" s="48">
        <v>767622</v>
      </c>
      <c r="AO439" s="48">
        <v>99.95</v>
      </c>
      <c r="AQ439" s="215">
        <v>45325</v>
      </c>
      <c r="AR439" s="48">
        <v>490243</v>
      </c>
      <c r="AS439" s="67">
        <v>0</v>
      </c>
      <c r="AT439" s="48">
        <v>490243</v>
      </c>
      <c r="AU439" s="67">
        <v>100</v>
      </c>
    </row>
    <row r="440" spans="1:47" hidden="1" x14ac:dyDescent="0.25">
      <c r="A440" s="215">
        <v>45326</v>
      </c>
      <c r="B440" s="101">
        <v>12407062</v>
      </c>
      <c r="C440" s="101">
        <v>1066178</v>
      </c>
      <c r="D440" s="101">
        <v>13473240</v>
      </c>
      <c r="E440" s="101">
        <v>92.09</v>
      </c>
      <c r="G440" s="215">
        <v>45326</v>
      </c>
      <c r="H440" s="101">
        <v>298602</v>
      </c>
      <c r="I440" s="101">
        <v>140608</v>
      </c>
      <c r="J440" s="101">
        <v>439210</v>
      </c>
      <c r="K440" s="101">
        <v>67.989999999999995</v>
      </c>
      <c r="M440" s="215">
        <v>45326</v>
      </c>
      <c r="N440" s="48">
        <v>2757381</v>
      </c>
      <c r="O440" s="48">
        <v>2781929</v>
      </c>
      <c r="P440" s="48">
        <v>5539310</v>
      </c>
      <c r="Q440" s="48">
        <v>49.77</v>
      </c>
      <c r="S440" s="215">
        <v>45326</v>
      </c>
      <c r="T440" s="101">
        <v>28141</v>
      </c>
      <c r="U440" s="101">
        <v>4274</v>
      </c>
      <c r="V440" s="101">
        <v>32415</v>
      </c>
      <c r="W440" s="101">
        <v>86.81</v>
      </c>
      <c r="Y440" s="215">
        <v>45326</v>
      </c>
      <c r="Z440" s="101">
        <v>2083068</v>
      </c>
      <c r="AA440" s="101">
        <v>744804</v>
      </c>
      <c r="AB440" s="101">
        <v>2827872</v>
      </c>
      <c r="AC440" s="101">
        <v>73.66</v>
      </c>
      <c r="AE440" s="215">
        <v>45326</v>
      </c>
      <c r="AF440" s="101">
        <v>1144892</v>
      </c>
      <c r="AG440" s="101">
        <v>12872</v>
      </c>
      <c r="AH440" s="101">
        <v>1157764</v>
      </c>
      <c r="AI440" s="101">
        <v>98.89</v>
      </c>
      <c r="AK440" s="215">
        <v>45326</v>
      </c>
      <c r="AL440" s="48">
        <v>813813</v>
      </c>
      <c r="AM440" s="48">
        <v>0</v>
      </c>
      <c r="AN440" s="48">
        <v>813813</v>
      </c>
      <c r="AO440" s="48">
        <v>100</v>
      </c>
      <c r="AQ440" s="215">
        <v>45326</v>
      </c>
      <c r="AR440" s="67">
        <v>233284</v>
      </c>
      <c r="AS440" s="67">
        <v>0</v>
      </c>
      <c r="AT440" s="67">
        <v>233284</v>
      </c>
      <c r="AU440" s="67">
        <v>100</v>
      </c>
    </row>
    <row r="441" spans="1:47" hidden="1" x14ac:dyDescent="0.25">
      <c r="A441" s="215">
        <v>45327</v>
      </c>
      <c r="B441" s="101">
        <v>14394472</v>
      </c>
      <c r="C441" s="101">
        <v>1014715</v>
      </c>
      <c r="D441" s="101">
        <v>15409187</v>
      </c>
      <c r="E441" s="101">
        <v>93.41</v>
      </c>
      <c r="G441" s="215">
        <v>45327</v>
      </c>
      <c r="H441" s="101">
        <v>310890</v>
      </c>
      <c r="I441" s="101">
        <v>151834</v>
      </c>
      <c r="J441" s="101">
        <v>462724</v>
      </c>
      <c r="K441" s="101">
        <v>67.19</v>
      </c>
      <c r="M441" s="215">
        <v>45327</v>
      </c>
      <c r="N441">
        <v>3557439</v>
      </c>
      <c r="O441">
        <v>3354978</v>
      </c>
      <c r="P441">
        <v>6912417</v>
      </c>
      <c r="Q441">
        <v>51.46</v>
      </c>
      <c r="S441" s="215">
        <v>45327</v>
      </c>
      <c r="T441" s="101">
        <v>1529512</v>
      </c>
      <c r="U441" s="101">
        <v>2525022</v>
      </c>
      <c r="V441" s="101">
        <v>4054534</v>
      </c>
      <c r="W441" s="101">
        <v>37.72</v>
      </c>
      <c r="Y441" s="215">
        <v>45327</v>
      </c>
      <c r="Z441" s="101">
        <v>2067296</v>
      </c>
      <c r="AA441" s="101">
        <v>677118</v>
      </c>
      <c r="AB441" s="101">
        <v>2744414</v>
      </c>
      <c r="AC441" s="101">
        <v>75.33</v>
      </c>
      <c r="AE441" s="215">
        <v>45327</v>
      </c>
      <c r="AF441" s="101">
        <v>1136251</v>
      </c>
      <c r="AG441" s="101">
        <v>13822</v>
      </c>
      <c r="AH441" s="101">
        <v>1150073</v>
      </c>
      <c r="AI441" s="101">
        <v>98.8</v>
      </c>
      <c r="AK441" s="215">
        <v>45327</v>
      </c>
      <c r="AL441" s="48">
        <v>727590</v>
      </c>
      <c r="AM441" s="48">
        <v>76</v>
      </c>
      <c r="AN441" s="48">
        <v>727666</v>
      </c>
      <c r="AO441" s="48">
        <v>99.99</v>
      </c>
      <c r="AQ441" s="215">
        <v>45327</v>
      </c>
      <c r="AR441" s="48">
        <v>246691</v>
      </c>
      <c r="AS441" s="67">
        <v>0</v>
      </c>
      <c r="AT441" s="48">
        <v>246691</v>
      </c>
      <c r="AU441" s="67">
        <v>100</v>
      </c>
    </row>
    <row r="442" spans="1:47" hidden="1" x14ac:dyDescent="0.25">
      <c r="A442" s="215">
        <v>45328</v>
      </c>
      <c r="B442" s="101">
        <v>14589565</v>
      </c>
      <c r="C442" s="101">
        <v>1088313</v>
      </c>
      <c r="D442" s="101">
        <v>15677878</v>
      </c>
      <c r="E442" s="101">
        <v>93.06</v>
      </c>
      <c r="G442" s="215">
        <v>45328</v>
      </c>
      <c r="H442" s="101">
        <v>754844</v>
      </c>
      <c r="I442" s="101">
        <v>313367</v>
      </c>
      <c r="J442" s="101">
        <v>1068211</v>
      </c>
      <c r="K442" s="101">
        <v>70.66</v>
      </c>
      <c r="M442" s="215">
        <v>45328</v>
      </c>
      <c r="N442">
        <v>2464759</v>
      </c>
      <c r="O442">
        <v>2517485</v>
      </c>
      <c r="P442">
        <v>4982244</v>
      </c>
      <c r="Q442">
        <v>49.47</v>
      </c>
      <c r="S442" s="215">
        <v>45328</v>
      </c>
      <c r="T442" s="101">
        <v>1545634</v>
      </c>
      <c r="U442" s="101">
        <v>2507374</v>
      </c>
      <c r="V442" s="101">
        <v>4053008</v>
      </c>
      <c r="W442" s="101">
        <v>38.14</v>
      </c>
      <c r="Y442" s="215">
        <v>45328</v>
      </c>
      <c r="Z442" s="101">
        <v>2212422</v>
      </c>
      <c r="AA442" s="101">
        <v>715194</v>
      </c>
      <c r="AB442" s="101">
        <v>2927616</v>
      </c>
      <c r="AC442" s="101">
        <v>75.569999999999993</v>
      </c>
      <c r="AE442" s="215">
        <v>45328</v>
      </c>
      <c r="AF442" s="101">
        <v>1176886</v>
      </c>
      <c r="AG442" s="101">
        <v>13422</v>
      </c>
      <c r="AH442" s="101">
        <v>1190308</v>
      </c>
      <c r="AI442" s="101">
        <v>98.87</v>
      </c>
      <c r="AK442" s="215">
        <v>45328</v>
      </c>
      <c r="AL442" s="48">
        <v>860158</v>
      </c>
      <c r="AM442" s="48">
        <v>0</v>
      </c>
      <c r="AN442" s="48">
        <v>860158</v>
      </c>
      <c r="AO442" s="48">
        <v>100</v>
      </c>
      <c r="AQ442" s="215">
        <v>45328</v>
      </c>
      <c r="AR442" s="48">
        <v>499185</v>
      </c>
      <c r="AS442" s="67">
        <v>0</v>
      </c>
      <c r="AT442" s="48">
        <v>499185</v>
      </c>
      <c r="AU442" s="67">
        <v>100</v>
      </c>
    </row>
    <row r="443" spans="1:47" hidden="1" x14ac:dyDescent="0.25">
      <c r="A443" s="215">
        <v>45329</v>
      </c>
      <c r="B443" s="101">
        <v>13636192</v>
      </c>
      <c r="C443" s="101">
        <v>1116092</v>
      </c>
      <c r="D443" s="101">
        <v>14752284</v>
      </c>
      <c r="E443" s="101">
        <v>92.43</v>
      </c>
      <c r="G443" s="215">
        <v>45329</v>
      </c>
      <c r="H443" s="101">
        <v>652699</v>
      </c>
      <c r="I443" s="101">
        <v>247121</v>
      </c>
      <c r="J443" s="101">
        <v>899820</v>
      </c>
      <c r="K443" s="101">
        <v>72.540000000000006</v>
      </c>
      <c r="M443" s="215">
        <v>45329</v>
      </c>
      <c r="N443">
        <v>3565084</v>
      </c>
      <c r="O443">
        <v>3117463</v>
      </c>
      <c r="P443">
        <v>6682547</v>
      </c>
      <c r="Q443">
        <v>53.34</v>
      </c>
      <c r="S443" s="215">
        <v>45329</v>
      </c>
      <c r="T443" s="101">
        <v>743326</v>
      </c>
      <c r="U443" s="101">
        <v>994464</v>
      </c>
      <c r="V443" s="101">
        <v>1737790</v>
      </c>
      <c r="W443" s="101">
        <v>42.77</v>
      </c>
      <c r="Y443" s="215">
        <v>45329</v>
      </c>
      <c r="Z443" s="101">
        <v>2096838</v>
      </c>
      <c r="AA443" s="101">
        <v>738021</v>
      </c>
      <c r="AB443" s="101">
        <v>2834859</v>
      </c>
      <c r="AC443" s="101">
        <v>73.97</v>
      </c>
      <c r="AE443" s="215">
        <v>45329</v>
      </c>
      <c r="AF443" s="101">
        <v>1019426</v>
      </c>
      <c r="AG443" s="101">
        <v>11921</v>
      </c>
      <c r="AH443" s="101">
        <v>1031347</v>
      </c>
      <c r="AI443" s="101">
        <v>98.84</v>
      </c>
      <c r="AK443" s="215">
        <v>45329</v>
      </c>
      <c r="AL443" s="48">
        <v>589182</v>
      </c>
      <c r="AM443" s="48">
        <v>1362</v>
      </c>
      <c r="AN443" s="48">
        <v>590544</v>
      </c>
      <c r="AO443" s="48">
        <v>99.77</v>
      </c>
      <c r="AQ443" s="215">
        <v>45329</v>
      </c>
      <c r="AR443" s="48">
        <v>491508</v>
      </c>
      <c r="AS443" s="67">
        <v>0</v>
      </c>
      <c r="AT443" s="48">
        <v>491508</v>
      </c>
      <c r="AU443" s="67">
        <v>100</v>
      </c>
    </row>
    <row r="444" spans="1:47" hidden="1" x14ac:dyDescent="0.25">
      <c r="A444" s="215">
        <v>45330</v>
      </c>
      <c r="B444" s="101">
        <v>13825784</v>
      </c>
      <c r="C444" s="101">
        <v>944990</v>
      </c>
      <c r="D444" s="101">
        <v>14770774</v>
      </c>
      <c r="E444" s="101">
        <v>93.6</v>
      </c>
      <c r="G444" s="215">
        <v>45330</v>
      </c>
      <c r="H444" s="101">
        <v>301438</v>
      </c>
      <c r="I444" s="101">
        <v>158216</v>
      </c>
      <c r="J444" s="101">
        <v>459654</v>
      </c>
      <c r="K444" s="101">
        <v>65.58</v>
      </c>
      <c r="M444" s="215">
        <v>45330</v>
      </c>
      <c r="N444">
        <v>2922543</v>
      </c>
      <c r="O444">
        <v>3447127</v>
      </c>
      <c r="P444">
        <v>6369670</v>
      </c>
      <c r="Q444">
        <v>45.88</v>
      </c>
      <c r="S444" s="215">
        <v>45330</v>
      </c>
      <c r="T444" s="101">
        <v>1397445</v>
      </c>
      <c r="U444" s="101">
        <v>2624718</v>
      </c>
      <c r="V444" s="101">
        <v>4022163</v>
      </c>
      <c r="W444" s="101">
        <v>34.74</v>
      </c>
      <c r="Y444" s="215">
        <v>45330</v>
      </c>
      <c r="Z444" s="101">
        <v>2466983</v>
      </c>
      <c r="AA444" s="101">
        <v>919078</v>
      </c>
      <c r="AB444" s="101">
        <v>3386061</v>
      </c>
      <c r="AC444" s="101">
        <v>72.86</v>
      </c>
      <c r="AE444" s="215">
        <v>45330</v>
      </c>
      <c r="AF444" s="101">
        <v>1133884</v>
      </c>
      <c r="AG444" s="101">
        <v>13280</v>
      </c>
      <c r="AH444" s="101">
        <v>1147164</v>
      </c>
      <c r="AI444" s="101">
        <v>98.84</v>
      </c>
      <c r="AK444" s="215">
        <v>45330</v>
      </c>
      <c r="AL444" s="48">
        <v>1267761</v>
      </c>
      <c r="AM444" s="48">
        <v>1362</v>
      </c>
      <c r="AN444" s="48">
        <v>1267761</v>
      </c>
      <c r="AO444" s="48">
        <v>100</v>
      </c>
      <c r="AQ444" s="215">
        <v>45330</v>
      </c>
      <c r="AR444" s="48">
        <v>235955</v>
      </c>
      <c r="AS444" s="67">
        <v>0</v>
      </c>
      <c r="AT444" s="48">
        <v>235955</v>
      </c>
      <c r="AU444" s="67">
        <v>100</v>
      </c>
    </row>
    <row r="445" spans="1:47" hidden="1" x14ac:dyDescent="0.25">
      <c r="A445" s="215">
        <v>45331</v>
      </c>
      <c r="B445" s="101">
        <v>14954340</v>
      </c>
      <c r="C445" s="101">
        <v>1045222</v>
      </c>
      <c r="D445" s="101">
        <v>15999562</v>
      </c>
      <c r="E445" s="101">
        <v>93.47</v>
      </c>
      <c r="G445" s="215">
        <v>45331</v>
      </c>
      <c r="H445" s="101">
        <v>305870</v>
      </c>
      <c r="I445" s="101">
        <v>151343</v>
      </c>
      <c r="J445" s="101">
        <v>457213</v>
      </c>
      <c r="K445" s="101">
        <v>66.900000000000006</v>
      </c>
      <c r="M445" s="215">
        <v>45331</v>
      </c>
      <c r="N445">
        <v>2088276</v>
      </c>
      <c r="O445">
        <v>2250694</v>
      </c>
      <c r="P445">
        <v>4338970</v>
      </c>
      <c r="Q445">
        <v>48.12</v>
      </c>
      <c r="S445" s="215">
        <v>45331</v>
      </c>
      <c r="T445" s="101">
        <v>1846892</v>
      </c>
      <c r="U445" s="101">
        <v>2749480</v>
      </c>
      <c r="V445" s="101">
        <v>4596372</v>
      </c>
      <c r="W445" s="101">
        <v>40.18</v>
      </c>
      <c r="Y445" s="215">
        <v>45331</v>
      </c>
      <c r="Z445" s="101">
        <v>2154798</v>
      </c>
      <c r="AA445" s="101">
        <v>616622</v>
      </c>
      <c r="AB445" s="101">
        <v>2771420</v>
      </c>
      <c r="AC445" s="101">
        <v>77.75</v>
      </c>
      <c r="AE445" s="215">
        <v>45331</v>
      </c>
      <c r="AF445" s="101">
        <v>1189817</v>
      </c>
      <c r="AG445" s="101">
        <v>14240</v>
      </c>
      <c r="AH445" s="101">
        <v>1204057</v>
      </c>
      <c r="AI445" s="101">
        <v>98.82</v>
      </c>
      <c r="AK445" s="215">
        <v>45331</v>
      </c>
      <c r="AL445" s="67">
        <v>1002758</v>
      </c>
      <c r="AM445" s="48">
        <v>0</v>
      </c>
      <c r="AN445" s="67">
        <v>1002758</v>
      </c>
      <c r="AO445" s="67">
        <v>100</v>
      </c>
      <c r="AQ445" s="215">
        <v>45331</v>
      </c>
      <c r="AR445" s="48">
        <v>241727</v>
      </c>
      <c r="AS445" s="48">
        <v>207</v>
      </c>
      <c r="AT445" s="48">
        <v>241934</v>
      </c>
      <c r="AU445" s="48">
        <v>99.91</v>
      </c>
    </row>
    <row r="446" spans="1:47" hidden="1" x14ac:dyDescent="0.25">
      <c r="A446" s="215">
        <v>45332</v>
      </c>
      <c r="B446" s="101">
        <v>15573642</v>
      </c>
      <c r="C446" s="101">
        <v>1114537</v>
      </c>
      <c r="D446" s="101">
        <v>16688179</v>
      </c>
      <c r="E446" s="101">
        <v>93.32</v>
      </c>
      <c r="G446" s="215">
        <v>45332</v>
      </c>
      <c r="H446" s="101">
        <v>1223097</v>
      </c>
      <c r="I446" s="101">
        <v>444706</v>
      </c>
      <c r="J446" s="101">
        <v>1667803</v>
      </c>
      <c r="K446" s="101">
        <v>73.34</v>
      </c>
      <c r="M446" s="215">
        <v>45332</v>
      </c>
      <c r="N446">
        <v>3973350</v>
      </c>
      <c r="O446">
        <v>4013086</v>
      </c>
      <c r="P446">
        <v>7986436</v>
      </c>
      <c r="Q446">
        <v>49.75</v>
      </c>
      <c r="S446" s="215">
        <v>45332</v>
      </c>
      <c r="T446" s="101">
        <v>3896489</v>
      </c>
      <c r="U446" s="101">
        <v>3866546</v>
      </c>
      <c r="V446" s="101">
        <v>7763035</v>
      </c>
      <c r="W446" s="101">
        <v>50.19</v>
      </c>
      <c r="Y446" s="215">
        <v>45332</v>
      </c>
      <c r="Z446" s="101">
        <v>2353459</v>
      </c>
      <c r="AA446" s="101">
        <v>792875</v>
      </c>
      <c r="AB446" s="101">
        <v>3146334</v>
      </c>
      <c r="AC446" s="101">
        <v>74.8</v>
      </c>
      <c r="AE446" s="215">
        <v>45332</v>
      </c>
      <c r="AF446" s="101">
        <v>1166752</v>
      </c>
      <c r="AG446" s="101">
        <v>13972</v>
      </c>
      <c r="AH446" s="101">
        <v>1180724</v>
      </c>
      <c r="AI446" s="101">
        <v>98.82</v>
      </c>
      <c r="AK446" s="215">
        <v>45332</v>
      </c>
      <c r="AL446" s="67">
        <v>832855</v>
      </c>
      <c r="AM446" s="67">
        <v>0</v>
      </c>
      <c r="AN446" s="67">
        <v>832855</v>
      </c>
      <c r="AO446" s="67">
        <v>100</v>
      </c>
      <c r="AQ446" s="215">
        <v>45332</v>
      </c>
      <c r="AR446" s="48">
        <v>922343</v>
      </c>
      <c r="AS446" s="67">
        <v>0</v>
      </c>
      <c r="AT446" s="48">
        <v>922343</v>
      </c>
      <c r="AU446" s="67">
        <v>100</v>
      </c>
    </row>
    <row r="447" spans="1:47" hidden="1" x14ac:dyDescent="0.25">
      <c r="A447" s="215">
        <v>45333</v>
      </c>
      <c r="B447" s="101">
        <v>12398442</v>
      </c>
      <c r="C447" s="101">
        <v>1049755</v>
      </c>
      <c r="D447" s="101">
        <v>13448197</v>
      </c>
      <c r="E447" s="101">
        <v>92.19</v>
      </c>
      <c r="G447" s="215">
        <v>45333</v>
      </c>
      <c r="H447" s="101">
        <v>740424</v>
      </c>
      <c r="I447" s="101">
        <v>301250</v>
      </c>
      <c r="J447" s="101">
        <v>1041674</v>
      </c>
      <c r="K447" s="101">
        <v>71.08</v>
      </c>
      <c r="M447" s="215">
        <v>45333</v>
      </c>
      <c r="N447">
        <v>3233008</v>
      </c>
      <c r="O447">
        <v>3655600</v>
      </c>
      <c r="P447">
        <v>6888608</v>
      </c>
      <c r="Q447">
        <v>46.93</v>
      </c>
      <c r="S447" s="215">
        <v>45333</v>
      </c>
      <c r="T447" s="101">
        <v>2178432</v>
      </c>
      <c r="U447" s="101">
        <v>1331485</v>
      </c>
      <c r="V447" s="101">
        <v>3509917</v>
      </c>
      <c r="W447" s="101">
        <v>62.07</v>
      </c>
      <c r="Y447" s="215">
        <v>45333</v>
      </c>
      <c r="Z447" s="101">
        <v>2198874</v>
      </c>
      <c r="AA447" s="101">
        <v>780438</v>
      </c>
      <c r="AB447" s="101">
        <v>2979312</v>
      </c>
      <c r="AC447" s="101">
        <v>73.8</v>
      </c>
      <c r="AE447" s="215">
        <v>45333</v>
      </c>
      <c r="AF447" s="101">
        <v>1023391</v>
      </c>
      <c r="AG447" s="101">
        <v>11798</v>
      </c>
      <c r="AH447" s="101">
        <v>1035189</v>
      </c>
      <c r="AI447" s="101">
        <v>98.86</v>
      </c>
      <c r="AK447" s="215">
        <v>45333</v>
      </c>
      <c r="AL447" s="48">
        <v>706547</v>
      </c>
      <c r="AM447" s="48">
        <v>1999</v>
      </c>
      <c r="AN447" s="48">
        <v>708546</v>
      </c>
      <c r="AO447" s="48">
        <v>99.72</v>
      </c>
      <c r="AQ447" s="215">
        <v>45333</v>
      </c>
      <c r="AR447" s="48">
        <v>485813</v>
      </c>
      <c r="AS447" s="48">
        <v>117</v>
      </c>
      <c r="AT447" s="48">
        <v>485930</v>
      </c>
      <c r="AU447" s="48">
        <v>99.98</v>
      </c>
    </row>
    <row r="448" spans="1:47" hidden="1" x14ac:dyDescent="0.25">
      <c r="A448" s="215">
        <v>45334</v>
      </c>
      <c r="B448" s="101">
        <v>13699840</v>
      </c>
      <c r="C448" s="101">
        <v>1051092</v>
      </c>
      <c r="D448" s="101">
        <v>14750932</v>
      </c>
      <c r="E448" s="101">
        <v>92.87</v>
      </c>
      <c r="G448" s="215">
        <v>45334</v>
      </c>
      <c r="H448" s="101">
        <v>309986</v>
      </c>
      <c r="I448" s="101">
        <v>151153</v>
      </c>
      <c r="J448" s="101">
        <v>461139</v>
      </c>
      <c r="K448" s="101">
        <v>67.22</v>
      </c>
      <c r="M448" s="215">
        <v>45334</v>
      </c>
      <c r="N448">
        <v>3407843</v>
      </c>
      <c r="O448">
        <v>3482636</v>
      </c>
      <c r="P448">
        <v>6890479</v>
      </c>
      <c r="Q448">
        <v>49.45</v>
      </c>
      <c r="S448" s="215">
        <v>45334</v>
      </c>
      <c r="T448" s="101">
        <v>3492737</v>
      </c>
      <c r="U448" s="101">
        <v>3936851</v>
      </c>
      <c r="V448" s="101">
        <v>7429588</v>
      </c>
      <c r="W448" s="101">
        <v>47.01</v>
      </c>
      <c r="Y448" s="215">
        <v>45334</v>
      </c>
      <c r="Z448" s="101">
        <v>2105628</v>
      </c>
      <c r="AA448" s="101">
        <v>775275</v>
      </c>
      <c r="AB448" s="101">
        <v>2880903</v>
      </c>
      <c r="AC448" s="101">
        <v>73.09</v>
      </c>
      <c r="AE448" s="215">
        <v>45334</v>
      </c>
      <c r="AF448" s="101">
        <v>1228919</v>
      </c>
      <c r="AG448" s="101">
        <v>14677</v>
      </c>
      <c r="AH448" s="101">
        <v>1243596</v>
      </c>
      <c r="AI448" s="101">
        <v>98.82</v>
      </c>
      <c r="AK448" s="215">
        <v>45334</v>
      </c>
      <c r="AL448" s="48">
        <v>964813</v>
      </c>
      <c r="AM448" s="48">
        <v>1108</v>
      </c>
      <c r="AN448" s="48">
        <v>965921</v>
      </c>
      <c r="AO448" s="48">
        <v>99.89</v>
      </c>
      <c r="AQ448" s="215">
        <v>45334</v>
      </c>
      <c r="AR448" s="48">
        <v>244271</v>
      </c>
      <c r="AS448" s="48">
        <v>27</v>
      </c>
      <c r="AT448" s="48">
        <v>244298</v>
      </c>
      <c r="AU448" s="48">
        <v>99.99</v>
      </c>
    </row>
    <row r="449" spans="1:47" hidden="1" x14ac:dyDescent="0.25">
      <c r="A449" s="215">
        <v>45335</v>
      </c>
      <c r="B449" s="101">
        <v>14857719</v>
      </c>
      <c r="C449" s="101">
        <v>1010079</v>
      </c>
      <c r="D449" s="101">
        <v>15867798</v>
      </c>
      <c r="E449" s="101">
        <v>93.63</v>
      </c>
      <c r="G449" s="215">
        <v>45335</v>
      </c>
      <c r="H449" s="101">
        <v>298833</v>
      </c>
      <c r="I449" s="101">
        <v>153165</v>
      </c>
      <c r="J449" s="101">
        <v>451998</v>
      </c>
      <c r="K449" s="101">
        <v>66.11</v>
      </c>
      <c r="M449" s="215">
        <v>45335</v>
      </c>
      <c r="N449">
        <v>2798498</v>
      </c>
      <c r="O449">
        <v>3622593</v>
      </c>
      <c r="P449">
        <v>6421091</v>
      </c>
      <c r="Q449">
        <v>43.58</v>
      </c>
      <c r="S449" s="215">
        <v>45335</v>
      </c>
      <c r="T449" s="101">
        <v>3438237</v>
      </c>
      <c r="U449" s="101">
        <v>3980832</v>
      </c>
      <c r="V449" s="101">
        <v>7419069</v>
      </c>
      <c r="W449" s="101">
        <v>46.34</v>
      </c>
      <c r="Y449" s="215">
        <v>45335</v>
      </c>
      <c r="Z449" s="101">
        <v>2228722</v>
      </c>
      <c r="AA449" s="101">
        <v>767572</v>
      </c>
      <c r="AB449" s="101">
        <v>2996294</v>
      </c>
      <c r="AC449" s="101">
        <v>74.38</v>
      </c>
      <c r="AE449" s="215">
        <v>45335</v>
      </c>
      <c r="AF449" s="101">
        <v>1145075</v>
      </c>
      <c r="AG449" s="101">
        <v>13456</v>
      </c>
      <c r="AH449" s="101">
        <v>1158531</v>
      </c>
      <c r="AI449" s="101">
        <v>98.84</v>
      </c>
      <c r="AK449" s="215">
        <v>45335</v>
      </c>
      <c r="AL449" s="67">
        <v>494211</v>
      </c>
      <c r="AM449" s="67">
        <v>1895</v>
      </c>
      <c r="AN449" s="67">
        <v>496106</v>
      </c>
      <c r="AO449" s="67">
        <v>99.62</v>
      </c>
      <c r="AQ449" s="215">
        <v>45335</v>
      </c>
      <c r="AR449" s="67">
        <v>234333</v>
      </c>
      <c r="AS449" s="67">
        <v>0</v>
      </c>
      <c r="AT449" s="67">
        <v>234333</v>
      </c>
      <c r="AU449" s="67">
        <v>100</v>
      </c>
    </row>
    <row r="450" spans="1:47" hidden="1" x14ac:dyDescent="0.25">
      <c r="A450" s="215">
        <v>45336</v>
      </c>
      <c r="B450" s="101">
        <v>14178125</v>
      </c>
      <c r="C450" s="101">
        <v>1023282</v>
      </c>
      <c r="D450" s="101">
        <v>15201407</v>
      </c>
      <c r="E450" s="101">
        <v>93.27</v>
      </c>
      <c r="G450" s="215">
        <v>45336</v>
      </c>
      <c r="H450" s="101">
        <v>527151</v>
      </c>
      <c r="I450" s="101">
        <v>209846</v>
      </c>
      <c r="J450" s="101">
        <v>736997</v>
      </c>
      <c r="K450" s="101">
        <v>71.53</v>
      </c>
      <c r="M450" s="215">
        <v>45336</v>
      </c>
      <c r="N450">
        <v>3305474</v>
      </c>
      <c r="O450">
        <v>3619786</v>
      </c>
      <c r="P450">
        <v>6925260</v>
      </c>
      <c r="Q450">
        <v>47.73</v>
      </c>
      <c r="S450" s="215">
        <v>45336</v>
      </c>
      <c r="T450" s="101">
        <v>2977369</v>
      </c>
      <c r="U450" s="101">
        <v>2523994</v>
      </c>
      <c r="V450" s="101">
        <v>5501363</v>
      </c>
      <c r="W450" s="101">
        <v>54.12</v>
      </c>
      <c r="Y450" s="215">
        <v>45336</v>
      </c>
      <c r="Z450" s="101">
        <v>2076186</v>
      </c>
      <c r="AA450" s="101">
        <v>785680</v>
      </c>
      <c r="AB450" s="101">
        <v>2861866</v>
      </c>
      <c r="AC450" s="101">
        <v>72.55</v>
      </c>
      <c r="AE450" s="215">
        <v>45336</v>
      </c>
      <c r="AF450" s="101">
        <v>1157318</v>
      </c>
      <c r="AG450" s="101">
        <v>13454</v>
      </c>
      <c r="AH450" s="101">
        <v>1170772</v>
      </c>
      <c r="AI450" s="101">
        <v>98.85</v>
      </c>
      <c r="AK450" s="215">
        <v>45336</v>
      </c>
      <c r="AL450" s="67">
        <v>706960</v>
      </c>
      <c r="AM450" s="67">
        <v>2769</v>
      </c>
      <c r="AN450" s="67">
        <v>709729</v>
      </c>
      <c r="AO450" s="67">
        <v>99.61</v>
      </c>
      <c r="AQ450" s="215">
        <v>45336</v>
      </c>
      <c r="AR450" s="48">
        <v>441878</v>
      </c>
      <c r="AS450" s="67">
        <v>0</v>
      </c>
      <c r="AT450" s="48">
        <v>441878</v>
      </c>
      <c r="AU450" s="67">
        <v>100</v>
      </c>
    </row>
    <row r="451" spans="1:47" hidden="1" x14ac:dyDescent="0.25">
      <c r="A451" s="215">
        <v>45337</v>
      </c>
      <c r="B451">
        <v>13679285</v>
      </c>
      <c r="C451">
        <v>852577</v>
      </c>
      <c r="D451">
        <v>14531862</v>
      </c>
      <c r="E451">
        <v>94.13</v>
      </c>
      <c r="G451" s="215">
        <v>45337</v>
      </c>
      <c r="H451">
        <v>740106</v>
      </c>
      <c r="I451">
        <v>289614</v>
      </c>
      <c r="J451">
        <v>1029720</v>
      </c>
      <c r="K451">
        <v>71.87</v>
      </c>
      <c r="M451" s="215">
        <v>45337</v>
      </c>
      <c r="N451">
        <v>3157247</v>
      </c>
      <c r="O451">
        <v>4004521</v>
      </c>
      <c r="P451">
        <v>7161768</v>
      </c>
      <c r="Q451">
        <v>44.08</v>
      </c>
      <c r="S451" s="215">
        <v>45337</v>
      </c>
      <c r="T451">
        <v>1548447</v>
      </c>
      <c r="U451">
        <v>3217319</v>
      </c>
      <c r="V451">
        <v>4765766</v>
      </c>
      <c r="W451">
        <v>32.49</v>
      </c>
      <c r="Y451" s="215">
        <v>45337</v>
      </c>
      <c r="Z451">
        <v>2090529</v>
      </c>
      <c r="AA451">
        <v>802154</v>
      </c>
      <c r="AB451">
        <v>2892683</v>
      </c>
      <c r="AC451">
        <v>72.260000000000005</v>
      </c>
      <c r="AE451" s="215">
        <v>45337</v>
      </c>
      <c r="AF451">
        <v>1114415</v>
      </c>
      <c r="AG451">
        <v>18748</v>
      </c>
      <c r="AH451">
        <v>1133163</v>
      </c>
      <c r="AI451">
        <v>98.3</v>
      </c>
      <c r="AK451" s="215">
        <v>45337</v>
      </c>
      <c r="AL451" s="67">
        <v>690496</v>
      </c>
      <c r="AM451" s="67">
        <v>2972</v>
      </c>
      <c r="AN451" s="48">
        <v>693468</v>
      </c>
      <c r="AO451" s="48">
        <v>99.57</v>
      </c>
      <c r="AQ451" s="215">
        <v>45337</v>
      </c>
      <c r="AR451" s="48">
        <v>635616</v>
      </c>
      <c r="AS451" s="67">
        <v>553</v>
      </c>
      <c r="AT451" s="48">
        <v>636169</v>
      </c>
      <c r="AU451" s="48">
        <v>99.91</v>
      </c>
    </row>
    <row r="452" spans="1:47" hidden="1" x14ac:dyDescent="0.25">
      <c r="A452" s="215">
        <v>45338</v>
      </c>
      <c r="B452">
        <v>14777328</v>
      </c>
      <c r="C452">
        <v>1002536</v>
      </c>
      <c r="D452">
        <v>15779864</v>
      </c>
      <c r="E452">
        <v>93.64</v>
      </c>
      <c r="G452" s="215">
        <v>45338</v>
      </c>
      <c r="H452">
        <v>1784449</v>
      </c>
      <c r="I452">
        <v>576932</v>
      </c>
      <c r="J452">
        <v>2361381</v>
      </c>
      <c r="K452">
        <v>75.56</v>
      </c>
      <c r="M452" s="215">
        <v>45338</v>
      </c>
      <c r="N452">
        <v>2750949</v>
      </c>
      <c r="O452">
        <v>3176996</v>
      </c>
      <c r="P452">
        <v>5927945</v>
      </c>
      <c r="Q452">
        <v>46.4</v>
      </c>
      <c r="S452" s="215">
        <v>45338</v>
      </c>
      <c r="T452">
        <v>1412943</v>
      </c>
      <c r="U452">
        <v>2605183</v>
      </c>
      <c r="V452">
        <v>4018126</v>
      </c>
      <c r="W452">
        <v>35.159999999999997</v>
      </c>
      <c r="Y452" s="215">
        <v>45338</v>
      </c>
      <c r="Z452">
        <v>2140913</v>
      </c>
      <c r="AA452">
        <v>669152</v>
      </c>
      <c r="AB452">
        <v>2810065</v>
      </c>
      <c r="AC452">
        <v>76.180000000000007</v>
      </c>
      <c r="AE452" s="215">
        <v>45338</v>
      </c>
      <c r="AF452">
        <v>1207789</v>
      </c>
      <c r="AG452">
        <v>17141</v>
      </c>
      <c r="AH452">
        <v>1224930</v>
      </c>
      <c r="AI452">
        <v>98.6</v>
      </c>
      <c r="AK452" s="215">
        <v>45338</v>
      </c>
      <c r="AL452" s="48">
        <v>515885</v>
      </c>
      <c r="AM452" s="67">
        <v>2060</v>
      </c>
      <c r="AN452" s="67">
        <v>517945</v>
      </c>
      <c r="AO452" s="67">
        <v>99.6</v>
      </c>
      <c r="AQ452" s="215">
        <v>45338</v>
      </c>
      <c r="AR452" s="48">
        <v>1587785</v>
      </c>
      <c r="AS452" s="67">
        <v>0</v>
      </c>
      <c r="AT452" s="48">
        <v>1587785</v>
      </c>
      <c r="AU452" s="48">
        <v>100</v>
      </c>
    </row>
    <row r="453" spans="1:47" hidden="1" x14ac:dyDescent="0.25">
      <c r="A453" s="215">
        <v>45339</v>
      </c>
      <c r="B453">
        <v>14788888</v>
      </c>
      <c r="C453">
        <v>1078338</v>
      </c>
      <c r="D453">
        <v>15867226</v>
      </c>
      <c r="E453">
        <v>93.2</v>
      </c>
      <c r="G453" s="215">
        <v>45339</v>
      </c>
      <c r="H453">
        <v>1870245</v>
      </c>
      <c r="I453">
        <v>646641</v>
      </c>
      <c r="J453">
        <v>2516886</v>
      </c>
      <c r="K453">
        <v>74.3</v>
      </c>
      <c r="M453" s="215">
        <v>45339</v>
      </c>
      <c r="N453">
        <v>4051067</v>
      </c>
      <c r="O453">
        <v>3818621</v>
      </c>
      <c r="P453">
        <v>7869688</v>
      </c>
      <c r="Q453">
        <v>51.47</v>
      </c>
      <c r="S453" s="215">
        <v>45339</v>
      </c>
      <c r="T453">
        <v>3826691</v>
      </c>
      <c r="U453">
        <v>3000611</v>
      </c>
      <c r="V453">
        <v>6827302</v>
      </c>
      <c r="W453">
        <v>56.04</v>
      </c>
      <c r="Y453" s="215">
        <v>45339</v>
      </c>
      <c r="Z453">
        <v>2347776</v>
      </c>
      <c r="AA453">
        <v>846832</v>
      </c>
      <c r="AB453">
        <v>3194608</v>
      </c>
      <c r="AC453">
        <v>73.489999999999995</v>
      </c>
      <c r="AE453" s="215">
        <v>45339</v>
      </c>
      <c r="AF453">
        <v>1177542</v>
      </c>
      <c r="AG453">
        <v>14823</v>
      </c>
      <c r="AH453">
        <v>1192365</v>
      </c>
      <c r="AI453">
        <v>98.75</v>
      </c>
      <c r="AK453" s="215">
        <v>45339</v>
      </c>
      <c r="AL453" s="48">
        <v>869403</v>
      </c>
      <c r="AM453" s="67">
        <v>0</v>
      </c>
      <c r="AN453" s="67">
        <v>869390</v>
      </c>
      <c r="AO453" s="67">
        <v>100</v>
      </c>
      <c r="AQ453" s="215">
        <v>45339</v>
      </c>
      <c r="AR453" s="48">
        <v>1652514</v>
      </c>
      <c r="AS453" s="67">
        <v>0</v>
      </c>
      <c r="AT453" s="48">
        <v>1652514</v>
      </c>
      <c r="AU453" s="48">
        <v>100</v>
      </c>
    </row>
    <row r="454" spans="1:47" hidden="1" x14ac:dyDescent="0.25">
      <c r="A454" s="215">
        <v>45340</v>
      </c>
      <c r="B454">
        <v>12624047</v>
      </c>
      <c r="C454">
        <v>962257</v>
      </c>
      <c r="D454">
        <v>13586304</v>
      </c>
      <c r="E454">
        <v>92.91</v>
      </c>
      <c r="G454" s="215">
        <v>45340</v>
      </c>
      <c r="H454">
        <v>1765799</v>
      </c>
      <c r="I454">
        <v>593743</v>
      </c>
      <c r="J454">
        <v>2359542</v>
      </c>
      <c r="K454">
        <v>74.83</v>
      </c>
      <c r="M454" s="215">
        <v>45340</v>
      </c>
      <c r="N454">
        <v>3388201</v>
      </c>
      <c r="O454">
        <v>3738465</v>
      </c>
      <c r="P454">
        <v>7126666</v>
      </c>
      <c r="Q454">
        <v>47.54</v>
      </c>
      <c r="S454" s="215">
        <v>45340</v>
      </c>
      <c r="T454">
        <v>27026</v>
      </c>
      <c r="U454">
        <v>4254</v>
      </c>
      <c r="V454">
        <v>31280</v>
      </c>
      <c r="W454">
        <v>86.4</v>
      </c>
      <c r="Y454" s="215">
        <v>45340</v>
      </c>
      <c r="Z454">
        <v>2086528</v>
      </c>
      <c r="AA454">
        <v>757340</v>
      </c>
      <c r="AB454">
        <v>2843868</v>
      </c>
      <c r="AC454">
        <v>73.36</v>
      </c>
      <c r="AE454" s="215">
        <v>45340</v>
      </c>
      <c r="AF454">
        <v>1155386</v>
      </c>
      <c r="AG454">
        <v>12961</v>
      </c>
      <c r="AH454">
        <v>1168347</v>
      </c>
      <c r="AI454">
        <v>98.89</v>
      </c>
      <c r="AK454" s="215">
        <v>45340</v>
      </c>
      <c r="AL454" s="48">
        <v>880393</v>
      </c>
      <c r="AM454" s="67">
        <v>7</v>
      </c>
      <c r="AN454" s="67">
        <v>880400</v>
      </c>
      <c r="AO454" s="67">
        <v>100</v>
      </c>
      <c r="AQ454" s="215">
        <v>45340</v>
      </c>
      <c r="AR454" s="67">
        <v>1559115</v>
      </c>
      <c r="AS454" s="67">
        <v>0</v>
      </c>
      <c r="AT454" s="67">
        <v>1559115</v>
      </c>
      <c r="AU454" s="48">
        <v>100</v>
      </c>
    </row>
    <row r="455" spans="1:47" hidden="1" x14ac:dyDescent="0.25">
      <c r="A455" s="215">
        <v>45341</v>
      </c>
      <c r="B455" s="101">
        <v>14319858</v>
      </c>
      <c r="C455" s="101">
        <v>1106274</v>
      </c>
      <c r="D455" s="101">
        <v>15426132</v>
      </c>
      <c r="E455" s="101">
        <v>92.83</v>
      </c>
      <c r="G455" s="215">
        <v>45341</v>
      </c>
      <c r="H455" s="101">
        <v>1759876</v>
      </c>
      <c r="I455" s="101">
        <v>590567</v>
      </c>
      <c r="J455" s="101">
        <v>2350443</v>
      </c>
      <c r="K455" s="101">
        <v>74.87</v>
      </c>
      <c r="M455" s="215">
        <v>45341</v>
      </c>
      <c r="N455">
        <v>3776558</v>
      </c>
      <c r="O455">
        <v>3710397</v>
      </c>
      <c r="P455">
        <v>7486955</v>
      </c>
      <c r="Q455">
        <v>50.44</v>
      </c>
      <c r="S455" s="215">
        <v>45341</v>
      </c>
      <c r="T455" s="101">
        <v>2444307</v>
      </c>
      <c r="U455" s="101">
        <v>2780373</v>
      </c>
      <c r="V455" s="101">
        <v>5224680</v>
      </c>
      <c r="W455" s="101">
        <v>46.78</v>
      </c>
      <c r="Y455" s="215">
        <v>45341</v>
      </c>
      <c r="Z455" s="101">
        <v>2048286</v>
      </c>
      <c r="AA455" s="101">
        <v>806837</v>
      </c>
      <c r="AB455" s="101">
        <v>2855123</v>
      </c>
      <c r="AC455" s="101">
        <v>71.739999999999995</v>
      </c>
      <c r="AE455" s="215">
        <v>45341</v>
      </c>
      <c r="AF455" s="101">
        <v>1120933</v>
      </c>
      <c r="AG455" s="101">
        <v>13626</v>
      </c>
      <c r="AH455" s="101">
        <v>1134559</v>
      </c>
      <c r="AI455" s="101">
        <v>98.8</v>
      </c>
      <c r="AK455" s="215">
        <v>45341</v>
      </c>
      <c r="AL455" s="67">
        <v>775900</v>
      </c>
      <c r="AM455" s="48">
        <v>632</v>
      </c>
      <c r="AN455" s="48">
        <v>776532</v>
      </c>
      <c r="AO455" s="67">
        <v>99.92</v>
      </c>
      <c r="AQ455" s="215">
        <v>45341</v>
      </c>
      <c r="AR455" s="48">
        <v>1558735</v>
      </c>
      <c r="AS455" s="67">
        <v>0</v>
      </c>
      <c r="AT455" s="48">
        <v>1558735</v>
      </c>
      <c r="AU455" s="48">
        <v>100</v>
      </c>
    </row>
    <row r="456" spans="1:47" hidden="1" x14ac:dyDescent="0.25">
      <c r="A456" s="215">
        <v>45342</v>
      </c>
      <c r="B456" s="101">
        <v>14763466</v>
      </c>
      <c r="C456" s="101">
        <v>988537</v>
      </c>
      <c r="D456" s="101">
        <v>15752003</v>
      </c>
      <c r="E456" s="101">
        <v>93.72</v>
      </c>
      <c r="G456" s="215">
        <v>45342</v>
      </c>
      <c r="H456" s="101">
        <v>1120551</v>
      </c>
      <c r="I456" s="101">
        <v>381977</v>
      </c>
      <c r="J456" s="101">
        <v>1502528</v>
      </c>
      <c r="K456" s="101">
        <v>74.58</v>
      </c>
      <c r="M456" s="215">
        <v>45342</v>
      </c>
      <c r="N456">
        <v>3324379</v>
      </c>
      <c r="O456">
        <v>3861751</v>
      </c>
      <c r="P456">
        <v>7186130</v>
      </c>
      <c r="Q456">
        <v>46.261000000000003</v>
      </c>
      <c r="S456" s="215">
        <v>45342</v>
      </c>
      <c r="T456" s="101">
        <v>1408489</v>
      </c>
      <c r="U456" s="101">
        <v>2638768</v>
      </c>
      <c r="V456" s="101">
        <v>4047257</v>
      </c>
      <c r="W456" s="101">
        <v>34.799999999999997</v>
      </c>
      <c r="Y456" s="215">
        <v>45342</v>
      </c>
      <c r="Z456" s="101">
        <v>2116462</v>
      </c>
      <c r="AA456" s="101">
        <v>782174</v>
      </c>
      <c r="AB456" s="101">
        <v>2898636</v>
      </c>
      <c r="AC456" s="101">
        <v>73.02</v>
      </c>
      <c r="AE456" s="215">
        <v>45342</v>
      </c>
      <c r="AF456" s="101">
        <v>1203799</v>
      </c>
      <c r="AG456" s="101">
        <v>15589</v>
      </c>
      <c r="AH456" s="101">
        <v>1219388</v>
      </c>
      <c r="AI456" s="101">
        <v>98.72</v>
      </c>
      <c r="AK456" s="215">
        <v>45342</v>
      </c>
      <c r="AL456" s="48">
        <v>926956</v>
      </c>
      <c r="AM456" s="67">
        <v>0</v>
      </c>
      <c r="AN456" s="48">
        <v>926956</v>
      </c>
      <c r="AO456" s="67">
        <v>100</v>
      </c>
      <c r="AQ456" s="215">
        <v>45342</v>
      </c>
      <c r="AR456" s="67">
        <v>958368</v>
      </c>
      <c r="AS456" s="48">
        <v>18831</v>
      </c>
      <c r="AT456" s="48">
        <v>977199</v>
      </c>
      <c r="AU456" s="48">
        <v>98.07</v>
      </c>
    </row>
    <row r="457" spans="1:47" hidden="1" x14ac:dyDescent="0.25">
      <c r="A457" s="215">
        <v>45343</v>
      </c>
      <c r="B457" s="101">
        <v>13792017</v>
      </c>
      <c r="C457" s="101">
        <v>1004710</v>
      </c>
      <c r="D457" s="101">
        <v>14796727</v>
      </c>
      <c r="E457" s="101">
        <v>93.21</v>
      </c>
      <c r="G457" s="215">
        <v>45343</v>
      </c>
      <c r="H457" s="101">
        <v>530891</v>
      </c>
      <c r="I457" s="101">
        <v>215851</v>
      </c>
      <c r="J457" s="101">
        <v>746742</v>
      </c>
      <c r="K457" s="101">
        <v>71.09</v>
      </c>
      <c r="M457" s="215">
        <v>45343</v>
      </c>
      <c r="N457">
        <v>3908284</v>
      </c>
      <c r="O457">
        <v>4073935</v>
      </c>
      <c r="P457">
        <v>7982219</v>
      </c>
      <c r="Q457">
        <v>48.96</v>
      </c>
      <c r="S457" s="215">
        <v>45343</v>
      </c>
      <c r="T457" s="101">
        <v>638354</v>
      </c>
      <c r="U457" s="101">
        <v>1174048</v>
      </c>
      <c r="V457" s="101">
        <v>1812402</v>
      </c>
      <c r="W457" s="101">
        <v>35.22</v>
      </c>
      <c r="Y457" s="215">
        <v>45343</v>
      </c>
      <c r="Z457" s="101">
        <v>1730578</v>
      </c>
      <c r="AA457" s="101">
        <v>761957</v>
      </c>
      <c r="AB457" s="101">
        <v>2492535</v>
      </c>
      <c r="AC457" s="101">
        <v>69.430000000000007</v>
      </c>
      <c r="AE457" s="215">
        <v>45343</v>
      </c>
      <c r="AF457" s="101">
        <v>1168867</v>
      </c>
      <c r="AG457" s="101">
        <v>15933</v>
      </c>
      <c r="AH457" s="101">
        <v>1184800</v>
      </c>
      <c r="AI457" s="101">
        <v>98.66</v>
      </c>
      <c r="AK457" s="215">
        <v>45343</v>
      </c>
      <c r="AL457" s="48">
        <v>991402</v>
      </c>
      <c r="AM457" s="67">
        <v>0</v>
      </c>
      <c r="AN457" s="48">
        <v>991402</v>
      </c>
      <c r="AO457" s="67">
        <v>100</v>
      </c>
      <c r="AQ457" s="215">
        <v>45343</v>
      </c>
      <c r="AR457" s="67">
        <v>445341</v>
      </c>
      <c r="AS457" s="67">
        <v>0</v>
      </c>
      <c r="AT457" s="67">
        <v>445341</v>
      </c>
      <c r="AU457" s="67">
        <v>100</v>
      </c>
    </row>
    <row r="458" spans="1:47" hidden="1" x14ac:dyDescent="0.25">
      <c r="A458" s="215">
        <v>45344</v>
      </c>
      <c r="B458" s="101">
        <v>13913788</v>
      </c>
      <c r="C458" s="101">
        <v>946690</v>
      </c>
      <c r="D458" s="101">
        <v>14860478</v>
      </c>
      <c r="E458" s="101">
        <v>93.63</v>
      </c>
      <c r="G458" s="215">
        <v>45344</v>
      </c>
      <c r="H458" s="101">
        <v>913726</v>
      </c>
      <c r="I458" s="101">
        <v>314366</v>
      </c>
      <c r="J458" s="101">
        <v>1228092</v>
      </c>
      <c r="K458" s="101">
        <v>74.400000000000006</v>
      </c>
      <c r="M458" s="215">
        <v>45344</v>
      </c>
      <c r="N458">
        <v>3254395</v>
      </c>
      <c r="O458">
        <v>3921589</v>
      </c>
      <c r="P458">
        <v>7175984</v>
      </c>
      <c r="Q458">
        <v>45.35</v>
      </c>
      <c r="S458" s="215">
        <v>45344</v>
      </c>
      <c r="T458" s="101">
        <v>1354159</v>
      </c>
      <c r="U458" s="101">
        <v>2646013</v>
      </c>
      <c r="V458" s="101">
        <v>4000172</v>
      </c>
      <c r="W458" s="101">
        <v>33.85</v>
      </c>
      <c r="Y458" s="215">
        <v>45344</v>
      </c>
      <c r="Z458" s="101">
        <v>1887907</v>
      </c>
      <c r="AA458" s="101">
        <v>774654</v>
      </c>
      <c r="AB458" s="101">
        <v>2662561</v>
      </c>
      <c r="AC458" s="101">
        <v>70.91</v>
      </c>
      <c r="AE458" s="215">
        <v>45344</v>
      </c>
      <c r="AF458" s="101">
        <v>1295835</v>
      </c>
      <c r="AG458" s="101">
        <v>17242</v>
      </c>
      <c r="AH458" s="101">
        <v>1313077</v>
      </c>
      <c r="AI458" s="101">
        <v>98.69</v>
      </c>
      <c r="AK458" s="215">
        <v>45344</v>
      </c>
      <c r="AL458" s="48">
        <v>680870</v>
      </c>
      <c r="AM458" s="67">
        <v>0</v>
      </c>
      <c r="AN458" s="48">
        <v>680870</v>
      </c>
      <c r="AO458" s="67">
        <v>100</v>
      </c>
      <c r="AQ458" s="215">
        <v>45344</v>
      </c>
      <c r="AR458" s="67">
        <v>785558</v>
      </c>
      <c r="AS458" s="48">
        <v>2919</v>
      </c>
      <c r="AT458" s="48">
        <v>788477</v>
      </c>
      <c r="AU458" s="48">
        <v>99.63</v>
      </c>
    </row>
    <row r="459" spans="1:47" hidden="1" x14ac:dyDescent="0.25">
      <c r="A459" s="215">
        <v>45345</v>
      </c>
      <c r="B459" s="101">
        <v>14652819</v>
      </c>
      <c r="C459" s="101">
        <v>998208</v>
      </c>
      <c r="D459" s="101">
        <v>15651027</v>
      </c>
      <c r="E459" s="101">
        <v>93.62</v>
      </c>
      <c r="G459" s="215">
        <v>45345</v>
      </c>
      <c r="H459" s="101">
        <v>1577508</v>
      </c>
      <c r="I459" s="101">
        <v>544126</v>
      </c>
      <c r="J459" s="101">
        <v>2121634</v>
      </c>
      <c r="K459" s="101">
        <v>74.349999999999994</v>
      </c>
      <c r="L459" s="243"/>
      <c r="M459" s="215">
        <v>45345</v>
      </c>
      <c r="N459">
        <v>2580678</v>
      </c>
      <c r="O459">
        <v>3251957</v>
      </c>
      <c r="P459">
        <v>5832635</v>
      </c>
      <c r="Q459">
        <v>44.24</v>
      </c>
      <c r="S459" s="215">
        <v>45345</v>
      </c>
      <c r="T459" s="101">
        <v>1361293</v>
      </c>
      <c r="U459" s="101">
        <v>2627518</v>
      </c>
      <c r="V459" s="101">
        <v>3988811</v>
      </c>
      <c r="W459" s="101">
        <v>34.130000000000003</v>
      </c>
      <c r="Y459" s="215">
        <v>45345</v>
      </c>
      <c r="Z459" s="101">
        <v>1854593</v>
      </c>
      <c r="AA459" s="101">
        <v>775910</v>
      </c>
      <c r="AB459" s="101">
        <v>2630503</v>
      </c>
      <c r="AC459" s="101">
        <v>70.5</v>
      </c>
      <c r="AE459" s="215">
        <v>45345</v>
      </c>
      <c r="AF459" s="101">
        <v>1191580</v>
      </c>
      <c r="AG459" s="101">
        <v>17268</v>
      </c>
      <c r="AH459" s="101">
        <v>1208848</v>
      </c>
      <c r="AI459" s="101">
        <v>98.57</v>
      </c>
      <c r="AK459" s="215">
        <v>45345</v>
      </c>
      <c r="AL459" s="67">
        <v>892365</v>
      </c>
      <c r="AM459" s="67">
        <v>204</v>
      </c>
      <c r="AN459" s="67">
        <v>892569</v>
      </c>
      <c r="AO459" s="67">
        <v>99.98</v>
      </c>
      <c r="AQ459" s="215">
        <v>45345</v>
      </c>
      <c r="AR459" s="67">
        <v>1254027</v>
      </c>
      <c r="AS459" s="67">
        <v>0</v>
      </c>
      <c r="AT459" s="67">
        <v>1254027</v>
      </c>
      <c r="AU459" s="67">
        <v>100</v>
      </c>
    </row>
    <row r="460" spans="1:47" hidden="1" x14ac:dyDescent="0.25">
      <c r="A460" s="215">
        <v>45346</v>
      </c>
      <c r="B460" s="101">
        <v>14867142</v>
      </c>
      <c r="C460" s="101">
        <v>1028115</v>
      </c>
      <c r="D460" s="101">
        <v>15895257</v>
      </c>
      <c r="E460" s="101">
        <v>93.53</v>
      </c>
      <c r="G460" s="215">
        <v>45346</v>
      </c>
      <c r="H460" s="101">
        <v>1047959</v>
      </c>
      <c r="I460" s="101">
        <v>377425</v>
      </c>
      <c r="J460" s="101">
        <v>1425384</v>
      </c>
      <c r="K460" s="101">
        <v>73.52</v>
      </c>
      <c r="M460" s="215">
        <v>45346</v>
      </c>
      <c r="N460">
        <v>4035566</v>
      </c>
      <c r="O460">
        <v>3911029</v>
      </c>
      <c r="P460">
        <v>7946595</v>
      </c>
      <c r="Q460">
        <v>50.78</v>
      </c>
      <c r="S460" s="215">
        <v>45346</v>
      </c>
      <c r="T460" s="101">
        <v>1355070</v>
      </c>
      <c r="U460" s="101">
        <v>2655773</v>
      </c>
      <c r="V460" s="101">
        <v>4010843</v>
      </c>
      <c r="W460" s="101">
        <v>33.79</v>
      </c>
      <c r="Y460" s="215">
        <v>45346</v>
      </c>
      <c r="Z460" s="101">
        <v>1992235</v>
      </c>
      <c r="AA460" s="101">
        <v>786264</v>
      </c>
      <c r="AB460" s="101">
        <v>2778499</v>
      </c>
      <c r="AC460" s="101">
        <v>71.7</v>
      </c>
      <c r="AE460" s="215">
        <v>45346</v>
      </c>
      <c r="AF460" s="101">
        <v>1152477</v>
      </c>
      <c r="AG460" s="101">
        <v>16157</v>
      </c>
      <c r="AH460" s="101">
        <v>1168634</v>
      </c>
      <c r="AI460" s="101">
        <v>98.62</v>
      </c>
      <c r="AK460" s="215">
        <v>45346</v>
      </c>
      <c r="AL460" s="67">
        <v>843523</v>
      </c>
      <c r="AM460" s="67">
        <v>26</v>
      </c>
      <c r="AN460" s="67">
        <v>843549</v>
      </c>
      <c r="AO460" s="67">
        <v>100</v>
      </c>
      <c r="AQ460" s="215">
        <v>45346</v>
      </c>
      <c r="AR460" s="67">
        <v>840210</v>
      </c>
      <c r="AS460" s="67">
        <v>0</v>
      </c>
      <c r="AT460" s="67">
        <v>840210</v>
      </c>
      <c r="AU460" s="67">
        <v>100</v>
      </c>
    </row>
    <row r="461" spans="1:47" hidden="1" x14ac:dyDescent="0.25">
      <c r="A461" s="215">
        <v>45347</v>
      </c>
      <c r="B461" s="101">
        <v>12561816</v>
      </c>
      <c r="C461" s="101">
        <v>970339</v>
      </c>
      <c r="D461" s="101">
        <v>13532155</v>
      </c>
      <c r="E461" s="101">
        <v>92.83</v>
      </c>
      <c r="G461" s="215">
        <v>45347</v>
      </c>
      <c r="H461" s="101">
        <v>629665</v>
      </c>
      <c r="I461" s="101">
        <v>248569</v>
      </c>
      <c r="J461" s="101">
        <v>878234</v>
      </c>
      <c r="K461" s="101">
        <v>71.7</v>
      </c>
      <c r="M461" s="215">
        <v>45347</v>
      </c>
      <c r="N461">
        <v>3286527</v>
      </c>
      <c r="O461">
        <v>3648436</v>
      </c>
      <c r="P461">
        <v>6934963</v>
      </c>
      <c r="Q461">
        <v>47.39</v>
      </c>
      <c r="S461" s="215">
        <v>45347</v>
      </c>
      <c r="T461" s="101">
        <v>25070</v>
      </c>
      <c r="U461" s="101">
        <v>5997</v>
      </c>
      <c r="V461" s="101">
        <v>31067</v>
      </c>
      <c r="W461" s="101">
        <v>80.7</v>
      </c>
      <c r="Y461" s="215">
        <v>45347</v>
      </c>
      <c r="Z461" s="101">
        <v>1743034</v>
      </c>
      <c r="AA461" s="101">
        <v>707257</v>
      </c>
      <c r="AB461" s="101">
        <v>2450291</v>
      </c>
      <c r="AC461" s="101">
        <v>71.14</v>
      </c>
      <c r="AE461" s="215">
        <v>45347</v>
      </c>
      <c r="AF461" s="101">
        <v>1119793</v>
      </c>
      <c r="AG461" s="101">
        <v>14405</v>
      </c>
      <c r="AH461" s="101">
        <v>1134198</v>
      </c>
      <c r="AI461" s="101">
        <v>98.73</v>
      </c>
      <c r="AK461" s="215">
        <v>45347</v>
      </c>
      <c r="AL461" s="67">
        <v>808298</v>
      </c>
      <c r="AM461" s="67">
        <v>0</v>
      </c>
      <c r="AN461" s="67">
        <v>808298</v>
      </c>
      <c r="AO461" s="67">
        <v>100</v>
      </c>
      <c r="AQ461" s="215">
        <v>45347</v>
      </c>
      <c r="AR461" s="67">
        <v>524048</v>
      </c>
      <c r="AS461" s="67">
        <v>0</v>
      </c>
      <c r="AT461" s="67">
        <v>524048</v>
      </c>
      <c r="AU461" s="67">
        <v>100</v>
      </c>
    </row>
    <row r="462" spans="1:47" hidden="1" x14ac:dyDescent="0.25">
      <c r="A462" s="215">
        <v>45348</v>
      </c>
      <c r="B462" s="101">
        <v>14490682</v>
      </c>
      <c r="C462" s="101">
        <v>970270</v>
      </c>
      <c r="D462" s="101">
        <v>15460952</v>
      </c>
      <c r="E462" s="101">
        <v>93.72</v>
      </c>
      <c r="G462" s="215">
        <v>45348</v>
      </c>
      <c r="H462" s="101">
        <v>1158724</v>
      </c>
      <c r="I462" s="101">
        <v>419158</v>
      </c>
      <c r="J462" s="101">
        <v>1577882</v>
      </c>
      <c r="K462" s="101">
        <v>73.44</v>
      </c>
      <c r="M462" s="215">
        <v>45348</v>
      </c>
      <c r="N462">
        <v>3626665</v>
      </c>
      <c r="O462">
        <v>3174866</v>
      </c>
      <c r="P462">
        <v>6801531</v>
      </c>
      <c r="Q462">
        <v>53.32</v>
      </c>
      <c r="S462" s="215">
        <v>45348</v>
      </c>
      <c r="T462" s="101">
        <v>2582298</v>
      </c>
      <c r="U462" s="101">
        <v>2834489</v>
      </c>
      <c r="V462" s="101">
        <v>5416787</v>
      </c>
      <c r="W462" s="101">
        <v>47.67</v>
      </c>
      <c r="Y462" s="215">
        <v>45348</v>
      </c>
      <c r="Z462" s="101">
        <v>1829107</v>
      </c>
      <c r="AA462" s="101">
        <v>761190</v>
      </c>
      <c r="AB462" s="101">
        <v>2590297</v>
      </c>
      <c r="AC462" s="101">
        <v>70.61</v>
      </c>
      <c r="AE462" s="215">
        <v>45348</v>
      </c>
      <c r="AF462" s="101">
        <v>1128879</v>
      </c>
      <c r="AG462" s="101">
        <v>17599</v>
      </c>
      <c r="AH462" s="101">
        <v>1146478</v>
      </c>
      <c r="AI462" s="101">
        <v>98.46</v>
      </c>
      <c r="AK462" s="215">
        <v>45348</v>
      </c>
      <c r="AL462" s="67">
        <v>746869</v>
      </c>
      <c r="AM462" s="67">
        <v>388</v>
      </c>
      <c r="AN462" s="67">
        <v>747257</v>
      </c>
      <c r="AO462" s="67">
        <v>99.95</v>
      </c>
      <c r="AQ462" s="215">
        <v>45348</v>
      </c>
      <c r="AR462" s="67">
        <v>1012388</v>
      </c>
      <c r="AS462" s="67">
        <v>0</v>
      </c>
      <c r="AT462" s="67">
        <v>1012388</v>
      </c>
      <c r="AU462" s="67">
        <v>100</v>
      </c>
    </row>
    <row r="463" spans="1:47" hidden="1" x14ac:dyDescent="0.25">
      <c r="A463" s="215">
        <v>45349</v>
      </c>
      <c r="B463" s="101">
        <v>14453675</v>
      </c>
      <c r="C463" s="101">
        <v>974932</v>
      </c>
      <c r="D463" s="101">
        <v>15428607</v>
      </c>
      <c r="E463" s="101">
        <v>93.68</v>
      </c>
      <c r="G463" s="215">
        <v>45349</v>
      </c>
      <c r="H463" s="101">
        <v>1473804</v>
      </c>
      <c r="I463" s="101">
        <v>526378</v>
      </c>
      <c r="J463" s="101">
        <v>2000182</v>
      </c>
      <c r="K463" s="101">
        <v>73.680000000000007</v>
      </c>
      <c r="M463" s="215">
        <v>45349</v>
      </c>
      <c r="N463">
        <v>2802538</v>
      </c>
      <c r="O463">
        <v>3266830</v>
      </c>
      <c r="P463">
        <v>6069368</v>
      </c>
      <c r="Q463">
        <v>46.17</v>
      </c>
      <c r="S463" s="215">
        <v>45349</v>
      </c>
      <c r="T463" s="101">
        <v>1670235</v>
      </c>
      <c r="U463" s="101">
        <v>2507011</v>
      </c>
      <c r="V463" s="101">
        <v>4177246</v>
      </c>
      <c r="W463" s="101">
        <v>39.979999999999997</v>
      </c>
      <c r="Y463" s="215">
        <v>45349</v>
      </c>
      <c r="Z463" s="101">
        <v>2247751</v>
      </c>
      <c r="AA463" s="101">
        <v>736412</v>
      </c>
      <c r="AB463" s="101">
        <v>2984163</v>
      </c>
      <c r="AC463" s="101">
        <v>75.319999999999993</v>
      </c>
      <c r="AE463" s="215">
        <v>45349</v>
      </c>
      <c r="AF463" s="101">
        <v>1171492</v>
      </c>
      <c r="AG463" s="101">
        <v>16744</v>
      </c>
      <c r="AH463" s="101">
        <v>1188236</v>
      </c>
      <c r="AI463" s="101">
        <v>98.59</v>
      </c>
      <c r="AK463" s="215">
        <v>45349</v>
      </c>
      <c r="AL463" s="48">
        <v>922683</v>
      </c>
      <c r="AM463" s="67">
        <v>3</v>
      </c>
      <c r="AN463" s="48">
        <v>922686</v>
      </c>
      <c r="AO463" s="67">
        <v>100</v>
      </c>
      <c r="AQ463" s="215">
        <v>45349</v>
      </c>
      <c r="AR463" s="48">
        <v>1219266</v>
      </c>
      <c r="AS463" s="48">
        <v>629</v>
      </c>
      <c r="AT463" s="48">
        <v>1219895</v>
      </c>
      <c r="AU463" s="48">
        <v>99.95</v>
      </c>
    </row>
    <row r="464" spans="1:47" hidden="1" x14ac:dyDescent="0.25">
      <c r="A464" s="215">
        <v>45350</v>
      </c>
      <c r="B464" s="101">
        <v>13785763</v>
      </c>
      <c r="C464" s="101">
        <v>997083</v>
      </c>
      <c r="D464" s="101">
        <v>14782846</v>
      </c>
      <c r="E464" s="101">
        <v>93.26</v>
      </c>
      <c r="G464" s="215">
        <v>45350</v>
      </c>
      <c r="H464" s="101">
        <v>812488</v>
      </c>
      <c r="I464" s="101">
        <v>303027</v>
      </c>
      <c r="J464" s="101">
        <v>1115515</v>
      </c>
      <c r="K464" s="101">
        <v>72.84</v>
      </c>
      <c r="M464" s="215">
        <v>45350</v>
      </c>
      <c r="N464">
        <v>3311451</v>
      </c>
      <c r="O464">
        <v>3329381</v>
      </c>
      <c r="P464">
        <v>6640832</v>
      </c>
      <c r="Q464">
        <v>49.86</v>
      </c>
      <c r="S464" s="215">
        <v>45350</v>
      </c>
      <c r="T464" s="101">
        <v>2168614</v>
      </c>
      <c r="U464" s="101">
        <v>2852064</v>
      </c>
      <c r="V464" s="101">
        <v>5020678</v>
      </c>
      <c r="W464" s="101">
        <v>43.19</v>
      </c>
      <c r="Y464" s="215">
        <v>45350</v>
      </c>
      <c r="Z464" s="101">
        <v>4507679</v>
      </c>
      <c r="AA464" s="101">
        <v>1151831</v>
      </c>
      <c r="AB464" s="101">
        <v>5659510</v>
      </c>
      <c r="AC464" s="101">
        <v>79.650000000000006</v>
      </c>
      <c r="AE464" s="215">
        <v>45350</v>
      </c>
      <c r="AF464" s="101">
        <v>1088917</v>
      </c>
      <c r="AG464" s="101">
        <v>11581</v>
      </c>
      <c r="AH464" s="101">
        <v>1100498</v>
      </c>
      <c r="AI464" s="101">
        <v>98.95</v>
      </c>
      <c r="AK464" s="215">
        <v>45350</v>
      </c>
      <c r="AL464" s="67">
        <v>1021076</v>
      </c>
      <c r="AM464" s="67">
        <v>12</v>
      </c>
      <c r="AN464" s="67">
        <v>1021088</v>
      </c>
      <c r="AO464" s="67">
        <v>100</v>
      </c>
      <c r="AQ464" s="215">
        <v>45350</v>
      </c>
      <c r="AR464" s="67">
        <v>699725</v>
      </c>
      <c r="AS464" s="67">
        <v>0</v>
      </c>
      <c r="AT464" s="67">
        <v>699725</v>
      </c>
      <c r="AU464" s="67">
        <v>100</v>
      </c>
    </row>
    <row r="465" spans="1:47" hidden="1" x14ac:dyDescent="0.25">
      <c r="A465" s="215">
        <v>45351</v>
      </c>
      <c r="B465" s="101">
        <v>13897662</v>
      </c>
      <c r="C465" s="101">
        <v>927174</v>
      </c>
      <c r="D465" s="101">
        <v>14824836</v>
      </c>
      <c r="E465" s="101">
        <v>93.75</v>
      </c>
      <c r="G465" s="215">
        <v>45351</v>
      </c>
      <c r="H465" s="101">
        <v>668397</v>
      </c>
      <c r="I465" s="101">
        <v>259357</v>
      </c>
      <c r="J465" s="101">
        <v>927754</v>
      </c>
      <c r="K465" s="101">
        <v>72.040000000000006</v>
      </c>
      <c r="M465" s="215">
        <v>45351</v>
      </c>
      <c r="N465">
        <v>3029512</v>
      </c>
      <c r="O465">
        <v>3437493</v>
      </c>
      <c r="P465">
        <v>6467005</v>
      </c>
      <c r="Q465">
        <v>46.84</v>
      </c>
      <c r="S465" s="215">
        <v>45351</v>
      </c>
      <c r="T465" s="101">
        <v>1666043</v>
      </c>
      <c r="U465" s="101">
        <v>2019569</v>
      </c>
      <c r="V465" s="101">
        <v>3685612</v>
      </c>
      <c r="W465" s="101">
        <v>45.2</v>
      </c>
      <c r="Y465" s="215">
        <v>45351</v>
      </c>
      <c r="Z465" s="101">
        <v>2368670</v>
      </c>
      <c r="AA465" s="101">
        <v>1075150</v>
      </c>
      <c r="AB465" s="101">
        <v>3443820</v>
      </c>
      <c r="AC465" s="101">
        <v>68.78</v>
      </c>
      <c r="AE465" s="215">
        <v>45351</v>
      </c>
      <c r="AF465" s="101">
        <v>1102389</v>
      </c>
      <c r="AG465" s="101">
        <v>12401</v>
      </c>
      <c r="AH465" s="101">
        <v>1114790</v>
      </c>
      <c r="AI465" s="101">
        <v>98.89</v>
      </c>
      <c r="AK465" s="215">
        <v>45351</v>
      </c>
      <c r="AL465" s="67">
        <v>749066</v>
      </c>
      <c r="AM465" s="67">
        <v>644</v>
      </c>
      <c r="AN465" s="67">
        <v>749710</v>
      </c>
      <c r="AO465" s="67">
        <v>99.91</v>
      </c>
      <c r="AQ465" s="215">
        <v>45351</v>
      </c>
      <c r="AR465" s="48">
        <v>560930</v>
      </c>
      <c r="AS465" s="67">
        <v>0</v>
      </c>
      <c r="AT465" s="48">
        <v>560930</v>
      </c>
      <c r="AU465" s="67">
        <v>100</v>
      </c>
    </row>
    <row r="466" spans="1:47" hidden="1" x14ac:dyDescent="0.25">
      <c r="A466" s="215">
        <v>45352</v>
      </c>
      <c r="B466" s="101">
        <v>14969879</v>
      </c>
      <c r="C466" s="101">
        <v>1011098</v>
      </c>
      <c r="D466" s="101">
        <v>15980977</v>
      </c>
      <c r="E466" s="101">
        <v>93.67</v>
      </c>
      <c r="G466" s="215">
        <v>45352</v>
      </c>
      <c r="H466" s="101">
        <v>8807704</v>
      </c>
      <c r="I466" s="101">
        <v>3253968</v>
      </c>
      <c r="J466" s="101">
        <v>12061672</v>
      </c>
      <c r="K466" s="101">
        <v>73.02</v>
      </c>
      <c r="M466" s="215">
        <v>45352</v>
      </c>
      <c r="N466">
        <v>2831793</v>
      </c>
      <c r="O466">
        <v>2558335</v>
      </c>
      <c r="P466">
        <v>5390128</v>
      </c>
      <c r="Q466" s="58">
        <v>52.5366559</v>
      </c>
      <c r="S466" s="215">
        <v>45352</v>
      </c>
      <c r="T466" s="101">
        <v>2930945</v>
      </c>
      <c r="U466" s="101">
        <v>3410672</v>
      </c>
      <c r="V466" s="101">
        <v>6341617</v>
      </c>
      <c r="W466" s="101">
        <v>46.22</v>
      </c>
      <c r="Y466" s="215">
        <v>45352</v>
      </c>
      <c r="Z466" s="101">
        <v>2455703</v>
      </c>
      <c r="AA466" s="101">
        <v>835257</v>
      </c>
      <c r="AB466" s="101">
        <v>3290960</v>
      </c>
      <c r="AC466" s="101">
        <v>74.62</v>
      </c>
      <c r="AE466" s="215">
        <v>45352</v>
      </c>
      <c r="AF466" s="101">
        <v>1163995</v>
      </c>
      <c r="AG466" s="101">
        <v>14023</v>
      </c>
      <c r="AH466" s="101">
        <v>1178018</v>
      </c>
      <c r="AI466" s="101">
        <v>98.81</v>
      </c>
      <c r="AK466" s="215">
        <v>45352</v>
      </c>
      <c r="AL466" s="67">
        <v>705364</v>
      </c>
      <c r="AM466" s="67">
        <v>0</v>
      </c>
      <c r="AN466" s="67">
        <v>705364</v>
      </c>
      <c r="AO466" s="67">
        <v>100</v>
      </c>
      <c r="AQ466" s="215">
        <v>45352</v>
      </c>
      <c r="AR466" s="48">
        <v>6206691</v>
      </c>
      <c r="AS466" s="67">
        <v>0</v>
      </c>
      <c r="AT466" s="48">
        <v>6206691</v>
      </c>
      <c r="AU466" s="67">
        <v>100</v>
      </c>
    </row>
    <row r="467" spans="1:47" hidden="1" x14ac:dyDescent="0.25">
      <c r="A467" s="215">
        <v>45353</v>
      </c>
      <c r="B467" s="101">
        <v>14996213</v>
      </c>
      <c r="C467" s="101">
        <v>993827</v>
      </c>
      <c r="D467" s="101">
        <v>15990040</v>
      </c>
      <c r="E467" s="101">
        <v>93.78</v>
      </c>
      <c r="G467" s="215">
        <v>45353</v>
      </c>
      <c r="H467" s="101">
        <v>6535856</v>
      </c>
      <c r="I467" s="101">
        <v>2602180</v>
      </c>
      <c r="J467" s="101">
        <v>9138036</v>
      </c>
      <c r="K467" s="101">
        <v>71.52</v>
      </c>
      <c r="M467" s="215">
        <v>45353</v>
      </c>
      <c r="N467">
        <v>3975121</v>
      </c>
      <c r="O467">
        <v>3469080</v>
      </c>
      <c r="P467">
        <v>7444201</v>
      </c>
      <c r="Q467" s="58">
        <v>53.398893999999999</v>
      </c>
      <c r="S467" s="215">
        <v>45353</v>
      </c>
      <c r="T467" s="101">
        <v>1542883</v>
      </c>
      <c r="U467" s="101">
        <v>2896788</v>
      </c>
      <c r="V467" s="101">
        <v>4439671</v>
      </c>
      <c r="W467" s="101">
        <v>34.75</v>
      </c>
      <c r="Y467" s="215">
        <v>45353</v>
      </c>
      <c r="Z467" s="101">
        <v>2437537</v>
      </c>
      <c r="AA467" s="101">
        <v>825313</v>
      </c>
      <c r="AB467" s="101">
        <v>3262850</v>
      </c>
      <c r="AC467" s="101">
        <v>74.709999999999994</v>
      </c>
      <c r="AE467" s="215">
        <v>45353</v>
      </c>
      <c r="AF467" s="101">
        <v>1158289</v>
      </c>
      <c r="AG467" s="101">
        <v>13788</v>
      </c>
      <c r="AH467" s="101">
        <v>1172077</v>
      </c>
      <c r="AI467" s="101">
        <v>98.82</v>
      </c>
      <c r="AK467" s="215">
        <v>45353</v>
      </c>
      <c r="AL467" s="48">
        <v>825360</v>
      </c>
      <c r="AM467" s="67">
        <v>0</v>
      </c>
      <c r="AN467" s="48">
        <v>825360</v>
      </c>
      <c r="AO467" s="67">
        <v>100</v>
      </c>
      <c r="AQ467" s="215">
        <v>45353</v>
      </c>
      <c r="AR467" s="48">
        <v>4608988</v>
      </c>
      <c r="AS467" s="67">
        <v>0</v>
      </c>
      <c r="AT467" s="48">
        <v>4608988</v>
      </c>
      <c r="AU467" s="67">
        <v>100</v>
      </c>
    </row>
    <row r="468" spans="1:47" hidden="1" x14ac:dyDescent="0.25">
      <c r="A468" s="215">
        <v>45354</v>
      </c>
      <c r="B468" s="101">
        <v>11635940</v>
      </c>
      <c r="C468" s="101">
        <v>908183</v>
      </c>
      <c r="D468" s="101">
        <v>12544123</v>
      </c>
      <c r="E468" s="101">
        <v>92.76</v>
      </c>
      <c r="G468" s="215">
        <v>45354</v>
      </c>
      <c r="H468" s="101">
        <v>306844</v>
      </c>
      <c r="I468" s="101">
        <v>140625</v>
      </c>
      <c r="J468" s="101">
        <v>447469</v>
      </c>
      <c r="K468" s="101">
        <v>68.569999999999993</v>
      </c>
      <c r="M468" s="215">
        <v>45354</v>
      </c>
      <c r="N468">
        <v>3370732</v>
      </c>
      <c r="O468">
        <v>3262732</v>
      </c>
      <c r="P468">
        <v>6633464</v>
      </c>
      <c r="Q468" s="58">
        <v>50.814054300000002</v>
      </c>
      <c r="S468" s="215">
        <v>45354</v>
      </c>
      <c r="T468" s="101">
        <v>22841</v>
      </c>
      <c r="U468" s="101">
        <v>4490</v>
      </c>
      <c r="V468" s="101">
        <v>27331</v>
      </c>
      <c r="W468" s="101">
        <v>83.57</v>
      </c>
      <c r="Y468" s="215">
        <v>45354</v>
      </c>
      <c r="Z468" s="101">
        <v>2140894</v>
      </c>
      <c r="AA468" s="101">
        <v>771521</v>
      </c>
      <c r="AB468" s="101">
        <v>2912415</v>
      </c>
      <c r="AC468" s="101">
        <v>73.510000000000005</v>
      </c>
      <c r="AE468" s="215">
        <v>45354</v>
      </c>
      <c r="AF468" s="101">
        <v>1098121</v>
      </c>
      <c r="AG468" s="101">
        <v>11551</v>
      </c>
      <c r="AH468" s="101">
        <v>1109672</v>
      </c>
      <c r="AI468" s="101">
        <v>98.96</v>
      </c>
      <c r="AK468" s="215">
        <v>45354</v>
      </c>
      <c r="AL468" s="48">
        <v>781196</v>
      </c>
      <c r="AM468" s="67">
        <v>0</v>
      </c>
      <c r="AN468" s="48">
        <v>781196</v>
      </c>
      <c r="AO468" s="67">
        <v>100</v>
      </c>
      <c r="AQ468" s="215">
        <v>45354</v>
      </c>
      <c r="AR468" s="48">
        <v>252562</v>
      </c>
      <c r="AS468" s="67">
        <v>0</v>
      </c>
      <c r="AT468" s="48">
        <v>252562</v>
      </c>
      <c r="AU468" s="67">
        <v>100</v>
      </c>
    </row>
    <row r="469" spans="1:47" hidden="1" x14ac:dyDescent="0.25">
      <c r="A469" s="215">
        <v>45355</v>
      </c>
      <c r="B469">
        <v>15177269</v>
      </c>
      <c r="C469">
        <v>1068384</v>
      </c>
      <c r="D469">
        <v>16245653</v>
      </c>
      <c r="E469">
        <v>93.42</v>
      </c>
      <c r="G469" s="215">
        <v>45355</v>
      </c>
      <c r="H469">
        <v>983718</v>
      </c>
      <c r="I469">
        <v>343628</v>
      </c>
      <c r="J469">
        <v>1327346</v>
      </c>
      <c r="K469">
        <v>74.11</v>
      </c>
      <c r="M469" s="215">
        <v>45355</v>
      </c>
      <c r="N469">
        <v>3477170</v>
      </c>
      <c r="O469">
        <v>2966757</v>
      </c>
      <c r="P469">
        <v>6443927</v>
      </c>
      <c r="Q469">
        <v>53.96</v>
      </c>
      <c r="S469" s="215">
        <v>45355</v>
      </c>
      <c r="T469">
        <v>1350041</v>
      </c>
      <c r="U469">
        <v>2648470</v>
      </c>
      <c r="V469">
        <v>3998511</v>
      </c>
      <c r="W469">
        <v>33.76</v>
      </c>
      <c r="Y469" s="215">
        <v>45355</v>
      </c>
      <c r="Z469">
        <v>2138004</v>
      </c>
      <c r="AA469">
        <v>690586</v>
      </c>
      <c r="AB469">
        <v>2828590</v>
      </c>
      <c r="AC469">
        <v>75.58</v>
      </c>
      <c r="AE469" s="215">
        <v>45355</v>
      </c>
      <c r="AF469">
        <v>1113801</v>
      </c>
      <c r="AG469">
        <v>18194</v>
      </c>
      <c r="AH469">
        <v>1131995</v>
      </c>
      <c r="AI469">
        <v>98.39</v>
      </c>
      <c r="AK469" s="215">
        <v>45355</v>
      </c>
      <c r="AL469" s="48">
        <v>786598</v>
      </c>
      <c r="AM469" s="67">
        <v>0</v>
      </c>
      <c r="AN469" s="48">
        <v>786598</v>
      </c>
      <c r="AO469" s="67">
        <v>100</v>
      </c>
      <c r="AQ469" s="215">
        <v>45355</v>
      </c>
      <c r="AR469" s="67">
        <v>858142</v>
      </c>
      <c r="AS469" s="67">
        <v>0</v>
      </c>
      <c r="AT469" s="67">
        <v>858142</v>
      </c>
      <c r="AU469" s="67">
        <v>100</v>
      </c>
    </row>
    <row r="470" spans="1:47" hidden="1" x14ac:dyDescent="0.25">
      <c r="A470" s="215">
        <v>45356</v>
      </c>
      <c r="B470" s="101">
        <v>15168497</v>
      </c>
      <c r="C470" s="101">
        <v>1072792</v>
      </c>
      <c r="D470" s="101">
        <v>16241289</v>
      </c>
      <c r="E470" s="101">
        <v>93.39</v>
      </c>
      <c r="G470" s="215">
        <v>45356</v>
      </c>
      <c r="H470" s="101">
        <v>507002</v>
      </c>
      <c r="I470" s="101">
        <v>272669</v>
      </c>
      <c r="J470" s="101">
        <v>779671</v>
      </c>
      <c r="K470" s="101">
        <v>65.03</v>
      </c>
      <c r="M470" s="215">
        <v>45356</v>
      </c>
      <c r="N470">
        <v>3472834</v>
      </c>
      <c r="O470">
        <v>3821419</v>
      </c>
      <c r="P470">
        <v>7294253</v>
      </c>
      <c r="Q470">
        <v>47.61</v>
      </c>
      <c r="S470" s="215">
        <v>45356</v>
      </c>
      <c r="T470" s="101">
        <v>1316018</v>
      </c>
      <c r="U470" s="101">
        <v>2670568</v>
      </c>
      <c r="V470" s="101">
        <v>3986586</v>
      </c>
      <c r="W470" s="101">
        <v>33.01</v>
      </c>
      <c r="Y470" s="215">
        <v>45356</v>
      </c>
      <c r="Z470" s="101">
        <v>2306996</v>
      </c>
      <c r="AA470" s="101">
        <v>728319</v>
      </c>
      <c r="AB470" s="101">
        <v>3035315</v>
      </c>
      <c r="AC470" s="101">
        <v>76.010000000000005</v>
      </c>
      <c r="AE470" s="215">
        <v>45356</v>
      </c>
      <c r="AF470" s="101">
        <v>1167579</v>
      </c>
      <c r="AG470" s="101">
        <v>19428</v>
      </c>
      <c r="AH470" s="101">
        <v>1187007</v>
      </c>
      <c r="AI470" s="101">
        <v>98.36</v>
      </c>
      <c r="AK470" s="215">
        <v>45356</v>
      </c>
      <c r="AL470" s="48">
        <v>562634</v>
      </c>
      <c r="AM470" s="67">
        <v>0</v>
      </c>
      <c r="AN470" s="48">
        <v>562634</v>
      </c>
      <c r="AO470" s="67">
        <v>100</v>
      </c>
      <c r="AQ470" s="215">
        <v>45356</v>
      </c>
      <c r="AR470" s="48">
        <v>418577</v>
      </c>
      <c r="AS470" s="67">
        <v>0</v>
      </c>
      <c r="AT470" s="48">
        <v>418577</v>
      </c>
      <c r="AU470" s="67">
        <v>100</v>
      </c>
    </row>
    <row r="471" spans="1:47" hidden="1" x14ac:dyDescent="0.25">
      <c r="A471" s="215">
        <v>45357</v>
      </c>
      <c r="B471" s="101">
        <v>14596383</v>
      </c>
      <c r="C471" s="101">
        <v>990675</v>
      </c>
      <c r="D471" s="101">
        <v>15587058</v>
      </c>
      <c r="E471" s="101">
        <v>93.64</v>
      </c>
      <c r="G471" s="215">
        <v>45357</v>
      </c>
      <c r="H471" s="101">
        <v>541062</v>
      </c>
      <c r="I471" s="101">
        <v>218020</v>
      </c>
      <c r="J471" s="101">
        <v>759082</v>
      </c>
      <c r="K471" s="101">
        <v>71.28</v>
      </c>
      <c r="M471" s="215">
        <v>45357</v>
      </c>
      <c r="N471">
        <v>3776104</v>
      </c>
      <c r="O471">
        <v>3300323</v>
      </c>
      <c r="P471">
        <v>7076427</v>
      </c>
      <c r="Q471">
        <v>53.36</v>
      </c>
      <c r="S471" s="215">
        <v>45357</v>
      </c>
      <c r="T471" s="101">
        <v>1404444</v>
      </c>
      <c r="U471" s="101">
        <v>2556897</v>
      </c>
      <c r="V471" s="101">
        <v>3961341</v>
      </c>
      <c r="W471" s="101">
        <v>35.450000000000003</v>
      </c>
      <c r="Y471" s="215">
        <v>45357</v>
      </c>
      <c r="Z471" s="101">
        <v>2385436</v>
      </c>
      <c r="AA471" s="101">
        <v>889705</v>
      </c>
      <c r="AB471" s="101">
        <v>3275141</v>
      </c>
      <c r="AC471" s="101">
        <v>72.83</v>
      </c>
      <c r="AE471" s="215">
        <v>45357</v>
      </c>
      <c r="AF471" s="101">
        <v>1115984</v>
      </c>
      <c r="AG471" s="101">
        <v>10802</v>
      </c>
      <c r="AH471" s="101">
        <v>1126786</v>
      </c>
      <c r="AI471" s="101">
        <v>99.04</v>
      </c>
      <c r="AK471" s="215">
        <v>45357</v>
      </c>
      <c r="AL471" s="48">
        <v>592061</v>
      </c>
      <c r="AM471" s="67">
        <v>895</v>
      </c>
      <c r="AN471" s="48">
        <v>592956</v>
      </c>
      <c r="AO471" s="48">
        <v>99.85</v>
      </c>
      <c r="AQ471" s="215">
        <v>45357</v>
      </c>
      <c r="AR471" s="67">
        <v>457284</v>
      </c>
      <c r="AS471" s="67">
        <v>0</v>
      </c>
      <c r="AT471" s="67">
        <v>457284</v>
      </c>
      <c r="AU471" s="67">
        <v>100</v>
      </c>
    </row>
    <row r="472" spans="1:47" hidden="1" x14ac:dyDescent="0.25">
      <c r="A472" s="215">
        <v>45358</v>
      </c>
      <c r="B472" s="101">
        <v>13811870</v>
      </c>
      <c r="C472" s="101">
        <v>946058</v>
      </c>
      <c r="D472" s="101">
        <v>14757928</v>
      </c>
      <c r="E472" s="101">
        <v>93.59</v>
      </c>
      <c r="G472" s="215">
        <v>45358</v>
      </c>
      <c r="H472" s="101">
        <v>9021947</v>
      </c>
      <c r="I472" s="101">
        <v>3686329</v>
      </c>
      <c r="J472" s="101">
        <v>12708276</v>
      </c>
      <c r="K472" s="101">
        <v>70.989999999999995</v>
      </c>
      <c r="M472" s="215">
        <v>45358</v>
      </c>
      <c r="N472">
        <v>2526678</v>
      </c>
      <c r="O472">
        <v>2923666</v>
      </c>
      <c r="P472">
        <v>5450344</v>
      </c>
      <c r="Q472">
        <v>46.35</v>
      </c>
      <c r="S472" s="215">
        <v>45358</v>
      </c>
      <c r="T472" s="101">
        <v>1974624</v>
      </c>
      <c r="U472" s="101">
        <v>2403707</v>
      </c>
      <c r="V472" s="101">
        <v>4378331</v>
      </c>
      <c r="W472" s="101">
        <v>45.1</v>
      </c>
      <c r="Y472" s="215">
        <v>45358</v>
      </c>
      <c r="Z472" s="101">
        <v>2485901</v>
      </c>
      <c r="AA472" s="101">
        <v>1186298</v>
      </c>
      <c r="AB472" s="101">
        <v>3672199</v>
      </c>
      <c r="AC472" s="101">
        <v>67.7</v>
      </c>
      <c r="AE472" s="215">
        <v>45358</v>
      </c>
      <c r="AF472" s="101">
        <v>1087560</v>
      </c>
      <c r="AG472" s="101">
        <v>11092</v>
      </c>
      <c r="AH472" s="101">
        <v>1098652</v>
      </c>
      <c r="AI472" s="101">
        <v>98.99</v>
      </c>
      <c r="AK472" s="215">
        <v>45358</v>
      </c>
      <c r="AL472" s="67">
        <v>638003</v>
      </c>
      <c r="AM472" s="67">
        <v>583</v>
      </c>
      <c r="AN472" s="67">
        <v>638586</v>
      </c>
      <c r="AO472" s="67">
        <v>99.91</v>
      </c>
      <c r="AQ472" s="215">
        <v>45358</v>
      </c>
      <c r="AR472" s="48">
        <v>5545052</v>
      </c>
      <c r="AS472" s="67">
        <v>0</v>
      </c>
      <c r="AT472" s="48">
        <v>5545052</v>
      </c>
      <c r="AU472" s="67">
        <v>100</v>
      </c>
    </row>
    <row r="473" spans="1:47" hidden="1" x14ac:dyDescent="0.25">
      <c r="A473" s="215">
        <v>45359</v>
      </c>
      <c r="B473" s="101">
        <v>15324432</v>
      </c>
      <c r="C473" s="101">
        <v>972023</v>
      </c>
      <c r="D473" s="101">
        <v>16296455</v>
      </c>
      <c r="E473" s="101">
        <v>94.03</v>
      </c>
      <c r="G473" s="215">
        <v>45359</v>
      </c>
      <c r="H473" s="101">
        <v>8931895</v>
      </c>
      <c r="I473" s="101">
        <v>3751368</v>
      </c>
      <c r="J473" s="101">
        <v>12683263</v>
      </c>
      <c r="K473" s="101">
        <v>70.42</v>
      </c>
      <c r="M473" s="215">
        <v>45359</v>
      </c>
      <c r="N473">
        <v>2679140</v>
      </c>
      <c r="O473">
        <v>2109585</v>
      </c>
      <c r="P473">
        <v>4788725</v>
      </c>
      <c r="Q473">
        <v>55.94</v>
      </c>
      <c r="S473" s="215">
        <v>45359</v>
      </c>
      <c r="T473" s="101">
        <v>6680442</v>
      </c>
      <c r="U473" s="101">
        <v>4460736</v>
      </c>
      <c r="V473" s="101">
        <v>11141178</v>
      </c>
      <c r="W473" s="101">
        <v>59.96</v>
      </c>
      <c r="Y473" s="215">
        <v>45359</v>
      </c>
      <c r="Z473" s="101">
        <v>2193404</v>
      </c>
      <c r="AA473" s="101">
        <v>995120</v>
      </c>
      <c r="AB473" s="101">
        <v>3188524</v>
      </c>
      <c r="AC473" s="101">
        <v>68.790000000000006</v>
      </c>
      <c r="AE473" s="215">
        <v>45359</v>
      </c>
      <c r="AF473" s="101">
        <v>1174314</v>
      </c>
      <c r="AG473" s="101">
        <v>12192</v>
      </c>
      <c r="AH473" s="101">
        <v>1186506</v>
      </c>
      <c r="AI473" s="101">
        <v>98.97</v>
      </c>
      <c r="AK473" s="215">
        <v>45359</v>
      </c>
      <c r="AL473" s="48">
        <v>761080</v>
      </c>
      <c r="AM473" s="67">
        <v>0</v>
      </c>
      <c r="AN473" s="48">
        <v>761080</v>
      </c>
      <c r="AO473" s="67">
        <v>100</v>
      </c>
      <c r="AQ473" s="215">
        <v>45359</v>
      </c>
      <c r="AR473" s="48">
        <v>5515518</v>
      </c>
      <c r="AS473" s="67">
        <v>0</v>
      </c>
      <c r="AT473" s="48">
        <v>5515518</v>
      </c>
      <c r="AU473" s="67">
        <v>100</v>
      </c>
    </row>
    <row r="474" spans="1:47" hidden="1" x14ac:dyDescent="0.25">
      <c r="A474" s="215">
        <v>45360</v>
      </c>
      <c r="B474" s="101">
        <v>14699939</v>
      </c>
      <c r="C474" s="101">
        <v>1263141</v>
      </c>
      <c r="D474" s="101">
        <v>15963080</v>
      </c>
      <c r="E474" s="101">
        <v>92.09</v>
      </c>
      <c r="G474" s="215">
        <v>45360</v>
      </c>
      <c r="H474" s="101">
        <v>663415</v>
      </c>
      <c r="I474" s="101">
        <v>283708</v>
      </c>
      <c r="J474" s="101">
        <v>947123</v>
      </c>
      <c r="K474" s="101">
        <v>70.05</v>
      </c>
      <c r="M474" s="215">
        <v>45360</v>
      </c>
      <c r="N474" s="101">
        <v>3770570</v>
      </c>
      <c r="O474" s="101">
        <v>3209214</v>
      </c>
      <c r="P474" s="101">
        <v>6979784</v>
      </c>
      <c r="Q474" s="101">
        <v>54.02</v>
      </c>
      <c r="S474" s="215">
        <v>45360</v>
      </c>
      <c r="T474" s="101">
        <v>5754198</v>
      </c>
      <c r="U474" s="101">
        <v>4574980</v>
      </c>
      <c r="V474" s="101">
        <v>10329178</v>
      </c>
      <c r="W474" s="101">
        <v>55.71</v>
      </c>
      <c r="Y474" s="215">
        <v>45360</v>
      </c>
      <c r="Z474" s="101">
        <v>2053112</v>
      </c>
      <c r="AA474" s="101">
        <v>820751</v>
      </c>
      <c r="AB474" s="101">
        <v>2873863</v>
      </c>
      <c r="AC474" s="101">
        <v>71.44</v>
      </c>
      <c r="AE474" s="215">
        <v>45360</v>
      </c>
      <c r="AF474" s="101">
        <v>1120912</v>
      </c>
      <c r="AG474" s="101">
        <v>12008</v>
      </c>
      <c r="AH474" s="101">
        <v>1132920</v>
      </c>
      <c r="AI474" s="101">
        <v>98.94</v>
      </c>
      <c r="AK474" s="215">
        <v>45360</v>
      </c>
      <c r="AL474" s="67">
        <v>853063</v>
      </c>
      <c r="AM474" s="67">
        <v>0</v>
      </c>
      <c r="AN474" s="67">
        <v>853063</v>
      </c>
      <c r="AO474" s="67">
        <v>100</v>
      </c>
      <c r="AQ474" s="215">
        <v>45360</v>
      </c>
      <c r="AR474" s="48">
        <v>532781</v>
      </c>
      <c r="AS474" s="67">
        <v>0</v>
      </c>
      <c r="AT474" s="48">
        <v>532781</v>
      </c>
      <c r="AU474" s="67">
        <v>100</v>
      </c>
    </row>
    <row r="475" spans="1:47" hidden="1" x14ac:dyDescent="0.25">
      <c r="A475" s="215">
        <v>45361</v>
      </c>
      <c r="B475" s="101">
        <v>12932975</v>
      </c>
      <c r="C475" s="101">
        <v>649977</v>
      </c>
      <c r="D475" s="101">
        <v>13582952</v>
      </c>
      <c r="E475" s="101">
        <v>95.21</v>
      </c>
      <c r="G475" s="215">
        <v>45361</v>
      </c>
      <c r="H475" s="101">
        <v>318486</v>
      </c>
      <c r="I475" s="101">
        <v>90155</v>
      </c>
      <c r="J475" s="101">
        <v>408641</v>
      </c>
      <c r="K475" s="101">
        <v>77.94</v>
      </c>
      <c r="M475" s="215">
        <v>45361</v>
      </c>
      <c r="N475" s="101">
        <v>3887629</v>
      </c>
      <c r="O475" s="101">
        <v>3513927</v>
      </c>
      <c r="P475" s="101">
        <v>7401556</v>
      </c>
      <c r="Q475" s="101">
        <v>52.52</v>
      </c>
      <c r="S475" s="215">
        <v>45361</v>
      </c>
      <c r="T475" s="101">
        <v>3542584</v>
      </c>
      <c r="U475" s="101">
        <v>1436953</v>
      </c>
      <c r="V475" s="101">
        <v>4979537</v>
      </c>
      <c r="W475" s="101">
        <v>71.14</v>
      </c>
      <c r="Y475" s="215">
        <v>45361</v>
      </c>
      <c r="Z475" s="101">
        <v>1728658</v>
      </c>
      <c r="AA475" s="101">
        <v>569593</v>
      </c>
      <c r="AB475" s="101">
        <v>2298251</v>
      </c>
      <c r="AC475" s="101">
        <v>75.22</v>
      </c>
      <c r="AE475" s="215">
        <v>45361</v>
      </c>
      <c r="AF475" s="101">
        <v>1114926</v>
      </c>
      <c r="AG475" s="101">
        <v>27727</v>
      </c>
      <c r="AH475" s="101">
        <v>1142653</v>
      </c>
      <c r="AI475" s="101">
        <v>97.57</v>
      </c>
      <c r="AK475" s="215">
        <v>45361</v>
      </c>
      <c r="AL475" s="67">
        <v>3258058</v>
      </c>
      <c r="AM475" s="67">
        <v>31408</v>
      </c>
      <c r="AN475" s="67">
        <v>3289466</v>
      </c>
      <c r="AO475" s="67">
        <v>99.05</v>
      </c>
      <c r="AQ475" s="215">
        <v>45361</v>
      </c>
      <c r="AR475" s="48">
        <v>408313</v>
      </c>
      <c r="AS475" s="67">
        <v>328</v>
      </c>
      <c r="AT475" s="48">
        <v>408641</v>
      </c>
      <c r="AU475" s="67">
        <v>99.92</v>
      </c>
    </row>
    <row r="476" spans="1:47" hidden="1" x14ac:dyDescent="0.25">
      <c r="A476" s="215">
        <v>45362</v>
      </c>
      <c r="B476" s="101">
        <v>13883660</v>
      </c>
      <c r="C476" s="101">
        <v>903294</v>
      </c>
      <c r="D476" s="101">
        <v>14786954</v>
      </c>
      <c r="E476" s="101">
        <v>93.89</v>
      </c>
      <c r="G476" s="215">
        <v>45362</v>
      </c>
      <c r="H476" s="101">
        <v>4694820</v>
      </c>
      <c r="I476" s="101">
        <v>1710541</v>
      </c>
      <c r="J476" s="101">
        <v>6405361</v>
      </c>
      <c r="K476" s="101">
        <v>73.3</v>
      </c>
      <c r="M476" s="215">
        <v>45362</v>
      </c>
      <c r="N476" s="101">
        <v>3955222</v>
      </c>
      <c r="O476" s="101">
        <v>3343560</v>
      </c>
      <c r="P476" s="101">
        <v>7298782</v>
      </c>
      <c r="Q476" s="101">
        <v>54.19</v>
      </c>
      <c r="S476" s="215">
        <v>45362</v>
      </c>
      <c r="T476" s="101">
        <v>4512167</v>
      </c>
      <c r="U476" s="101">
        <v>4119146</v>
      </c>
      <c r="V476" s="101">
        <v>8631313</v>
      </c>
      <c r="W476" s="101">
        <v>52.28</v>
      </c>
      <c r="Y476" s="215">
        <v>45362</v>
      </c>
      <c r="Z476" s="101">
        <v>2054800</v>
      </c>
      <c r="AA476" s="101">
        <v>872252</v>
      </c>
      <c r="AB476" s="101">
        <v>2927052</v>
      </c>
      <c r="AC476" s="101">
        <v>70.2</v>
      </c>
      <c r="AE476" s="215">
        <v>45362</v>
      </c>
      <c r="AF476" s="101">
        <v>1104970</v>
      </c>
      <c r="AG476" s="101">
        <v>12169</v>
      </c>
      <c r="AH476" s="101">
        <v>1117139</v>
      </c>
      <c r="AI476" s="101">
        <v>98.91</v>
      </c>
      <c r="AK476" s="215">
        <v>45362</v>
      </c>
      <c r="AL476" s="48">
        <v>868971</v>
      </c>
      <c r="AM476" s="67">
        <v>2</v>
      </c>
      <c r="AN476" s="48">
        <v>868973</v>
      </c>
      <c r="AO476" s="67">
        <v>100</v>
      </c>
      <c r="AQ476" s="215">
        <v>45362</v>
      </c>
      <c r="AR476" s="67">
        <v>3312458</v>
      </c>
      <c r="AS476" s="67">
        <v>0</v>
      </c>
      <c r="AT476" s="67">
        <v>3312458</v>
      </c>
      <c r="AU476" s="67">
        <v>100</v>
      </c>
    </row>
    <row r="477" spans="1:47" hidden="1" x14ac:dyDescent="0.25">
      <c r="A477" s="215">
        <v>45363</v>
      </c>
      <c r="B477" s="101">
        <v>13644089</v>
      </c>
      <c r="C477" s="101">
        <v>960150</v>
      </c>
      <c r="D477" s="101">
        <v>14604239</v>
      </c>
      <c r="E477" s="101">
        <v>93.43</v>
      </c>
      <c r="G477" s="215">
        <v>45363</v>
      </c>
      <c r="H477" s="101">
        <v>8564737</v>
      </c>
      <c r="I477" s="101">
        <v>3291496</v>
      </c>
      <c r="J477" s="101">
        <v>11856233</v>
      </c>
      <c r="K477" s="101">
        <v>72.239999999999995</v>
      </c>
      <c r="M477" s="215">
        <v>45363</v>
      </c>
      <c r="N477" s="101">
        <v>3437147</v>
      </c>
      <c r="O477" s="101">
        <v>3662006</v>
      </c>
      <c r="P477" s="101">
        <v>7099153</v>
      </c>
      <c r="Q477" s="101">
        <v>48.42</v>
      </c>
      <c r="S477" s="215">
        <v>45363</v>
      </c>
      <c r="T477" s="101">
        <v>3765570</v>
      </c>
      <c r="U477" s="101">
        <v>1983413</v>
      </c>
      <c r="V477" s="101">
        <v>5748983</v>
      </c>
      <c r="W477" s="101">
        <v>65.5</v>
      </c>
      <c r="Y477" s="215">
        <v>45363</v>
      </c>
      <c r="Z477" s="101">
        <v>2457514</v>
      </c>
      <c r="AA477" s="101">
        <v>901204</v>
      </c>
      <c r="AB477" s="101">
        <v>3358718</v>
      </c>
      <c r="AC477" s="101">
        <v>73.17</v>
      </c>
      <c r="AE477" s="215">
        <v>45363</v>
      </c>
      <c r="AF477" s="101">
        <v>1114242</v>
      </c>
      <c r="AG477" s="101">
        <v>12203</v>
      </c>
      <c r="AH477" s="101">
        <v>1126445</v>
      </c>
      <c r="AI477" s="101">
        <v>98.92</v>
      </c>
      <c r="AK477" s="215">
        <v>45363</v>
      </c>
      <c r="AL477" s="67">
        <v>823899</v>
      </c>
      <c r="AM477" s="67">
        <v>0</v>
      </c>
      <c r="AN477" s="67">
        <v>823899</v>
      </c>
      <c r="AO477" s="67">
        <v>100</v>
      </c>
      <c r="AQ477" s="215">
        <v>45363</v>
      </c>
      <c r="AR477" s="67">
        <v>5969793</v>
      </c>
      <c r="AS477" s="48">
        <v>8666</v>
      </c>
      <c r="AT477" s="67">
        <v>5978459</v>
      </c>
      <c r="AU477" s="48">
        <v>99.86</v>
      </c>
    </row>
    <row r="478" spans="1:47" hidden="1" x14ac:dyDescent="0.25">
      <c r="A478" s="237">
        <v>45364</v>
      </c>
      <c r="B478" s="101">
        <v>12379224</v>
      </c>
      <c r="C478" s="101">
        <v>922085</v>
      </c>
      <c r="D478" s="101">
        <v>13301309</v>
      </c>
      <c r="E478" s="101">
        <v>93.07</v>
      </c>
      <c r="G478" s="237">
        <v>45364</v>
      </c>
      <c r="H478" s="101">
        <v>4570565</v>
      </c>
      <c r="I478" s="101">
        <v>1753748</v>
      </c>
      <c r="J478" s="101">
        <v>6324313</v>
      </c>
      <c r="K478" s="101">
        <v>72.27</v>
      </c>
      <c r="M478" s="237">
        <v>45364</v>
      </c>
      <c r="N478" s="101">
        <v>3979318</v>
      </c>
      <c r="O478" s="101">
        <v>3438762</v>
      </c>
      <c r="P478" s="101">
        <v>7418080</v>
      </c>
      <c r="Q478" s="101">
        <v>53.64</v>
      </c>
      <c r="S478" s="237">
        <v>45364</v>
      </c>
      <c r="T478" s="101">
        <v>3611301</v>
      </c>
      <c r="U478" s="101">
        <v>2040851</v>
      </c>
      <c r="V478" s="101">
        <v>5652152</v>
      </c>
      <c r="W478" s="101">
        <v>63.89</v>
      </c>
      <c r="Y478" s="237">
        <v>45364</v>
      </c>
      <c r="Z478" s="101">
        <v>2194861</v>
      </c>
      <c r="AA478" s="101">
        <v>1010294</v>
      </c>
      <c r="AB478" s="101">
        <v>3205155</v>
      </c>
      <c r="AC478" s="101">
        <v>68.48</v>
      </c>
      <c r="AE478" s="237">
        <v>45364</v>
      </c>
      <c r="AF478" s="101">
        <v>1286708</v>
      </c>
      <c r="AG478" s="101">
        <v>14880</v>
      </c>
      <c r="AH478" s="101">
        <v>1301588</v>
      </c>
      <c r="AI478" s="101">
        <v>98.86</v>
      </c>
      <c r="AK478" s="215">
        <v>45364</v>
      </c>
      <c r="AL478" s="67">
        <v>426399</v>
      </c>
      <c r="AM478" s="67">
        <v>1602</v>
      </c>
      <c r="AN478" s="67">
        <v>428001</v>
      </c>
      <c r="AO478" s="67">
        <v>99.63</v>
      </c>
      <c r="AQ478" s="215">
        <v>45364</v>
      </c>
      <c r="AR478" s="67">
        <v>3104619</v>
      </c>
      <c r="AS478" s="67">
        <v>188008</v>
      </c>
      <c r="AT478" s="67">
        <v>3292627</v>
      </c>
      <c r="AU478" s="67">
        <v>94.29</v>
      </c>
    </row>
    <row r="479" spans="1:47" hidden="1" x14ac:dyDescent="0.25">
      <c r="A479" s="215">
        <v>45365</v>
      </c>
      <c r="B479">
        <v>11017371</v>
      </c>
      <c r="C479">
        <v>834165</v>
      </c>
      <c r="D479">
        <v>11851536</v>
      </c>
      <c r="E479">
        <v>92.96</v>
      </c>
      <c r="G479" s="215">
        <v>45365</v>
      </c>
      <c r="H479">
        <v>31761</v>
      </c>
      <c r="I479">
        <v>108324</v>
      </c>
      <c r="J479">
        <v>140085</v>
      </c>
      <c r="K479">
        <v>22.6</v>
      </c>
      <c r="M479" s="215">
        <v>45365</v>
      </c>
      <c r="N479">
        <v>3820015</v>
      </c>
      <c r="O479">
        <v>4130160</v>
      </c>
      <c r="P479">
        <v>7950175</v>
      </c>
      <c r="Q479">
        <v>48.048999999999999</v>
      </c>
      <c r="S479" s="215">
        <v>45365</v>
      </c>
      <c r="T479">
        <v>73980</v>
      </c>
      <c r="U479">
        <v>133474</v>
      </c>
      <c r="V479">
        <v>207454</v>
      </c>
      <c r="W479">
        <v>35.659999999999997</v>
      </c>
      <c r="Y479" s="215">
        <v>45365</v>
      </c>
      <c r="Z479">
        <v>2052960</v>
      </c>
      <c r="AA479">
        <v>1060447</v>
      </c>
      <c r="AB479">
        <v>3113407</v>
      </c>
      <c r="AC479">
        <v>65.930000000000007</v>
      </c>
      <c r="AE479" s="215">
        <v>45365</v>
      </c>
      <c r="AF479">
        <v>1492853</v>
      </c>
      <c r="AG479">
        <v>12712</v>
      </c>
      <c r="AH479">
        <v>1505565</v>
      </c>
      <c r="AI479" s="58">
        <v>99.155000000000001</v>
      </c>
      <c r="AK479" s="215">
        <v>45365</v>
      </c>
      <c r="AL479" s="67">
        <v>112920</v>
      </c>
      <c r="AM479" s="67">
        <v>659</v>
      </c>
      <c r="AN479" s="67">
        <v>113579</v>
      </c>
      <c r="AO479" s="67">
        <v>99.42</v>
      </c>
      <c r="AQ479" s="215">
        <v>45365</v>
      </c>
      <c r="AR479" s="67">
        <v>34057</v>
      </c>
      <c r="AS479" s="67">
        <v>1178</v>
      </c>
      <c r="AT479" s="67">
        <v>35235</v>
      </c>
      <c r="AU479" s="67">
        <v>96.66</v>
      </c>
    </row>
    <row r="480" spans="1:47" hidden="1" x14ac:dyDescent="0.25">
      <c r="A480" s="215">
        <v>45366</v>
      </c>
      <c r="B480" s="101">
        <v>12001147</v>
      </c>
      <c r="C480" s="101">
        <v>752580</v>
      </c>
      <c r="D480" s="101">
        <v>12753727</v>
      </c>
      <c r="E480" s="101">
        <v>94.09</v>
      </c>
      <c r="G480" s="215">
        <v>45366</v>
      </c>
      <c r="H480" s="101">
        <v>372848</v>
      </c>
      <c r="I480" s="101">
        <v>61387</v>
      </c>
      <c r="J480" s="101">
        <v>434235</v>
      </c>
      <c r="K480" s="101">
        <v>85.86</v>
      </c>
      <c r="M480" s="215">
        <v>45366</v>
      </c>
      <c r="N480" s="101">
        <v>3676836</v>
      </c>
      <c r="O480" s="101">
        <v>3348427</v>
      </c>
      <c r="P480" s="101">
        <v>7025263</v>
      </c>
      <c r="Q480" s="101">
        <v>52.337000000000003</v>
      </c>
      <c r="S480" s="215">
        <v>45366</v>
      </c>
      <c r="T480" s="101">
        <v>823000</v>
      </c>
      <c r="U480" s="101">
        <v>434830</v>
      </c>
      <c r="V480" s="101">
        <v>1257830</v>
      </c>
      <c r="W480" s="101">
        <v>65.430000000000007</v>
      </c>
      <c r="Y480" s="215">
        <v>45366</v>
      </c>
      <c r="Z480" s="101">
        <v>1711703</v>
      </c>
      <c r="AA480" s="101">
        <v>683215</v>
      </c>
      <c r="AB480" s="101">
        <v>2394918</v>
      </c>
      <c r="AC480" s="101">
        <v>71.47</v>
      </c>
      <c r="AE480" s="215">
        <v>45366</v>
      </c>
      <c r="AF480" s="101">
        <v>1286847</v>
      </c>
      <c r="AG480" s="101">
        <v>9573</v>
      </c>
      <c r="AH480" s="101">
        <v>1296420</v>
      </c>
      <c r="AI480" s="101">
        <v>99.260999999999996</v>
      </c>
      <c r="AK480" s="215">
        <v>45366</v>
      </c>
      <c r="AL480" s="67">
        <v>255577</v>
      </c>
      <c r="AM480" s="67">
        <v>51228</v>
      </c>
      <c r="AN480" s="67">
        <v>306805</v>
      </c>
      <c r="AO480" s="67">
        <v>83.3</v>
      </c>
      <c r="AQ480" s="215">
        <v>45366</v>
      </c>
      <c r="AR480" s="67">
        <v>293243</v>
      </c>
      <c r="AS480" s="67">
        <v>53864</v>
      </c>
      <c r="AT480" s="67">
        <v>347107</v>
      </c>
      <c r="AU480" s="67">
        <v>84.48</v>
      </c>
    </row>
    <row r="481" spans="1:47" hidden="1" x14ac:dyDescent="0.25">
      <c r="A481" s="215">
        <v>45367</v>
      </c>
      <c r="B481" s="101">
        <v>11941307</v>
      </c>
      <c r="C481" s="101">
        <v>798432</v>
      </c>
      <c r="D481" s="101">
        <v>12739739</v>
      </c>
      <c r="E481" s="101">
        <v>93.73</v>
      </c>
      <c r="G481" s="215">
        <v>45367</v>
      </c>
      <c r="H481" s="101">
        <v>342501</v>
      </c>
      <c r="I481" s="101">
        <v>144759</v>
      </c>
      <c r="J481" s="101">
        <v>487260</v>
      </c>
      <c r="K481" s="101">
        <v>70.290000000000006</v>
      </c>
      <c r="M481" s="215">
        <v>45367</v>
      </c>
      <c r="N481" s="101">
        <v>3874281</v>
      </c>
      <c r="O481" s="101">
        <v>3390929</v>
      </c>
      <c r="P481" s="101">
        <v>7265210</v>
      </c>
      <c r="Q481" s="101">
        <v>53.326000000000001</v>
      </c>
      <c r="S481" s="215">
        <v>45367</v>
      </c>
      <c r="T481" s="101">
        <v>601567</v>
      </c>
      <c r="U481" s="101">
        <v>1151910</v>
      </c>
      <c r="V481" s="101">
        <v>1753477</v>
      </c>
      <c r="W481" s="101">
        <v>34.299999999999997</v>
      </c>
      <c r="Y481" s="215">
        <v>45367</v>
      </c>
      <c r="Z481" s="101">
        <v>1845794</v>
      </c>
      <c r="AA481" s="101">
        <v>789263</v>
      </c>
      <c r="AB481" s="101">
        <v>2635057</v>
      </c>
      <c r="AC481" s="101">
        <v>70.040000000000006</v>
      </c>
      <c r="AE481" s="215">
        <v>45367</v>
      </c>
      <c r="AF481" s="101">
        <v>1232186</v>
      </c>
      <c r="AG481" s="101">
        <v>10769</v>
      </c>
      <c r="AH481" s="101">
        <v>1242955</v>
      </c>
      <c r="AI481" s="101">
        <v>99.13</v>
      </c>
      <c r="AK481" s="215">
        <v>45367</v>
      </c>
      <c r="AL481" s="67">
        <v>755174</v>
      </c>
      <c r="AM481" s="67">
        <v>18928</v>
      </c>
      <c r="AN481" s="67">
        <v>774102</v>
      </c>
      <c r="AO481" s="67">
        <v>97.55</v>
      </c>
      <c r="AQ481" s="215">
        <v>45367</v>
      </c>
      <c r="AR481" s="67">
        <v>280621</v>
      </c>
      <c r="AS481" s="67">
        <v>563</v>
      </c>
      <c r="AT481" s="67">
        <v>281184</v>
      </c>
      <c r="AU481" s="67">
        <v>99.8</v>
      </c>
    </row>
    <row r="482" spans="1:47" hidden="1" x14ac:dyDescent="0.25">
      <c r="A482" s="215">
        <v>45368</v>
      </c>
      <c r="B482" s="101">
        <v>10753089</v>
      </c>
      <c r="C482" s="101">
        <v>759722</v>
      </c>
      <c r="D482" s="101">
        <v>11512811</v>
      </c>
      <c r="E482" s="101">
        <v>93.4</v>
      </c>
      <c r="G482" s="215">
        <v>45368</v>
      </c>
      <c r="H482" s="101">
        <v>343935</v>
      </c>
      <c r="I482" s="101">
        <v>175243</v>
      </c>
      <c r="J482" s="101">
        <v>519178</v>
      </c>
      <c r="K482" s="101">
        <v>66.239999999999995</v>
      </c>
      <c r="M482" s="215">
        <v>45368</v>
      </c>
      <c r="N482" s="101">
        <v>2330792</v>
      </c>
      <c r="O482" s="101">
        <v>1608577</v>
      </c>
      <c r="P482" s="101">
        <v>3939369</v>
      </c>
      <c r="Q482" s="101">
        <v>59.16</v>
      </c>
      <c r="S482" s="215">
        <v>45368</v>
      </c>
      <c r="T482" s="101">
        <v>22163</v>
      </c>
      <c r="U482" s="101">
        <v>5481</v>
      </c>
      <c r="V482" s="101">
        <v>27644</v>
      </c>
      <c r="W482" s="101">
        <v>80.17</v>
      </c>
      <c r="Y482" s="215">
        <v>45368</v>
      </c>
      <c r="Z482" s="101">
        <v>1686987</v>
      </c>
      <c r="AA482" s="101">
        <v>724146</v>
      </c>
      <c r="AB482" s="101">
        <v>2411133</v>
      </c>
      <c r="AC482" s="101">
        <v>69.959999999999994</v>
      </c>
      <c r="AE482" s="215">
        <v>45368</v>
      </c>
      <c r="AF482" s="101">
        <v>1191736</v>
      </c>
      <c r="AG482" s="101">
        <v>9589</v>
      </c>
      <c r="AH482" s="101">
        <v>1201325</v>
      </c>
      <c r="AI482" s="101">
        <v>99.2</v>
      </c>
      <c r="AK482" s="215">
        <v>45368</v>
      </c>
      <c r="AL482" s="67">
        <v>725191</v>
      </c>
      <c r="AM482" s="67">
        <v>5079</v>
      </c>
      <c r="AN482" s="67">
        <v>730270</v>
      </c>
      <c r="AO482" s="67">
        <v>99.3</v>
      </c>
      <c r="AQ482" s="215">
        <v>45368</v>
      </c>
      <c r="AR482" s="67">
        <v>273722</v>
      </c>
      <c r="AS482" s="67">
        <v>163</v>
      </c>
      <c r="AT482" s="67">
        <v>273885</v>
      </c>
      <c r="AU482" s="67">
        <v>99.94</v>
      </c>
    </row>
    <row r="483" spans="1:47" hidden="1" x14ac:dyDescent="0.25">
      <c r="A483" s="215">
        <v>45369</v>
      </c>
      <c r="B483" s="101">
        <v>12523304</v>
      </c>
      <c r="C483" s="101">
        <v>804789</v>
      </c>
      <c r="D483" s="101">
        <v>13328093</v>
      </c>
      <c r="E483" s="101">
        <v>93.96</v>
      </c>
      <c r="G483" s="215">
        <v>45369</v>
      </c>
      <c r="H483" s="101">
        <v>554473</v>
      </c>
      <c r="I483" s="101">
        <v>244579</v>
      </c>
      <c r="J483" s="101">
        <v>799052</v>
      </c>
      <c r="K483" s="101">
        <v>69.39</v>
      </c>
      <c r="M483" s="215">
        <v>45369</v>
      </c>
      <c r="N483" s="101">
        <v>3348748</v>
      </c>
      <c r="O483" s="101">
        <v>2190000</v>
      </c>
      <c r="P483" s="101">
        <v>5538748</v>
      </c>
      <c r="Q483" s="101">
        <v>60.46</v>
      </c>
      <c r="S483" s="215">
        <v>45369</v>
      </c>
      <c r="T483" s="101">
        <v>591154</v>
      </c>
      <c r="U483" s="101">
        <v>1149918</v>
      </c>
      <c r="V483" s="101">
        <v>1741072</v>
      </c>
      <c r="W483" s="101">
        <v>33.950000000000003</v>
      </c>
      <c r="Y483" s="215">
        <v>45369</v>
      </c>
      <c r="Z483" s="101">
        <v>2034832</v>
      </c>
      <c r="AA483" s="101">
        <v>620712</v>
      </c>
      <c r="AB483" s="101">
        <v>2655544</v>
      </c>
      <c r="AC483" s="101">
        <v>76.63</v>
      </c>
      <c r="AE483" s="215">
        <v>45369</v>
      </c>
      <c r="AF483" s="101">
        <v>1067637</v>
      </c>
      <c r="AG483" s="101">
        <v>9942</v>
      </c>
      <c r="AH483" s="101">
        <v>1077579</v>
      </c>
      <c r="AI483" s="101">
        <v>99.08</v>
      </c>
      <c r="AK483" s="215">
        <v>45369</v>
      </c>
      <c r="AL483" s="48">
        <v>908664</v>
      </c>
      <c r="AM483" s="48">
        <v>394</v>
      </c>
      <c r="AN483" s="48">
        <v>909058</v>
      </c>
      <c r="AO483" s="48">
        <v>99.96</v>
      </c>
      <c r="AQ483" s="215">
        <v>45369</v>
      </c>
      <c r="AR483" s="48">
        <v>468150</v>
      </c>
      <c r="AS483" s="67">
        <v>14</v>
      </c>
      <c r="AT483" s="48">
        <v>468164</v>
      </c>
      <c r="AU483" s="67">
        <v>100</v>
      </c>
    </row>
    <row r="484" spans="1:47" hidden="1" x14ac:dyDescent="0.25">
      <c r="A484" s="215">
        <v>45370</v>
      </c>
      <c r="B484" s="101">
        <v>12825906</v>
      </c>
      <c r="C484" s="101">
        <v>954449</v>
      </c>
      <c r="D484" s="101">
        <v>13780355</v>
      </c>
      <c r="E484" s="101">
        <v>93.07</v>
      </c>
      <c r="G484" s="215">
        <v>45370</v>
      </c>
      <c r="H484" s="101">
        <v>4209170</v>
      </c>
      <c r="I484" s="101">
        <v>1706350</v>
      </c>
      <c r="J484" s="101">
        <v>5915520</v>
      </c>
      <c r="K484" s="101">
        <v>71.150000000000006</v>
      </c>
      <c r="M484" s="215">
        <v>45370</v>
      </c>
      <c r="N484" s="101">
        <v>1806062</v>
      </c>
      <c r="O484" s="101">
        <v>2356872</v>
      </c>
      <c r="P484" s="101">
        <v>4162934</v>
      </c>
      <c r="Q484" s="101">
        <v>43.38</v>
      </c>
      <c r="S484" s="215">
        <v>45370</v>
      </c>
      <c r="T484" s="101">
        <v>1425055</v>
      </c>
      <c r="U484" s="101">
        <v>2594144</v>
      </c>
      <c r="V484" s="101">
        <v>4019199</v>
      </c>
      <c r="W484" s="101">
        <v>35.46</v>
      </c>
      <c r="Y484" s="215">
        <v>45370</v>
      </c>
      <c r="Z484" s="101">
        <v>2282581</v>
      </c>
      <c r="AA484" s="101">
        <v>738335</v>
      </c>
      <c r="AB484" s="101">
        <v>3020916</v>
      </c>
      <c r="AC484" s="101">
        <v>75.56</v>
      </c>
      <c r="AE484" s="215">
        <v>45370</v>
      </c>
      <c r="AF484" s="101">
        <v>1071574</v>
      </c>
      <c r="AG484" s="101">
        <v>10513</v>
      </c>
      <c r="AH484" s="101">
        <v>1082087</v>
      </c>
      <c r="AI484" s="101">
        <v>99.03</v>
      </c>
      <c r="AK484" s="215">
        <v>45370</v>
      </c>
      <c r="AL484" s="48">
        <v>914169</v>
      </c>
      <c r="AM484" s="48">
        <v>780</v>
      </c>
      <c r="AN484" s="48">
        <v>914949</v>
      </c>
      <c r="AO484" s="48">
        <v>99.91</v>
      </c>
      <c r="AQ484" s="215">
        <v>45370</v>
      </c>
      <c r="AR484" s="48">
        <v>2547499</v>
      </c>
      <c r="AS484" s="48">
        <v>316</v>
      </c>
      <c r="AT484" s="48">
        <v>2547815</v>
      </c>
      <c r="AU484" s="67">
        <v>99.99</v>
      </c>
    </row>
    <row r="485" spans="1:47" hidden="1" x14ac:dyDescent="0.25">
      <c r="A485" s="215">
        <v>45371</v>
      </c>
      <c r="B485" s="101">
        <v>12551019</v>
      </c>
      <c r="C485" s="101">
        <v>862503</v>
      </c>
      <c r="D485" s="101">
        <v>13413522</v>
      </c>
      <c r="E485" s="101">
        <v>93.57</v>
      </c>
      <c r="G485" s="215">
        <v>45371</v>
      </c>
      <c r="H485" s="101">
        <v>8653043</v>
      </c>
      <c r="I485" s="101">
        <v>3763487</v>
      </c>
      <c r="J485" s="101">
        <v>12416530</v>
      </c>
      <c r="K485" s="101">
        <v>69.69</v>
      </c>
      <c r="M485" s="215">
        <v>45371</v>
      </c>
      <c r="N485" s="101">
        <v>3170417</v>
      </c>
      <c r="O485" s="101">
        <v>2641539</v>
      </c>
      <c r="P485" s="101">
        <v>5811956</v>
      </c>
      <c r="Q485" s="101">
        <v>54.55</v>
      </c>
      <c r="S485" s="215">
        <v>45371</v>
      </c>
      <c r="T485" s="101">
        <v>2264537</v>
      </c>
      <c r="U485" s="101">
        <v>2977046</v>
      </c>
      <c r="V485" s="101">
        <v>5241583</v>
      </c>
      <c r="W485" s="101">
        <v>43.2</v>
      </c>
      <c r="Y485" s="215">
        <v>45371</v>
      </c>
      <c r="Z485" s="101">
        <v>2049303</v>
      </c>
      <c r="AA485" s="101">
        <v>715494</v>
      </c>
      <c r="AB485" s="101">
        <v>2764797</v>
      </c>
      <c r="AC485" s="101">
        <v>74.12</v>
      </c>
      <c r="AE485" s="215">
        <v>45371</v>
      </c>
      <c r="AF485" s="101">
        <v>1023042</v>
      </c>
      <c r="AG485" s="101">
        <v>11469</v>
      </c>
      <c r="AH485" s="101">
        <v>1034511</v>
      </c>
      <c r="AI485" s="101">
        <v>98.89</v>
      </c>
      <c r="AK485" s="215">
        <v>45371</v>
      </c>
      <c r="AL485" s="48">
        <v>320042</v>
      </c>
      <c r="AM485" s="48">
        <v>1656</v>
      </c>
      <c r="AN485" s="48">
        <v>321698</v>
      </c>
      <c r="AO485" s="48">
        <v>99.49</v>
      </c>
      <c r="AQ485" s="215">
        <v>45371</v>
      </c>
      <c r="AR485" s="48">
        <v>4998317</v>
      </c>
      <c r="AS485" s="48">
        <v>9096</v>
      </c>
      <c r="AT485" s="48">
        <v>5007413</v>
      </c>
      <c r="AU485" s="48">
        <v>99.82</v>
      </c>
    </row>
    <row r="486" spans="1:47" hidden="1" x14ac:dyDescent="0.25">
      <c r="A486" s="215">
        <v>45372</v>
      </c>
      <c r="B486" s="101">
        <v>12216218</v>
      </c>
      <c r="C486" s="101">
        <v>1046897</v>
      </c>
      <c r="D486" s="101">
        <v>13263115</v>
      </c>
      <c r="E486" s="101">
        <v>92.11</v>
      </c>
      <c r="G486" s="215">
        <v>45372</v>
      </c>
      <c r="H486" s="101">
        <v>1156364</v>
      </c>
      <c r="I486" s="101">
        <v>554121</v>
      </c>
      <c r="J486" s="101">
        <v>1710485</v>
      </c>
      <c r="K486" s="101">
        <v>67.599999999999994</v>
      </c>
      <c r="M486" s="215">
        <v>45372</v>
      </c>
      <c r="N486" s="101">
        <v>2775344</v>
      </c>
      <c r="O486" s="101">
        <v>2630551</v>
      </c>
      <c r="P486" s="101">
        <v>5405895</v>
      </c>
      <c r="Q486" s="101">
        <v>51.34</v>
      </c>
      <c r="S486" s="215">
        <v>45372</v>
      </c>
      <c r="T486" s="101">
        <v>1420811</v>
      </c>
      <c r="U486" s="101">
        <v>2604178</v>
      </c>
      <c r="V486" s="101">
        <v>4024989</v>
      </c>
      <c r="W486" s="101">
        <v>35.299999999999997</v>
      </c>
      <c r="Y486" s="215">
        <v>45372</v>
      </c>
      <c r="Z486" s="101">
        <v>2073875</v>
      </c>
      <c r="AA486" s="101">
        <v>724661</v>
      </c>
      <c r="AB486" s="101">
        <v>2798536</v>
      </c>
      <c r="AC486" s="101">
        <v>74.11</v>
      </c>
      <c r="AE486" s="215">
        <v>45372</v>
      </c>
      <c r="AF486" s="101">
        <v>1024308</v>
      </c>
      <c r="AG486" s="101">
        <v>13029</v>
      </c>
      <c r="AH486" s="101">
        <v>1037337</v>
      </c>
      <c r="AI486" s="101">
        <v>98.74</v>
      </c>
      <c r="AK486" s="215">
        <v>45372</v>
      </c>
      <c r="AL486" s="48">
        <v>503967</v>
      </c>
      <c r="AM486" s="48">
        <v>0</v>
      </c>
      <c r="AN486" s="48">
        <v>503967</v>
      </c>
      <c r="AO486" s="48">
        <v>100</v>
      </c>
      <c r="AQ486" s="215">
        <v>45372</v>
      </c>
      <c r="AR486" s="48">
        <v>803841</v>
      </c>
      <c r="AS486" s="67">
        <v>0</v>
      </c>
      <c r="AT486" s="48">
        <v>803841</v>
      </c>
      <c r="AU486" s="67">
        <v>100</v>
      </c>
    </row>
    <row r="487" spans="1:47" hidden="1" x14ac:dyDescent="0.25">
      <c r="A487" s="215">
        <v>45373</v>
      </c>
      <c r="B487" s="101">
        <v>13915996</v>
      </c>
      <c r="C487" s="101">
        <v>1068823</v>
      </c>
      <c r="D487" s="101">
        <v>14984819</v>
      </c>
      <c r="E487" s="101">
        <v>92.87</v>
      </c>
      <c r="G487" s="215">
        <v>45373</v>
      </c>
      <c r="H487" s="101">
        <v>9001649</v>
      </c>
      <c r="I487" s="101">
        <v>3183370</v>
      </c>
      <c r="J487" s="101">
        <v>12185019</v>
      </c>
      <c r="K487" s="101">
        <v>73.87</v>
      </c>
      <c r="M487" s="215">
        <v>45373</v>
      </c>
      <c r="N487" s="101">
        <v>741013</v>
      </c>
      <c r="O487" s="101">
        <v>670923</v>
      </c>
      <c r="P487" s="101">
        <v>1411936</v>
      </c>
      <c r="Q487" s="101">
        <v>52.48</v>
      </c>
      <c r="S487" s="215">
        <v>45373</v>
      </c>
      <c r="T487" s="101">
        <v>1460614</v>
      </c>
      <c r="U487" s="101">
        <v>2538224</v>
      </c>
      <c r="V487" s="101">
        <v>3998838</v>
      </c>
      <c r="W487" s="101">
        <v>36.53</v>
      </c>
      <c r="Y487" s="215">
        <v>45373</v>
      </c>
      <c r="Z487" s="101">
        <v>1895872</v>
      </c>
      <c r="AA487" s="101">
        <v>663279</v>
      </c>
      <c r="AB487" s="101">
        <v>2559151</v>
      </c>
      <c r="AC487" s="101">
        <v>74.08</v>
      </c>
      <c r="AE487" s="215">
        <v>45373</v>
      </c>
      <c r="AF487" s="101">
        <v>1307269</v>
      </c>
      <c r="AG487" s="101">
        <v>19350</v>
      </c>
      <c r="AH487" s="101">
        <v>1326619</v>
      </c>
      <c r="AI487" s="101">
        <v>98.54</v>
      </c>
      <c r="AK487" s="215">
        <v>45373</v>
      </c>
      <c r="AL487" s="48">
        <v>727029</v>
      </c>
      <c r="AM487" s="48">
        <v>1</v>
      </c>
      <c r="AN487" s="48">
        <v>727030</v>
      </c>
      <c r="AO487" s="48">
        <v>100</v>
      </c>
      <c r="AQ487" s="215">
        <v>45373</v>
      </c>
      <c r="AR487" s="48">
        <v>6351580</v>
      </c>
      <c r="AS487" s="67">
        <v>0</v>
      </c>
      <c r="AT487" s="48">
        <v>6351580</v>
      </c>
      <c r="AU487" s="67">
        <v>100</v>
      </c>
    </row>
    <row r="488" spans="1:47" hidden="1" x14ac:dyDescent="0.25">
      <c r="A488" s="215">
        <v>45374</v>
      </c>
      <c r="B488" s="101">
        <v>13278154</v>
      </c>
      <c r="C488" s="101">
        <v>1004786</v>
      </c>
      <c r="D488" s="101">
        <v>14282940</v>
      </c>
      <c r="E488" s="101">
        <v>92.97</v>
      </c>
      <c r="G488" s="215">
        <v>45374</v>
      </c>
      <c r="H488" s="101">
        <v>5946342</v>
      </c>
      <c r="I488" s="101">
        <v>2351619</v>
      </c>
      <c r="J488" s="101">
        <v>8297961</v>
      </c>
      <c r="K488" s="101">
        <v>71.66</v>
      </c>
      <c r="M488" s="215">
        <v>45374</v>
      </c>
      <c r="N488" s="101">
        <v>3903188</v>
      </c>
      <c r="O488" s="101">
        <v>3160324</v>
      </c>
      <c r="P488" s="101">
        <v>7063512</v>
      </c>
      <c r="Q488" s="101">
        <v>55.26</v>
      </c>
      <c r="S488" s="215">
        <v>45374</v>
      </c>
      <c r="T488" s="101">
        <v>3702753</v>
      </c>
      <c r="U488" s="101">
        <v>2966663</v>
      </c>
      <c r="V488" s="101">
        <v>6669416</v>
      </c>
      <c r="W488" s="101">
        <v>55.52</v>
      </c>
      <c r="Y488" s="215">
        <v>45374</v>
      </c>
      <c r="Z488" s="101">
        <v>1880334</v>
      </c>
      <c r="AA488" s="101">
        <v>636620</v>
      </c>
      <c r="AB488" s="101">
        <v>2516954</v>
      </c>
      <c r="AC488" s="101">
        <v>74.709999999999994</v>
      </c>
      <c r="AE488" s="215">
        <v>45374</v>
      </c>
      <c r="AF488" s="101">
        <v>1081215</v>
      </c>
      <c r="AG488" s="101">
        <v>12174</v>
      </c>
      <c r="AH488" s="101">
        <v>1093389</v>
      </c>
      <c r="AI488" s="101">
        <v>98.89</v>
      </c>
      <c r="AK488" s="215">
        <v>45374</v>
      </c>
      <c r="AL488" s="67">
        <v>770553</v>
      </c>
      <c r="AM488" s="67">
        <v>1024</v>
      </c>
      <c r="AN488" s="67">
        <v>771577</v>
      </c>
      <c r="AO488" s="67">
        <v>99.87</v>
      </c>
      <c r="AQ488" s="215">
        <v>45374</v>
      </c>
      <c r="AR488" s="67">
        <v>4188481</v>
      </c>
      <c r="AS488" s="67">
        <v>0</v>
      </c>
      <c r="AT488" s="67">
        <v>4188481</v>
      </c>
      <c r="AU488" s="67">
        <v>100</v>
      </c>
    </row>
    <row r="489" spans="1:47" hidden="1" x14ac:dyDescent="0.25">
      <c r="A489" s="215">
        <v>45375</v>
      </c>
      <c r="B489" s="101">
        <v>10989530</v>
      </c>
      <c r="C489" s="101">
        <v>743201</v>
      </c>
      <c r="D489" s="101">
        <v>11732731</v>
      </c>
      <c r="E489" s="101">
        <v>93.67</v>
      </c>
      <c r="G489" s="215">
        <v>45375</v>
      </c>
      <c r="H489" s="101">
        <v>304251</v>
      </c>
      <c r="I489" s="101">
        <v>160236</v>
      </c>
      <c r="J489" s="101">
        <v>464487</v>
      </c>
      <c r="K489" s="101">
        <v>65.5</v>
      </c>
      <c r="M489" s="215">
        <v>45375</v>
      </c>
      <c r="N489" s="101">
        <v>3616338</v>
      </c>
      <c r="O489" s="101">
        <v>2809109</v>
      </c>
      <c r="P489" s="101">
        <v>6425447</v>
      </c>
      <c r="Q489" s="101">
        <v>56.28</v>
      </c>
      <c r="S489" s="215">
        <v>45375</v>
      </c>
      <c r="T489" s="101">
        <v>26831</v>
      </c>
      <c r="U489" s="101">
        <v>4036</v>
      </c>
      <c r="V489" s="101">
        <v>30867</v>
      </c>
      <c r="W489" s="101">
        <v>86.92</v>
      </c>
      <c r="Y489" s="215">
        <v>45375</v>
      </c>
      <c r="Z489" s="101">
        <v>1851891</v>
      </c>
      <c r="AA489" s="101">
        <v>693432</v>
      </c>
      <c r="AB489" s="101">
        <v>2545323</v>
      </c>
      <c r="AC489" s="101">
        <v>72.760000000000005</v>
      </c>
      <c r="AE489" s="215">
        <v>45375</v>
      </c>
      <c r="AF489" s="101">
        <v>1103097</v>
      </c>
      <c r="AG489" s="101">
        <v>11461</v>
      </c>
      <c r="AH489" s="101">
        <v>1114558</v>
      </c>
      <c r="AI489" s="101">
        <v>98.97</v>
      </c>
      <c r="AK489" s="215">
        <v>45375</v>
      </c>
      <c r="AL489" s="67">
        <v>690387</v>
      </c>
      <c r="AM489" s="67">
        <v>324</v>
      </c>
      <c r="AN489" s="67">
        <v>690711</v>
      </c>
      <c r="AO489" s="67">
        <v>99.95</v>
      </c>
      <c r="AQ489" s="215">
        <v>45375</v>
      </c>
      <c r="AR489" s="67">
        <v>241852</v>
      </c>
      <c r="AS489" s="67">
        <v>16</v>
      </c>
      <c r="AT489" s="67">
        <v>241868</v>
      </c>
      <c r="AU489" s="67">
        <v>99.99</v>
      </c>
    </row>
    <row r="490" spans="1:47" hidden="1" x14ac:dyDescent="0.25">
      <c r="A490" s="215">
        <v>45376</v>
      </c>
      <c r="B490" s="101">
        <v>12929229</v>
      </c>
      <c r="C490" s="101">
        <v>672221</v>
      </c>
      <c r="D490" s="101">
        <v>13601450</v>
      </c>
      <c r="E490" s="101">
        <v>95.06</v>
      </c>
      <c r="G490" s="215">
        <v>45376</v>
      </c>
      <c r="H490" s="101">
        <v>300597</v>
      </c>
      <c r="I490" s="101">
        <v>157361</v>
      </c>
      <c r="J490" s="101">
        <v>457958</v>
      </c>
      <c r="K490" s="101">
        <v>65.64</v>
      </c>
      <c r="M490" s="215">
        <v>45376</v>
      </c>
      <c r="N490" s="101">
        <v>3013577</v>
      </c>
      <c r="O490" s="101">
        <v>2452795</v>
      </c>
      <c r="P490" s="101">
        <v>5466372</v>
      </c>
      <c r="Q490" s="101">
        <v>55.13</v>
      </c>
      <c r="S490" s="215">
        <v>45376</v>
      </c>
      <c r="T490" s="101">
        <v>1542008</v>
      </c>
      <c r="U490" s="101">
        <v>2483943</v>
      </c>
      <c r="V490" s="101">
        <v>4025951</v>
      </c>
      <c r="W490" s="101">
        <v>38.299999999999997</v>
      </c>
      <c r="Y490" s="215">
        <v>45376</v>
      </c>
      <c r="Z490" s="101">
        <v>1897055</v>
      </c>
      <c r="AA490" s="101">
        <v>746194</v>
      </c>
      <c r="AB490" s="101">
        <v>2643249</v>
      </c>
      <c r="AC490" s="101">
        <v>71.77</v>
      </c>
      <c r="AE490" s="215">
        <v>45376</v>
      </c>
      <c r="AF490" s="101">
        <v>1038177</v>
      </c>
      <c r="AG490" s="101">
        <v>9227</v>
      </c>
      <c r="AH490" s="101">
        <v>1047404</v>
      </c>
      <c r="AI490" s="101">
        <v>99.12</v>
      </c>
      <c r="AK490" s="215">
        <v>45376</v>
      </c>
      <c r="AL490" s="48">
        <v>632354</v>
      </c>
      <c r="AM490" s="67">
        <v>0</v>
      </c>
      <c r="AN490" s="48">
        <v>632354</v>
      </c>
      <c r="AO490" s="67">
        <v>100</v>
      </c>
      <c r="AQ490" s="215">
        <v>45376</v>
      </c>
      <c r="AR490" s="48">
        <v>235333</v>
      </c>
      <c r="AS490" s="67">
        <v>0</v>
      </c>
      <c r="AT490" s="48">
        <v>235333</v>
      </c>
      <c r="AU490" s="67">
        <v>99.99</v>
      </c>
    </row>
    <row r="491" spans="1:47" hidden="1" x14ac:dyDescent="0.25">
      <c r="A491" s="215">
        <v>45377</v>
      </c>
      <c r="B491" s="101">
        <v>13471008</v>
      </c>
      <c r="C491" s="101">
        <v>707662</v>
      </c>
      <c r="D491" s="101">
        <v>14178670</v>
      </c>
      <c r="E491" s="101">
        <v>95.01</v>
      </c>
      <c r="G491" s="215">
        <v>45377</v>
      </c>
      <c r="H491" s="101">
        <v>746007</v>
      </c>
      <c r="I491" s="101">
        <v>294297</v>
      </c>
      <c r="J491" s="101">
        <v>1040304</v>
      </c>
      <c r="K491" s="101">
        <v>71.709999999999994</v>
      </c>
      <c r="M491" s="215">
        <v>45377</v>
      </c>
      <c r="N491" s="101">
        <v>1386732</v>
      </c>
      <c r="O491" s="101">
        <v>1780360</v>
      </c>
      <c r="P491" s="101">
        <v>3167092</v>
      </c>
      <c r="Q491" s="101">
        <v>43.79</v>
      </c>
      <c r="S491" s="215">
        <v>45377</v>
      </c>
      <c r="T491" s="101">
        <v>2172917</v>
      </c>
      <c r="U491" s="101">
        <v>1641395</v>
      </c>
      <c r="V491" s="101">
        <v>3814312</v>
      </c>
      <c r="W491" s="101">
        <v>56.97</v>
      </c>
      <c r="Y491" s="215">
        <v>45377</v>
      </c>
      <c r="Z491" s="101">
        <v>2231180</v>
      </c>
      <c r="AA491" s="101">
        <v>756811</v>
      </c>
      <c r="AB491" s="101">
        <v>2987991</v>
      </c>
      <c r="AC491" s="101">
        <v>74.67</v>
      </c>
      <c r="AE491" s="215">
        <v>45377</v>
      </c>
      <c r="AF491" s="101">
        <v>1065636</v>
      </c>
      <c r="AG491" s="101">
        <v>9756</v>
      </c>
      <c r="AH491" s="101">
        <v>1075392</v>
      </c>
      <c r="AI491" s="101">
        <v>99.09</v>
      </c>
      <c r="AK491" s="215">
        <v>45377</v>
      </c>
      <c r="AL491" s="48">
        <v>758701</v>
      </c>
      <c r="AM491" s="67">
        <v>0</v>
      </c>
      <c r="AN491" s="48">
        <v>758701</v>
      </c>
      <c r="AO491" s="67">
        <v>100</v>
      </c>
      <c r="AQ491" s="215">
        <v>45377</v>
      </c>
      <c r="AR491" s="48">
        <v>634272</v>
      </c>
      <c r="AS491" s="48">
        <v>103</v>
      </c>
      <c r="AT491" s="48">
        <v>634375</v>
      </c>
      <c r="AU491" s="48">
        <v>99.98</v>
      </c>
    </row>
    <row r="492" spans="1:47" hidden="1" x14ac:dyDescent="0.25">
      <c r="A492" s="215">
        <v>45378</v>
      </c>
      <c r="B492" s="101">
        <v>12703903</v>
      </c>
      <c r="C492" s="101">
        <v>834748</v>
      </c>
      <c r="D492" s="101">
        <v>13538651</v>
      </c>
      <c r="E492" s="101">
        <v>93.83</v>
      </c>
      <c r="G492" s="215">
        <v>45378</v>
      </c>
      <c r="H492" s="101">
        <v>292806</v>
      </c>
      <c r="I492" s="101">
        <v>144304</v>
      </c>
      <c r="J492" s="101">
        <v>437110</v>
      </c>
      <c r="K492" s="101">
        <v>66.989999999999995</v>
      </c>
      <c r="M492" s="215">
        <v>45378</v>
      </c>
      <c r="N492" s="101">
        <v>3331674</v>
      </c>
      <c r="O492" s="101">
        <v>2570824</v>
      </c>
      <c r="P492" s="101">
        <v>5902498</v>
      </c>
      <c r="Q492" s="101">
        <v>56.45</v>
      </c>
      <c r="S492" s="215">
        <v>45378</v>
      </c>
      <c r="T492" s="101">
        <v>2945702</v>
      </c>
      <c r="U492" s="101">
        <v>2471073</v>
      </c>
      <c r="V492" s="101">
        <v>5416775</v>
      </c>
      <c r="W492" s="101">
        <v>54.38</v>
      </c>
      <c r="Y492" s="215">
        <v>45378</v>
      </c>
      <c r="Z492" s="101">
        <v>1937753</v>
      </c>
      <c r="AA492" s="101">
        <v>765868</v>
      </c>
      <c r="AB492" s="101">
        <v>2703621</v>
      </c>
      <c r="AC492" s="101">
        <v>71.67</v>
      </c>
      <c r="AE492" s="215">
        <v>45378</v>
      </c>
      <c r="AF492" s="101">
        <v>1024809</v>
      </c>
      <c r="AG492" s="101">
        <v>10856</v>
      </c>
      <c r="AH492" s="101">
        <v>1035665</v>
      </c>
      <c r="AI492" s="101">
        <v>98.95</v>
      </c>
      <c r="AK492" s="215">
        <v>45378</v>
      </c>
      <c r="AL492" s="67">
        <v>580446</v>
      </c>
      <c r="AM492" s="67">
        <v>65</v>
      </c>
      <c r="AN492" s="67">
        <v>580511</v>
      </c>
      <c r="AO492" s="67">
        <v>99.99</v>
      </c>
      <c r="AQ492" s="215">
        <v>45378</v>
      </c>
      <c r="AR492" s="67">
        <v>227110</v>
      </c>
      <c r="AS492" s="67">
        <v>25</v>
      </c>
      <c r="AT492" s="67">
        <v>227135</v>
      </c>
      <c r="AU492" s="67">
        <v>99.99</v>
      </c>
    </row>
    <row r="493" spans="1:47" hidden="1" x14ac:dyDescent="0.25">
      <c r="A493" s="215">
        <v>45379</v>
      </c>
      <c r="B493" s="101">
        <v>12264353</v>
      </c>
      <c r="C493" s="101">
        <v>801703</v>
      </c>
      <c r="D493" s="101">
        <v>13066056</v>
      </c>
      <c r="E493" s="101">
        <v>93.86</v>
      </c>
      <c r="G493" s="215">
        <v>45379</v>
      </c>
      <c r="H493" s="101">
        <v>293609</v>
      </c>
      <c r="I493" s="101">
        <v>170557</v>
      </c>
      <c r="J493" s="101">
        <v>464166</v>
      </c>
      <c r="K493" s="101">
        <v>63.26</v>
      </c>
      <c r="M493" s="215">
        <v>45379</v>
      </c>
      <c r="N493" s="101">
        <v>2959846</v>
      </c>
      <c r="O493" s="101">
        <v>2834422</v>
      </c>
      <c r="P493" s="101">
        <v>5794268</v>
      </c>
      <c r="Q493" s="101">
        <v>51.08</v>
      </c>
      <c r="S493" s="215">
        <v>45379</v>
      </c>
      <c r="T493" s="101">
        <v>2901858</v>
      </c>
      <c r="U493" s="101">
        <v>2501489</v>
      </c>
      <c r="V493" s="101">
        <v>5403347</v>
      </c>
      <c r="W493" s="101">
        <v>53.7</v>
      </c>
      <c r="Y493" s="215">
        <v>45379</v>
      </c>
      <c r="Z493" s="101">
        <v>2079258</v>
      </c>
      <c r="AA493" s="101">
        <v>859661</v>
      </c>
      <c r="AB493" s="101">
        <v>2938919</v>
      </c>
      <c r="AC493" s="101">
        <v>70.75</v>
      </c>
      <c r="AE493" s="215">
        <v>45379</v>
      </c>
      <c r="AF493" s="101">
        <v>987173</v>
      </c>
      <c r="AG493" s="101">
        <v>11152</v>
      </c>
      <c r="AH493" s="101">
        <v>998325</v>
      </c>
      <c r="AI493" s="101">
        <v>98.88</v>
      </c>
      <c r="AK493" s="215">
        <v>45379</v>
      </c>
      <c r="AL493" s="67">
        <v>989560</v>
      </c>
      <c r="AM493" s="67">
        <v>0</v>
      </c>
      <c r="AN493" s="67">
        <v>989560</v>
      </c>
      <c r="AO493" s="67">
        <v>100</v>
      </c>
      <c r="AQ493" s="215">
        <v>45379</v>
      </c>
      <c r="AR493" s="67">
        <v>229986</v>
      </c>
      <c r="AS493" s="67">
        <v>206</v>
      </c>
      <c r="AT493" s="67">
        <v>230192</v>
      </c>
      <c r="AU493" s="67">
        <v>99.91</v>
      </c>
    </row>
    <row r="494" spans="1:47" hidden="1" x14ac:dyDescent="0.25">
      <c r="A494" s="215">
        <v>45380</v>
      </c>
      <c r="B494">
        <v>14267083</v>
      </c>
      <c r="C494">
        <v>981530</v>
      </c>
      <c r="D494">
        <v>15248613</v>
      </c>
      <c r="E494">
        <v>93.56</v>
      </c>
      <c r="G494" s="215">
        <v>45380</v>
      </c>
      <c r="H494">
        <v>964193</v>
      </c>
      <c r="I494">
        <v>371668</v>
      </c>
      <c r="J494">
        <v>1335861</v>
      </c>
      <c r="K494">
        <v>72.17</v>
      </c>
      <c r="M494" s="215">
        <v>45380</v>
      </c>
      <c r="N494">
        <v>776335</v>
      </c>
      <c r="O494">
        <v>626862</v>
      </c>
      <c r="P494">
        <v>1403197</v>
      </c>
      <c r="Q494">
        <v>55.32</v>
      </c>
      <c r="S494" s="215">
        <v>45380</v>
      </c>
      <c r="T494">
        <v>2191761</v>
      </c>
      <c r="U494">
        <v>2267013</v>
      </c>
      <c r="V494">
        <v>4458774</v>
      </c>
      <c r="W494">
        <v>49.15</v>
      </c>
      <c r="Y494" s="215">
        <v>45380</v>
      </c>
      <c r="Z494">
        <v>2154774</v>
      </c>
      <c r="AA494">
        <v>692274</v>
      </c>
      <c r="AB494">
        <v>2847048</v>
      </c>
      <c r="AC494">
        <v>75.680000000000007</v>
      </c>
      <c r="AE494" s="215">
        <v>45380</v>
      </c>
      <c r="AF494">
        <v>1096944</v>
      </c>
      <c r="AG494">
        <v>11457</v>
      </c>
      <c r="AH494">
        <v>1108401</v>
      </c>
      <c r="AI494">
        <v>98.96</v>
      </c>
      <c r="AK494" s="215">
        <v>45380</v>
      </c>
      <c r="AL494" s="67">
        <v>834836</v>
      </c>
      <c r="AM494" s="67">
        <v>0</v>
      </c>
      <c r="AN494" s="67">
        <v>834836</v>
      </c>
      <c r="AO494" s="67">
        <v>100</v>
      </c>
      <c r="AQ494" s="215">
        <v>45380</v>
      </c>
      <c r="AR494" s="48">
        <v>837916</v>
      </c>
      <c r="AS494" s="67">
        <v>313</v>
      </c>
      <c r="AT494" s="48">
        <v>838229</v>
      </c>
      <c r="AU494" s="67">
        <v>99.96</v>
      </c>
    </row>
    <row r="495" spans="1:47" hidden="1" x14ac:dyDescent="0.25">
      <c r="A495" s="215">
        <v>45381</v>
      </c>
      <c r="B495">
        <v>14143180</v>
      </c>
      <c r="C495">
        <v>916313</v>
      </c>
      <c r="D495">
        <v>15059493</v>
      </c>
      <c r="E495">
        <v>93.91</v>
      </c>
      <c r="G495" s="215">
        <v>45381</v>
      </c>
      <c r="H495">
        <v>290568</v>
      </c>
      <c r="I495">
        <v>160866</v>
      </c>
      <c r="J495">
        <v>451434</v>
      </c>
      <c r="K495">
        <v>64.36</v>
      </c>
      <c r="M495" s="215">
        <v>45381</v>
      </c>
      <c r="N495">
        <v>3805809</v>
      </c>
      <c r="O495">
        <v>3040225</v>
      </c>
      <c r="P495">
        <v>6846034</v>
      </c>
      <c r="Q495">
        <v>55.59</v>
      </c>
      <c r="S495" s="215">
        <v>45381</v>
      </c>
      <c r="T495">
        <v>675042</v>
      </c>
      <c r="U495">
        <v>1087221</v>
      </c>
      <c r="V495">
        <v>1762263</v>
      </c>
      <c r="W495">
        <v>38.299999999999997</v>
      </c>
      <c r="Y495" s="215">
        <v>45381</v>
      </c>
      <c r="Z495">
        <v>2075373</v>
      </c>
      <c r="AA495">
        <v>591402</v>
      </c>
      <c r="AB495">
        <v>2666775</v>
      </c>
      <c r="AC495">
        <v>77.819999999999993</v>
      </c>
      <c r="AE495" s="215">
        <v>45381</v>
      </c>
      <c r="AF495">
        <v>1037638</v>
      </c>
      <c r="AG495">
        <v>11841</v>
      </c>
      <c r="AH495">
        <v>1049479</v>
      </c>
      <c r="AI495">
        <v>98.87</v>
      </c>
      <c r="AK495" s="215">
        <v>45381</v>
      </c>
      <c r="AL495" s="48">
        <v>754233</v>
      </c>
      <c r="AM495" s="67">
        <v>256</v>
      </c>
      <c r="AN495" s="48">
        <v>754489</v>
      </c>
      <c r="AO495" s="67">
        <v>99.97</v>
      </c>
      <c r="AQ495" s="215">
        <v>45381</v>
      </c>
      <c r="AR495" s="48">
        <v>231188</v>
      </c>
      <c r="AS495" s="67">
        <v>0</v>
      </c>
      <c r="AT495" s="48">
        <v>231188</v>
      </c>
      <c r="AU495" s="67">
        <v>100</v>
      </c>
    </row>
    <row r="496" spans="1:47" hidden="1" x14ac:dyDescent="0.25">
      <c r="A496" s="215">
        <v>45382</v>
      </c>
      <c r="B496">
        <v>11219092</v>
      </c>
      <c r="C496">
        <v>833181</v>
      </c>
      <c r="D496">
        <v>12052273</v>
      </c>
      <c r="E496">
        <v>93.08</v>
      </c>
      <c r="G496" s="215">
        <v>45382</v>
      </c>
      <c r="H496">
        <v>290822</v>
      </c>
      <c r="I496">
        <v>143100</v>
      </c>
      <c r="J496">
        <v>433922</v>
      </c>
      <c r="K496">
        <v>67.02</v>
      </c>
      <c r="M496" s="215">
        <v>45382</v>
      </c>
      <c r="N496">
        <v>3335346</v>
      </c>
      <c r="O496">
        <v>3041549</v>
      </c>
      <c r="P496">
        <v>6376895</v>
      </c>
      <c r="Q496">
        <v>52.3</v>
      </c>
      <c r="S496" s="215">
        <v>45382</v>
      </c>
      <c r="T496">
        <v>52123</v>
      </c>
      <c r="U496">
        <v>26425</v>
      </c>
      <c r="V496">
        <v>78548</v>
      </c>
      <c r="W496">
        <v>66.349999999999994</v>
      </c>
      <c r="Y496" s="215">
        <v>45382</v>
      </c>
      <c r="Z496">
        <v>1926735</v>
      </c>
      <c r="AA496">
        <v>810657</v>
      </c>
      <c r="AB496">
        <v>2737392</v>
      </c>
      <c r="AC496">
        <v>70.38</v>
      </c>
      <c r="AE496" s="215">
        <v>45382</v>
      </c>
      <c r="AF496">
        <v>1006089</v>
      </c>
      <c r="AG496">
        <v>11026</v>
      </c>
      <c r="AH496">
        <v>1017115</v>
      </c>
      <c r="AI496">
        <v>98.91</v>
      </c>
      <c r="AK496" s="215">
        <v>45382</v>
      </c>
      <c r="AL496" s="48">
        <v>848991</v>
      </c>
      <c r="AM496" s="67">
        <v>0</v>
      </c>
      <c r="AN496" s="48">
        <v>848991</v>
      </c>
      <c r="AO496" s="67">
        <v>100</v>
      </c>
      <c r="AQ496" s="215">
        <v>45382</v>
      </c>
      <c r="AR496" s="48">
        <v>224584</v>
      </c>
      <c r="AS496" s="67">
        <v>0</v>
      </c>
      <c r="AT496" s="48">
        <v>224584</v>
      </c>
      <c r="AU496" s="67">
        <v>100</v>
      </c>
    </row>
    <row r="497" spans="1:47" hidden="1" x14ac:dyDescent="0.25">
      <c r="A497" s="215">
        <v>45383</v>
      </c>
      <c r="B497" s="101">
        <v>11996658</v>
      </c>
      <c r="C497" s="101">
        <v>801364</v>
      </c>
      <c r="D497" s="101">
        <v>12798022</v>
      </c>
      <c r="E497" s="101">
        <v>93.74</v>
      </c>
      <c r="G497" s="215">
        <v>45383</v>
      </c>
      <c r="H497" s="101">
        <v>1020613</v>
      </c>
      <c r="I497" s="101">
        <v>428946</v>
      </c>
      <c r="J497" s="101">
        <v>1449559</v>
      </c>
      <c r="K497" s="101">
        <v>70.41</v>
      </c>
      <c r="M497" s="215">
        <v>45383</v>
      </c>
      <c r="N497" s="101">
        <v>3056439</v>
      </c>
      <c r="O497" s="101">
        <v>2625310</v>
      </c>
      <c r="P497" s="101">
        <v>5681749</v>
      </c>
      <c r="Q497" s="101">
        <v>53.79</v>
      </c>
      <c r="S497" s="215">
        <v>45383</v>
      </c>
      <c r="T497" s="101">
        <v>618932</v>
      </c>
      <c r="U497" s="101">
        <v>1088507</v>
      </c>
      <c r="V497" s="101">
        <v>1707439</v>
      </c>
      <c r="W497" s="101">
        <v>36.25</v>
      </c>
      <c r="Y497" s="215">
        <v>45383</v>
      </c>
      <c r="Z497" s="101">
        <v>1973293</v>
      </c>
      <c r="AA497" s="101">
        <v>761713</v>
      </c>
      <c r="AB497" s="101">
        <v>2735006</v>
      </c>
      <c r="AC497" s="101">
        <v>72.150000000000006</v>
      </c>
      <c r="AE497" s="215">
        <v>45383</v>
      </c>
      <c r="AF497" s="101">
        <v>1027765</v>
      </c>
      <c r="AG497" s="101">
        <v>11650</v>
      </c>
      <c r="AH497" s="101">
        <v>1039415</v>
      </c>
      <c r="AI497" s="101">
        <v>98.88</v>
      </c>
      <c r="AK497" s="215">
        <v>45383</v>
      </c>
      <c r="AL497" s="67">
        <v>796256</v>
      </c>
      <c r="AM497" s="67">
        <v>0</v>
      </c>
      <c r="AN497" s="67">
        <v>796256</v>
      </c>
      <c r="AO497" s="67">
        <v>100</v>
      </c>
      <c r="AQ497" s="215">
        <v>45383</v>
      </c>
      <c r="AR497" s="48">
        <v>878558</v>
      </c>
      <c r="AS497" s="67">
        <v>0</v>
      </c>
      <c r="AT497" s="48">
        <v>878558</v>
      </c>
      <c r="AU497" s="67">
        <v>100</v>
      </c>
    </row>
    <row r="498" spans="1:47" hidden="1" x14ac:dyDescent="0.25">
      <c r="A498" s="215">
        <v>45384</v>
      </c>
      <c r="B498" s="101">
        <v>13097395</v>
      </c>
      <c r="C498" s="101">
        <v>827133</v>
      </c>
      <c r="D498" s="101">
        <v>13924528</v>
      </c>
      <c r="E498" s="101">
        <v>94.06</v>
      </c>
      <c r="G498" s="215">
        <v>45384</v>
      </c>
      <c r="H498" s="101">
        <v>294484</v>
      </c>
      <c r="I498" s="101">
        <v>177224</v>
      </c>
      <c r="J498" s="101">
        <v>471708</v>
      </c>
      <c r="K498" s="101">
        <v>62.43</v>
      </c>
      <c r="M498" s="215">
        <v>45384</v>
      </c>
      <c r="N498" s="101">
        <v>1495350</v>
      </c>
      <c r="O498" s="101">
        <v>1743602</v>
      </c>
      <c r="P498" s="101">
        <v>3238952</v>
      </c>
      <c r="Q498" s="101">
        <v>46.17</v>
      </c>
      <c r="S498" s="215">
        <v>45384</v>
      </c>
      <c r="T498" s="101">
        <v>1410795</v>
      </c>
      <c r="U498" s="101">
        <v>2664549</v>
      </c>
      <c r="V498" s="101">
        <v>4075344</v>
      </c>
      <c r="W498" s="101">
        <v>34.619999999999997</v>
      </c>
      <c r="Y498" s="215">
        <v>45384</v>
      </c>
      <c r="Z498" s="101">
        <v>2130212</v>
      </c>
      <c r="AA498" s="101">
        <v>797478</v>
      </c>
      <c r="AB498" s="101">
        <v>2927690</v>
      </c>
      <c r="AC498" s="101">
        <v>72.760000000000005</v>
      </c>
      <c r="AE498" s="215">
        <v>45384</v>
      </c>
      <c r="AF498" s="101">
        <v>1047920</v>
      </c>
      <c r="AG498" s="101">
        <v>11720</v>
      </c>
      <c r="AH498" s="101">
        <v>1059640</v>
      </c>
      <c r="AI498" s="101">
        <v>98.89</v>
      </c>
      <c r="AK498" s="215">
        <v>45384</v>
      </c>
      <c r="AL498" s="48">
        <v>849066</v>
      </c>
      <c r="AM498" s="67">
        <v>0</v>
      </c>
      <c r="AN498" s="48">
        <v>849066</v>
      </c>
      <c r="AO498" s="67">
        <v>100</v>
      </c>
      <c r="AQ498" s="215">
        <v>45384</v>
      </c>
      <c r="AR498" s="67">
        <v>225250</v>
      </c>
      <c r="AS498" s="67">
        <v>0</v>
      </c>
      <c r="AT498" s="67">
        <v>225250</v>
      </c>
      <c r="AU498" s="67">
        <v>100</v>
      </c>
    </row>
    <row r="499" spans="1:47" hidden="1" x14ac:dyDescent="0.25">
      <c r="A499" s="215">
        <v>45385</v>
      </c>
      <c r="B499" s="101">
        <v>12291143</v>
      </c>
      <c r="C499" s="101">
        <v>794668</v>
      </c>
      <c r="D499" s="101">
        <v>13085811</v>
      </c>
      <c r="E499" s="101">
        <v>93.93</v>
      </c>
      <c r="G499" s="215">
        <v>45385</v>
      </c>
      <c r="H499" s="101">
        <v>8423105</v>
      </c>
      <c r="I499" s="101">
        <v>3622805</v>
      </c>
      <c r="J499" s="101">
        <v>12045910</v>
      </c>
      <c r="K499" s="101">
        <v>69.930000000000007</v>
      </c>
      <c r="M499" s="215">
        <v>45385</v>
      </c>
      <c r="N499" s="101">
        <v>3677571</v>
      </c>
      <c r="O499" s="101">
        <v>3026570</v>
      </c>
      <c r="P499" s="101">
        <v>6704141</v>
      </c>
      <c r="Q499" s="101">
        <v>54.86</v>
      </c>
      <c r="S499" s="215">
        <v>45385</v>
      </c>
      <c r="T499" s="101">
        <v>1409799</v>
      </c>
      <c r="U499" s="101">
        <v>2690324</v>
      </c>
      <c r="V499" s="101">
        <v>4100123</v>
      </c>
      <c r="W499" s="101">
        <v>34.380000000000003</v>
      </c>
      <c r="Y499" s="215">
        <v>45385</v>
      </c>
      <c r="Z499" s="101">
        <v>1818655</v>
      </c>
      <c r="AA499" s="101">
        <v>798596</v>
      </c>
      <c r="AB499" s="101">
        <v>2617251</v>
      </c>
      <c r="AC499" s="101">
        <v>69.489999999999995</v>
      </c>
      <c r="AE499" s="215">
        <v>45385</v>
      </c>
      <c r="AF499" s="101">
        <v>1007687</v>
      </c>
      <c r="AG499" s="101">
        <v>12210</v>
      </c>
      <c r="AH499" s="101">
        <v>1019897</v>
      </c>
      <c r="AI499" s="101">
        <v>98.8</v>
      </c>
      <c r="AK499" s="215">
        <v>45385</v>
      </c>
      <c r="AL499" s="48">
        <v>717366</v>
      </c>
      <c r="AM499" s="67">
        <v>0</v>
      </c>
      <c r="AN499" s="48">
        <v>717366</v>
      </c>
      <c r="AO499" s="67">
        <v>100</v>
      </c>
      <c r="AQ499" s="215">
        <v>45385</v>
      </c>
      <c r="AR499" s="67">
        <v>5855287</v>
      </c>
      <c r="AS499" s="67">
        <v>0</v>
      </c>
      <c r="AT499" s="67">
        <v>5855287</v>
      </c>
      <c r="AU499" s="67">
        <v>100</v>
      </c>
    </row>
    <row r="500" spans="1:47" hidden="1" x14ac:dyDescent="0.25">
      <c r="A500" s="215">
        <v>45386</v>
      </c>
      <c r="B500" s="101">
        <v>12572751</v>
      </c>
      <c r="C500" s="101">
        <v>824283</v>
      </c>
      <c r="D500" s="101">
        <v>13397034</v>
      </c>
      <c r="E500" s="101">
        <v>93.85</v>
      </c>
      <c r="G500" s="215">
        <v>45386</v>
      </c>
      <c r="H500" s="101">
        <v>5966723</v>
      </c>
      <c r="I500" s="101">
        <v>2659741</v>
      </c>
      <c r="J500" s="101">
        <v>8626464</v>
      </c>
      <c r="K500" s="101">
        <v>69.17</v>
      </c>
      <c r="M500" s="215">
        <v>45386</v>
      </c>
      <c r="N500" s="101">
        <v>2835578</v>
      </c>
      <c r="O500" s="101">
        <v>2919537</v>
      </c>
      <c r="P500" s="101">
        <v>5755115</v>
      </c>
      <c r="Q500" s="101">
        <v>49.27</v>
      </c>
      <c r="S500" s="215">
        <v>45386</v>
      </c>
      <c r="T500" s="101">
        <v>1364111</v>
      </c>
      <c r="U500" s="101">
        <v>2635357</v>
      </c>
      <c r="V500" s="101">
        <v>3999468</v>
      </c>
      <c r="W500" s="101">
        <v>34.11</v>
      </c>
      <c r="Y500" s="215">
        <v>45386</v>
      </c>
      <c r="Z500" s="101">
        <v>1932574</v>
      </c>
      <c r="AA500" s="101">
        <v>646106</v>
      </c>
      <c r="AB500" s="101">
        <v>2578680</v>
      </c>
      <c r="AC500" s="101">
        <v>74.94</v>
      </c>
      <c r="AE500" s="215">
        <v>45386</v>
      </c>
      <c r="AF500" s="101">
        <v>995500</v>
      </c>
      <c r="AG500" s="101">
        <v>11290</v>
      </c>
      <c r="AH500" s="101">
        <v>1006790</v>
      </c>
      <c r="AI500" s="101">
        <v>98.88</v>
      </c>
      <c r="AK500" s="215">
        <v>45386</v>
      </c>
      <c r="AL500" s="67">
        <v>535623</v>
      </c>
      <c r="AM500" s="67">
        <v>20</v>
      </c>
      <c r="AN500" s="67">
        <v>535643</v>
      </c>
      <c r="AO500" s="67">
        <v>100</v>
      </c>
      <c r="AQ500" s="215">
        <v>45386</v>
      </c>
      <c r="AR500" s="48">
        <v>4214488</v>
      </c>
      <c r="AS500" s="67">
        <v>5708</v>
      </c>
      <c r="AT500" s="48">
        <v>4220196</v>
      </c>
      <c r="AU500" s="48">
        <v>99.86</v>
      </c>
    </row>
    <row r="501" spans="1:47" hidden="1" x14ac:dyDescent="0.25">
      <c r="A501" s="215">
        <v>45387</v>
      </c>
      <c r="B501" s="101">
        <v>13702511</v>
      </c>
      <c r="C501" s="101">
        <v>937045</v>
      </c>
      <c r="D501" s="101">
        <v>14639556</v>
      </c>
      <c r="E501" s="101">
        <v>93.6</v>
      </c>
      <c r="G501" s="215">
        <v>45387</v>
      </c>
      <c r="H501" s="101">
        <v>752210</v>
      </c>
      <c r="I501" s="101">
        <v>309799</v>
      </c>
      <c r="J501" s="101">
        <v>1062009</v>
      </c>
      <c r="K501" s="101">
        <v>70.83</v>
      </c>
      <c r="L501" s="243"/>
      <c r="M501" s="215">
        <v>45387</v>
      </c>
      <c r="N501" s="101">
        <v>666576</v>
      </c>
      <c r="O501" s="101">
        <v>712662</v>
      </c>
      <c r="P501" s="101">
        <v>1379238</v>
      </c>
      <c r="Q501" s="101">
        <v>48.33</v>
      </c>
      <c r="S501" s="215">
        <v>45387</v>
      </c>
      <c r="T501" s="101">
        <v>1284190</v>
      </c>
      <c r="U501" s="101">
        <v>2318703</v>
      </c>
      <c r="V501" s="101">
        <v>3602893</v>
      </c>
      <c r="W501" s="101">
        <v>35.64</v>
      </c>
      <c r="Y501" s="215">
        <v>45387</v>
      </c>
      <c r="Z501" s="101">
        <v>2038627</v>
      </c>
      <c r="AA501" s="101">
        <v>828434</v>
      </c>
      <c r="AB501" s="101">
        <v>2867061</v>
      </c>
      <c r="AC501" s="101">
        <v>71.11</v>
      </c>
      <c r="AE501" s="215">
        <v>45387</v>
      </c>
      <c r="AF501" s="101">
        <v>1060387</v>
      </c>
      <c r="AG501" s="101">
        <v>11700</v>
      </c>
      <c r="AH501" s="101">
        <v>1072087</v>
      </c>
      <c r="AI501" s="101">
        <v>98.91</v>
      </c>
      <c r="AK501" s="215">
        <v>45387</v>
      </c>
      <c r="AL501" s="67">
        <v>890668</v>
      </c>
      <c r="AM501" s="67">
        <v>0</v>
      </c>
      <c r="AN501" s="67">
        <v>890668</v>
      </c>
      <c r="AO501" s="67">
        <v>100</v>
      </c>
      <c r="AQ501" s="215">
        <v>45387</v>
      </c>
      <c r="AR501" s="67">
        <v>655201</v>
      </c>
      <c r="AS501" s="67">
        <v>0</v>
      </c>
      <c r="AT501" s="67">
        <v>655201</v>
      </c>
      <c r="AU501" s="67">
        <v>100</v>
      </c>
    </row>
    <row r="502" spans="1:47" hidden="1" x14ac:dyDescent="0.25">
      <c r="A502" s="224">
        <v>45388</v>
      </c>
      <c r="B502" s="173">
        <v>12692020</v>
      </c>
      <c r="C502" s="173">
        <v>852801</v>
      </c>
      <c r="D502" s="173">
        <v>13544821</v>
      </c>
      <c r="E502" s="173">
        <v>93.7</v>
      </c>
      <c r="G502" s="215">
        <v>45388</v>
      </c>
      <c r="H502" s="101">
        <v>8917042</v>
      </c>
      <c r="I502" s="101">
        <v>3759728</v>
      </c>
      <c r="J502" s="101">
        <v>12676770</v>
      </c>
      <c r="K502" s="101">
        <v>70.34</v>
      </c>
      <c r="M502" s="215">
        <v>45388</v>
      </c>
      <c r="N502" s="101">
        <v>3549924</v>
      </c>
      <c r="O502" s="101">
        <v>3001995</v>
      </c>
      <c r="P502" s="101">
        <v>6551919</v>
      </c>
      <c r="Q502" s="101">
        <v>54.18</v>
      </c>
      <c r="S502" s="215">
        <v>45388</v>
      </c>
      <c r="T502" s="101">
        <v>1158081</v>
      </c>
      <c r="U502" s="101">
        <v>2151410</v>
      </c>
      <c r="V502" s="101">
        <v>3309491</v>
      </c>
      <c r="W502" s="101">
        <v>34.99</v>
      </c>
      <c r="Y502" s="215">
        <v>45388</v>
      </c>
      <c r="Z502" s="101">
        <v>2253700</v>
      </c>
      <c r="AA502" s="101">
        <v>1225676</v>
      </c>
      <c r="AB502" s="101">
        <v>3479376</v>
      </c>
      <c r="AC502" s="101">
        <v>64.77</v>
      </c>
      <c r="AE502" s="224">
        <v>45388</v>
      </c>
      <c r="AF502" s="173">
        <v>1076312</v>
      </c>
      <c r="AG502" s="173">
        <v>11561</v>
      </c>
      <c r="AH502" s="173">
        <v>1087873</v>
      </c>
      <c r="AI502" s="173">
        <v>98.94</v>
      </c>
      <c r="AK502" s="215">
        <v>45388</v>
      </c>
      <c r="AL502" s="67">
        <v>747347</v>
      </c>
      <c r="AM502" s="67">
        <v>0</v>
      </c>
      <c r="AN502" s="67">
        <v>747347</v>
      </c>
      <c r="AO502" s="67">
        <v>100</v>
      </c>
      <c r="AQ502" s="215">
        <v>45388</v>
      </c>
      <c r="AR502" s="67">
        <v>5455184</v>
      </c>
      <c r="AS502" s="67">
        <v>0</v>
      </c>
      <c r="AT502" s="67">
        <v>5455184</v>
      </c>
      <c r="AU502" s="67">
        <v>100</v>
      </c>
    </row>
    <row r="503" spans="1:47" hidden="1" x14ac:dyDescent="0.25">
      <c r="A503" s="215">
        <v>45389</v>
      </c>
      <c r="B503" s="104">
        <v>11351302</v>
      </c>
      <c r="C503" s="104">
        <v>792944</v>
      </c>
      <c r="D503" s="104">
        <v>12144246</v>
      </c>
      <c r="E503" s="104">
        <v>93.47</v>
      </c>
      <c r="G503" s="224">
        <v>45389</v>
      </c>
      <c r="H503" s="173">
        <v>299814</v>
      </c>
      <c r="I503" s="173">
        <v>162005</v>
      </c>
      <c r="J503" s="173">
        <v>461819</v>
      </c>
      <c r="K503" s="173">
        <v>64.92</v>
      </c>
      <c r="M503" s="224">
        <v>45389</v>
      </c>
      <c r="N503" s="173">
        <v>3252130</v>
      </c>
      <c r="O503" s="173">
        <v>2945741</v>
      </c>
      <c r="P503" s="173">
        <v>6197871</v>
      </c>
      <c r="Q503" s="173">
        <v>52.47</v>
      </c>
      <c r="S503" s="224">
        <v>45389</v>
      </c>
      <c r="T503" s="173">
        <v>72114</v>
      </c>
      <c r="U503" s="173">
        <v>39234</v>
      </c>
      <c r="V503" s="173">
        <v>111348</v>
      </c>
      <c r="W503" s="173">
        <v>64.760000000000005</v>
      </c>
      <c r="Y503" s="224">
        <v>45389</v>
      </c>
      <c r="Z503" s="173">
        <v>2018934</v>
      </c>
      <c r="AA503" s="173">
        <v>1278990</v>
      </c>
      <c r="AB503" s="173">
        <v>3297924</v>
      </c>
      <c r="AC503" s="173">
        <v>61.22</v>
      </c>
      <c r="AE503" s="215">
        <v>45389</v>
      </c>
      <c r="AF503" s="104">
        <v>1050020</v>
      </c>
      <c r="AG503" s="104">
        <v>10438</v>
      </c>
      <c r="AH503" s="104">
        <v>1060458</v>
      </c>
      <c r="AI503" s="104">
        <v>99.02</v>
      </c>
      <c r="AK503" s="215">
        <v>45389</v>
      </c>
      <c r="AL503" s="67">
        <v>708983</v>
      </c>
      <c r="AM503" s="67">
        <v>0</v>
      </c>
      <c r="AN503" s="67">
        <v>708983</v>
      </c>
      <c r="AO503" s="67">
        <v>100</v>
      </c>
      <c r="AQ503" s="215">
        <v>45389</v>
      </c>
      <c r="AR503" s="67">
        <v>257474</v>
      </c>
      <c r="AS503" s="67">
        <v>0</v>
      </c>
      <c r="AT503" s="67">
        <v>257474</v>
      </c>
      <c r="AU503" s="67">
        <v>100</v>
      </c>
    </row>
    <row r="504" spans="1:47" hidden="1" x14ac:dyDescent="0.25">
      <c r="A504" s="215">
        <v>45390</v>
      </c>
      <c r="B504" s="104">
        <v>14401093</v>
      </c>
      <c r="C504" s="104">
        <v>930835</v>
      </c>
      <c r="D504" s="104">
        <v>15331928</v>
      </c>
      <c r="E504" s="104">
        <v>93.93</v>
      </c>
      <c r="G504" s="215">
        <v>45390</v>
      </c>
      <c r="H504" s="104">
        <v>6370430</v>
      </c>
      <c r="I504" s="104">
        <v>2466468</v>
      </c>
      <c r="J504" s="104">
        <v>8836898</v>
      </c>
      <c r="K504" s="104">
        <v>72.09</v>
      </c>
      <c r="M504" s="215">
        <v>45390</v>
      </c>
      <c r="N504" s="104">
        <v>2989059</v>
      </c>
      <c r="O504" s="104">
        <v>2428786</v>
      </c>
      <c r="P504" s="104">
        <v>5417845</v>
      </c>
      <c r="Q504" s="104">
        <v>55.17</v>
      </c>
      <c r="S504" s="215">
        <v>45390</v>
      </c>
      <c r="T504" s="104">
        <v>778119</v>
      </c>
      <c r="U504" s="104">
        <v>1343495</v>
      </c>
      <c r="V504" s="104">
        <v>2121614</v>
      </c>
      <c r="W504" s="104">
        <v>36.68</v>
      </c>
      <c r="Y504" s="215">
        <v>45390</v>
      </c>
      <c r="Z504" s="104">
        <v>2110052</v>
      </c>
      <c r="AA504" s="104">
        <v>1044686</v>
      </c>
      <c r="AB504" s="104">
        <v>3154738</v>
      </c>
      <c r="AC504" s="104">
        <v>66.89</v>
      </c>
      <c r="AE504" s="215">
        <v>45390</v>
      </c>
      <c r="AF504" s="104">
        <v>1105554</v>
      </c>
      <c r="AG504" s="104">
        <v>11966</v>
      </c>
      <c r="AH504" s="104">
        <v>1117520</v>
      </c>
      <c r="AI504" s="104">
        <v>98.93</v>
      </c>
      <c r="AK504" s="215">
        <v>45390</v>
      </c>
      <c r="AL504" s="67">
        <v>734447</v>
      </c>
      <c r="AM504" s="67">
        <v>0</v>
      </c>
      <c r="AN504" s="67">
        <v>734447</v>
      </c>
      <c r="AO504" s="67">
        <v>100</v>
      </c>
      <c r="AQ504" s="215">
        <v>45390</v>
      </c>
      <c r="AR504" s="67">
        <v>4199793</v>
      </c>
      <c r="AS504" s="67">
        <v>0</v>
      </c>
      <c r="AT504" s="67">
        <v>4199793</v>
      </c>
      <c r="AU504" s="67">
        <v>100</v>
      </c>
    </row>
    <row r="505" spans="1:47" hidden="1" x14ac:dyDescent="0.25">
      <c r="A505" s="215">
        <v>45391</v>
      </c>
      <c r="B505" s="48">
        <v>16066686</v>
      </c>
      <c r="C505" s="48">
        <v>1037583</v>
      </c>
      <c r="D505" s="48">
        <v>17104269</v>
      </c>
      <c r="E505" s="71">
        <v>93.933000000000007</v>
      </c>
      <c r="G505" s="215">
        <v>45391</v>
      </c>
      <c r="H505" s="48">
        <v>417862</v>
      </c>
      <c r="I505" s="48">
        <v>173532</v>
      </c>
      <c r="J505" s="48">
        <v>591394</v>
      </c>
      <c r="K505" s="48">
        <v>70.650000000000006</v>
      </c>
      <c r="M505" s="215">
        <v>45391</v>
      </c>
      <c r="N505" s="48">
        <v>1547265</v>
      </c>
      <c r="O505" s="48">
        <v>1655923</v>
      </c>
      <c r="P505" s="48">
        <v>3203188</v>
      </c>
      <c r="Q505" s="48">
        <v>48.3</v>
      </c>
      <c r="S505" s="215">
        <v>45391</v>
      </c>
      <c r="T505" s="48">
        <v>780328</v>
      </c>
      <c r="U505" s="48">
        <v>1346949</v>
      </c>
      <c r="V505" s="48">
        <v>2127277</v>
      </c>
      <c r="W505" s="48">
        <v>36.68</v>
      </c>
      <c r="Y505" s="215">
        <v>45391</v>
      </c>
      <c r="Z505" s="48">
        <v>2212935</v>
      </c>
      <c r="AA505" s="48">
        <v>958060</v>
      </c>
      <c r="AB505" s="48">
        <v>3170995</v>
      </c>
      <c r="AC505" s="48">
        <v>69.78</v>
      </c>
      <c r="AE505" s="215">
        <v>45391</v>
      </c>
      <c r="AF505" s="48">
        <v>1138480</v>
      </c>
      <c r="AG505" s="48">
        <v>11515</v>
      </c>
      <c r="AH505" s="48">
        <v>1149995</v>
      </c>
      <c r="AI505" s="48">
        <v>98.99</v>
      </c>
      <c r="AK505" s="215">
        <v>45391</v>
      </c>
      <c r="AL505" s="48">
        <v>840583</v>
      </c>
      <c r="AM505" s="67">
        <v>0</v>
      </c>
      <c r="AN505" s="48">
        <v>840583</v>
      </c>
      <c r="AO505" s="67">
        <v>100</v>
      </c>
      <c r="AQ505" s="215">
        <v>45391</v>
      </c>
      <c r="AR505" s="48">
        <v>332004</v>
      </c>
      <c r="AS505" s="67">
        <v>0</v>
      </c>
      <c r="AT505" s="48">
        <v>332004</v>
      </c>
      <c r="AU505" s="67">
        <v>100</v>
      </c>
    </row>
    <row r="506" spans="1:47" hidden="1" x14ac:dyDescent="0.25">
      <c r="A506" s="215">
        <v>45392</v>
      </c>
      <c r="B506" s="48">
        <v>12430045</v>
      </c>
      <c r="C506" s="48">
        <v>1221664</v>
      </c>
      <c r="D506" s="48">
        <v>13651709</v>
      </c>
      <c r="E506" s="71">
        <v>91.05</v>
      </c>
      <c r="G506" s="215">
        <v>45392</v>
      </c>
      <c r="H506" s="48">
        <v>2121744</v>
      </c>
      <c r="I506" s="48">
        <v>1133765</v>
      </c>
      <c r="J506" s="48">
        <v>3255509</v>
      </c>
      <c r="K506" s="48">
        <v>65.17</v>
      </c>
      <c r="M506" s="215">
        <v>45392</v>
      </c>
      <c r="N506" s="48">
        <v>4367773</v>
      </c>
      <c r="O506" s="48">
        <v>2958820</v>
      </c>
      <c r="P506" s="48">
        <v>7326593</v>
      </c>
      <c r="Q506" s="48">
        <v>59.61</v>
      </c>
      <c r="S506" s="215">
        <v>45392</v>
      </c>
      <c r="T506" s="48">
        <v>778518</v>
      </c>
      <c r="U506" s="48">
        <v>1337003</v>
      </c>
      <c r="V506" s="48">
        <v>2115521</v>
      </c>
      <c r="W506" s="48">
        <v>36.799999999999997</v>
      </c>
      <c r="Y506" s="215">
        <v>45392</v>
      </c>
      <c r="Z506" s="48">
        <v>1822422</v>
      </c>
      <c r="AA506" s="48">
        <v>683590</v>
      </c>
      <c r="AB506" s="48">
        <v>2506012</v>
      </c>
      <c r="AC506" s="48">
        <v>72.72</v>
      </c>
      <c r="AE506" s="215">
        <v>45392</v>
      </c>
      <c r="AF506" s="48">
        <v>1187982</v>
      </c>
      <c r="AG506" s="48">
        <v>13200</v>
      </c>
      <c r="AH506" s="48">
        <v>1201182</v>
      </c>
      <c r="AI506" s="48">
        <v>98.9</v>
      </c>
      <c r="AK506" s="215">
        <v>45392</v>
      </c>
      <c r="AL506" s="48">
        <v>865735</v>
      </c>
      <c r="AM506" s="67">
        <v>0</v>
      </c>
      <c r="AN506" s="48">
        <v>865735</v>
      </c>
      <c r="AO506" s="67">
        <v>100</v>
      </c>
      <c r="AQ506" s="215">
        <v>45392</v>
      </c>
      <c r="AR506" s="48">
        <v>1426247</v>
      </c>
      <c r="AS506" s="67">
        <v>0</v>
      </c>
      <c r="AT506" s="48">
        <v>1426247</v>
      </c>
      <c r="AU506" s="67">
        <v>100</v>
      </c>
    </row>
    <row r="507" spans="1:47" hidden="1" x14ac:dyDescent="0.25">
      <c r="A507" s="215">
        <v>45393</v>
      </c>
      <c r="B507" s="48">
        <v>11403914</v>
      </c>
      <c r="C507" s="48">
        <v>779951</v>
      </c>
      <c r="D507" s="48">
        <v>12183865</v>
      </c>
      <c r="E507" s="71">
        <v>93.597999999999999</v>
      </c>
      <c r="G507" s="215">
        <v>45393</v>
      </c>
      <c r="H507" s="48">
        <v>504582</v>
      </c>
      <c r="I507" s="48">
        <v>287962</v>
      </c>
      <c r="J507" s="48">
        <v>792544</v>
      </c>
      <c r="K507" s="48">
        <v>63.66</v>
      </c>
      <c r="M507" s="215">
        <v>45393</v>
      </c>
      <c r="N507" s="48">
        <v>2630356</v>
      </c>
      <c r="O507" s="48">
        <v>2415665</v>
      </c>
      <c r="P507" s="48">
        <v>5046021</v>
      </c>
      <c r="Q507" s="48">
        <v>52.12</v>
      </c>
      <c r="S507" s="215">
        <v>45393</v>
      </c>
      <c r="T507" s="48">
        <v>667004</v>
      </c>
      <c r="U507" s="48">
        <v>1162584</v>
      </c>
      <c r="V507" s="48">
        <v>1829588</v>
      </c>
      <c r="W507" s="48">
        <v>36.450000000000003</v>
      </c>
      <c r="Y507" s="215">
        <v>45393</v>
      </c>
      <c r="Z507" s="48">
        <v>1683158</v>
      </c>
      <c r="AA507" s="48">
        <v>857067</v>
      </c>
      <c r="AB507" s="48">
        <v>2540225</v>
      </c>
      <c r="AC507" s="48">
        <v>66.260000000000005</v>
      </c>
      <c r="AE507" s="215">
        <v>45393</v>
      </c>
      <c r="AF507" s="48">
        <v>1011925</v>
      </c>
      <c r="AG507" s="48">
        <v>10699</v>
      </c>
      <c r="AH507" s="48">
        <v>1022624</v>
      </c>
      <c r="AI507" s="48">
        <v>98.95</v>
      </c>
      <c r="AK507" s="215">
        <v>45393</v>
      </c>
      <c r="AL507" s="48">
        <v>538348</v>
      </c>
      <c r="AM507" s="67">
        <v>0</v>
      </c>
      <c r="AN507" s="48">
        <v>538348</v>
      </c>
      <c r="AO507" s="67">
        <v>100</v>
      </c>
      <c r="AQ507" s="215">
        <v>45393</v>
      </c>
      <c r="AR507" s="48">
        <v>344948</v>
      </c>
      <c r="AS507" s="48">
        <v>731</v>
      </c>
      <c r="AT507" s="48">
        <v>345679</v>
      </c>
      <c r="AU507" s="48">
        <v>99.79</v>
      </c>
    </row>
    <row r="508" spans="1:47" hidden="1" x14ac:dyDescent="0.25">
      <c r="A508" s="215">
        <v>45394</v>
      </c>
      <c r="B508" s="104">
        <v>11046393</v>
      </c>
      <c r="C508" s="104">
        <v>785962</v>
      </c>
      <c r="D508" s="104">
        <v>11832355</v>
      </c>
      <c r="E508" s="104">
        <v>93.36</v>
      </c>
      <c r="G508" s="215">
        <v>45394</v>
      </c>
      <c r="H508" s="104">
        <v>290944</v>
      </c>
      <c r="I508" s="104">
        <v>149443</v>
      </c>
      <c r="J508" s="104">
        <v>440387</v>
      </c>
      <c r="K508" s="104">
        <v>66.069999999999993</v>
      </c>
      <c r="M508" s="215">
        <v>45394</v>
      </c>
      <c r="N508" s="104">
        <v>3614960</v>
      </c>
      <c r="O508" s="104">
        <v>3490270</v>
      </c>
      <c r="P508" s="104">
        <v>7105230</v>
      </c>
      <c r="Q508" s="104">
        <v>50.88</v>
      </c>
      <c r="S508" s="215">
        <v>45394</v>
      </c>
      <c r="T508" s="104">
        <v>59500</v>
      </c>
      <c r="U508" s="104">
        <v>31967</v>
      </c>
      <c r="V508" s="104">
        <v>91467</v>
      </c>
      <c r="W508" s="104">
        <v>65.05</v>
      </c>
      <c r="Y508" s="215">
        <v>45394</v>
      </c>
      <c r="Z508" s="104">
        <v>1640628</v>
      </c>
      <c r="AA508" s="104">
        <v>2403879</v>
      </c>
      <c r="AB508" s="104">
        <v>4044507</v>
      </c>
      <c r="AC508" s="104">
        <v>40.56</v>
      </c>
      <c r="AE508" s="215">
        <v>45394</v>
      </c>
      <c r="AF508" s="104">
        <v>1083741</v>
      </c>
      <c r="AG508" s="104">
        <v>11104</v>
      </c>
      <c r="AH508" s="104">
        <v>1094845</v>
      </c>
      <c r="AI508" s="104">
        <v>98.99</v>
      </c>
      <c r="AK508" s="215">
        <v>45394</v>
      </c>
      <c r="AL508" s="48">
        <v>488762</v>
      </c>
      <c r="AM508" s="48">
        <v>1058</v>
      </c>
      <c r="AN508" s="48">
        <v>489820</v>
      </c>
      <c r="AO508" s="67">
        <v>99.78</v>
      </c>
      <c r="AQ508" s="215">
        <v>45394</v>
      </c>
      <c r="AR508" s="67">
        <v>274355</v>
      </c>
      <c r="AS508" s="67">
        <v>0</v>
      </c>
      <c r="AT508" s="67">
        <v>274355</v>
      </c>
      <c r="AU508" s="67">
        <v>100</v>
      </c>
    </row>
    <row r="509" spans="1:47" hidden="1" x14ac:dyDescent="0.25">
      <c r="A509" s="215">
        <v>45395</v>
      </c>
      <c r="B509" s="104">
        <v>13002367</v>
      </c>
      <c r="C509" s="104">
        <v>840923</v>
      </c>
      <c r="D509" s="104">
        <v>13843290</v>
      </c>
      <c r="E509" s="104">
        <v>93.93</v>
      </c>
      <c r="G509" s="215">
        <v>45395</v>
      </c>
      <c r="H509" s="104">
        <v>663259</v>
      </c>
      <c r="I509" s="104">
        <v>284943</v>
      </c>
      <c r="J509" s="104">
        <v>948202</v>
      </c>
      <c r="K509" s="104">
        <v>69.95</v>
      </c>
      <c r="M509" s="215">
        <v>45395</v>
      </c>
      <c r="N509" s="104">
        <v>4312235</v>
      </c>
      <c r="O509" s="104">
        <v>3215037</v>
      </c>
      <c r="P509" s="104">
        <v>7527272</v>
      </c>
      <c r="Q509" s="104">
        <v>57.29</v>
      </c>
      <c r="S509" s="215">
        <v>45395</v>
      </c>
      <c r="T509" s="104">
        <v>1424389</v>
      </c>
      <c r="U509" s="104">
        <v>2650890</v>
      </c>
      <c r="V509" s="104">
        <v>4075279</v>
      </c>
      <c r="W509" s="104">
        <v>34.950000000000003</v>
      </c>
      <c r="Y509" s="215">
        <v>45395</v>
      </c>
      <c r="Z509" s="104">
        <v>1651831</v>
      </c>
      <c r="AA509" s="104">
        <v>1841958</v>
      </c>
      <c r="AB509" s="104">
        <v>3493789</v>
      </c>
      <c r="AC509" s="104">
        <v>47.28</v>
      </c>
      <c r="AE509" s="215">
        <v>45395</v>
      </c>
      <c r="AF509" s="104">
        <v>1093976</v>
      </c>
      <c r="AG509" s="104">
        <v>11253</v>
      </c>
      <c r="AH509" s="104">
        <v>1105229</v>
      </c>
      <c r="AI509" s="104">
        <v>98.98</v>
      </c>
      <c r="AK509" s="215">
        <v>45395</v>
      </c>
      <c r="AL509" s="48">
        <v>748295</v>
      </c>
      <c r="AM509" s="67">
        <v>101</v>
      </c>
      <c r="AN509" s="48">
        <v>748396</v>
      </c>
      <c r="AO509" s="67">
        <v>99.99</v>
      </c>
      <c r="AQ509" s="215">
        <v>45395</v>
      </c>
      <c r="AR509" s="48">
        <v>498198</v>
      </c>
      <c r="AS509" s="67">
        <v>0</v>
      </c>
      <c r="AT509" s="48">
        <v>498198</v>
      </c>
      <c r="AU509" s="67">
        <v>100</v>
      </c>
    </row>
    <row r="510" spans="1:47" hidden="1" x14ac:dyDescent="0.25">
      <c r="A510" s="215">
        <v>45396</v>
      </c>
      <c r="B510" s="104">
        <v>11046393</v>
      </c>
      <c r="C510" s="104">
        <v>785962</v>
      </c>
      <c r="D510" s="104">
        <v>11832355</v>
      </c>
      <c r="E510" s="104">
        <v>93.36</v>
      </c>
      <c r="G510" s="215">
        <v>45396</v>
      </c>
      <c r="H510" s="104">
        <v>290944</v>
      </c>
      <c r="I510" s="104">
        <v>149443</v>
      </c>
      <c r="J510" s="104">
        <v>440387</v>
      </c>
      <c r="K510" s="104">
        <v>66.069999999999993</v>
      </c>
      <c r="M510" s="215">
        <v>45396</v>
      </c>
      <c r="N510" s="104">
        <v>3614960</v>
      </c>
      <c r="O510" s="104">
        <v>3490270</v>
      </c>
      <c r="P510" s="104">
        <v>7105230</v>
      </c>
      <c r="Q510" s="104">
        <v>50.88</v>
      </c>
      <c r="S510" s="215">
        <v>45396</v>
      </c>
      <c r="T510" s="104">
        <v>59500</v>
      </c>
      <c r="U510" s="104">
        <v>31967</v>
      </c>
      <c r="V510" s="104">
        <v>91467</v>
      </c>
      <c r="W510" s="104">
        <v>65.05</v>
      </c>
      <c r="Y510" s="215">
        <v>45396</v>
      </c>
      <c r="Z510" s="104">
        <v>1640628</v>
      </c>
      <c r="AA510" s="104">
        <v>2403879</v>
      </c>
      <c r="AB510" s="104">
        <v>4044507</v>
      </c>
      <c r="AC510" s="104">
        <v>40.56</v>
      </c>
      <c r="AE510" s="215">
        <v>45396</v>
      </c>
      <c r="AF510" s="104">
        <v>1083741</v>
      </c>
      <c r="AG510" s="104">
        <v>11104</v>
      </c>
      <c r="AH510" s="104">
        <v>1094845</v>
      </c>
      <c r="AI510" s="104">
        <v>98.99</v>
      </c>
      <c r="AK510" s="215">
        <v>45396</v>
      </c>
      <c r="AL510" s="48">
        <v>569244</v>
      </c>
      <c r="AM510" s="67">
        <v>487</v>
      </c>
      <c r="AN510" s="48">
        <v>569731</v>
      </c>
      <c r="AO510" s="67">
        <v>99.91</v>
      </c>
      <c r="AQ510" s="215">
        <v>45396</v>
      </c>
      <c r="AR510" s="67">
        <v>231209</v>
      </c>
      <c r="AS510" s="67">
        <v>0</v>
      </c>
      <c r="AT510" s="67">
        <v>231209</v>
      </c>
      <c r="AU510" s="67">
        <v>100</v>
      </c>
    </row>
    <row r="511" spans="1:47" hidden="1" x14ac:dyDescent="0.25">
      <c r="A511" s="215">
        <v>45397</v>
      </c>
      <c r="B511" s="48">
        <v>12981762</v>
      </c>
      <c r="C511" s="48">
        <v>991758</v>
      </c>
      <c r="D511" s="48">
        <v>13973520</v>
      </c>
      <c r="E511" s="48">
        <v>92.9</v>
      </c>
      <c r="G511" s="215">
        <v>45397</v>
      </c>
      <c r="H511" s="48">
        <v>531541</v>
      </c>
      <c r="I511" s="48">
        <v>219451</v>
      </c>
      <c r="J511" s="48">
        <v>750992</v>
      </c>
      <c r="K511" s="48">
        <v>70.77</v>
      </c>
      <c r="M511" s="215">
        <v>45397</v>
      </c>
      <c r="N511" s="48">
        <v>3546435</v>
      </c>
      <c r="O511" s="48">
        <v>3371323</v>
      </c>
      <c r="P511" s="48">
        <v>6917758</v>
      </c>
      <c r="Q511" s="48">
        <v>51.26</v>
      </c>
      <c r="S511" s="215">
        <v>45397</v>
      </c>
      <c r="T511" s="48">
        <v>1579929</v>
      </c>
      <c r="U511" s="48">
        <v>2736524</v>
      </c>
      <c r="V511" s="48">
        <v>4316453</v>
      </c>
      <c r="W511" s="48">
        <v>36.6</v>
      </c>
      <c r="Y511" s="215">
        <v>45397</v>
      </c>
      <c r="Z511" s="48">
        <v>1562126</v>
      </c>
      <c r="AA511" s="48">
        <v>2736694</v>
      </c>
      <c r="AB511" s="48">
        <v>4298820</v>
      </c>
      <c r="AC511" s="48">
        <v>36.33</v>
      </c>
      <c r="AE511" s="215">
        <v>45397</v>
      </c>
      <c r="AF511" s="48">
        <v>1084848</v>
      </c>
      <c r="AG511" s="48">
        <v>11653</v>
      </c>
      <c r="AH511" s="48">
        <v>1096501</v>
      </c>
      <c r="AI511" s="48">
        <v>98.93</v>
      </c>
      <c r="AK511" s="215">
        <v>45397</v>
      </c>
      <c r="AL511" s="67">
        <v>986997</v>
      </c>
      <c r="AM511" s="67">
        <v>0</v>
      </c>
      <c r="AN511" s="67">
        <v>986997</v>
      </c>
      <c r="AO511" s="67">
        <v>100</v>
      </c>
      <c r="AQ511" s="215">
        <v>45397</v>
      </c>
      <c r="AR511" s="48">
        <v>451195</v>
      </c>
      <c r="AS511" s="67">
        <v>0</v>
      </c>
      <c r="AT511" s="48">
        <v>451195</v>
      </c>
      <c r="AU511" s="67">
        <v>100</v>
      </c>
    </row>
    <row r="512" spans="1:47" hidden="1" x14ac:dyDescent="0.25">
      <c r="A512" s="215">
        <v>45398</v>
      </c>
      <c r="B512" s="101">
        <v>12431686</v>
      </c>
      <c r="C512" s="101">
        <v>853731</v>
      </c>
      <c r="D512" s="101">
        <v>13285417</v>
      </c>
      <c r="E512" s="101">
        <v>93.57</v>
      </c>
      <c r="G512" s="215">
        <v>45398</v>
      </c>
      <c r="H512" s="101">
        <v>1824807</v>
      </c>
      <c r="I512" s="101">
        <v>673651</v>
      </c>
      <c r="J512" s="101">
        <v>2498458</v>
      </c>
      <c r="K512" s="101">
        <v>73.040000000000006</v>
      </c>
      <c r="M512" s="215">
        <v>45398</v>
      </c>
      <c r="N512" s="101">
        <v>1220624</v>
      </c>
      <c r="O512" s="101">
        <v>1771167</v>
      </c>
      <c r="P512" s="101">
        <v>2991791</v>
      </c>
      <c r="Q512" s="101">
        <v>40.799999999999997</v>
      </c>
      <c r="S512" s="215">
        <v>45398</v>
      </c>
      <c r="T512" s="101">
        <v>3505617</v>
      </c>
      <c r="U512" s="101">
        <v>3265579</v>
      </c>
      <c r="V512" s="101">
        <v>6771196</v>
      </c>
      <c r="W512" s="101">
        <v>51.77</v>
      </c>
      <c r="Y512" s="215">
        <v>45398</v>
      </c>
      <c r="Z512" s="101">
        <v>1674959</v>
      </c>
      <c r="AA512" s="101">
        <v>2988016</v>
      </c>
      <c r="AB512" s="101">
        <v>4662975</v>
      </c>
      <c r="AC512" s="101">
        <v>35.92</v>
      </c>
      <c r="AE512" s="215">
        <v>45398</v>
      </c>
      <c r="AF512" s="101">
        <v>1033451</v>
      </c>
      <c r="AG512" s="101">
        <v>11764</v>
      </c>
      <c r="AH512" s="101">
        <v>1045215</v>
      </c>
      <c r="AI512" s="101">
        <v>98.87</v>
      </c>
      <c r="AK512" s="215">
        <v>45398</v>
      </c>
      <c r="AL512" s="48">
        <v>580890</v>
      </c>
      <c r="AM512" s="48">
        <v>1143</v>
      </c>
      <c r="AN512" s="48">
        <v>582033</v>
      </c>
      <c r="AO512" s="48">
        <v>99.8</v>
      </c>
      <c r="AQ512" s="215">
        <v>45398</v>
      </c>
      <c r="AR512" s="67">
        <v>2674673</v>
      </c>
      <c r="AS512" s="67">
        <v>0</v>
      </c>
      <c r="AT512" s="67">
        <v>2674673</v>
      </c>
      <c r="AU512" s="67">
        <v>100</v>
      </c>
    </row>
    <row r="513" spans="1:47" hidden="1" x14ac:dyDescent="0.25">
      <c r="A513" s="215">
        <v>45399</v>
      </c>
      <c r="B513" s="101">
        <v>12785077</v>
      </c>
      <c r="C513" s="101">
        <v>900967</v>
      </c>
      <c r="D513" s="101">
        <v>13686044</v>
      </c>
      <c r="E513" s="101">
        <v>93.42</v>
      </c>
      <c r="G513" s="215">
        <v>45399</v>
      </c>
      <c r="H513" s="101">
        <v>1878876</v>
      </c>
      <c r="I513" s="101">
        <v>798979</v>
      </c>
      <c r="J513" s="101">
        <v>2677855</v>
      </c>
      <c r="K513" s="101">
        <v>70.16</v>
      </c>
      <c r="M513" s="215">
        <v>45399</v>
      </c>
      <c r="N513" s="101">
        <v>4363220</v>
      </c>
      <c r="O513" s="101">
        <v>3564906</v>
      </c>
      <c r="P513" s="101">
        <v>7928126</v>
      </c>
      <c r="Q513" s="101">
        <v>55.03</v>
      </c>
      <c r="S513" s="215">
        <v>45399</v>
      </c>
      <c r="T513" s="101">
        <v>4337733</v>
      </c>
      <c r="U513" s="101">
        <v>4063377</v>
      </c>
      <c r="V513" s="101">
        <v>8401110</v>
      </c>
      <c r="W513" s="101">
        <v>51.63</v>
      </c>
      <c r="Y513" s="215">
        <v>45399</v>
      </c>
      <c r="Z513" s="101">
        <v>1564806</v>
      </c>
      <c r="AA513" s="101">
        <v>2903754</v>
      </c>
      <c r="AB513" s="101">
        <v>4468560</v>
      </c>
      <c r="AC513" s="101">
        <v>35.020000000000003</v>
      </c>
      <c r="AE513" s="215">
        <v>45399</v>
      </c>
      <c r="AF513" s="101">
        <v>1025800</v>
      </c>
      <c r="AG513" s="101">
        <v>11691</v>
      </c>
      <c r="AH513" s="101">
        <v>1037491</v>
      </c>
      <c r="AI513" s="101">
        <v>98.87</v>
      </c>
      <c r="AK513" s="215">
        <v>45399</v>
      </c>
      <c r="AL513" s="48">
        <v>829085</v>
      </c>
      <c r="AM513" s="67">
        <v>0</v>
      </c>
      <c r="AN513" s="48">
        <v>829085</v>
      </c>
      <c r="AO513" s="67">
        <v>100</v>
      </c>
      <c r="AQ513" s="215">
        <v>45399</v>
      </c>
      <c r="AR513" s="48">
        <v>1408866</v>
      </c>
      <c r="AS513" s="67">
        <v>0</v>
      </c>
      <c r="AT513" s="48">
        <v>1408866</v>
      </c>
      <c r="AU513" s="67">
        <v>100</v>
      </c>
    </row>
    <row r="514" spans="1:47" hidden="1" x14ac:dyDescent="0.25">
      <c r="A514" s="215">
        <v>45400</v>
      </c>
      <c r="B514" s="101">
        <v>12626396</v>
      </c>
      <c r="C514" s="101">
        <v>773315</v>
      </c>
      <c r="D514" s="101">
        <v>13399711</v>
      </c>
      <c r="E514" s="101">
        <v>94.23</v>
      </c>
      <c r="G514" s="215">
        <v>45400</v>
      </c>
      <c r="H514" s="101">
        <v>656916</v>
      </c>
      <c r="I514" s="101">
        <v>276441</v>
      </c>
      <c r="J514" s="101">
        <v>933357</v>
      </c>
      <c r="K514" s="101">
        <v>70.38</v>
      </c>
      <c r="M514" s="215">
        <v>45400</v>
      </c>
      <c r="N514" s="101">
        <v>2931802</v>
      </c>
      <c r="O514" s="101">
        <v>2621618</v>
      </c>
      <c r="P514" s="101">
        <v>5553420</v>
      </c>
      <c r="Q514" s="101">
        <v>52.79</v>
      </c>
      <c r="S514" s="215">
        <v>45400</v>
      </c>
      <c r="T514" s="101">
        <v>3539394</v>
      </c>
      <c r="U514" s="101">
        <v>3950985</v>
      </c>
      <c r="V514" s="101">
        <v>7490379</v>
      </c>
      <c r="W514" s="101">
        <v>47.25</v>
      </c>
      <c r="Y514" s="215">
        <v>45400</v>
      </c>
      <c r="Z514" s="101">
        <v>1709111</v>
      </c>
      <c r="AA514" s="101">
        <v>2910784</v>
      </c>
      <c r="AB514" s="101">
        <v>4619895</v>
      </c>
      <c r="AC514" s="101">
        <v>36.99</v>
      </c>
      <c r="AE514" s="215">
        <v>45400</v>
      </c>
      <c r="AF514" s="101">
        <v>1059944</v>
      </c>
      <c r="AG514" s="101">
        <v>11883</v>
      </c>
      <c r="AH514" s="101">
        <v>1071827</v>
      </c>
      <c r="AI514" s="101">
        <v>98.89</v>
      </c>
      <c r="AK514" s="215">
        <v>45400</v>
      </c>
      <c r="AL514" s="48">
        <v>504650</v>
      </c>
      <c r="AM514" s="67">
        <v>674</v>
      </c>
      <c r="AN514" s="48">
        <v>505324</v>
      </c>
      <c r="AO514" s="67">
        <v>99.87</v>
      </c>
      <c r="AQ514" s="215">
        <v>45400</v>
      </c>
      <c r="AR514" s="48">
        <v>565123</v>
      </c>
      <c r="AS514" s="48">
        <v>1351</v>
      </c>
      <c r="AT514" s="67">
        <v>566474</v>
      </c>
      <c r="AU514" s="67">
        <v>99.76</v>
      </c>
    </row>
    <row r="515" spans="1:47" hidden="1" x14ac:dyDescent="0.25">
      <c r="A515" s="215">
        <v>45401</v>
      </c>
      <c r="B515">
        <v>13272909</v>
      </c>
      <c r="C515">
        <v>896554</v>
      </c>
      <c r="D515">
        <v>14169463</v>
      </c>
      <c r="E515">
        <v>93.67</v>
      </c>
      <c r="G515" s="215">
        <v>45401</v>
      </c>
      <c r="H515">
        <v>676583</v>
      </c>
      <c r="I515">
        <v>250640</v>
      </c>
      <c r="J515">
        <v>927223</v>
      </c>
      <c r="K515">
        <v>72.959999999999994</v>
      </c>
      <c r="M515" s="215">
        <v>45401</v>
      </c>
      <c r="N515">
        <v>3449314</v>
      </c>
      <c r="O515">
        <v>2986445</v>
      </c>
      <c r="P515">
        <v>6435759</v>
      </c>
      <c r="Q515">
        <v>53.59</v>
      </c>
      <c r="S515" s="215">
        <v>45401</v>
      </c>
      <c r="T515">
        <v>2818188</v>
      </c>
      <c r="U515">
        <v>2688449</v>
      </c>
      <c r="V515">
        <v>5506637</v>
      </c>
      <c r="W515">
        <v>51.17</v>
      </c>
      <c r="Y515" s="215">
        <v>45401</v>
      </c>
      <c r="Z515">
        <v>1786093</v>
      </c>
      <c r="AA515">
        <v>3115856</v>
      </c>
      <c r="AB515">
        <v>4901949</v>
      </c>
      <c r="AC515">
        <v>36.43</v>
      </c>
      <c r="AE515" s="215">
        <v>45401</v>
      </c>
      <c r="AF515">
        <v>1124479</v>
      </c>
      <c r="AG515">
        <v>12838</v>
      </c>
      <c r="AH515">
        <v>1137317</v>
      </c>
      <c r="AI515">
        <v>98.8</v>
      </c>
      <c r="AK515" s="215">
        <v>45401</v>
      </c>
      <c r="AL515" s="67">
        <v>874860</v>
      </c>
      <c r="AM515" s="67">
        <v>15</v>
      </c>
      <c r="AN515" s="67">
        <v>874875</v>
      </c>
      <c r="AO515" s="67">
        <v>100</v>
      </c>
      <c r="AQ515" s="215">
        <v>45401</v>
      </c>
      <c r="AR515" s="67">
        <v>590152</v>
      </c>
      <c r="AS515" s="67">
        <v>4</v>
      </c>
      <c r="AT515" s="67">
        <v>590156</v>
      </c>
      <c r="AU515" s="67">
        <v>100</v>
      </c>
    </row>
    <row r="516" spans="1:47" hidden="1" x14ac:dyDescent="0.25">
      <c r="A516" s="215">
        <v>45402</v>
      </c>
      <c r="B516">
        <v>12971312</v>
      </c>
      <c r="C516">
        <v>878049</v>
      </c>
      <c r="D516">
        <v>13849361</v>
      </c>
      <c r="E516">
        <v>93.66</v>
      </c>
      <c r="G516" s="215">
        <v>45402</v>
      </c>
      <c r="H516">
        <v>673958</v>
      </c>
      <c r="I516">
        <v>257264</v>
      </c>
      <c r="J516">
        <v>931222</v>
      </c>
      <c r="K516">
        <v>72.37</v>
      </c>
      <c r="M516" s="215">
        <v>45402</v>
      </c>
      <c r="N516">
        <v>4522202</v>
      </c>
      <c r="O516">
        <v>3730386</v>
      </c>
      <c r="P516">
        <v>8252588</v>
      </c>
      <c r="Q516">
        <v>54.79</v>
      </c>
      <c r="S516" s="215">
        <v>45402</v>
      </c>
      <c r="T516">
        <v>2771707</v>
      </c>
      <c r="U516">
        <v>2683761</v>
      </c>
      <c r="V516">
        <v>5455468</v>
      </c>
      <c r="W516">
        <v>50.8</v>
      </c>
      <c r="Y516" s="215">
        <v>45402</v>
      </c>
      <c r="Z516">
        <v>1679673</v>
      </c>
      <c r="AA516">
        <v>2634431</v>
      </c>
      <c r="AB516">
        <v>4314104</v>
      </c>
      <c r="AC516">
        <v>38.93</v>
      </c>
      <c r="AE516" s="215">
        <v>45402</v>
      </c>
      <c r="AF516">
        <v>1091718</v>
      </c>
      <c r="AG516">
        <v>12692</v>
      </c>
      <c r="AH516">
        <v>1104410</v>
      </c>
      <c r="AI516">
        <v>98.85</v>
      </c>
      <c r="AK516" s="215">
        <v>45402</v>
      </c>
      <c r="AL516" s="67">
        <v>769141</v>
      </c>
      <c r="AM516" s="67">
        <v>0</v>
      </c>
      <c r="AN516" s="67">
        <v>769141</v>
      </c>
      <c r="AO516" s="67">
        <v>100</v>
      </c>
      <c r="AQ516" s="215">
        <v>45402</v>
      </c>
      <c r="AR516" s="67">
        <v>583039</v>
      </c>
      <c r="AS516" s="67">
        <v>0</v>
      </c>
      <c r="AT516" s="67">
        <v>583039</v>
      </c>
      <c r="AU516" s="67">
        <v>100</v>
      </c>
    </row>
    <row r="517" spans="1:47" hidden="1" x14ac:dyDescent="0.25">
      <c r="A517" s="215">
        <v>45403</v>
      </c>
      <c r="B517">
        <v>10962783</v>
      </c>
      <c r="C517">
        <v>825937</v>
      </c>
      <c r="D517">
        <v>11788720</v>
      </c>
      <c r="E517">
        <v>92.99</v>
      </c>
      <c r="G517" s="215">
        <v>45403</v>
      </c>
      <c r="H517">
        <v>668164</v>
      </c>
      <c r="I517">
        <v>256439</v>
      </c>
      <c r="J517">
        <v>924603</v>
      </c>
      <c r="K517">
        <v>72.260000000000005</v>
      </c>
      <c r="M517" s="215">
        <v>45403</v>
      </c>
      <c r="N517">
        <v>4004209</v>
      </c>
      <c r="O517">
        <v>3692770</v>
      </c>
      <c r="P517">
        <v>7696979</v>
      </c>
      <c r="Q517">
        <v>52.02</v>
      </c>
      <c r="S517" s="215">
        <v>45403</v>
      </c>
      <c r="T517">
        <v>2078466</v>
      </c>
      <c r="U517">
        <v>1397877</v>
      </c>
      <c r="V517">
        <v>3476343</v>
      </c>
      <c r="W517">
        <v>59.78</v>
      </c>
      <c r="Y517" s="215">
        <v>45403</v>
      </c>
      <c r="Z517">
        <v>1624971</v>
      </c>
      <c r="AA517">
        <v>2837117</v>
      </c>
      <c r="AB517">
        <v>4462088</v>
      </c>
      <c r="AC517">
        <v>36.409999999999997</v>
      </c>
      <c r="AE517" s="215">
        <v>45403</v>
      </c>
      <c r="AF517">
        <v>1100489</v>
      </c>
      <c r="AG517">
        <v>12527</v>
      </c>
      <c r="AH517">
        <v>1113016</v>
      </c>
      <c r="AI517">
        <v>98.87</v>
      </c>
      <c r="AK517" s="215">
        <v>45403</v>
      </c>
      <c r="AL517" s="67">
        <v>683616</v>
      </c>
      <c r="AM517" s="67">
        <v>2</v>
      </c>
      <c r="AN517" s="67">
        <v>683618</v>
      </c>
      <c r="AO517" s="67">
        <v>100</v>
      </c>
      <c r="AQ517" s="215">
        <v>45403</v>
      </c>
      <c r="AR517" s="48">
        <v>573015</v>
      </c>
      <c r="AS517" s="67">
        <v>0</v>
      </c>
      <c r="AT517" s="48">
        <v>573015</v>
      </c>
      <c r="AU517" s="67">
        <v>100</v>
      </c>
    </row>
    <row r="518" spans="1:47" hidden="1" x14ac:dyDescent="0.25">
      <c r="A518" s="215">
        <v>45404</v>
      </c>
      <c r="B518" s="101">
        <v>12593380</v>
      </c>
      <c r="C518" s="101">
        <v>785154</v>
      </c>
      <c r="D518" s="101">
        <v>13378534</v>
      </c>
      <c r="E518" s="101">
        <v>94.13</v>
      </c>
      <c r="G518" s="215">
        <v>45404</v>
      </c>
      <c r="H518" s="101">
        <v>682471</v>
      </c>
      <c r="I518" s="101">
        <v>259715</v>
      </c>
      <c r="J518" s="101">
        <v>942186</v>
      </c>
      <c r="K518" s="101">
        <v>72.430000000000007</v>
      </c>
      <c r="M518" s="215">
        <v>45404</v>
      </c>
      <c r="N518" s="101">
        <v>3920161</v>
      </c>
      <c r="O518" s="101">
        <v>3699893</v>
      </c>
      <c r="P518" s="101">
        <v>7620054</v>
      </c>
      <c r="Q518" s="101">
        <v>51.45</v>
      </c>
      <c r="S518" s="215">
        <v>45404</v>
      </c>
      <c r="T518" s="101">
        <v>2098584</v>
      </c>
      <c r="U518" s="101">
        <v>2371234</v>
      </c>
      <c r="V518" s="101">
        <v>4469818</v>
      </c>
      <c r="W518" s="101">
        <v>46.95</v>
      </c>
      <c r="Y518" s="215">
        <v>45404</v>
      </c>
      <c r="Z518" s="101">
        <v>1522373</v>
      </c>
      <c r="AA518" s="101">
        <v>2625773</v>
      </c>
      <c r="AB518" s="101">
        <v>4148146</v>
      </c>
      <c r="AC518" s="101">
        <v>36.700000000000003</v>
      </c>
      <c r="AE518" s="215">
        <v>45404</v>
      </c>
      <c r="AF518" s="101">
        <v>1096079</v>
      </c>
      <c r="AG518" s="101">
        <v>12289</v>
      </c>
      <c r="AH518" s="101">
        <v>1108368</v>
      </c>
      <c r="AI518" s="101">
        <v>98.89</v>
      </c>
      <c r="AK518" s="215">
        <v>45404</v>
      </c>
      <c r="AL518" s="67">
        <v>602908</v>
      </c>
      <c r="AM518" s="67">
        <v>299</v>
      </c>
      <c r="AN518" s="67">
        <v>603207</v>
      </c>
      <c r="AO518" s="67">
        <v>99.95</v>
      </c>
      <c r="AQ518" s="215">
        <v>45404</v>
      </c>
      <c r="AR518" s="48">
        <v>590165</v>
      </c>
      <c r="AS518" s="67">
        <v>0</v>
      </c>
      <c r="AT518" s="48">
        <v>590165</v>
      </c>
      <c r="AU518" s="67">
        <v>100</v>
      </c>
    </row>
    <row r="519" spans="1:47" hidden="1" x14ac:dyDescent="0.25">
      <c r="A519" s="224">
        <v>45405</v>
      </c>
      <c r="B519" s="173">
        <v>12354095</v>
      </c>
      <c r="C519" s="173">
        <v>928887</v>
      </c>
      <c r="D519" s="173">
        <v>13282982</v>
      </c>
      <c r="E519" s="173">
        <v>93.01</v>
      </c>
      <c r="G519" s="224">
        <v>45405</v>
      </c>
      <c r="H519" s="173">
        <v>661054</v>
      </c>
      <c r="I519" s="173">
        <v>256073</v>
      </c>
      <c r="J519" s="173">
        <v>917127</v>
      </c>
      <c r="K519" s="173">
        <v>72.08</v>
      </c>
      <c r="M519" s="215">
        <v>45405</v>
      </c>
      <c r="N519" s="101">
        <v>1884607</v>
      </c>
      <c r="O519" s="101">
        <v>2342933</v>
      </c>
      <c r="P519" s="101">
        <v>4227540</v>
      </c>
      <c r="Q519" s="101">
        <v>44.58</v>
      </c>
      <c r="S519" s="215">
        <v>45405</v>
      </c>
      <c r="T519" s="101">
        <v>739366</v>
      </c>
      <c r="U519" s="101">
        <v>1337692</v>
      </c>
      <c r="V519" s="101">
        <v>2077058</v>
      </c>
      <c r="W519" s="101">
        <v>35.6</v>
      </c>
      <c r="Y519" s="215">
        <v>45405</v>
      </c>
      <c r="Z519" s="101">
        <v>1725276</v>
      </c>
      <c r="AA519" s="101">
        <v>1840696</v>
      </c>
      <c r="AB519" s="101">
        <v>3565972</v>
      </c>
      <c r="AC519" s="101">
        <v>48.38</v>
      </c>
      <c r="AE519" s="224">
        <v>45405</v>
      </c>
      <c r="AF519" s="173">
        <v>1091808</v>
      </c>
      <c r="AG519" s="173">
        <v>12325</v>
      </c>
      <c r="AH519" s="173">
        <v>1104133</v>
      </c>
      <c r="AI519" s="173">
        <v>98.88</v>
      </c>
      <c r="AK519" s="215">
        <v>45405</v>
      </c>
      <c r="AL519" s="48">
        <v>817758</v>
      </c>
      <c r="AM519" s="67">
        <v>0</v>
      </c>
      <c r="AN519" s="48">
        <v>817758</v>
      </c>
      <c r="AO519" s="67">
        <v>100</v>
      </c>
      <c r="AQ519" s="215">
        <v>45405</v>
      </c>
      <c r="AR519" s="48">
        <v>573627</v>
      </c>
      <c r="AS519" s="67">
        <v>0</v>
      </c>
      <c r="AT519" s="48">
        <v>573627</v>
      </c>
      <c r="AU519" s="67">
        <v>100</v>
      </c>
    </row>
    <row r="520" spans="1:47" hidden="1" x14ac:dyDescent="0.25">
      <c r="A520" s="215">
        <v>45406</v>
      </c>
      <c r="B520" s="104">
        <v>12603352</v>
      </c>
      <c r="C520" s="104">
        <v>766616</v>
      </c>
      <c r="D520" s="104">
        <v>13369968</v>
      </c>
      <c r="E520" s="104">
        <v>94.27</v>
      </c>
      <c r="G520" s="215">
        <v>45406</v>
      </c>
      <c r="H520" s="104">
        <v>1131452</v>
      </c>
      <c r="I520" s="104">
        <v>398177</v>
      </c>
      <c r="J520" s="104">
        <v>1529629</v>
      </c>
      <c r="K520" s="104">
        <v>73.97</v>
      </c>
      <c r="M520" s="215">
        <v>45406</v>
      </c>
      <c r="N520" s="101">
        <v>4584742</v>
      </c>
      <c r="O520" s="101">
        <v>3640970</v>
      </c>
      <c r="P520" s="101">
        <v>8225712</v>
      </c>
      <c r="Q520" s="101">
        <v>55.74</v>
      </c>
      <c r="S520" s="215">
        <v>45406</v>
      </c>
      <c r="T520" s="101">
        <v>769932</v>
      </c>
      <c r="U520" s="101">
        <v>1350850</v>
      </c>
      <c r="V520" s="101">
        <v>2120782</v>
      </c>
      <c r="W520" s="101">
        <v>36.299999999999997</v>
      </c>
      <c r="Y520" s="215">
        <v>45406</v>
      </c>
      <c r="Z520" s="101">
        <v>1501614</v>
      </c>
      <c r="AA520" s="101">
        <v>2094032</v>
      </c>
      <c r="AB520" s="101">
        <v>3595646</v>
      </c>
      <c r="AC520" s="101">
        <v>41.76</v>
      </c>
      <c r="AE520" s="215">
        <v>45406</v>
      </c>
      <c r="AF520" s="104">
        <v>1080017</v>
      </c>
      <c r="AG520" s="104">
        <v>11692</v>
      </c>
      <c r="AH520" s="104">
        <v>1091709</v>
      </c>
      <c r="AI520" s="104">
        <v>98.93</v>
      </c>
      <c r="AK520" s="215">
        <v>45406</v>
      </c>
      <c r="AL520" s="48">
        <v>780307</v>
      </c>
      <c r="AM520" s="67">
        <v>0</v>
      </c>
      <c r="AN520" s="48">
        <v>780307</v>
      </c>
      <c r="AO520" s="67">
        <v>100</v>
      </c>
      <c r="AQ520" s="215">
        <v>45406</v>
      </c>
      <c r="AR520" s="48">
        <v>993195</v>
      </c>
      <c r="AS520" s="67">
        <v>0</v>
      </c>
      <c r="AT520" s="48">
        <v>993195</v>
      </c>
      <c r="AU520" s="67">
        <v>100</v>
      </c>
    </row>
    <row r="521" spans="1:47" hidden="1" x14ac:dyDescent="0.25">
      <c r="A521" s="215">
        <v>45407</v>
      </c>
      <c r="B521" s="48">
        <v>11972335</v>
      </c>
      <c r="C521" s="48">
        <v>747371</v>
      </c>
      <c r="D521" s="48">
        <v>12719706</v>
      </c>
      <c r="E521" s="48">
        <v>94.12</v>
      </c>
      <c r="G521" s="215">
        <v>45407</v>
      </c>
      <c r="H521" s="48">
        <v>718597</v>
      </c>
      <c r="I521" s="48">
        <v>276384</v>
      </c>
      <c r="J521" s="48">
        <v>994981</v>
      </c>
      <c r="K521" s="48">
        <v>72.22</v>
      </c>
      <c r="M521" s="215">
        <v>45407</v>
      </c>
      <c r="N521">
        <v>3486921</v>
      </c>
      <c r="O521">
        <v>3008709</v>
      </c>
      <c r="P521">
        <v>6495630</v>
      </c>
      <c r="Q521">
        <v>53.68</v>
      </c>
      <c r="S521" s="215">
        <v>45407</v>
      </c>
      <c r="T521">
        <v>2950323</v>
      </c>
      <c r="U521">
        <v>3603504</v>
      </c>
      <c r="V521">
        <v>6553827</v>
      </c>
      <c r="W521">
        <v>45.01</v>
      </c>
      <c r="Y521" s="215">
        <v>45407</v>
      </c>
      <c r="Z521">
        <v>1755455</v>
      </c>
      <c r="AA521">
        <v>1829654</v>
      </c>
      <c r="AB521">
        <v>3585109</v>
      </c>
      <c r="AC521">
        <v>48.96</v>
      </c>
      <c r="AE521" s="215">
        <v>45407</v>
      </c>
      <c r="AF521" s="1">
        <v>1035459</v>
      </c>
      <c r="AG521" s="1">
        <v>11677</v>
      </c>
      <c r="AH521" s="1">
        <v>1047136</v>
      </c>
      <c r="AI521" s="48">
        <v>98.88</v>
      </c>
      <c r="AK521" s="215">
        <v>45407</v>
      </c>
      <c r="AL521" s="67">
        <v>547430</v>
      </c>
      <c r="AM521" s="67">
        <v>0</v>
      </c>
      <c r="AN521" s="67">
        <v>547430</v>
      </c>
      <c r="AO521" s="67">
        <v>100</v>
      </c>
      <c r="AQ521" s="215">
        <v>45407</v>
      </c>
      <c r="AR521" s="67">
        <v>620629</v>
      </c>
      <c r="AS521" s="67">
        <v>0</v>
      </c>
      <c r="AT521" s="67">
        <v>620629</v>
      </c>
      <c r="AU521" s="67">
        <v>100</v>
      </c>
    </row>
    <row r="522" spans="1:47" hidden="1" x14ac:dyDescent="0.25">
      <c r="A522" s="215">
        <v>45408</v>
      </c>
      <c r="B522" s="48">
        <v>13782404</v>
      </c>
      <c r="C522" s="48">
        <v>853626</v>
      </c>
      <c r="D522" s="48">
        <v>14636030</v>
      </c>
      <c r="E522" s="48">
        <v>94.167000000000002</v>
      </c>
      <c r="G522" s="215">
        <v>45408</v>
      </c>
      <c r="H522" s="48">
        <v>3501875</v>
      </c>
      <c r="I522" s="48">
        <v>1377349</v>
      </c>
      <c r="J522" s="48">
        <v>4879224</v>
      </c>
      <c r="K522" s="48">
        <v>71.77</v>
      </c>
      <c r="M522" s="215">
        <v>45408</v>
      </c>
      <c r="N522">
        <v>1534128</v>
      </c>
      <c r="O522">
        <v>1513621</v>
      </c>
      <c r="P522">
        <v>3047749</v>
      </c>
      <c r="Q522">
        <v>50.33</v>
      </c>
      <c r="S522" s="215">
        <v>45408</v>
      </c>
      <c r="T522">
        <v>3147939</v>
      </c>
      <c r="U522">
        <v>3380498</v>
      </c>
      <c r="V522">
        <v>6528437</v>
      </c>
      <c r="W522">
        <v>48.21</v>
      </c>
      <c r="Y522" s="215">
        <v>45408</v>
      </c>
      <c r="Z522">
        <v>1713389</v>
      </c>
      <c r="AA522">
        <v>1693705</v>
      </c>
      <c r="AB522">
        <v>3407094</v>
      </c>
      <c r="AC522">
        <v>50.28</v>
      </c>
      <c r="AE522" s="215">
        <v>45408</v>
      </c>
      <c r="AF522" s="1">
        <v>1095444</v>
      </c>
      <c r="AG522" s="1">
        <v>13383</v>
      </c>
      <c r="AH522" s="1">
        <v>1108827</v>
      </c>
      <c r="AI522" s="48">
        <v>98.79</v>
      </c>
      <c r="AK522" s="215">
        <v>45408</v>
      </c>
      <c r="AL522" s="67">
        <v>724529</v>
      </c>
      <c r="AM522" s="67">
        <v>0</v>
      </c>
      <c r="AN522" s="67">
        <v>724529</v>
      </c>
      <c r="AO522" s="67">
        <v>100</v>
      </c>
      <c r="AQ522" s="215">
        <v>45408</v>
      </c>
      <c r="AR522" s="67">
        <v>2571516</v>
      </c>
      <c r="AS522" s="67">
        <v>0</v>
      </c>
      <c r="AT522" s="67">
        <v>2571516</v>
      </c>
      <c r="AU522" s="67">
        <v>100</v>
      </c>
    </row>
    <row r="523" spans="1:47" hidden="1" x14ac:dyDescent="0.25">
      <c r="A523" s="215">
        <v>45409</v>
      </c>
      <c r="B523" s="48">
        <v>13143708</v>
      </c>
      <c r="C523" s="48">
        <v>1001048</v>
      </c>
      <c r="D523" s="48">
        <v>14144756</v>
      </c>
      <c r="E523" s="48">
        <v>92.92</v>
      </c>
      <c r="G523" s="215">
        <v>45409</v>
      </c>
      <c r="H523" s="48">
        <v>703022</v>
      </c>
      <c r="I523" s="48">
        <v>266053</v>
      </c>
      <c r="J523" s="48">
        <v>969075</v>
      </c>
      <c r="K523" s="48">
        <v>72.5</v>
      </c>
      <c r="M523" s="215">
        <v>45409</v>
      </c>
      <c r="N523">
        <v>4805849</v>
      </c>
      <c r="O523">
        <v>3423118</v>
      </c>
      <c r="P523">
        <v>8228967</v>
      </c>
      <c r="Q523">
        <v>58.4</v>
      </c>
      <c r="S523" s="215">
        <v>45409</v>
      </c>
      <c r="T523">
        <v>3436290</v>
      </c>
      <c r="U523">
        <v>3998080</v>
      </c>
      <c r="V523">
        <v>7434370</v>
      </c>
      <c r="W523">
        <v>46.22</v>
      </c>
      <c r="Y523" s="215">
        <v>45409</v>
      </c>
      <c r="Z523">
        <v>1558922</v>
      </c>
      <c r="AA523">
        <v>1550363</v>
      </c>
      <c r="AB523">
        <v>3109285</v>
      </c>
      <c r="AC523">
        <v>50.13</v>
      </c>
      <c r="AE523" s="215">
        <v>45409</v>
      </c>
      <c r="AF523" s="1">
        <v>1079603</v>
      </c>
      <c r="AG523" s="1">
        <v>12834</v>
      </c>
      <c r="AH523" s="1">
        <v>1092437</v>
      </c>
      <c r="AI523" s="48">
        <v>98.82</v>
      </c>
      <c r="AK523" s="215">
        <v>45409</v>
      </c>
      <c r="AL523" s="67">
        <v>649304</v>
      </c>
      <c r="AM523" s="67">
        <v>0</v>
      </c>
      <c r="AN523" s="67">
        <v>649304</v>
      </c>
      <c r="AO523" s="67">
        <v>100</v>
      </c>
      <c r="AQ523" s="215">
        <v>45409</v>
      </c>
      <c r="AR523" s="67">
        <v>609586</v>
      </c>
      <c r="AS523" s="67">
        <v>0</v>
      </c>
      <c r="AT523" s="67">
        <v>609586</v>
      </c>
      <c r="AU523" s="67">
        <v>100</v>
      </c>
    </row>
    <row r="524" spans="1:47" hidden="1" x14ac:dyDescent="0.25">
      <c r="A524" s="215">
        <v>45410</v>
      </c>
      <c r="B524" s="48">
        <v>10841942</v>
      </c>
      <c r="C524" s="48">
        <v>773509</v>
      </c>
      <c r="D524" s="48">
        <v>11615451</v>
      </c>
      <c r="E524" s="48">
        <v>93.34</v>
      </c>
      <c r="G524" s="215">
        <v>45410</v>
      </c>
      <c r="H524" s="48">
        <v>647726</v>
      </c>
      <c r="I524" s="48">
        <v>248562</v>
      </c>
      <c r="J524" s="48">
        <v>896288</v>
      </c>
      <c r="K524" s="48">
        <v>72.260000000000005</v>
      </c>
      <c r="M524" s="215">
        <v>45410</v>
      </c>
      <c r="N524">
        <v>3106960</v>
      </c>
      <c r="O524">
        <v>2390987</v>
      </c>
      <c r="P524">
        <v>5497947</v>
      </c>
      <c r="Q524">
        <v>56.51</v>
      </c>
      <c r="S524" s="215">
        <v>45410</v>
      </c>
      <c r="T524">
        <v>2084741</v>
      </c>
      <c r="U524">
        <v>1413922</v>
      </c>
      <c r="V524">
        <v>3498663</v>
      </c>
      <c r="W524">
        <v>59.58</v>
      </c>
      <c r="Y524" s="215">
        <v>45410</v>
      </c>
      <c r="Z524">
        <v>1561500</v>
      </c>
      <c r="AA524">
        <v>1494957</v>
      </c>
      <c r="AB524">
        <v>3056457</v>
      </c>
      <c r="AC524">
        <v>51.08</v>
      </c>
      <c r="AE524" s="215">
        <v>45410</v>
      </c>
      <c r="AF524" s="1">
        <v>1114719</v>
      </c>
      <c r="AG524" s="1">
        <v>11559</v>
      </c>
      <c r="AH524" s="1">
        <v>1126278</v>
      </c>
      <c r="AI524" s="48">
        <v>98.97</v>
      </c>
      <c r="AK524" s="215">
        <v>45410</v>
      </c>
      <c r="AL524" s="67">
        <v>667249</v>
      </c>
      <c r="AM524" s="67">
        <v>0</v>
      </c>
      <c r="AN524" s="67">
        <v>667249</v>
      </c>
      <c r="AO524" s="67">
        <v>100</v>
      </c>
      <c r="AQ524" s="215">
        <v>45410</v>
      </c>
      <c r="AR524" s="67">
        <v>555567</v>
      </c>
      <c r="AS524" s="67">
        <v>0</v>
      </c>
      <c r="AT524" s="67">
        <v>555567</v>
      </c>
      <c r="AU524" s="67">
        <v>100</v>
      </c>
    </row>
    <row r="525" spans="1:47" hidden="1" x14ac:dyDescent="0.25">
      <c r="A525" s="215">
        <v>45411</v>
      </c>
      <c r="B525" s="104">
        <v>13206942</v>
      </c>
      <c r="C525" s="104">
        <v>764887</v>
      </c>
      <c r="D525" s="104">
        <v>13971829</v>
      </c>
      <c r="E525" s="114">
        <f>B525/D525%</f>
        <v>94.525505572677702</v>
      </c>
      <c r="G525" s="215">
        <v>45411</v>
      </c>
      <c r="H525" s="101">
        <v>795789</v>
      </c>
      <c r="I525" s="101">
        <v>308149</v>
      </c>
      <c r="J525" s="101">
        <v>1103938</v>
      </c>
      <c r="K525" s="101">
        <v>72.09</v>
      </c>
      <c r="M525" s="215">
        <v>45411</v>
      </c>
      <c r="N525" s="101">
        <v>3744916</v>
      </c>
      <c r="O525" s="101">
        <v>3523122</v>
      </c>
      <c r="P525" s="101">
        <v>7268038</v>
      </c>
      <c r="Q525" s="101">
        <v>51.53</v>
      </c>
      <c r="S525" s="215">
        <v>45411</v>
      </c>
      <c r="T525" s="101">
        <v>25268001</v>
      </c>
      <c r="U525" s="101">
        <v>27142925</v>
      </c>
      <c r="V525" s="101">
        <v>52410926</v>
      </c>
      <c r="W525" s="101">
        <v>48.21</v>
      </c>
      <c r="Y525" s="215">
        <v>45411</v>
      </c>
      <c r="Z525" s="101">
        <v>8628080</v>
      </c>
      <c r="AA525" s="101">
        <v>13164767</v>
      </c>
      <c r="AB525" s="101">
        <v>21792847</v>
      </c>
      <c r="AC525" s="101">
        <v>39.590000000000003</v>
      </c>
      <c r="AE525" s="215">
        <v>45411</v>
      </c>
      <c r="AF525" s="104">
        <v>1508778</v>
      </c>
      <c r="AG525" s="104">
        <v>47031</v>
      </c>
      <c r="AH525" s="104">
        <v>1555809</v>
      </c>
      <c r="AI525" s="104">
        <v>96.98</v>
      </c>
      <c r="AK525" s="215">
        <v>45411</v>
      </c>
      <c r="AL525" s="67">
        <v>730790</v>
      </c>
      <c r="AM525" s="67">
        <v>0</v>
      </c>
      <c r="AN525" s="67">
        <v>730790</v>
      </c>
      <c r="AO525" s="67">
        <v>100</v>
      </c>
      <c r="AQ525" s="215">
        <v>45411</v>
      </c>
      <c r="AR525" s="67">
        <v>609141</v>
      </c>
      <c r="AS525" s="67">
        <v>2</v>
      </c>
      <c r="AT525" s="67">
        <v>609143</v>
      </c>
      <c r="AU525" s="67">
        <v>100</v>
      </c>
    </row>
    <row r="526" spans="1:47" hidden="1" x14ac:dyDescent="0.25">
      <c r="A526" s="215">
        <v>45412</v>
      </c>
      <c r="B526" s="101">
        <v>13628943</v>
      </c>
      <c r="C526" s="101">
        <v>880368</v>
      </c>
      <c r="D526" s="101">
        <v>14509311</v>
      </c>
      <c r="E526" s="101">
        <v>93.93</v>
      </c>
      <c r="G526" s="215">
        <v>45412</v>
      </c>
      <c r="H526" s="101">
        <v>645183</v>
      </c>
      <c r="I526" s="101">
        <v>247605</v>
      </c>
      <c r="J526" s="101">
        <v>892788</v>
      </c>
      <c r="K526" s="101">
        <v>72.27</v>
      </c>
      <c r="M526" s="215">
        <v>45412</v>
      </c>
      <c r="N526" s="101">
        <v>1740990</v>
      </c>
      <c r="O526" s="101">
        <v>2249957</v>
      </c>
      <c r="P526" s="101">
        <v>3990947</v>
      </c>
      <c r="Q526" s="101">
        <v>43.62</v>
      </c>
      <c r="S526" s="215">
        <v>45412</v>
      </c>
      <c r="T526" s="101">
        <v>765872</v>
      </c>
      <c r="U526" s="101">
        <v>1407577</v>
      </c>
      <c r="V526" s="101">
        <v>2173449</v>
      </c>
      <c r="W526" s="101">
        <v>35.24</v>
      </c>
      <c r="Y526" s="215">
        <v>45412</v>
      </c>
      <c r="Z526" s="101">
        <v>1649806</v>
      </c>
      <c r="AA526" s="101">
        <v>475035</v>
      </c>
      <c r="AB526" s="101">
        <v>2124841</v>
      </c>
      <c r="AC526" s="101">
        <v>77.64</v>
      </c>
      <c r="AE526" s="215">
        <v>45412</v>
      </c>
      <c r="AF526" s="104">
        <v>1144737</v>
      </c>
      <c r="AG526" s="104">
        <v>11784</v>
      </c>
      <c r="AH526" s="104">
        <v>1156521</v>
      </c>
      <c r="AI526" s="104">
        <v>98.98</v>
      </c>
      <c r="AK526" s="215">
        <v>45412</v>
      </c>
      <c r="AL526" s="67">
        <v>524724</v>
      </c>
      <c r="AM526" s="48">
        <v>1275</v>
      </c>
      <c r="AN526" s="48">
        <v>525999</v>
      </c>
      <c r="AO526" s="48">
        <v>99.76</v>
      </c>
      <c r="AQ526" s="215">
        <v>45412</v>
      </c>
      <c r="AR526" s="67">
        <v>572530</v>
      </c>
      <c r="AS526" s="67">
        <v>0</v>
      </c>
      <c r="AT526" s="67">
        <v>572530</v>
      </c>
      <c r="AU526" s="67">
        <v>100</v>
      </c>
    </row>
    <row r="527" spans="1:47" hidden="1" x14ac:dyDescent="0.25">
      <c r="A527" s="215">
        <v>45413</v>
      </c>
      <c r="B527" s="101">
        <v>11255880</v>
      </c>
      <c r="C527" s="101">
        <v>992000</v>
      </c>
      <c r="D527" s="101">
        <v>12247880</v>
      </c>
      <c r="E527" s="101">
        <v>91.9</v>
      </c>
      <c r="G527" s="215">
        <v>45413</v>
      </c>
      <c r="H527" s="101">
        <v>633706</v>
      </c>
      <c r="I527" s="101">
        <v>240286</v>
      </c>
      <c r="J527" s="101">
        <v>873992</v>
      </c>
      <c r="K527" s="101">
        <v>72.510000000000005</v>
      </c>
      <c r="M527" s="215">
        <v>45413</v>
      </c>
      <c r="N527" s="101">
        <v>3877354</v>
      </c>
      <c r="O527" s="101">
        <v>2970031</v>
      </c>
      <c r="P527" s="101">
        <v>6847385</v>
      </c>
      <c r="Q527" s="101">
        <v>56.63</v>
      </c>
      <c r="S527" s="215">
        <v>45413</v>
      </c>
      <c r="T527" s="101">
        <v>721566</v>
      </c>
      <c r="U527" s="101">
        <v>1106633</v>
      </c>
      <c r="V527" s="101">
        <v>1828199</v>
      </c>
      <c r="W527" s="101">
        <v>39.47</v>
      </c>
      <c r="Y527" s="215">
        <v>45413</v>
      </c>
      <c r="Z527" s="101">
        <v>1573429</v>
      </c>
      <c r="AA527" s="101">
        <v>542980</v>
      </c>
      <c r="AB527" s="101">
        <v>2116409</v>
      </c>
      <c r="AC527" s="101">
        <v>74.34</v>
      </c>
      <c r="AE527" s="215">
        <v>45413</v>
      </c>
      <c r="AF527" s="101">
        <v>1068206</v>
      </c>
      <c r="AG527" s="101">
        <v>10767</v>
      </c>
      <c r="AH527" s="101">
        <v>1078973</v>
      </c>
      <c r="AI527" s="101">
        <v>99</v>
      </c>
      <c r="AK527" s="215">
        <v>45413</v>
      </c>
      <c r="AL527" s="67">
        <v>820325</v>
      </c>
      <c r="AM527" s="67">
        <v>0</v>
      </c>
      <c r="AN527" s="67">
        <v>820325</v>
      </c>
      <c r="AO527" s="67">
        <v>100</v>
      </c>
      <c r="AQ527" s="215">
        <v>45413</v>
      </c>
      <c r="AR527" s="48">
        <v>549764</v>
      </c>
      <c r="AS527" s="67">
        <v>0</v>
      </c>
      <c r="AT527" s="48">
        <v>549764</v>
      </c>
      <c r="AU527" s="67">
        <v>100</v>
      </c>
    </row>
    <row r="528" spans="1:47" hidden="1" x14ac:dyDescent="0.25">
      <c r="A528" s="215">
        <v>45414</v>
      </c>
      <c r="B528" s="101">
        <v>12741952</v>
      </c>
      <c r="C528" s="101">
        <v>729537</v>
      </c>
      <c r="D528" s="101">
        <v>13471489</v>
      </c>
      <c r="E528" s="101">
        <v>94.58</v>
      </c>
      <c r="G528" s="215">
        <v>45414</v>
      </c>
      <c r="H528" s="101">
        <v>635159</v>
      </c>
      <c r="I528" s="101">
        <v>237839</v>
      </c>
      <c r="J528" s="101">
        <v>872998</v>
      </c>
      <c r="K528" s="101">
        <v>72.760000000000005</v>
      </c>
      <c r="M528" s="215">
        <v>45414</v>
      </c>
      <c r="N528" s="101">
        <v>3172996</v>
      </c>
      <c r="O528" s="101">
        <v>2977447</v>
      </c>
      <c r="P528" s="101">
        <v>6150443</v>
      </c>
      <c r="Q528" s="101">
        <v>51.59</v>
      </c>
      <c r="S528" s="215">
        <v>45414</v>
      </c>
      <c r="T528" s="101">
        <v>712195</v>
      </c>
      <c r="U528" s="101">
        <v>1148568</v>
      </c>
      <c r="V528" s="101">
        <v>1860763</v>
      </c>
      <c r="W528" s="101">
        <v>38.270000000000003</v>
      </c>
      <c r="Y528" s="215">
        <v>45414</v>
      </c>
      <c r="Z528" s="101">
        <v>1513158</v>
      </c>
      <c r="AA528" s="101">
        <v>551874</v>
      </c>
      <c r="AB528" s="101">
        <v>2065032</v>
      </c>
      <c r="AC528" s="101">
        <v>73.28</v>
      </c>
      <c r="AE528" s="215">
        <v>45414</v>
      </c>
      <c r="AF528" s="101">
        <v>1033352</v>
      </c>
      <c r="AG528" s="101">
        <v>10176</v>
      </c>
      <c r="AH528" s="101">
        <v>1043528</v>
      </c>
      <c r="AI528" s="101">
        <v>99.02</v>
      </c>
      <c r="AK528" s="215">
        <v>45414</v>
      </c>
      <c r="AL528" s="67">
        <v>873331</v>
      </c>
      <c r="AM528" s="67">
        <v>0</v>
      </c>
      <c r="AN528" s="67">
        <v>873331</v>
      </c>
      <c r="AO528" s="67">
        <v>100</v>
      </c>
      <c r="AQ528" s="215">
        <v>45414</v>
      </c>
      <c r="AR528" s="67">
        <v>544111</v>
      </c>
      <c r="AS528" s="67">
        <v>832</v>
      </c>
      <c r="AT528" s="67">
        <v>544943</v>
      </c>
      <c r="AU528" s="67">
        <v>99.85</v>
      </c>
    </row>
    <row r="529" spans="1:47" hidden="1" x14ac:dyDescent="0.25">
      <c r="A529" s="215">
        <v>45415</v>
      </c>
      <c r="B529" s="101">
        <v>13509850</v>
      </c>
      <c r="C529" s="101">
        <v>848278</v>
      </c>
      <c r="D529" s="101">
        <v>14358128</v>
      </c>
      <c r="E529" s="101">
        <v>94.09</v>
      </c>
      <c r="G529" s="215">
        <v>45415</v>
      </c>
      <c r="H529" s="101">
        <v>1098868</v>
      </c>
      <c r="I529" s="101">
        <v>377487</v>
      </c>
      <c r="J529" s="101">
        <v>1476355</v>
      </c>
      <c r="K529" s="101">
        <v>74.430000000000007</v>
      </c>
      <c r="M529" s="215">
        <v>45415</v>
      </c>
      <c r="N529" s="101">
        <v>2415488</v>
      </c>
      <c r="O529" s="101">
        <v>1915844</v>
      </c>
      <c r="P529" s="101">
        <v>4331332</v>
      </c>
      <c r="Q529" s="101">
        <v>55.77</v>
      </c>
      <c r="S529" s="215">
        <v>45415</v>
      </c>
      <c r="T529" s="101">
        <v>733628</v>
      </c>
      <c r="U529" s="101">
        <v>1097841</v>
      </c>
      <c r="V529" s="101">
        <v>1831469</v>
      </c>
      <c r="W529" s="101">
        <v>40.06</v>
      </c>
      <c r="Y529" s="215">
        <v>45415</v>
      </c>
      <c r="Z529" s="101">
        <v>1855678</v>
      </c>
      <c r="AA529" s="101">
        <v>573071</v>
      </c>
      <c r="AB529" s="101">
        <v>2428749</v>
      </c>
      <c r="AC529" s="101">
        <v>76.400000000000006</v>
      </c>
      <c r="AE529" s="215">
        <v>45415</v>
      </c>
      <c r="AF529" s="101">
        <v>1073255</v>
      </c>
      <c r="AG529" s="101">
        <v>11092</v>
      </c>
      <c r="AH529" s="101">
        <v>1084347</v>
      </c>
      <c r="AI529" s="101">
        <v>98.98</v>
      </c>
      <c r="AK529" s="215">
        <v>45415</v>
      </c>
      <c r="AL529" s="48">
        <v>347432</v>
      </c>
      <c r="AM529" s="67">
        <v>0</v>
      </c>
      <c r="AN529" s="48">
        <v>347432</v>
      </c>
      <c r="AO529" s="67">
        <v>100</v>
      </c>
      <c r="AQ529" s="215">
        <v>45415</v>
      </c>
      <c r="AR529" s="48">
        <v>971806</v>
      </c>
      <c r="AS529" s="67">
        <v>0</v>
      </c>
      <c r="AT529" s="48">
        <v>971806</v>
      </c>
      <c r="AU529" s="67">
        <v>100</v>
      </c>
    </row>
    <row r="530" spans="1:47" hidden="1" x14ac:dyDescent="0.25">
      <c r="A530" s="215">
        <v>45416</v>
      </c>
      <c r="B530" s="101">
        <v>13453412</v>
      </c>
      <c r="C530" s="101">
        <v>924976</v>
      </c>
      <c r="D530" s="101">
        <v>14378388</v>
      </c>
      <c r="E530" s="101">
        <v>93.57</v>
      </c>
      <c r="G530" s="215">
        <v>45416</v>
      </c>
      <c r="H530" s="101">
        <v>652587</v>
      </c>
      <c r="I530" s="101">
        <v>249495</v>
      </c>
      <c r="J530" s="101">
        <v>902082</v>
      </c>
      <c r="K530" s="101">
        <v>72.34</v>
      </c>
      <c r="M530" s="215">
        <v>45416</v>
      </c>
      <c r="N530" s="101">
        <v>4745439</v>
      </c>
      <c r="O530" s="101">
        <v>3489608</v>
      </c>
      <c r="P530" s="101">
        <v>8235047</v>
      </c>
      <c r="Q530" s="101">
        <v>57.62</v>
      </c>
      <c r="S530" s="215">
        <v>45416</v>
      </c>
      <c r="T530" s="101">
        <v>714782</v>
      </c>
      <c r="U530" s="101">
        <v>1100445</v>
      </c>
      <c r="V530" s="101">
        <v>1815227</v>
      </c>
      <c r="W530" s="101">
        <v>39.380000000000003</v>
      </c>
      <c r="Y530" s="215">
        <v>45416</v>
      </c>
      <c r="Z530" s="101">
        <v>1692916</v>
      </c>
      <c r="AA530" s="101">
        <v>575280</v>
      </c>
      <c r="AB530" s="101">
        <v>2268196</v>
      </c>
      <c r="AC530" s="101">
        <v>74.64</v>
      </c>
      <c r="AE530" s="215">
        <v>45416</v>
      </c>
      <c r="AF530" s="101">
        <v>1084082</v>
      </c>
      <c r="AG530" s="101">
        <v>10744</v>
      </c>
      <c r="AH530" s="101">
        <v>1094826</v>
      </c>
      <c r="AI530" s="101">
        <v>99.02</v>
      </c>
      <c r="AK530" s="224">
        <v>45416</v>
      </c>
      <c r="AL530" s="319">
        <v>314256</v>
      </c>
      <c r="AM530" s="319">
        <v>3831</v>
      </c>
      <c r="AN530" s="319">
        <v>318087</v>
      </c>
      <c r="AO530" s="319">
        <v>98.8</v>
      </c>
      <c r="AQ530" s="224">
        <v>45416</v>
      </c>
      <c r="AR530" s="319">
        <v>562858</v>
      </c>
      <c r="AS530" s="319">
        <v>0</v>
      </c>
      <c r="AT530" s="319">
        <v>562858</v>
      </c>
      <c r="AU530" s="319">
        <v>100</v>
      </c>
    </row>
    <row r="531" spans="1:47" hidden="1" x14ac:dyDescent="0.25">
      <c r="A531" s="215">
        <v>45417</v>
      </c>
      <c r="B531" s="101">
        <v>11137976</v>
      </c>
      <c r="C531" s="101">
        <v>798780</v>
      </c>
      <c r="D531" s="101">
        <v>11936756</v>
      </c>
      <c r="E531" s="101">
        <v>93.31</v>
      </c>
      <c r="G531" s="215">
        <v>45417</v>
      </c>
      <c r="H531" s="101">
        <v>648743</v>
      </c>
      <c r="I531" s="101">
        <v>245813</v>
      </c>
      <c r="J531" s="101">
        <v>894556</v>
      </c>
      <c r="K531" s="101">
        <v>72.52</v>
      </c>
      <c r="M531" s="215">
        <v>45417</v>
      </c>
      <c r="N531" s="101">
        <v>4434516</v>
      </c>
      <c r="O531" s="101">
        <v>3765889</v>
      </c>
      <c r="P531" s="101">
        <v>8200405</v>
      </c>
      <c r="Q531" s="101">
        <v>54.08</v>
      </c>
      <c r="S531" s="215">
        <v>45417</v>
      </c>
      <c r="T531" s="101">
        <v>81289</v>
      </c>
      <c r="U531" s="101">
        <v>47532</v>
      </c>
      <c r="V531" s="101">
        <v>128821</v>
      </c>
      <c r="W531" s="101">
        <v>63.1</v>
      </c>
      <c r="Y531" s="215">
        <v>45417</v>
      </c>
      <c r="Z531" s="101">
        <v>1534564</v>
      </c>
      <c r="AA531" s="101">
        <v>588885</v>
      </c>
      <c r="AB531" s="101">
        <v>2123449</v>
      </c>
      <c r="AC531" s="101">
        <v>72.27</v>
      </c>
      <c r="AE531" s="215">
        <v>45417</v>
      </c>
      <c r="AF531" s="101">
        <v>1054172</v>
      </c>
      <c r="AG531" s="101">
        <v>10289</v>
      </c>
      <c r="AH531" s="101">
        <v>1064461</v>
      </c>
      <c r="AI531" s="101">
        <v>99.03</v>
      </c>
      <c r="AK531" s="215">
        <v>45417</v>
      </c>
      <c r="AL531" s="48">
        <v>233997</v>
      </c>
      <c r="AM531" s="48">
        <v>45591</v>
      </c>
      <c r="AN531" s="67">
        <v>279588</v>
      </c>
      <c r="AO531" s="67">
        <v>83.69</v>
      </c>
      <c r="AQ531" s="215">
        <v>45417</v>
      </c>
      <c r="AR531" s="67">
        <v>558463</v>
      </c>
      <c r="AS531" s="67">
        <v>0</v>
      </c>
      <c r="AT531" s="67">
        <v>558463</v>
      </c>
      <c r="AU531" s="67">
        <v>100</v>
      </c>
    </row>
    <row r="532" spans="1:47" hidden="1" x14ac:dyDescent="0.25">
      <c r="A532" s="215">
        <v>45418</v>
      </c>
      <c r="B532" s="101">
        <v>12863621</v>
      </c>
      <c r="C532" s="101">
        <v>786637</v>
      </c>
      <c r="D532" s="101">
        <v>13650258</v>
      </c>
      <c r="E532" s="101">
        <v>94.24</v>
      </c>
      <c r="G532" s="215">
        <v>45418</v>
      </c>
      <c r="H532" s="101">
        <v>323986</v>
      </c>
      <c r="I532" s="101">
        <v>135161</v>
      </c>
      <c r="J532" s="101">
        <v>459147</v>
      </c>
      <c r="K532" s="101">
        <v>70.56</v>
      </c>
      <c r="M532" s="215">
        <v>45418</v>
      </c>
      <c r="N532" s="101">
        <v>3863564</v>
      </c>
      <c r="O532" s="101">
        <v>3289733</v>
      </c>
      <c r="P532" s="101">
        <v>7153297</v>
      </c>
      <c r="Q532" s="101">
        <v>54.01</v>
      </c>
      <c r="S532" s="215">
        <v>45418</v>
      </c>
      <c r="T532" s="101">
        <v>724112</v>
      </c>
      <c r="U532" s="101">
        <v>1105230</v>
      </c>
      <c r="V532" s="101">
        <v>1829342</v>
      </c>
      <c r="W532" s="101">
        <v>39.58</v>
      </c>
      <c r="Y532" s="215">
        <v>45418</v>
      </c>
      <c r="Z532" s="101">
        <v>1649303</v>
      </c>
      <c r="AA532" s="101">
        <v>681120</v>
      </c>
      <c r="AB532" s="101">
        <v>2330423</v>
      </c>
      <c r="AC532" s="101">
        <v>70.77</v>
      </c>
      <c r="AE532" s="215">
        <v>45418</v>
      </c>
      <c r="AF532" s="101">
        <v>1045047</v>
      </c>
      <c r="AG532" s="101">
        <v>10877</v>
      </c>
      <c r="AH532" s="101">
        <v>1055924</v>
      </c>
      <c r="AI532" s="101">
        <v>98.97</v>
      </c>
      <c r="AK532" s="215">
        <v>45418</v>
      </c>
      <c r="AL532" s="48">
        <v>240097</v>
      </c>
      <c r="AM532" s="48">
        <v>104827</v>
      </c>
      <c r="AN532" s="48">
        <v>344924</v>
      </c>
      <c r="AO532" s="48">
        <v>69.61</v>
      </c>
      <c r="AQ532" s="215">
        <v>45418</v>
      </c>
      <c r="AR532" s="48">
        <v>269359</v>
      </c>
      <c r="AS532" s="67">
        <v>0</v>
      </c>
      <c r="AT532" s="48">
        <v>269359</v>
      </c>
      <c r="AU532" s="67">
        <v>100</v>
      </c>
    </row>
    <row r="533" spans="1:47" hidden="1" x14ac:dyDescent="0.25">
      <c r="A533" s="215">
        <v>45419</v>
      </c>
      <c r="B533" s="101">
        <v>13800246</v>
      </c>
      <c r="C533" s="101">
        <v>957944</v>
      </c>
      <c r="D533" s="101">
        <v>14758190</v>
      </c>
      <c r="E533" s="101">
        <v>93.51</v>
      </c>
      <c r="G533" s="215">
        <v>45419</v>
      </c>
      <c r="H533" s="101">
        <v>324329</v>
      </c>
      <c r="I533" s="101">
        <v>135801</v>
      </c>
      <c r="J533" s="101">
        <v>460130</v>
      </c>
      <c r="K533" s="101">
        <v>70.489999999999995</v>
      </c>
      <c r="M533" s="215">
        <v>45419</v>
      </c>
      <c r="N533" s="101">
        <v>1955313</v>
      </c>
      <c r="O533" s="101">
        <v>2727539</v>
      </c>
      <c r="P533" s="101">
        <v>4682852</v>
      </c>
      <c r="Q533" s="101">
        <v>41.75</v>
      </c>
      <c r="S533" s="215">
        <v>45419</v>
      </c>
      <c r="T533" s="101">
        <v>712606</v>
      </c>
      <c r="U533" s="101">
        <v>1113335</v>
      </c>
      <c r="V533" s="101">
        <v>1825941</v>
      </c>
      <c r="W533" s="101">
        <v>39.03</v>
      </c>
      <c r="Y533" s="215">
        <v>45419</v>
      </c>
      <c r="Z533" s="101">
        <v>1663216</v>
      </c>
      <c r="AA533" s="101">
        <v>799316</v>
      </c>
      <c r="AB533" s="101">
        <v>2462532</v>
      </c>
      <c r="AC533" s="101">
        <v>67.540000000000006</v>
      </c>
      <c r="AE533" s="215">
        <v>45419</v>
      </c>
      <c r="AF533" s="101">
        <v>1104109</v>
      </c>
      <c r="AG533" s="101">
        <v>11604</v>
      </c>
      <c r="AH533" s="101">
        <v>1115713</v>
      </c>
      <c r="AI533" s="101">
        <v>98.96</v>
      </c>
      <c r="AK533" s="215">
        <v>45419</v>
      </c>
      <c r="AL533" s="67">
        <v>214277</v>
      </c>
      <c r="AM533" s="67">
        <v>91788</v>
      </c>
      <c r="AN533" s="48">
        <v>306065</v>
      </c>
      <c r="AO533" s="67">
        <v>70.010000000000005</v>
      </c>
      <c r="AQ533" s="215">
        <v>45419</v>
      </c>
      <c r="AR533" s="67">
        <v>268944</v>
      </c>
      <c r="AS533" s="48">
        <v>0</v>
      </c>
      <c r="AT533" s="67">
        <v>268944</v>
      </c>
      <c r="AU533" s="48">
        <v>100</v>
      </c>
    </row>
    <row r="534" spans="1:47" hidden="1" x14ac:dyDescent="0.25">
      <c r="A534" s="215">
        <v>45420</v>
      </c>
      <c r="G534" s="215">
        <v>45420</v>
      </c>
      <c r="M534" s="215">
        <v>45420</v>
      </c>
      <c r="S534" s="215">
        <v>45420</v>
      </c>
      <c r="Y534" s="215">
        <v>45420</v>
      </c>
      <c r="AE534" s="215">
        <v>45420</v>
      </c>
      <c r="AK534" s="215">
        <v>45420</v>
      </c>
      <c r="AL534" s="74">
        <v>314631</v>
      </c>
      <c r="AM534" s="74">
        <v>71431</v>
      </c>
      <c r="AN534" s="74">
        <v>386062</v>
      </c>
      <c r="AO534" s="74">
        <v>81.5</v>
      </c>
      <c r="AQ534" s="215">
        <v>45420</v>
      </c>
      <c r="AR534" s="74">
        <v>3676529</v>
      </c>
      <c r="AS534" s="74">
        <v>34</v>
      </c>
      <c r="AT534" s="74">
        <v>3676563</v>
      </c>
      <c r="AU534" s="74">
        <v>100</v>
      </c>
    </row>
    <row r="535" spans="1:47" hidden="1" x14ac:dyDescent="0.25">
      <c r="A535" s="215">
        <v>45421</v>
      </c>
      <c r="G535" s="215">
        <v>45421</v>
      </c>
      <c r="M535" s="215">
        <v>45421</v>
      </c>
      <c r="S535" s="215">
        <v>45421</v>
      </c>
      <c r="Y535" s="215">
        <v>45421</v>
      </c>
      <c r="AE535" s="215">
        <v>45421</v>
      </c>
      <c r="AK535" s="215">
        <v>45421</v>
      </c>
      <c r="AL535" s="74">
        <v>193798</v>
      </c>
      <c r="AM535" s="74">
        <v>60749</v>
      </c>
      <c r="AN535" s="74">
        <v>254547</v>
      </c>
      <c r="AO535" s="74">
        <v>76.13</v>
      </c>
      <c r="AQ535" s="215">
        <v>45421</v>
      </c>
      <c r="AR535" s="74">
        <v>3052989</v>
      </c>
      <c r="AS535" s="74">
        <v>0</v>
      </c>
      <c r="AT535" s="74">
        <v>3052989</v>
      </c>
      <c r="AU535" s="74">
        <v>100</v>
      </c>
    </row>
    <row r="536" spans="1:47" hidden="1" x14ac:dyDescent="0.25">
      <c r="A536" s="215">
        <v>45422</v>
      </c>
      <c r="G536" s="215">
        <v>45422</v>
      </c>
      <c r="M536" s="215">
        <v>45422</v>
      </c>
      <c r="S536" s="215">
        <v>45422</v>
      </c>
      <c r="Y536" s="215">
        <v>45422</v>
      </c>
      <c r="AE536" s="215">
        <v>45422</v>
      </c>
      <c r="AK536" s="215">
        <v>45422</v>
      </c>
      <c r="AL536" s="74">
        <v>212675</v>
      </c>
      <c r="AM536" s="74">
        <v>66967</v>
      </c>
      <c r="AN536" s="74">
        <v>279642</v>
      </c>
      <c r="AO536" s="74">
        <v>76.05</v>
      </c>
      <c r="AQ536" s="215">
        <v>45422</v>
      </c>
      <c r="AR536" s="74">
        <v>3328489</v>
      </c>
      <c r="AS536" s="74">
        <v>614</v>
      </c>
      <c r="AT536" s="74">
        <v>3329103</v>
      </c>
      <c r="AU536" s="74">
        <v>99.98</v>
      </c>
    </row>
    <row r="537" spans="1:47" hidden="1" x14ac:dyDescent="0.25">
      <c r="A537" s="215">
        <v>45423</v>
      </c>
      <c r="G537" s="215">
        <v>45423</v>
      </c>
      <c r="M537" s="215">
        <v>45423</v>
      </c>
      <c r="S537" s="215">
        <v>45423</v>
      </c>
      <c r="Y537" s="215">
        <v>45423</v>
      </c>
      <c r="AE537" s="215">
        <v>45423</v>
      </c>
      <c r="AK537" s="215">
        <v>45423</v>
      </c>
      <c r="AL537" s="74">
        <v>277211</v>
      </c>
      <c r="AM537" s="74">
        <v>67957</v>
      </c>
      <c r="AN537" s="74">
        <v>345168</v>
      </c>
      <c r="AO537" s="74">
        <v>80.31</v>
      </c>
      <c r="AQ537" s="215">
        <v>45423</v>
      </c>
      <c r="AR537" s="74">
        <v>304108</v>
      </c>
      <c r="AS537" s="74">
        <v>55</v>
      </c>
      <c r="AT537" s="74">
        <v>304163</v>
      </c>
      <c r="AU537" s="74">
        <v>99.98</v>
      </c>
    </row>
    <row r="538" spans="1:47" hidden="1" x14ac:dyDescent="0.25">
      <c r="A538" s="215">
        <v>45424</v>
      </c>
      <c r="G538" s="215">
        <v>45424</v>
      </c>
      <c r="M538" s="215">
        <v>45424</v>
      </c>
      <c r="S538" s="215">
        <v>45424</v>
      </c>
      <c r="Y538" s="215">
        <v>45424</v>
      </c>
      <c r="AE538" s="215">
        <v>45424</v>
      </c>
      <c r="AK538" s="215">
        <v>45424</v>
      </c>
      <c r="AL538" s="74">
        <v>259507</v>
      </c>
      <c r="AM538" s="74">
        <v>79166</v>
      </c>
      <c r="AN538" s="74">
        <v>338673</v>
      </c>
      <c r="AO538" s="74">
        <v>76.62</v>
      </c>
      <c r="AQ538" s="215">
        <v>45424</v>
      </c>
      <c r="AR538" s="74">
        <v>268150</v>
      </c>
      <c r="AS538" s="74">
        <v>0</v>
      </c>
      <c r="AT538" s="74">
        <v>268150</v>
      </c>
      <c r="AU538" s="74">
        <v>100</v>
      </c>
    </row>
    <row r="539" spans="1:47" hidden="1" x14ac:dyDescent="0.25">
      <c r="A539" s="215">
        <v>45425</v>
      </c>
      <c r="G539" s="215">
        <v>45425</v>
      </c>
      <c r="M539" s="215">
        <v>45425</v>
      </c>
      <c r="S539" s="215">
        <v>45425</v>
      </c>
      <c r="Y539" s="215">
        <v>45425</v>
      </c>
      <c r="AE539" s="215">
        <v>45425</v>
      </c>
      <c r="AK539" s="215">
        <v>45425</v>
      </c>
      <c r="AL539" s="74">
        <v>367893</v>
      </c>
      <c r="AM539" s="74">
        <v>100352</v>
      </c>
      <c r="AN539" s="74">
        <v>468245</v>
      </c>
      <c r="AO539" s="74">
        <v>78.569999999999993</v>
      </c>
      <c r="AQ539" s="215">
        <v>45425</v>
      </c>
      <c r="AR539" s="74">
        <v>4585710</v>
      </c>
      <c r="AS539" s="74">
        <v>0</v>
      </c>
      <c r="AT539" s="74">
        <v>4585710</v>
      </c>
      <c r="AU539" s="74">
        <v>100</v>
      </c>
    </row>
    <row r="540" spans="1:47" hidden="1" x14ac:dyDescent="0.25">
      <c r="A540" s="215">
        <v>45426</v>
      </c>
      <c r="B540" s="101">
        <v>13563708</v>
      </c>
      <c r="C540" s="101">
        <v>875726</v>
      </c>
      <c r="D540" s="101">
        <v>14439434</v>
      </c>
      <c r="E540" s="101">
        <v>93.94</v>
      </c>
      <c r="G540" s="215">
        <v>45426</v>
      </c>
      <c r="H540" s="101">
        <v>8455264</v>
      </c>
      <c r="I540" s="101">
        <v>3480941</v>
      </c>
      <c r="J540" s="101">
        <v>11936205</v>
      </c>
      <c r="K540" s="101">
        <v>70.84</v>
      </c>
      <c r="M540" s="215">
        <v>45426</v>
      </c>
      <c r="N540" s="101">
        <v>2219498</v>
      </c>
      <c r="O540" s="101">
        <v>2297533</v>
      </c>
      <c r="P540" s="101">
        <v>4517031</v>
      </c>
      <c r="Q540" s="101">
        <v>49.14</v>
      </c>
      <c r="S540" s="215">
        <v>45426</v>
      </c>
      <c r="T540" s="101">
        <v>1496872</v>
      </c>
      <c r="U540" s="101">
        <v>2571200</v>
      </c>
      <c r="V540" s="101">
        <v>4068072</v>
      </c>
      <c r="W540" s="101">
        <v>36.799999999999997</v>
      </c>
      <c r="Y540" s="215">
        <v>45426</v>
      </c>
      <c r="Z540" s="101">
        <v>1467761</v>
      </c>
      <c r="AA540" s="101">
        <v>486761</v>
      </c>
      <c r="AB540" s="101">
        <v>1954522</v>
      </c>
      <c r="AC540" s="101">
        <v>75.099999999999994</v>
      </c>
      <c r="AE540" s="215">
        <v>45426</v>
      </c>
      <c r="AF540" s="101">
        <v>1173439</v>
      </c>
      <c r="AG540" s="101">
        <v>11686</v>
      </c>
      <c r="AH540" s="101">
        <v>1185125</v>
      </c>
      <c r="AI540" s="101">
        <v>99.01</v>
      </c>
      <c r="AK540" s="215">
        <v>45426</v>
      </c>
      <c r="AL540" s="74">
        <v>288265</v>
      </c>
      <c r="AM540" s="74">
        <v>98765</v>
      </c>
      <c r="AN540" s="74">
        <v>387030</v>
      </c>
      <c r="AO540" s="74">
        <v>74.48</v>
      </c>
      <c r="AQ540" s="215">
        <v>45426</v>
      </c>
      <c r="AR540" s="74">
        <v>5884085</v>
      </c>
      <c r="AS540" s="74">
        <v>0</v>
      </c>
      <c r="AT540" s="74">
        <v>5884085</v>
      </c>
      <c r="AU540" s="74">
        <v>100</v>
      </c>
    </row>
    <row r="541" spans="1:47" hidden="1" x14ac:dyDescent="0.25">
      <c r="A541" s="224">
        <v>45427</v>
      </c>
      <c r="B541" s="173">
        <v>12025893</v>
      </c>
      <c r="C541" s="173">
        <v>1142238</v>
      </c>
      <c r="D541" s="173">
        <v>13168131</v>
      </c>
      <c r="E541" s="173">
        <v>91.33</v>
      </c>
      <c r="G541" s="224">
        <v>45427</v>
      </c>
      <c r="H541" s="173">
        <v>1908303</v>
      </c>
      <c r="I541" s="173">
        <v>707846</v>
      </c>
      <c r="J541" s="173">
        <v>2616149</v>
      </c>
      <c r="K541" s="173">
        <v>72.94</v>
      </c>
      <c r="M541" s="224">
        <v>45427</v>
      </c>
      <c r="N541" s="173">
        <v>4640908</v>
      </c>
      <c r="O541" s="173">
        <v>3473891</v>
      </c>
      <c r="P541" s="173">
        <v>8114799</v>
      </c>
      <c r="Q541" s="173">
        <v>57.19</v>
      </c>
      <c r="S541" s="224">
        <v>45427</v>
      </c>
      <c r="T541" s="173">
        <v>889456</v>
      </c>
      <c r="U541" s="173">
        <v>1357419</v>
      </c>
      <c r="V541" s="173">
        <v>2246875</v>
      </c>
      <c r="W541" s="173">
        <v>39.590000000000003</v>
      </c>
      <c r="Y541" s="224">
        <v>45427</v>
      </c>
      <c r="Z541" s="173">
        <v>1375606</v>
      </c>
      <c r="AA541" s="173">
        <v>483967</v>
      </c>
      <c r="AB541" s="173">
        <v>1859573</v>
      </c>
      <c r="AC541" s="173">
        <v>73.97</v>
      </c>
      <c r="AE541" s="215">
        <v>45427</v>
      </c>
      <c r="AF541" s="101">
        <v>1105446</v>
      </c>
      <c r="AG541" s="101">
        <v>54032</v>
      </c>
      <c r="AH541" s="101">
        <v>1159478</v>
      </c>
      <c r="AI541" s="101">
        <v>95.34</v>
      </c>
      <c r="AK541" s="215">
        <v>45427</v>
      </c>
      <c r="AL541" s="74">
        <v>215544</v>
      </c>
      <c r="AM541" s="74">
        <v>59296</v>
      </c>
      <c r="AN541" s="74">
        <v>274840</v>
      </c>
      <c r="AO541" s="74">
        <v>78.430000000000007</v>
      </c>
      <c r="AQ541" s="215">
        <v>45427</v>
      </c>
      <c r="AR541" s="74">
        <v>1242652</v>
      </c>
      <c r="AS541" s="74">
        <v>327</v>
      </c>
      <c r="AT541" s="74">
        <v>1242979</v>
      </c>
      <c r="AU541" s="74">
        <v>99.97</v>
      </c>
    </row>
    <row r="542" spans="1:47" hidden="1" x14ac:dyDescent="0.25">
      <c r="A542" s="215">
        <v>45428</v>
      </c>
      <c r="B542" s="104">
        <v>11579899</v>
      </c>
      <c r="C542" s="104">
        <v>663577</v>
      </c>
      <c r="D542" s="104">
        <v>12243476</v>
      </c>
      <c r="E542" s="104">
        <v>94.58</v>
      </c>
      <c r="G542" s="215">
        <v>45428</v>
      </c>
      <c r="H542" s="104">
        <v>8776528</v>
      </c>
      <c r="I542" s="104">
        <v>3747921</v>
      </c>
      <c r="J542" s="104">
        <v>12524449</v>
      </c>
      <c r="K542" s="104">
        <v>70.08</v>
      </c>
      <c r="M542" s="215">
        <v>45428</v>
      </c>
      <c r="N542" s="104">
        <v>4327187</v>
      </c>
      <c r="O542" s="104">
        <v>3484191</v>
      </c>
      <c r="P542" s="104">
        <v>7811378</v>
      </c>
      <c r="Q542" s="104">
        <v>55.4</v>
      </c>
      <c r="S542" s="215">
        <v>45428</v>
      </c>
      <c r="T542" s="104">
        <v>779263</v>
      </c>
      <c r="U542" s="104">
        <v>1314984</v>
      </c>
      <c r="V542" s="104">
        <v>2094247</v>
      </c>
      <c r="W542" s="104">
        <v>37.21</v>
      </c>
      <c r="Y542" s="215">
        <v>45428</v>
      </c>
      <c r="Z542" s="104">
        <v>1443451</v>
      </c>
      <c r="AA542" s="104">
        <v>447854</v>
      </c>
      <c r="AB542" s="104">
        <v>1891305</v>
      </c>
      <c r="AC542" s="104">
        <v>76.319999999999993</v>
      </c>
      <c r="AE542" s="215">
        <v>45428</v>
      </c>
      <c r="AF542" s="173">
        <v>1068231</v>
      </c>
      <c r="AG542" s="173">
        <v>14954</v>
      </c>
      <c r="AH542" s="173">
        <v>1083185</v>
      </c>
      <c r="AI542" s="173">
        <v>98.62</v>
      </c>
      <c r="AK542" s="215">
        <v>45428</v>
      </c>
      <c r="AL542" s="74">
        <v>351297</v>
      </c>
      <c r="AM542" s="74">
        <v>40080</v>
      </c>
      <c r="AN542" s="74">
        <v>391377</v>
      </c>
      <c r="AO542" s="74">
        <v>89.76</v>
      </c>
      <c r="AQ542" s="215">
        <v>45428</v>
      </c>
      <c r="AR542" s="74">
        <v>5319933</v>
      </c>
      <c r="AS542" s="74">
        <v>1605</v>
      </c>
      <c r="AT542" s="74">
        <v>5321538</v>
      </c>
      <c r="AU542" s="74">
        <v>99.97</v>
      </c>
    </row>
    <row r="543" spans="1:47" hidden="1" x14ac:dyDescent="0.25">
      <c r="A543" s="215">
        <v>45429</v>
      </c>
      <c r="B543" s="48">
        <v>13945467</v>
      </c>
      <c r="C543" s="48">
        <v>797023</v>
      </c>
      <c r="D543" s="48">
        <v>14742490</v>
      </c>
      <c r="E543" s="48">
        <v>94.59</v>
      </c>
      <c r="G543" s="215">
        <v>45429</v>
      </c>
      <c r="H543" s="48">
        <v>4745256</v>
      </c>
      <c r="I543" s="48">
        <v>2551453</v>
      </c>
      <c r="J543" s="48">
        <v>7296709</v>
      </c>
      <c r="K543" s="71">
        <v>65.031999999999996</v>
      </c>
      <c r="M543" s="215">
        <v>45429</v>
      </c>
      <c r="N543" s="48">
        <v>3490437</v>
      </c>
      <c r="O543" s="48">
        <v>2352398</v>
      </c>
      <c r="P543" s="48">
        <v>5842835</v>
      </c>
      <c r="Q543" s="48">
        <v>59.7</v>
      </c>
      <c r="S543" s="215">
        <v>45429</v>
      </c>
      <c r="T543" s="48">
        <v>678850</v>
      </c>
      <c r="U543" s="48">
        <v>1084080</v>
      </c>
      <c r="V543" s="48">
        <v>1762930</v>
      </c>
      <c r="W543" s="48">
        <v>38.5</v>
      </c>
      <c r="Y543" s="215">
        <v>45429</v>
      </c>
      <c r="Z543" s="48">
        <v>1362820</v>
      </c>
      <c r="AA543" s="48">
        <v>520360</v>
      </c>
      <c r="AB543" s="48">
        <v>1883180</v>
      </c>
      <c r="AC543" s="48">
        <v>72.36</v>
      </c>
      <c r="AE543" s="215">
        <v>45429</v>
      </c>
      <c r="AF543" s="48">
        <v>1154628</v>
      </c>
      <c r="AG543" s="48">
        <v>11450</v>
      </c>
      <c r="AH543" s="48">
        <v>1166078</v>
      </c>
      <c r="AI543" s="48">
        <v>99.01</v>
      </c>
      <c r="AK543" s="224">
        <v>45429</v>
      </c>
      <c r="AL543" s="324">
        <v>78681</v>
      </c>
      <c r="AM543" s="324">
        <v>61232</v>
      </c>
      <c r="AN543" s="324">
        <v>139913</v>
      </c>
      <c r="AO543" s="324">
        <v>56.24</v>
      </c>
      <c r="AQ543" s="224">
        <v>45429</v>
      </c>
      <c r="AR543" s="324">
        <v>2927615</v>
      </c>
      <c r="AS543" s="324">
        <v>0</v>
      </c>
      <c r="AT543" s="324">
        <v>2927615</v>
      </c>
      <c r="AU543" s="324">
        <v>100</v>
      </c>
    </row>
    <row r="544" spans="1:47" hidden="1" x14ac:dyDescent="0.25">
      <c r="A544" s="215">
        <v>45430</v>
      </c>
      <c r="B544" s="48">
        <v>13226773</v>
      </c>
      <c r="C544" s="48">
        <v>831246</v>
      </c>
      <c r="D544" s="48">
        <v>14058019</v>
      </c>
      <c r="E544" s="48">
        <v>94.08</v>
      </c>
      <c r="G544" s="215">
        <v>45430</v>
      </c>
      <c r="H544" s="48">
        <v>1573562</v>
      </c>
      <c r="I544" s="48">
        <v>1153178</v>
      </c>
      <c r="J544" s="48">
        <v>2726740</v>
      </c>
      <c r="K544" s="71">
        <v>57.707999999999998</v>
      </c>
      <c r="M544" s="215">
        <v>45430</v>
      </c>
      <c r="N544" s="48">
        <v>4992368</v>
      </c>
      <c r="O544" s="48">
        <v>3239360</v>
      </c>
      <c r="P544" s="48">
        <v>8231728</v>
      </c>
      <c r="Q544" s="48">
        <v>60.64</v>
      </c>
      <c r="S544" s="215">
        <v>45430</v>
      </c>
      <c r="T544" s="48">
        <v>783738</v>
      </c>
      <c r="U544" s="48">
        <v>1313129</v>
      </c>
      <c r="V544" s="48">
        <v>2096867</v>
      </c>
      <c r="W544" s="48">
        <v>37.369999999999997</v>
      </c>
      <c r="Y544" s="215">
        <v>45430</v>
      </c>
      <c r="Z544" s="48">
        <v>1348528</v>
      </c>
      <c r="AA544" s="48">
        <v>538757</v>
      </c>
      <c r="AB544" s="48">
        <v>1887285</v>
      </c>
      <c r="AC544" s="48">
        <v>71.45</v>
      </c>
      <c r="AE544" s="215">
        <v>45430</v>
      </c>
      <c r="AF544" s="48">
        <v>1126942</v>
      </c>
      <c r="AG544" s="48">
        <v>11597</v>
      </c>
      <c r="AH544" s="48">
        <v>1138539</v>
      </c>
      <c r="AI544" s="48">
        <v>98.98</v>
      </c>
      <c r="AK544" s="215">
        <v>45430</v>
      </c>
      <c r="AL544" s="115">
        <v>226464</v>
      </c>
      <c r="AM544" s="115">
        <v>124592</v>
      </c>
      <c r="AN544" s="115">
        <v>351056</v>
      </c>
      <c r="AO544" s="115">
        <v>64.510000000000005</v>
      </c>
      <c r="AQ544" s="215">
        <v>45430</v>
      </c>
      <c r="AR544" s="115">
        <v>1013160</v>
      </c>
      <c r="AS544" s="115">
        <v>0</v>
      </c>
      <c r="AT544" s="115">
        <v>1013160</v>
      </c>
      <c r="AU544" s="115">
        <v>100</v>
      </c>
    </row>
    <row r="545" spans="1:47" hidden="1" x14ac:dyDescent="0.25">
      <c r="A545" s="215">
        <v>45431</v>
      </c>
      <c r="B545" s="48">
        <v>11585308</v>
      </c>
      <c r="C545" s="48">
        <v>786384</v>
      </c>
      <c r="D545" s="48">
        <v>12371692</v>
      </c>
      <c r="E545" s="48">
        <v>93.64</v>
      </c>
      <c r="G545" s="215">
        <v>45431</v>
      </c>
      <c r="H545" s="48">
        <v>333176</v>
      </c>
      <c r="I545" s="48">
        <v>131922</v>
      </c>
      <c r="J545" s="48">
        <v>465098</v>
      </c>
      <c r="K545" s="71">
        <v>71.635000000000005</v>
      </c>
      <c r="M545" s="215">
        <v>45431</v>
      </c>
      <c r="N545" s="48">
        <v>4781701</v>
      </c>
      <c r="O545" s="48">
        <v>3323911</v>
      </c>
      <c r="P545" s="48">
        <v>8105612</v>
      </c>
      <c r="Q545" s="48">
        <v>58.99</v>
      </c>
      <c r="S545" s="215">
        <v>45431</v>
      </c>
      <c r="T545" s="48">
        <v>57548</v>
      </c>
      <c r="U545" s="48">
        <v>36726</v>
      </c>
      <c r="V545" s="48">
        <v>94274</v>
      </c>
      <c r="W545" s="48">
        <v>61.04</v>
      </c>
      <c r="Y545" s="215">
        <v>45431</v>
      </c>
      <c r="Z545" s="48">
        <v>1246405</v>
      </c>
      <c r="AA545" s="48">
        <v>523646</v>
      </c>
      <c r="AB545" s="48">
        <v>1770051</v>
      </c>
      <c r="AC545" s="48">
        <v>70.41</v>
      </c>
      <c r="AE545" s="215">
        <v>45431</v>
      </c>
      <c r="AF545" s="48">
        <v>1139274</v>
      </c>
      <c r="AG545" s="48">
        <v>10691</v>
      </c>
      <c r="AH545" s="48">
        <v>1149965</v>
      </c>
      <c r="AI545" s="48">
        <v>99.07</v>
      </c>
      <c r="AK545" s="215">
        <v>45431</v>
      </c>
      <c r="AL545" s="115">
        <v>157710</v>
      </c>
      <c r="AM545" s="115">
        <v>147208</v>
      </c>
      <c r="AN545" s="115">
        <v>304918</v>
      </c>
      <c r="AO545" s="115">
        <v>51.72</v>
      </c>
      <c r="AQ545" s="215">
        <v>45431</v>
      </c>
      <c r="AR545" s="115">
        <v>279625</v>
      </c>
      <c r="AS545" s="115">
        <v>0</v>
      </c>
      <c r="AT545" s="115">
        <v>279625</v>
      </c>
      <c r="AU545" s="115">
        <v>100</v>
      </c>
    </row>
    <row r="546" spans="1:47" hidden="1" x14ac:dyDescent="0.25">
      <c r="A546" s="215">
        <v>45432</v>
      </c>
      <c r="B546" s="104">
        <v>12499795</v>
      </c>
      <c r="C546" s="104">
        <v>770231</v>
      </c>
      <c r="D546" s="104">
        <v>13270026</v>
      </c>
      <c r="E546" s="104">
        <v>94.2</v>
      </c>
      <c r="G546" s="215">
        <v>45432</v>
      </c>
      <c r="H546" s="104">
        <v>335772</v>
      </c>
      <c r="I546" s="104">
        <v>129785</v>
      </c>
      <c r="J546" s="104">
        <v>465557</v>
      </c>
      <c r="K546" s="104">
        <v>72.12</v>
      </c>
      <c r="M546" s="215">
        <v>45432</v>
      </c>
      <c r="N546" s="104">
        <v>4239290</v>
      </c>
      <c r="O546" s="104">
        <v>3312828</v>
      </c>
      <c r="P546" s="104">
        <v>7552118</v>
      </c>
      <c r="Q546" s="104">
        <v>56.13</v>
      </c>
      <c r="S546" s="215">
        <v>45432</v>
      </c>
      <c r="T546" s="104">
        <v>642610</v>
      </c>
      <c r="U546" s="104">
        <v>1085206</v>
      </c>
      <c r="V546" s="104">
        <v>1727816</v>
      </c>
      <c r="W546" s="104">
        <v>37.19</v>
      </c>
      <c r="Y546" s="215">
        <v>45432</v>
      </c>
      <c r="Z546" s="104">
        <v>1295938</v>
      </c>
      <c r="AA546" s="104">
        <v>516121</v>
      </c>
      <c r="AB546" s="104">
        <v>1812059</v>
      </c>
      <c r="AC546" s="104">
        <v>71.52</v>
      </c>
      <c r="AE546" s="215">
        <v>45432</v>
      </c>
      <c r="AF546" s="101">
        <v>1115362</v>
      </c>
      <c r="AG546" s="101">
        <v>12184</v>
      </c>
      <c r="AH546" s="101">
        <v>1127546</v>
      </c>
      <c r="AI546" s="101">
        <v>98.92</v>
      </c>
      <c r="AK546" s="215">
        <v>45432</v>
      </c>
      <c r="AL546" s="67">
        <v>163811</v>
      </c>
      <c r="AM546" s="67">
        <v>13951</v>
      </c>
      <c r="AN546" s="48">
        <v>177762</v>
      </c>
      <c r="AO546" s="48">
        <v>92.15</v>
      </c>
      <c r="AQ546" s="215">
        <v>45432</v>
      </c>
      <c r="AR546" s="115">
        <v>284542</v>
      </c>
      <c r="AS546" s="115">
        <v>0</v>
      </c>
      <c r="AT546" s="115">
        <v>284542</v>
      </c>
      <c r="AU546" s="115">
        <v>100</v>
      </c>
    </row>
    <row r="547" spans="1:47" hidden="1" x14ac:dyDescent="0.25">
      <c r="A547" s="215">
        <v>45433</v>
      </c>
      <c r="B547" s="101">
        <v>13285391</v>
      </c>
      <c r="C547" s="101">
        <v>807484</v>
      </c>
      <c r="D547" s="101">
        <v>14092875</v>
      </c>
      <c r="E547" s="101">
        <v>94.27</v>
      </c>
      <c r="G547" s="215">
        <v>45433</v>
      </c>
      <c r="H547" s="101">
        <v>9055836</v>
      </c>
      <c r="I547" s="101">
        <v>3158387</v>
      </c>
      <c r="J547" s="101">
        <v>12214223</v>
      </c>
      <c r="K547" s="101">
        <v>74.14</v>
      </c>
      <c r="M547" s="215">
        <v>45433</v>
      </c>
      <c r="N547" s="101">
        <v>1628157</v>
      </c>
      <c r="O547" s="101">
        <v>1881201</v>
      </c>
      <c r="P547" s="101">
        <v>3509358</v>
      </c>
      <c r="Q547" s="101">
        <v>46.39</v>
      </c>
      <c r="S547" s="215">
        <v>45433</v>
      </c>
      <c r="T547" s="101">
        <v>3131457</v>
      </c>
      <c r="U547" s="101">
        <v>3323019</v>
      </c>
      <c r="V547" s="101">
        <v>6454476</v>
      </c>
      <c r="W547" s="101">
        <v>48.52</v>
      </c>
      <c r="Y547" s="215">
        <v>45433</v>
      </c>
      <c r="Z547" s="101">
        <v>1238329</v>
      </c>
      <c r="AA547" s="101">
        <v>578932</v>
      </c>
      <c r="AB547" s="101">
        <v>1817261</v>
      </c>
      <c r="AC547" s="101">
        <v>68.14</v>
      </c>
      <c r="AE547" s="215">
        <v>45433</v>
      </c>
      <c r="AF547" s="101">
        <v>1175524</v>
      </c>
      <c r="AG547" s="101">
        <v>11723</v>
      </c>
      <c r="AH547" s="101">
        <v>1187247</v>
      </c>
      <c r="AI547" s="101">
        <v>99.01</v>
      </c>
      <c r="AK547" s="215">
        <v>45433</v>
      </c>
      <c r="AL547" s="48">
        <v>218657</v>
      </c>
      <c r="AM547" s="48">
        <v>115147</v>
      </c>
      <c r="AN547" s="67">
        <v>333804</v>
      </c>
      <c r="AO547" s="48">
        <v>65.5</v>
      </c>
      <c r="AQ547" s="215">
        <v>45433</v>
      </c>
      <c r="AR547" s="115">
        <v>6355827</v>
      </c>
      <c r="AS547" s="115">
        <v>0</v>
      </c>
      <c r="AT547" s="115">
        <v>6355827</v>
      </c>
      <c r="AU547" s="115">
        <v>100</v>
      </c>
    </row>
    <row r="548" spans="1:47" hidden="1" x14ac:dyDescent="0.25">
      <c r="A548" s="215">
        <v>45434</v>
      </c>
      <c r="B548" s="101">
        <v>11636804</v>
      </c>
      <c r="C548" s="101">
        <v>884099</v>
      </c>
      <c r="D548" s="101">
        <v>12520903</v>
      </c>
      <c r="E548" s="101">
        <v>92.94</v>
      </c>
      <c r="G548" s="215">
        <v>45434</v>
      </c>
      <c r="H548" s="101">
        <v>6332843</v>
      </c>
      <c r="I548" s="101">
        <v>2254243</v>
      </c>
      <c r="J548" s="101">
        <v>8587086</v>
      </c>
      <c r="K548" s="101">
        <v>73.75</v>
      </c>
      <c r="M548" s="215">
        <v>45434</v>
      </c>
      <c r="N548" s="101">
        <v>4015457</v>
      </c>
      <c r="O548" s="101">
        <v>2447042</v>
      </c>
      <c r="P548" s="101">
        <v>6462499</v>
      </c>
      <c r="Q548" s="101">
        <v>62.13</v>
      </c>
      <c r="S548" s="215">
        <v>45434</v>
      </c>
      <c r="T548" s="101">
        <v>2030819</v>
      </c>
      <c r="U548" s="101">
        <v>2687700</v>
      </c>
      <c r="V548" s="101">
        <v>4718519</v>
      </c>
      <c r="W548" s="101">
        <v>43.04</v>
      </c>
      <c r="Y548" s="215">
        <v>45434</v>
      </c>
      <c r="Z548" s="101">
        <v>1326790</v>
      </c>
      <c r="AA548" s="101">
        <v>560703</v>
      </c>
      <c r="AB548" s="101">
        <v>1887493</v>
      </c>
      <c r="AC548" s="101">
        <v>70.290000000000006</v>
      </c>
      <c r="AE548" s="215">
        <v>45434</v>
      </c>
      <c r="AF548" s="101">
        <v>1079355</v>
      </c>
      <c r="AG548" s="101">
        <v>9814</v>
      </c>
      <c r="AH548" s="101">
        <v>1089169</v>
      </c>
      <c r="AI548" s="101">
        <v>99.1</v>
      </c>
      <c r="AK548" s="215">
        <v>45434</v>
      </c>
      <c r="AL548" s="48">
        <v>193097</v>
      </c>
      <c r="AM548" s="48">
        <v>128301</v>
      </c>
      <c r="AN548" s="67">
        <v>321398</v>
      </c>
      <c r="AO548" s="48">
        <v>60.08</v>
      </c>
      <c r="AQ548" s="215">
        <v>45434</v>
      </c>
      <c r="AR548" s="115">
        <v>4603725</v>
      </c>
      <c r="AS548" s="115">
        <v>0</v>
      </c>
      <c r="AT548" s="115">
        <v>4603725</v>
      </c>
      <c r="AU548" s="115">
        <v>100</v>
      </c>
    </row>
    <row r="549" spans="1:47" hidden="1" x14ac:dyDescent="0.25">
      <c r="A549" s="215">
        <v>45435</v>
      </c>
      <c r="B549" s="101">
        <v>12310568</v>
      </c>
      <c r="C549" s="101">
        <v>690905</v>
      </c>
      <c r="D549" s="101">
        <v>13001473</v>
      </c>
      <c r="E549" s="101">
        <v>94.69</v>
      </c>
      <c r="G549" s="215">
        <v>45435</v>
      </c>
      <c r="H549" s="101">
        <v>668565</v>
      </c>
      <c r="I549" s="101">
        <v>231955</v>
      </c>
      <c r="J549" s="101">
        <v>900520</v>
      </c>
      <c r="K549" s="101">
        <v>74.239999999999995</v>
      </c>
      <c r="M549" s="215">
        <v>45435</v>
      </c>
      <c r="N549" s="101">
        <v>4092260</v>
      </c>
      <c r="O549" s="101">
        <v>2748831</v>
      </c>
      <c r="P549" s="101">
        <v>6841091</v>
      </c>
      <c r="Q549" s="101">
        <v>59.82</v>
      </c>
      <c r="S549" s="215">
        <v>45435</v>
      </c>
      <c r="T549" s="101">
        <v>1452550</v>
      </c>
      <c r="U549" s="101">
        <v>2612805</v>
      </c>
      <c r="V549" s="101">
        <v>4065355</v>
      </c>
      <c r="W549" s="101">
        <v>35.729999999999997</v>
      </c>
      <c r="Y549" s="215">
        <v>45435</v>
      </c>
      <c r="Z549" s="101">
        <v>1389314</v>
      </c>
      <c r="AA549" s="101">
        <v>548134</v>
      </c>
      <c r="AB549" s="101">
        <v>1937448</v>
      </c>
      <c r="AC549" s="101">
        <v>71.709999999999994</v>
      </c>
      <c r="AE549" s="215">
        <v>45435</v>
      </c>
      <c r="AF549" s="101">
        <v>1221880</v>
      </c>
      <c r="AG549" s="101">
        <v>10850</v>
      </c>
      <c r="AH549" s="101">
        <v>1232730</v>
      </c>
      <c r="AI549" s="101">
        <v>99.12</v>
      </c>
      <c r="AK549" s="215">
        <v>45435</v>
      </c>
      <c r="AL549" s="48">
        <v>103619</v>
      </c>
      <c r="AM549" s="48">
        <v>59414</v>
      </c>
      <c r="AN549" s="48">
        <v>163033</v>
      </c>
      <c r="AO549" s="48">
        <v>63.56</v>
      </c>
      <c r="AQ549" s="215">
        <v>45435</v>
      </c>
      <c r="AR549" s="115">
        <v>589796</v>
      </c>
      <c r="AS549" s="115">
        <v>0</v>
      </c>
      <c r="AT549" s="115">
        <v>589796</v>
      </c>
      <c r="AU549" s="115">
        <v>100</v>
      </c>
    </row>
    <row r="550" spans="1:47" hidden="1" x14ac:dyDescent="0.25">
      <c r="A550" s="215">
        <v>45436</v>
      </c>
      <c r="B550" s="101">
        <v>13455920</v>
      </c>
      <c r="C550" s="101">
        <v>838269</v>
      </c>
      <c r="D550" s="101">
        <v>14294189</v>
      </c>
      <c r="E550" s="101">
        <v>94.14</v>
      </c>
      <c r="G550" s="215">
        <v>45436</v>
      </c>
      <c r="H550" s="101">
        <v>342636</v>
      </c>
      <c r="I550" s="101">
        <v>123795</v>
      </c>
      <c r="J550" s="101">
        <v>466431</v>
      </c>
      <c r="K550" s="101">
        <v>73.459999999999994</v>
      </c>
      <c r="M550" s="215">
        <v>45436</v>
      </c>
      <c r="N550" s="101">
        <v>3536259</v>
      </c>
      <c r="O550" s="101">
        <v>2172040</v>
      </c>
      <c r="P550" s="101">
        <v>5708299</v>
      </c>
      <c r="Q550" s="101">
        <v>61.95</v>
      </c>
      <c r="S550" s="215">
        <v>45436</v>
      </c>
      <c r="T550" s="101">
        <v>1369574</v>
      </c>
      <c r="U550" s="101">
        <v>2309805</v>
      </c>
      <c r="V550" s="101">
        <v>3679379</v>
      </c>
      <c r="W550" s="101">
        <v>37.22</v>
      </c>
      <c r="Y550" s="215">
        <v>45436</v>
      </c>
      <c r="Z550" s="101">
        <v>1263029</v>
      </c>
      <c r="AA550" s="101">
        <v>482436</v>
      </c>
      <c r="AB550" s="101">
        <v>1745465</v>
      </c>
      <c r="AC550" s="101">
        <v>72.36</v>
      </c>
      <c r="AE550" s="215">
        <v>45436</v>
      </c>
      <c r="AF550" s="101">
        <v>1154765</v>
      </c>
      <c r="AG550" s="101">
        <v>10339</v>
      </c>
      <c r="AH550" s="101">
        <v>1165104</v>
      </c>
      <c r="AI550" s="101">
        <v>99.11</v>
      </c>
      <c r="AK550" s="215">
        <v>45436</v>
      </c>
      <c r="AL550" s="48">
        <v>348442</v>
      </c>
      <c r="AM550" s="48">
        <v>30618</v>
      </c>
      <c r="AN550" s="48">
        <v>379060</v>
      </c>
      <c r="AO550" s="48">
        <v>91.92</v>
      </c>
      <c r="AQ550" s="215">
        <v>45436</v>
      </c>
      <c r="AR550" s="115">
        <v>298186</v>
      </c>
      <c r="AS550" s="115">
        <v>0</v>
      </c>
      <c r="AT550" s="115">
        <v>298186</v>
      </c>
      <c r="AU550" s="115">
        <v>100</v>
      </c>
    </row>
    <row r="551" spans="1:47" hidden="1" x14ac:dyDescent="0.25">
      <c r="A551" s="215">
        <v>45437</v>
      </c>
      <c r="B551" s="101">
        <v>12576400</v>
      </c>
      <c r="C551" s="101">
        <v>992440</v>
      </c>
      <c r="D551" s="101">
        <v>13568840</v>
      </c>
      <c r="E551" s="101">
        <v>92.69</v>
      </c>
      <c r="G551" s="215">
        <v>45437</v>
      </c>
      <c r="H551" s="101">
        <v>351928</v>
      </c>
      <c r="I551" s="101">
        <v>135091</v>
      </c>
      <c r="J551" s="101">
        <v>487019</v>
      </c>
      <c r="K551" s="101">
        <v>72.260000000000005</v>
      </c>
      <c r="M551" s="215">
        <v>45437</v>
      </c>
      <c r="N551" s="101">
        <v>3103713</v>
      </c>
      <c r="O551" s="101">
        <v>2134978</v>
      </c>
      <c r="P551" s="101">
        <v>5238691</v>
      </c>
      <c r="Q551" s="101">
        <v>59.25</v>
      </c>
      <c r="S551" s="215">
        <v>45437</v>
      </c>
      <c r="T551" s="101">
        <v>1242897</v>
      </c>
      <c r="U551" s="101">
        <v>2177917</v>
      </c>
      <c r="V551" s="101">
        <v>3420814</v>
      </c>
      <c r="W551" s="101">
        <v>36.33</v>
      </c>
      <c r="Y551" s="215">
        <v>45437</v>
      </c>
      <c r="Z551" s="101">
        <v>1141719</v>
      </c>
      <c r="AA551" s="101">
        <v>480382</v>
      </c>
      <c r="AB551" s="101">
        <v>1622101</v>
      </c>
      <c r="AC551" s="101">
        <v>70.39</v>
      </c>
      <c r="AE551" s="215">
        <v>45437</v>
      </c>
      <c r="AF551" s="101">
        <v>1031906</v>
      </c>
      <c r="AG551" s="101">
        <v>9327</v>
      </c>
      <c r="AH551" s="101">
        <v>1041233</v>
      </c>
      <c r="AI551" s="101">
        <v>99.1</v>
      </c>
      <c r="AK551" s="215">
        <v>45437</v>
      </c>
      <c r="AL551" s="48">
        <v>366948</v>
      </c>
      <c r="AM551" s="48">
        <v>12344</v>
      </c>
      <c r="AN551" s="48">
        <v>379292</v>
      </c>
      <c r="AO551" s="48">
        <v>96.75</v>
      </c>
      <c r="AQ551" s="215">
        <v>45437</v>
      </c>
      <c r="AR551" s="115">
        <v>298983</v>
      </c>
      <c r="AS551" s="115">
        <v>0</v>
      </c>
      <c r="AT551" s="115">
        <v>298983</v>
      </c>
      <c r="AU551" s="115">
        <v>100</v>
      </c>
    </row>
    <row r="552" spans="1:47" hidden="1" x14ac:dyDescent="0.25">
      <c r="A552" s="215">
        <v>45438</v>
      </c>
      <c r="B552" s="101">
        <v>11706818</v>
      </c>
      <c r="C552" s="101">
        <v>769928</v>
      </c>
      <c r="D552" s="101">
        <v>12476746</v>
      </c>
      <c r="E552" s="101">
        <v>93.83</v>
      </c>
      <c r="G552" s="215">
        <v>45438</v>
      </c>
      <c r="H552" s="101">
        <v>336227</v>
      </c>
      <c r="I552" s="101">
        <v>132451</v>
      </c>
      <c r="J552" s="101">
        <v>468678</v>
      </c>
      <c r="K552" s="101">
        <v>71.739999999999995</v>
      </c>
      <c r="M552" s="215">
        <v>45438</v>
      </c>
      <c r="N552" s="101">
        <v>2174255</v>
      </c>
      <c r="O552" s="101">
        <v>1638967</v>
      </c>
      <c r="P552" s="101">
        <v>3813222</v>
      </c>
      <c r="Q552" s="101">
        <v>57.02</v>
      </c>
      <c r="S552" s="215">
        <v>45438</v>
      </c>
      <c r="T552" s="101">
        <v>50950</v>
      </c>
      <c r="U552" s="101">
        <v>30490</v>
      </c>
      <c r="V552" s="101">
        <v>81440</v>
      </c>
      <c r="W552" s="101">
        <v>62.56</v>
      </c>
      <c r="Y552" s="215">
        <v>45438</v>
      </c>
      <c r="Z552" s="101">
        <v>1095536</v>
      </c>
      <c r="AA552" s="101">
        <v>553741</v>
      </c>
      <c r="AB552" s="101">
        <v>1649277</v>
      </c>
      <c r="AC552" s="101">
        <v>66.430000000000007</v>
      </c>
      <c r="AE552" s="215">
        <v>45438</v>
      </c>
      <c r="AF552" s="101">
        <v>1039593</v>
      </c>
      <c r="AG552" s="101">
        <v>7783</v>
      </c>
      <c r="AH552" s="101">
        <v>1047376</v>
      </c>
      <c r="AI552" s="101">
        <v>99.26</v>
      </c>
      <c r="AK552" s="215">
        <v>45438</v>
      </c>
      <c r="AL552" s="74">
        <v>242009</v>
      </c>
      <c r="AM552" s="74">
        <v>17345</v>
      </c>
      <c r="AN552" s="74">
        <v>259354</v>
      </c>
      <c r="AO552" s="74">
        <v>93.31</v>
      </c>
      <c r="AQ552" s="215">
        <v>45438</v>
      </c>
      <c r="AR552">
        <v>286441</v>
      </c>
      <c r="AS552" s="115">
        <v>0</v>
      </c>
      <c r="AT552">
        <v>286441</v>
      </c>
      <c r="AU552" s="115">
        <v>100</v>
      </c>
    </row>
    <row r="553" spans="1:47" hidden="1" x14ac:dyDescent="0.25">
      <c r="A553" s="215">
        <v>45439</v>
      </c>
      <c r="B553" s="101">
        <v>12797471</v>
      </c>
      <c r="C553" s="101">
        <v>758735</v>
      </c>
      <c r="D553" s="101">
        <v>13556206</v>
      </c>
      <c r="E553" s="101">
        <v>94.4</v>
      </c>
      <c r="G553" s="215">
        <v>45439</v>
      </c>
      <c r="H553" s="101">
        <v>661567</v>
      </c>
      <c r="I553" s="101">
        <v>256154</v>
      </c>
      <c r="J553" s="101">
        <v>917721</v>
      </c>
      <c r="K553" s="101">
        <v>72.09</v>
      </c>
      <c r="M553" s="215">
        <v>45439</v>
      </c>
      <c r="N553" s="101">
        <v>2938386</v>
      </c>
      <c r="O553" s="101">
        <v>2190797</v>
      </c>
      <c r="P553" s="101">
        <v>5129183</v>
      </c>
      <c r="Q553" s="101">
        <v>57.29</v>
      </c>
      <c r="S553" s="215">
        <v>45439</v>
      </c>
      <c r="T553" s="101">
        <v>651276</v>
      </c>
      <c r="U553" s="101">
        <v>1131962</v>
      </c>
      <c r="V553" s="101">
        <v>1783238</v>
      </c>
      <c r="W553" s="101">
        <v>36.520000000000003</v>
      </c>
      <c r="Y553" s="215">
        <v>45439</v>
      </c>
      <c r="Z553" s="101">
        <v>1226418</v>
      </c>
      <c r="AA553" s="101">
        <v>405039</v>
      </c>
      <c r="AB553" s="101">
        <v>1631457</v>
      </c>
      <c r="AC553" s="101">
        <v>75.17</v>
      </c>
      <c r="AE553" s="215">
        <v>45439</v>
      </c>
      <c r="AF553" s="101">
        <v>1026742</v>
      </c>
      <c r="AG553" s="101">
        <v>16164</v>
      </c>
      <c r="AH553" s="101">
        <v>1042906</v>
      </c>
      <c r="AI553" s="101">
        <v>98.45</v>
      </c>
      <c r="AK553" s="215">
        <v>45439</v>
      </c>
      <c r="AL553" s="74">
        <v>775583</v>
      </c>
      <c r="AM553" s="74">
        <v>31588</v>
      </c>
      <c r="AN553" s="74">
        <v>807171</v>
      </c>
      <c r="AO553" s="74">
        <v>96.09</v>
      </c>
      <c r="AQ553" s="215">
        <v>45439</v>
      </c>
      <c r="AR553">
        <v>571369</v>
      </c>
      <c r="AS553" s="115">
        <v>0</v>
      </c>
      <c r="AT553">
        <v>571369</v>
      </c>
      <c r="AU553" s="115">
        <v>100</v>
      </c>
    </row>
    <row r="554" spans="1:47" hidden="1" x14ac:dyDescent="0.25">
      <c r="A554" s="215">
        <v>45440</v>
      </c>
      <c r="B554" s="101">
        <v>13153596</v>
      </c>
      <c r="C554" s="101">
        <v>877520</v>
      </c>
      <c r="D554" s="101">
        <v>14031116</v>
      </c>
      <c r="E554" s="101">
        <v>93.75</v>
      </c>
      <c r="G554" s="215">
        <v>45440</v>
      </c>
      <c r="H554" s="101">
        <v>978345</v>
      </c>
      <c r="I554" s="101">
        <v>365268</v>
      </c>
      <c r="J554" s="101">
        <v>1343613</v>
      </c>
      <c r="K554" s="101">
        <v>72.81</v>
      </c>
      <c r="M554" s="215">
        <v>45440</v>
      </c>
      <c r="N554" s="101">
        <v>954905</v>
      </c>
      <c r="O554" s="101">
        <v>692871</v>
      </c>
      <c r="P554" s="101">
        <v>1647776</v>
      </c>
      <c r="Q554" s="101">
        <v>57.95</v>
      </c>
      <c r="S554" s="215">
        <v>45440</v>
      </c>
      <c r="T554" s="101">
        <v>788303</v>
      </c>
      <c r="U554" s="101">
        <v>1323921</v>
      </c>
      <c r="V554" s="101">
        <v>2112224</v>
      </c>
      <c r="W554" s="101">
        <v>37.32</v>
      </c>
      <c r="Y554" s="215">
        <v>45440</v>
      </c>
      <c r="Z554" s="101">
        <v>1179863</v>
      </c>
      <c r="AA554" s="101">
        <v>341389</v>
      </c>
      <c r="AB554" s="101">
        <v>1521252</v>
      </c>
      <c r="AC554" s="101">
        <v>77.56</v>
      </c>
      <c r="AE554" s="215">
        <v>45440</v>
      </c>
      <c r="AF554" s="101">
        <v>1029736</v>
      </c>
      <c r="AG554" s="101">
        <v>8063</v>
      </c>
      <c r="AH554" s="101">
        <v>1037799</v>
      </c>
      <c r="AI554" s="101">
        <v>99.22</v>
      </c>
      <c r="AK554" s="215">
        <v>45440</v>
      </c>
      <c r="AL554" s="74">
        <v>403932</v>
      </c>
      <c r="AM554" s="74">
        <v>37122</v>
      </c>
      <c r="AN554" s="74">
        <v>441054</v>
      </c>
      <c r="AO554" s="74">
        <v>91.58</v>
      </c>
      <c r="AQ554" s="215">
        <v>45440</v>
      </c>
      <c r="AR554">
        <v>814772</v>
      </c>
      <c r="AS554" s="115">
        <v>0</v>
      </c>
      <c r="AT554">
        <v>814772</v>
      </c>
      <c r="AU554" s="115">
        <v>100</v>
      </c>
    </row>
    <row r="555" spans="1:47" hidden="1" x14ac:dyDescent="0.25">
      <c r="A555" s="215">
        <v>45441</v>
      </c>
      <c r="B555" s="101">
        <v>12378026</v>
      </c>
      <c r="C555" s="101">
        <v>804320</v>
      </c>
      <c r="D555" s="101">
        <v>13182346</v>
      </c>
      <c r="E555" s="101">
        <v>93.9</v>
      </c>
      <c r="G555" s="215">
        <v>45441</v>
      </c>
      <c r="H555" s="101">
        <v>1204882</v>
      </c>
      <c r="I555" s="101">
        <v>691751</v>
      </c>
      <c r="J555" s="101">
        <v>1896633</v>
      </c>
      <c r="K555" s="101">
        <v>63.53</v>
      </c>
      <c r="M555" s="215">
        <v>45441</v>
      </c>
      <c r="N555" s="101">
        <v>2106916</v>
      </c>
      <c r="O555" s="101">
        <v>1461456</v>
      </c>
      <c r="P555" s="101">
        <v>3568372</v>
      </c>
      <c r="Q555" s="101">
        <v>59.04</v>
      </c>
      <c r="S555" s="215">
        <v>45441</v>
      </c>
      <c r="T555" s="101">
        <v>2258206</v>
      </c>
      <c r="U555" s="101">
        <v>1605294</v>
      </c>
      <c r="V555" s="101">
        <v>3863500</v>
      </c>
      <c r="W555" s="101">
        <v>58.45</v>
      </c>
      <c r="Y555" s="215">
        <v>45441</v>
      </c>
      <c r="Z555" s="101">
        <v>1284874</v>
      </c>
      <c r="AA555" s="101">
        <v>302475</v>
      </c>
      <c r="AB555" s="101">
        <v>1587349</v>
      </c>
      <c r="AC555" s="101">
        <v>80.94</v>
      </c>
      <c r="AE555" s="215">
        <v>45441</v>
      </c>
      <c r="AF555" s="101">
        <v>918837</v>
      </c>
      <c r="AG555" s="101">
        <v>7596</v>
      </c>
      <c r="AH555" s="101">
        <v>926433</v>
      </c>
      <c r="AI555" s="101">
        <v>99.18</v>
      </c>
      <c r="AK555" s="215">
        <v>45441</v>
      </c>
      <c r="AL555" s="74">
        <v>232417</v>
      </c>
      <c r="AM555" s="74">
        <v>27683</v>
      </c>
      <c r="AN555" s="74">
        <v>260100</v>
      </c>
      <c r="AO555" s="74">
        <v>89.36</v>
      </c>
      <c r="AQ555" s="215">
        <v>45441</v>
      </c>
      <c r="AR555">
        <v>564511</v>
      </c>
      <c r="AS555" s="115">
        <v>0</v>
      </c>
      <c r="AT555">
        <v>564511</v>
      </c>
      <c r="AU555" s="115">
        <v>100</v>
      </c>
    </row>
    <row r="556" spans="1:47" hidden="1" x14ac:dyDescent="0.25">
      <c r="A556" s="215">
        <v>45442</v>
      </c>
      <c r="B556" s="101">
        <v>12746611</v>
      </c>
      <c r="C556" s="101">
        <v>838011</v>
      </c>
      <c r="D556" s="101">
        <v>13584622</v>
      </c>
      <c r="E556" s="101">
        <v>93.83</v>
      </c>
      <c r="G556" s="215">
        <v>45442</v>
      </c>
      <c r="H556" s="101">
        <v>643220</v>
      </c>
      <c r="I556" s="101">
        <v>252187</v>
      </c>
      <c r="J556" s="101">
        <v>895407</v>
      </c>
      <c r="K556" s="101">
        <v>71.84</v>
      </c>
      <c r="M556" s="215">
        <v>45442</v>
      </c>
      <c r="N556" s="101">
        <v>2627322</v>
      </c>
      <c r="O556" s="101">
        <v>2299044</v>
      </c>
      <c r="P556" s="101">
        <v>4926366</v>
      </c>
      <c r="Q556" s="101">
        <v>53.33</v>
      </c>
      <c r="S556" s="215">
        <v>45442</v>
      </c>
      <c r="T556" s="101">
        <v>778469</v>
      </c>
      <c r="U556" s="101">
        <v>1321819</v>
      </c>
      <c r="V556" s="101">
        <v>2100288</v>
      </c>
      <c r="W556" s="101">
        <v>37.06</v>
      </c>
      <c r="Y556" s="215">
        <v>45442</v>
      </c>
      <c r="Z556" s="101">
        <v>1338541</v>
      </c>
      <c r="AA556" s="101">
        <v>287458</v>
      </c>
      <c r="AB556" s="101">
        <v>1625999</v>
      </c>
      <c r="AC556" s="101">
        <v>82.32</v>
      </c>
      <c r="AE556" s="215">
        <v>45442</v>
      </c>
      <c r="AF556" s="101">
        <v>903879</v>
      </c>
      <c r="AG556" s="101">
        <v>8062</v>
      </c>
      <c r="AH556" s="101">
        <v>911941</v>
      </c>
      <c r="AI556" s="101">
        <v>99.12</v>
      </c>
      <c r="AK556" s="215">
        <v>45442</v>
      </c>
      <c r="AL556" s="74">
        <v>368768</v>
      </c>
      <c r="AM556" s="74">
        <v>28431</v>
      </c>
      <c r="AN556" s="74">
        <v>397199</v>
      </c>
      <c r="AO556" s="74">
        <v>92.84</v>
      </c>
      <c r="AQ556" s="215">
        <v>45442</v>
      </c>
      <c r="AR556">
        <v>558604</v>
      </c>
      <c r="AS556" s="115">
        <v>0</v>
      </c>
      <c r="AT556">
        <v>558604</v>
      </c>
      <c r="AU556" s="115">
        <v>100</v>
      </c>
    </row>
    <row r="557" spans="1:47" hidden="1" x14ac:dyDescent="0.25">
      <c r="A557" s="215">
        <v>45443</v>
      </c>
      <c r="B557" s="101">
        <v>13719780</v>
      </c>
      <c r="C557" s="101">
        <v>850481</v>
      </c>
      <c r="D557" s="101">
        <v>14570261</v>
      </c>
      <c r="E557" s="101">
        <v>94.16</v>
      </c>
      <c r="G557" s="215">
        <v>45443</v>
      </c>
      <c r="H557" s="101">
        <v>657886</v>
      </c>
      <c r="I557" s="101">
        <v>250803</v>
      </c>
      <c r="J557" s="101">
        <v>908689</v>
      </c>
      <c r="K557" s="101">
        <v>72.400000000000006</v>
      </c>
      <c r="M557" s="215">
        <v>45443</v>
      </c>
      <c r="N557" s="101">
        <v>1679447</v>
      </c>
      <c r="O557" s="101">
        <v>1772939</v>
      </c>
      <c r="P557" s="101">
        <v>3452386</v>
      </c>
      <c r="Q557" s="101">
        <v>48.65</v>
      </c>
      <c r="S557" s="215">
        <v>45443</v>
      </c>
      <c r="T557" s="101">
        <v>522706</v>
      </c>
      <c r="U557" s="101">
        <v>847810</v>
      </c>
      <c r="V557" s="101">
        <v>1370516</v>
      </c>
      <c r="W557" s="101">
        <v>38.14</v>
      </c>
      <c r="Y557" s="215">
        <v>45443</v>
      </c>
      <c r="Z557" s="101">
        <v>1453445</v>
      </c>
      <c r="AA557" s="101">
        <v>277864</v>
      </c>
      <c r="AB557" s="101">
        <v>1731309</v>
      </c>
      <c r="AC557" s="101">
        <v>83.95</v>
      </c>
      <c r="AE557" s="215">
        <v>45443</v>
      </c>
      <c r="AF557" s="101">
        <v>952670</v>
      </c>
      <c r="AG557" s="101">
        <v>8923</v>
      </c>
      <c r="AH557" s="101">
        <v>961593</v>
      </c>
      <c r="AI557" s="101">
        <v>99.07</v>
      </c>
      <c r="AK557" s="215">
        <v>45443</v>
      </c>
      <c r="AL557" s="74">
        <v>749638</v>
      </c>
      <c r="AM557" s="74">
        <v>32348</v>
      </c>
      <c r="AN557" s="74">
        <v>781986</v>
      </c>
      <c r="AO557" s="74">
        <v>95.86</v>
      </c>
      <c r="AQ557" s="215">
        <v>45443</v>
      </c>
      <c r="AR557" s="74">
        <v>579397</v>
      </c>
      <c r="AS557" s="74">
        <v>957</v>
      </c>
      <c r="AT557" s="74">
        <v>580354</v>
      </c>
      <c r="AU557" s="74">
        <v>99.84</v>
      </c>
    </row>
    <row r="558" spans="1:47" hidden="1" x14ac:dyDescent="0.25">
      <c r="A558" s="215">
        <v>45444</v>
      </c>
      <c r="B558" s="101">
        <v>13499512</v>
      </c>
      <c r="C558" s="101">
        <v>964183</v>
      </c>
      <c r="D558" s="101">
        <v>14463695</v>
      </c>
      <c r="E558" s="101">
        <v>93.33</v>
      </c>
      <c r="G558" s="215">
        <v>45444</v>
      </c>
      <c r="H558" s="101">
        <v>324711</v>
      </c>
      <c r="I558" s="101">
        <v>132180</v>
      </c>
      <c r="J558" s="101">
        <v>456891</v>
      </c>
      <c r="K558" s="101">
        <v>71.069999999999993</v>
      </c>
      <c r="M558" s="215">
        <v>45444</v>
      </c>
      <c r="N558" s="101">
        <v>2950964</v>
      </c>
      <c r="O558" s="101">
        <v>2896497</v>
      </c>
      <c r="P558" s="101">
        <v>5847461</v>
      </c>
      <c r="Q558" s="101">
        <v>50.47</v>
      </c>
      <c r="S558" s="215">
        <v>45444</v>
      </c>
      <c r="T558" s="101">
        <v>1272315</v>
      </c>
      <c r="U558" s="101">
        <v>2251437</v>
      </c>
      <c r="V558" s="101">
        <v>3523752</v>
      </c>
      <c r="W558" s="101">
        <v>36.11</v>
      </c>
      <c r="Y558" s="215">
        <v>45444</v>
      </c>
      <c r="Z558" s="101">
        <v>1467486</v>
      </c>
      <c r="AA558" s="101">
        <v>324323</v>
      </c>
      <c r="AB558" s="101">
        <v>1791809</v>
      </c>
      <c r="AC558" s="101">
        <v>81.900000000000006</v>
      </c>
      <c r="AE558" s="215">
        <v>45444</v>
      </c>
      <c r="AF558" s="101">
        <v>924529</v>
      </c>
      <c r="AG558" s="101">
        <v>8394</v>
      </c>
      <c r="AH558" s="101">
        <v>932923</v>
      </c>
      <c r="AI558" s="101">
        <v>99.1</v>
      </c>
      <c r="AK558" s="215">
        <v>45444</v>
      </c>
      <c r="AL558" s="74">
        <v>434029</v>
      </c>
      <c r="AM558" s="74">
        <v>28438</v>
      </c>
      <c r="AN558" s="74">
        <v>462467</v>
      </c>
      <c r="AO558" s="74">
        <v>93.85</v>
      </c>
      <c r="AQ558" s="224">
        <v>45444</v>
      </c>
      <c r="AR558" s="324">
        <v>283738</v>
      </c>
      <c r="AS558" s="324">
        <v>0</v>
      </c>
      <c r="AT558" s="324">
        <v>283738</v>
      </c>
      <c r="AU558" s="324">
        <v>100</v>
      </c>
    </row>
    <row r="559" spans="1:47" hidden="1" x14ac:dyDescent="0.25">
      <c r="A559" s="215">
        <v>45445</v>
      </c>
      <c r="B559" s="101">
        <v>11396413</v>
      </c>
      <c r="C559" s="101">
        <v>896598</v>
      </c>
      <c r="D559" s="101">
        <v>12293011</v>
      </c>
      <c r="E559" s="101">
        <v>92.71</v>
      </c>
      <c r="G559" s="215">
        <v>45445</v>
      </c>
      <c r="H559" s="101">
        <v>329679</v>
      </c>
      <c r="I559" s="101">
        <v>142015</v>
      </c>
      <c r="J559" s="101">
        <v>471694</v>
      </c>
      <c r="K559" s="101">
        <v>69.89</v>
      </c>
      <c r="M559" s="215">
        <v>45445</v>
      </c>
      <c r="N559" s="101">
        <v>2015384</v>
      </c>
      <c r="O559" s="101">
        <v>2866667</v>
      </c>
      <c r="P559" s="101">
        <v>4882051</v>
      </c>
      <c r="Q559" s="101">
        <v>41.28</v>
      </c>
      <c r="S559" s="215">
        <v>45445</v>
      </c>
      <c r="T559" s="101">
        <v>2015384</v>
      </c>
      <c r="U559" s="101">
        <v>2866667</v>
      </c>
      <c r="V559" s="101">
        <v>4882051</v>
      </c>
      <c r="W559" s="101">
        <v>41.28</v>
      </c>
      <c r="Y559" s="215">
        <v>45445</v>
      </c>
      <c r="Z559" s="101">
        <v>2015384</v>
      </c>
      <c r="AA559" s="101">
        <v>2866667</v>
      </c>
      <c r="AB559" s="101">
        <v>4882051</v>
      </c>
      <c r="AC559" s="101">
        <v>41.28</v>
      </c>
      <c r="AE559" s="215">
        <v>45445</v>
      </c>
      <c r="AF559" s="101">
        <v>879858</v>
      </c>
      <c r="AG559" s="101">
        <v>7362</v>
      </c>
      <c r="AH559" s="101">
        <v>887220</v>
      </c>
      <c r="AI559" s="101">
        <v>99.17</v>
      </c>
      <c r="AK559" s="215">
        <v>45445</v>
      </c>
      <c r="AL559" s="74">
        <v>226019</v>
      </c>
      <c r="AM559" s="74">
        <v>27424</v>
      </c>
      <c r="AN559" s="74">
        <v>253443</v>
      </c>
      <c r="AO559" s="74">
        <v>89.18</v>
      </c>
      <c r="AQ559" s="215">
        <v>45445</v>
      </c>
      <c r="AR559" s="115">
        <v>277738</v>
      </c>
      <c r="AS559" s="115">
        <v>349</v>
      </c>
      <c r="AT559" s="115">
        <v>278087</v>
      </c>
      <c r="AU559" s="115">
        <v>99.87</v>
      </c>
    </row>
    <row r="560" spans="1:47" s="57" customFormat="1" hidden="1" x14ac:dyDescent="0.25">
      <c r="A560" s="215">
        <v>45446</v>
      </c>
      <c r="B560" s="101">
        <v>13982051</v>
      </c>
      <c r="C560" s="101">
        <v>952956</v>
      </c>
      <c r="D560" s="101">
        <v>14935007</v>
      </c>
      <c r="E560" s="101">
        <v>93.62</v>
      </c>
      <c r="G560" s="215">
        <v>45446</v>
      </c>
      <c r="H560" s="101">
        <v>9300536</v>
      </c>
      <c r="I560" s="101">
        <v>3975458</v>
      </c>
      <c r="J560" s="101">
        <v>13275994</v>
      </c>
      <c r="K560" s="101">
        <v>70.06</v>
      </c>
      <c r="M560" s="215">
        <v>45446</v>
      </c>
      <c r="N560" s="101">
        <v>2632515</v>
      </c>
      <c r="O560" s="101">
        <v>2327201</v>
      </c>
      <c r="P560" s="101">
        <v>4959716</v>
      </c>
      <c r="Q560" s="101">
        <v>53.08</v>
      </c>
      <c r="S560" s="215">
        <v>45446</v>
      </c>
      <c r="T560" s="101">
        <v>1460405</v>
      </c>
      <c r="U560" s="101">
        <v>2619579</v>
      </c>
      <c r="V560" s="101">
        <v>4079984</v>
      </c>
      <c r="W560" s="101">
        <v>35.79</v>
      </c>
      <c r="Y560" s="215">
        <v>45446</v>
      </c>
      <c r="Z560" s="101">
        <v>1497240</v>
      </c>
      <c r="AA560" s="101">
        <v>329831</v>
      </c>
      <c r="AB560" s="101">
        <v>1827071</v>
      </c>
      <c r="AC560" s="101">
        <v>81.95</v>
      </c>
      <c r="AE560" s="215">
        <v>45446</v>
      </c>
      <c r="AF560" s="101">
        <v>924218</v>
      </c>
      <c r="AG560" s="101">
        <v>9554</v>
      </c>
      <c r="AH560" s="101">
        <v>933772</v>
      </c>
      <c r="AI560" s="101">
        <v>98.98</v>
      </c>
      <c r="AK560" s="215">
        <v>45446</v>
      </c>
      <c r="AL560" s="74">
        <v>407616</v>
      </c>
      <c r="AM560" s="74">
        <v>34632</v>
      </c>
      <c r="AN560" s="74">
        <v>442248</v>
      </c>
      <c r="AO560" s="74">
        <v>92.17</v>
      </c>
      <c r="AQ560" s="215">
        <v>45446</v>
      </c>
      <c r="AR560" s="115">
        <v>7487478</v>
      </c>
      <c r="AS560" s="115">
        <v>80</v>
      </c>
      <c r="AT560" s="115">
        <v>7487558</v>
      </c>
      <c r="AU560" s="115">
        <v>100</v>
      </c>
    </row>
    <row r="561" spans="1:47" hidden="1" x14ac:dyDescent="0.25">
      <c r="A561" s="215">
        <v>45447</v>
      </c>
      <c r="B561" s="101">
        <v>13790563</v>
      </c>
      <c r="C561" s="101">
        <v>968121</v>
      </c>
      <c r="D561" s="101">
        <v>14758684</v>
      </c>
      <c r="E561" s="101">
        <v>93.44</v>
      </c>
      <c r="G561" s="215">
        <v>45447</v>
      </c>
      <c r="H561" s="101">
        <v>6280355</v>
      </c>
      <c r="I561" s="101">
        <v>2640451</v>
      </c>
      <c r="J561" s="101">
        <v>8920806</v>
      </c>
      <c r="K561" s="101">
        <v>70.400000000000006</v>
      </c>
      <c r="M561" s="215">
        <v>45447</v>
      </c>
      <c r="N561" s="101">
        <v>1</v>
      </c>
      <c r="O561" s="101">
        <v>27</v>
      </c>
      <c r="P561" s="101">
        <v>28</v>
      </c>
      <c r="Q561" s="101">
        <v>3.57</v>
      </c>
      <c r="S561" s="215">
        <v>45447</v>
      </c>
      <c r="T561" s="101">
        <v>1483843</v>
      </c>
      <c r="U561" s="101">
        <v>2618536</v>
      </c>
      <c r="V561" s="101">
        <v>4102379</v>
      </c>
      <c r="W561" s="101">
        <v>36.17</v>
      </c>
      <c r="Y561" s="215">
        <v>45447</v>
      </c>
      <c r="Z561" s="101">
        <v>1607976</v>
      </c>
      <c r="AA561" s="101">
        <v>329438</v>
      </c>
      <c r="AB561" s="101">
        <v>1937414</v>
      </c>
      <c r="AC561" s="101">
        <v>83</v>
      </c>
      <c r="AE561" s="215">
        <v>45447</v>
      </c>
      <c r="AF561" s="101">
        <v>745811</v>
      </c>
      <c r="AG561" s="101">
        <v>9267</v>
      </c>
      <c r="AH561" s="101">
        <v>755078</v>
      </c>
      <c r="AI561" s="101">
        <v>98.77</v>
      </c>
      <c r="AK561" s="215">
        <v>45447</v>
      </c>
      <c r="AL561" s="74">
        <v>769329</v>
      </c>
      <c r="AM561" s="74">
        <v>49291</v>
      </c>
      <c r="AN561" s="74">
        <v>818620</v>
      </c>
      <c r="AO561" s="74">
        <v>93.98</v>
      </c>
      <c r="AQ561" s="215">
        <v>45447</v>
      </c>
      <c r="AR561" s="115">
        <v>4552084</v>
      </c>
      <c r="AS561" s="115">
        <v>0</v>
      </c>
      <c r="AT561" s="115">
        <v>4552084</v>
      </c>
      <c r="AU561" s="115">
        <v>100</v>
      </c>
    </row>
    <row r="562" spans="1:47" hidden="1" x14ac:dyDescent="0.25">
      <c r="A562" s="215">
        <v>45448</v>
      </c>
      <c r="B562" s="101">
        <v>13107432</v>
      </c>
      <c r="C562" s="101">
        <v>832898</v>
      </c>
      <c r="D562" s="101">
        <v>13940330</v>
      </c>
      <c r="E562" s="101">
        <v>94.03</v>
      </c>
      <c r="G562" s="215">
        <v>45448</v>
      </c>
      <c r="H562" s="101">
        <v>811459</v>
      </c>
      <c r="I562" s="101">
        <v>320631</v>
      </c>
      <c r="J562" s="101">
        <v>1132090</v>
      </c>
      <c r="K562" s="101">
        <v>71.680000000000007</v>
      </c>
      <c r="M562" s="215">
        <v>45448</v>
      </c>
      <c r="N562" s="101">
        <v>1866612</v>
      </c>
      <c r="O562" s="101">
        <v>3965079</v>
      </c>
      <c r="P562" s="101">
        <v>5831691</v>
      </c>
      <c r="Q562" s="101">
        <v>32.01</v>
      </c>
      <c r="S562" s="215">
        <v>45448</v>
      </c>
      <c r="T562" s="101">
        <v>1467057</v>
      </c>
      <c r="U562" s="101">
        <v>2624587</v>
      </c>
      <c r="V562" s="101">
        <v>4091644</v>
      </c>
      <c r="W562" s="101">
        <v>35.85</v>
      </c>
      <c r="Y562" s="215">
        <v>45448</v>
      </c>
      <c r="Z562" s="101">
        <v>1497116</v>
      </c>
      <c r="AA562" s="101">
        <v>367353</v>
      </c>
      <c r="AB562" s="101">
        <v>1864469</v>
      </c>
      <c r="AC562" s="101">
        <v>80.3</v>
      </c>
      <c r="AE562" s="215">
        <v>45448</v>
      </c>
      <c r="AF562" s="101">
        <v>864195</v>
      </c>
      <c r="AG562" s="101">
        <v>9428</v>
      </c>
      <c r="AH562" s="101">
        <v>873623</v>
      </c>
      <c r="AI562" s="101">
        <v>98.92</v>
      </c>
      <c r="AK562" s="215">
        <v>45448</v>
      </c>
      <c r="AL562" s="74">
        <v>501807</v>
      </c>
      <c r="AM562" s="74">
        <v>20329</v>
      </c>
      <c r="AN562" s="74">
        <v>522136</v>
      </c>
      <c r="AO562" s="74">
        <v>96.11</v>
      </c>
      <c r="AQ562" s="215">
        <v>45448</v>
      </c>
      <c r="AR562" s="115">
        <v>680943</v>
      </c>
      <c r="AS562" s="115">
        <v>0</v>
      </c>
      <c r="AT562" s="115">
        <v>680943</v>
      </c>
      <c r="AU562" s="115">
        <v>100</v>
      </c>
    </row>
    <row r="563" spans="1:47" hidden="1" x14ac:dyDescent="0.25">
      <c r="A563" s="215">
        <v>45449</v>
      </c>
      <c r="B563" s="101">
        <v>13246180</v>
      </c>
      <c r="C563" s="101">
        <v>858408</v>
      </c>
      <c r="D563" s="101">
        <v>14104588</v>
      </c>
      <c r="E563" s="101">
        <v>93.91</v>
      </c>
      <c r="G563" s="215">
        <v>45449</v>
      </c>
      <c r="H563" s="101">
        <v>643438</v>
      </c>
      <c r="I563" s="101">
        <v>251371</v>
      </c>
      <c r="J563" s="101">
        <v>894809</v>
      </c>
      <c r="K563" s="101">
        <v>71.91</v>
      </c>
      <c r="M563" s="215">
        <v>45449</v>
      </c>
      <c r="N563" s="101">
        <v>2520521</v>
      </c>
      <c r="O563" s="101">
        <v>4562085</v>
      </c>
      <c r="P563" s="101">
        <v>7082606</v>
      </c>
      <c r="Q563" s="101">
        <v>35.590000000000003</v>
      </c>
      <c r="S563" s="215">
        <v>45449</v>
      </c>
      <c r="T563" s="101">
        <v>1180603</v>
      </c>
      <c r="U563" s="101">
        <v>2111585</v>
      </c>
      <c r="V563" s="101">
        <v>3292188</v>
      </c>
      <c r="W563" s="101">
        <v>35.86</v>
      </c>
      <c r="Y563" s="215">
        <v>45449</v>
      </c>
      <c r="Z563" s="101">
        <v>1574176</v>
      </c>
      <c r="AA563" s="101">
        <v>378655</v>
      </c>
      <c r="AB563" s="101">
        <v>1952831</v>
      </c>
      <c r="AC563" s="101">
        <v>80.61</v>
      </c>
      <c r="AE563" s="215">
        <v>45449</v>
      </c>
      <c r="AF563" s="101">
        <v>868187</v>
      </c>
      <c r="AG563" s="101">
        <v>11380</v>
      </c>
      <c r="AH563" s="101">
        <v>879567</v>
      </c>
      <c r="AI563" s="101">
        <v>98.71</v>
      </c>
      <c r="AK563" s="215">
        <v>45449</v>
      </c>
      <c r="AL563" s="74">
        <v>520961</v>
      </c>
      <c r="AM563" s="74">
        <v>22836</v>
      </c>
      <c r="AN563" s="74">
        <v>543797</v>
      </c>
      <c r="AO563" s="74">
        <v>95.8</v>
      </c>
      <c r="AQ563" s="215">
        <v>45449</v>
      </c>
      <c r="AR563" s="115">
        <v>564921</v>
      </c>
      <c r="AS563" s="115">
        <v>1</v>
      </c>
      <c r="AT563" s="115">
        <v>564922</v>
      </c>
      <c r="AU563" s="115">
        <v>100</v>
      </c>
    </row>
    <row r="564" spans="1:47" hidden="1" x14ac:dyDescent="0.25">
      <c r="A564" s="215">
        <v>45450</v>
      </c>
      <c r="B564" s="101">
        <v>13778535</v>
      </c>
      <c r="C564" s="101">
        <v>892761</v>
      </c>
      <c r="D564" s="101">
        <v>14671296</v>
      </c>
      <c r="E564" s="101">
        <v>93.91</v>
      </c>
      <c r="G564" s="215">
        <v>45450</v>
      </c>
      <c r="H564" s="101">
        <v>5379517</v>
      </c>
      <c r="I564" s="101">
        <v>2211095</v>
      </c>
      <c r="J564" s="101">
        <v>7590612</v>
      </c>
      <c r="K564" s="101">
        <v>70.87</v>
      </c>
      <c r="M564" s="215">
        <v>45450</v>
      </c>
      <c r="N564" s="101">
        <v>1258592</v>
      </c>
      <c r="O564" s="101">
        <v>988162</v>
      </c>
      <c r="P564" s="101">
        <v>2246754</v>
      </c>
      <c r="Q564" s="101">
        <v>56.02</v>
      </c>
      <c r="S564" s="215">
        <v>45450</v>
      </c>
      <c r="T564" s="101">
        <v>761484</v>
      </c>
      <c r="U564" s="101">
        <v>1256128</v>
      </c>
      <c r="V564" s="101">
        <v>2017612</v>
      </c>
      <c r="W564" s="101">
        <v>37.74</v>
      </c>
      <c r="Y564" s="215">
        <v>45450</v>
      </c>
      <c r="Z564" s="101">
        <v>1774710</v>
      </c>
      <c r="AA564" s="101">
        <v>402863</v>
      </c>
      <c r="AB564" s="101">
        <v>2177573</v>
      </c>
      <c r="AC564" s="101">
        <v>81.5</v>
      </c>
      <c r="AE564" s="215">
        <v>45450</v>
      </c>
      <c r="AF564" s="101">
        <v>879270</v>
      </c>
      <c r="AG564" s="101">
        <v>12155</v>
      </c>
      <c r="AH564" s="101">
        <v>891425</v>
      </c>
      <c r="AI564" s="101">
        <v>98.64</v>
      </c>
      <c r="AK564" s="215">
        <v>45450</v>
      </c>
      <c r="AL564" s="74">
        <v>545148</v>
      </c>
      <c r="AM564" s="74">
        <v>39697</v>
      </c>
      <c r="AN564" s="74">
        <v>584845</v>
      </c>
      <c r="AO564" s="74">
        <v>93.21</v>
      </c>
      <c r="AQ564" s="215">
        <v>45450</v>
      </c>
      <c r="AR564" s="115">
        <v>3721014</v>
      </c>
      <c r="AS564" s="115">
        <v>0</v>
      </c>
      <c r="AT564" s="115">
        <v>3721014</v>
      </c>
      <c r="AU564" s="115">
        <v>100</v>
      </c>
    </row>
    <row r="565" spans="1:47" hidden="1" x14ac:dyDescent="0.25">
      <c r="A565" s="215">
        <v>45451</v>
      </c>
      <c r="B565" s="101">
        <v>13438294</v>
      </c>
      <c r="C565" s="101">
        <v>899070</v>
      </c>
      <c r="D565" s="101">
        <v>14337364</v>
      </c>
      <c r="E565" s="101">
        <v>93.73</v>
      </c>
      <c r="G565" s="215">
        <v>45451</v>
      </c>
      <c r="H565" s="101">
        <v>6286576</v>
      </c>
      <c r="I565" s="101">
        <v>2789545</v>
      </c>
      <c r="J565" s="101">
        <v>9076121</v>
      </c>
      <c r="K565" s="101">
        <v>69.27</v>
      </c>
      <c r="M565" s="215">
        <v>45451</v>
      </c>
      <c r="N565" s="101">
        <v>2739360</v>
      </c>
      <c r="O565" s="101">
        <v>3956527</v>
      </c>
      <c r="P565" s="101">
        <v>6695887</v>
      </c>
      <c r="Q565" s="101">
        <v>40.909999999999997</v>
      </c>
      <c r="S565" s="215">
        <v>45451</v>
      </c>
      <c r="T565" s="101">
        <v>806122</v>
      </c>
      <c r="U565" s="101">
        <v>1343817</v>
      </c>
      <c r="V565" s="101">
        <v>2149939</v>
      </c>
      <c r="W565" s="101">
        <v>37.5</v>
      </c>
      <c r="Y565" s="215">
        <v>45451</v>
      </c>
      <c r="Z565" s="101">
        <v>2356469</v>
      </c>
      <c r="AA565" s="101">
        <v>957956</v>
      </c>
      <c r="AB565" s="101">
        <v>3314425</v>
      </c>
      <c r="AC565" s="101">
        <v>71.099999999999994</v>
      </c>
      <c r="AE565" s="215">
        <v>45451</v>
      </c>
      <c r="AF565" s="101">
        <v>868335</v>
      </c>
      <c r="AG565" s="101">
        <v>11029</v>
      </c>
      <c r="AH565" s="101">
        <v>879364</v>
      </c>
      <c r="AI565" s="101">
        <v>98.75</v>
      </c>
      <c r="AK565" s="215">
        <v>45451</v>
      </c>
      <c r="AL565" s="74">
        <v>370544</v>
      </c>
      <c r="AM565" s="74">
        <v>24727</v>
      </c>
      <c r="AN565" s="74">
        <v>395271</v>
      </c>
      <c r="AO565" s="74">
        <v>93.74</v>
      </c>
      <c r="AQ565" s="215">
        <v>45451</v>
      </c>
      <c r="AR565" s="115">
        <v>4329342</v>
      </c>
      <c r="AS565" s="115">
        <v>0</v>
      </c>
      <c r="AT565" s="115">
        <v>4329342</v>
      </c>
      <c r="AU565" s="115">
        <v>100</v>
      </c>
    </row>
    <row r="566" spans="1:47" hidden="1" x14ac:dyDescent="0.25">
      <c r="A566" s="215">
        <v>45452</v>
      </c>
      <c r="B566" s="173">
        <v>11603463</v>
      </c>
      <c r="C566" s="173">
        <v>877521</v>
      </c>
      <c r="D566" s="173">
        <v>12480984</v>
      </c>
      <c r="E566" s="173">
        <v>92.97</v>
      </c>
      <c r="G566" s="215">
        <v>45452</v>
      </c>
      <c r="H566" s="173">
        <v>709786</v>
      </c>
      <c r="I566" s="173">
        <v>209172</v>
      </c>
      <c r="J566" s="173">
        <v>918958</v>
      </c>
      <c r="K566" s="173">
        <v>77.239999999999995</v>
      </c>
      <c r="M566" s="215">
        <v>45452</v>
      </c>
      <c r="N566" s="173">
        <v>1074762</v>
      </c>
      <c r="O566" s="173">
        <v>2120094</v>
      </c>
      <c r="P566" s="173">
        <v>3194856</v>
      </c>
      <c r="Q566" s="173">
        <v>33.64</v>
      </c>
      <c r="S566" s="215">
        <v>45452</v>
      </c>
      <c r="T566" s="173">
        <v>65511</v>
      </c>
      <c r="U566" s="173">
        <v>41696</v>
      </c>
      <c r="V566" s="173">
        <v>107207</v>
      </c>
      <c r="W566" s="173">
        <v>61.11</v>
      </c>
      <c r="Y566" s="215">
        <v>45452</v>
      </c>
      <c r="Z566" s="173">
        <v>1493439</v>
      </c>
      <c r="AA566" s="173">
        <v>1474622</v>
      </c>
      <c r="AB566" s="173">
        <v>2968061</v>
      </c>
      <c r="AC566" s="173">
        <v>50.32</v>
      </c>
      <c r="AE566" s="215">
        <v>45452</v>
      </c>
      <c r="AF566" s="173">
        <v>838548</v>
      </c>
      <c r="AG566" s="173">
        <v>8325</v>
      </c>
      <c r="AH566" s="173">
        <v>846873</v>
      </c>
      <c r="AI566" s="173">
        <v>99.02</v>
      </c>
      <c r="AK566" s="224">
        <v>45452</v>
      </c>
      <c r="AL566" s="74">
        <v>240012</v>
      </c>
      <c r="AM566" s="74">
        <v>240012</v>
      </c>
      <c r="AN566" s="74">
        <v>240012</v>
      </c>
      <c r="AO566" s="74">
        <v>89.99</v>
      </c>
      <c r="AQ566" s="215">
        <v>45452</v>
      </c>
      <c r="AR566" s="115">
        <v>621591</v>
      </c>
      <c r="AS566" s="115">
        <v>7</v>
      </c>
      <c r="AT566" s="115">
        <v>621598</v>
      </c>
      <c r="AU566" s="115">
        <v>100</v>
      </c>
    </row>
    <row r="567" spans="1:47" hidden="1" x14ac:dyDescent="0.25">
      <c r="A567" s="215">
        <v>45453</v>
      </c>
      <c r="B567" s="48">
        <v>14079035</v>
      </c>
      <c r="C567" s="48">
        <v>958823</v>
      </c>
      <c r="D567" s="48">
        <v>15037858</v>
      </c>
      <c r="E567" s="48">
        <v>93.62</v>
      </c>
      <c r="G567" s="215">
        <v>45453</v>
      </c>
      <c r="H567" s="48">
        <v>1845002</v>
      </c>
      <c r="I567" s="48">
        <v>933395</v>
      </c>
      <c r="J567" s="48">
        <v>2778397</v>
      </c>
      <c r="K567" s="48">
        <v>66.41</v>
      </c>
      <c r="M567" s="215">
        <v>45453</v>
      </c>
      <c r="N567" s="48">
        <v>1927945</v>
      </c>
      <c r="O567" s="48">
        <v>2416412</v>
      </c>
      <c r="P567" s="48">
        <v>4344357</v>
      </c>
      <c r="Q567" s="48">
        <v>44.38</v>
      </c>
      <c r="S567" s="215">
        <v>45453</v>
      </c>
      <c r="T567" s="48">
        <v>765746</v>
      </c>
      <c r="U567" s="48">
        <v>1319974</v>
      </c>
      <c r="V567" s="48">
        <v>2085720</v>
      </c>
      <c r="W567" s="104">
        <v>36.71</v>
      </c>
      <c r="Y567" s="215">
        <v>45453</v>
      </c>
      <c r="Z567" s="48">
        <v>1706391</v>
      </c>
      <c r="AA567" s="48">
        <v>1252736</v>
      </c>
      <c r="AB567" s="48">
        <v>2959127</v>
      </c>
      <c r="AC567" s="104">
        <v>57.67</v>
      </c>
      <c r="AE567" s="215">
        <v>45453</v>
      </c>
      <c r="AF567" s="48">
        <v>853506</v>
      </c>
      <c r="AG567" s="48">
        <v>9671</v>
      </c>
      <c r="AH567" s="48">
        <v>863177</v>
      </c>
      <c r="AI567" s="104">
        <v>98.88</v>
      </c>
      <c r="AK567" s="216">
        <v>45453</v>
      </c>
      <c r="AL567" s="74">
        <v>354609</v>
      </c>
      <c r="AM567" s="74">
        <v>38275</v>
      </c>
      <c r="AN567" s="74">
        <v>392884</v>
      </c>
      <c r="AO567" s="74">
        <v>90.26</v>
      </c>
      <c r="AQ567" s="215">
        <v>45453</v>
      </c>
      <c r="AR567" s="115">
        <v>1370655</v>
      </c>
      <c r="AS567" s="115">
        <v>579</v>
      </c>
      <c r="AT567" s="115">
        <v>1371234</v>
      </c>
      <c r="AU567" s="115">
        <v>99.96</v>
      </c>
    </row>
    <row r="568" spans="1:47" hidden="1" x14ac:dyDescent="0.25">
      <c r="A568" s="215">
        <v>45454</v>
      </c>
      <c r="B568" s="48">
        <v>14096658</v>
      </c>
      <c r="C568" s="48">
        <v>911119</v>
      </c>
      <c r="D568" s="48">
        <v>15007777</v>
      </c>
      <c r="E568" s="48">
        <v>93.92</v>
      </c>
      <c r="G568" s="215">
        <v>45454</v>
      </c>
      <c r="H568" s="48">
        <v>665942</v>
      </c>
      <c r="I568" s="48">
        <v>275392</v>
      </c>
      <c r="J568" s="48">
        <v>941334</v>
      </c>
      <c r="K568" s="48">
        <v>70.739999999999995</v>
      </c>
      <c r="M568" s="215">
        <v>45454</v>
      </c>
      <c r="N568" s="48">
        <v>849097</v>
      </c>
      <c r="O568" s="48">
        <v>547422</v>
      </c>
      <c r="P568" s="48">
        <v>1396519</v>
      </c>
      <c r="Q568" s="48">
        <v>60.8</v>
      </c>
      <c r="S568" s="215">
        <v>45454</v>
      </c>
      <c r="T568" s="48">
        <v>762686</v>
      </c>
      <c r="U568" s="48">
        <v>1332676</v>
      </c>
      <c r="V568" s="48">
        <v>2095362</v>
      </c>
      <c r="W568" s="48">
        <v>36.39</v>
      </c>
      <c r="Y568" s="215">
        <v>45454</v>
      </c>
      <c r="Z568" s="48">
        <v>1544397</v>
      </c>
      <c r="AA568" s="48">
        <v>1328912</v>
      </c>
      <c r="AB568" s="48">
        <v>2873309</v>
      </c>
      <c r="AC568" s="48">
        <v>53.74</v>
      </c>
      <c r="AE568" s="215">
        <v>45454</v>
      </c>
      <c r="AF568" s="48">
        <v>893713</v>
      </c>
      <c r="AG568" s="48">
        <v>8685</v>
      </c>
      <c r="AH568" s="48">
        <v>902398</v>
      </c>
      <c r="AI568" s="48">
        <v>99.03</v>
      </c>
      <c r="AK568" s="216">
        <v>45454</v>
      </c>
      <c r="AL568" s="324">
        <v>370624</v>
      </c>
      <c r="AM568" s="324">
        <v>32744</v>
      </c>
      <c r="AN568" s="324">
        <v>403368</v>
      </c>
      <c r="AO568" s="324">
        <v>91.88</v>
      </c>
      <c r="AQ568" s="215">
        <v>45454</v>
      </c>
      <c r="AR568" s="115">
        <v>579147</v>
      </c>
      <c r="AS568" s="115">
        <v>0</v>
      </c>
      <c r="AT568" s="115">
        <v>579147</v>
      </c>
      <c r="AU568" s="115">
        <v>100</v>
      </c>
    </row>
    <row r="569" spans="1:47" hidden="1" x14ac:dyDescent="0.25">
      <c r="A569" s="215">
        <v>45455</v>
      </c>
      <c r="B569" s="130">
        <v>12915883</v>
      </c>
      <c r="C569" s="130">
        <v>854598</v>
      </c>
      <c r="D569" s="130">
        <v>13770481</v>
      </c>
      <c r="E569" s="130">
        <v>93.79</v>
      </c>
      <c r="G569" s="224">
        <v>45455</v>
      </c>
      <c r="H569" s="130">
        <v>5869977</v>
      </c>
      <c r="I569" s="130">
        <v>2753811</v>
      </c>
      <c r="J569" s="130">
        <v>8623788</v>
      </c>
      <c r="K569" s="130">
        <v>68.069999999999993</v>
      </c>
      <c r="M569" s="224">
        <v>45455</v>
      </c>
      <c r="N569" s="130">
        <v>1567487</v>
      </c>
      <c r="O569" s="130">
        <v>1817703</v>
      </c>
      <c r="P569" s="130">
        <v>3385190</v>
      </c>
      <c r="Q569" s="130">
        <v>46.3</v>
      </c>
      <c r="S569" s="224">
        <v>45455</v>
      </c>
      <c r="T569" s="130">
        <v>756585</v>
      </c>
      <c r="U569" s="130">
        <v>1324391</v>
      </c>
      <c r="V569" s="130">
        <v>2080976</v>
      </c>
      <c r="W569" s="130">
        <v>36.36</v>
      </c>
      <c r="Y569" s="224">
        <v>45455</v>
      </c>
      <c r="Z569" s="130">
        <v>1765000</v>
      </c>
      <c r="AA569" s="130">
        <v>1301517</v>
      </c>
      <c r="AB569" s="130">
        <v>3066517</v>
      </c>
      <c r="AC569" s="130">
        <v>57.56</v>
      </c>
      <c r="AE569" s="224">
        <v>45455</v>
      </c>
      <c r="AF569" s="130">
        <v>839430</v>
      </c>
      <c r="AG569" s="130">
        <v>8907</v>
      </c>
      <c r="AH569" s="130">
        <v>848337</v>
      </c>
      <c r="AI569" s="130">
        <v>98.95</v>
      </c>
      <c r="AK569" s="216">
        <v>45455</v>
      </c>
      <c r="AL569" s="1">
        <v>525177</v>
      </c>
      <c r="AM569" s="1">
        <v>50918</v>
      </c>
      <c r="AN569" s="1">
        <v>576095</v>
      </c>
      <c r="AO569" s="1">
        <v>91.16</v>
      </c>
      <c r="AQ569" s="215">
        <v>45455</v>
      </c>
      <c r="AR569" s="115">
        <v>3579227</v>
      </c>
      <c r="AS569" s="115">
        <v>0</v>
      </c>
      <c r="AT569" s="115">
        <v>3579227</v>
      </c>
      <c r="AU569" s="115">
        <v>100</v>
      </c>
    </row>
    <row r="570" spans="1:47" hidden="1" x14ac:dyDescent="0.25">
      <c r="A570" s="215">
        <v>45456</v>
      </c>
      <c r="B570" s="130">
        <v>12233776</v>
      </c>
      <c r="C570" s="130">
        <v>809070</v>
      </c>
      <c r="D570" s="130">
        <v>13042846</v>
      </c>
      <c r="E570" s="130">
        <v>93.8</v>
      </c>
      <c r="F570" s="48"/>
      <c r="G570" s="215">
        <v>45456</v>
      </c>
      <c r="H570" s="130">
        <v>7875767</v>
      </c>
      <c r="I570" s="130">
        <v>3777611</v>
      </c>
      <c r="J570" s="130">
        <v>11653378</v>
      </c>
      <c r="K570" s="130">
        <v>67.58</v>
      </c>
      <c r="L570" s="48"/>
      <c r="M570" s="215">
        <v>45456</v>
      </c>
      <c r="N570" s="130">
        <v>2214635</v>
      </c>
      <c r="O570" s="130">
        <v>1900288</v>
      </c>
      <c r="P570" s="130">
        <v>4114923</v>
      </c>
      <c r="Q570" s="130">
        <v>53.82</v>
      </c>
      <c r="S570" s="215">
        <v>45456</v>
      </c>
      <c r="T570" s="130">
        <v>1431932</v>
      </c>
      <c r="U570" s="130">
        <v>2627071</v>
      </c>
      <c r="V570" s="130">
        <v>4059003</v>
      </c>
      <c r="W570" s="130">
        <v>35.28</v>
      </c>
      <c r="X570" s="48"/>
      <c r="Y570" s="215">
        <v>45456</v>
      </c>
      <c r="Z570" s="130">
        <v>1707531</v>
      </c>
      <c r="AA570" s="130">
        <v>1199820</v>
      </c>
      <c r="AB570" s="130">
        <v>2907351</v>
      </c>
      <c r="AC570" s="130">
        <v>58.73</v>
      </c>
      <c r="AD570" s="48"/>
      <c r="AE570" s="215">
        <v>45456</v>
      </c>
      <c r="AF570" s="130">
        <v>817855</v>
      </c>
      <c r="AG570" s="130">
        <v>7752</v>
      </c>
      <c r="AH570" s="130">
        <v>825607</v>
      </c>
      <c r="AI570" s="130">
        <v>99.06</v>
      </c>
      <c r="AK570" s="216">
        <v>45456</v>
      </c>
      <c r="AL570" s="1">
        <v>262569</v>
      </c>
      <c r="AM570" s="1">
        <v>17673</v>
      </c>
      <c r="AN570" s="1">
        <v>280242</v>
      </c>
      <c r="AO570" s="1">
        <v>93.69</v>
      </c>
      <c r="AQ570" s="215">
        <v>45456</v>
      </c>
      <c r="AR570" s="115">
        <v>4843768</v>
      </c>
      <c r="AS570" s="115">
        <v>3058</v>
      </c>
      <c r="AT570" s="115">
        <v>4846826</v>
      </c>
      <c r="AU570" s="115">
        <v>99.94</v>
      </c>
    </row>
    <row r="571" spans="1:47" hidden="1" x14ac:dyDescent="0.25">
      <c r="A571" s="215">
        <v>45457</v>
      </c>
      <c r="B571" s="130">
        <v>13423072</v>
      </c>
      <c r="C571" s="130">
        <v>845073</v>
      </c>
      <c r="D571" s="130">
        <v>14268145</v>
      </c>
      <c r="E571" s="130">
        <v>94.07</v>
      </c>
      <c r="G571" s="215">
        <v>45457</v>
      </c>
      <c r="H571" s="130">
        <v>1293831</v>
      </c>
      <c r="I571" s="130">
        <v>575770</v>
      </c>
      <c r="J571" s="130">
        <v>1869601</v>
      </c>
      <c r="K571" s="130">
        <v>69.2</v>
      </c>
      <c r="M571" s="215">
        <v>45457</v>
      </c>
      <c r="N571" s="130">
        <v>1309823</v>
      </c>
      <c r="O571" s="130">
        <v>699013</v>
      </c>
      <c r="P571" s="130">
        <v>2008836</v>
      </c>
      <c r="Q571" s="130">
        <v>65.2</v>
      </c>
      <c r="S571" s="215">
        <v>45457</v>
      </c>
      <c r="T571" s="130">
        <v>1419405</v>
      </c>
      <c r="U571" s="130">
        <v>2453443</v>
      </c>
      <c r="V571" s="130">
        <v>3872848</v>
      </c>
      <c r="W571" s="130">
        <v>36.65</v>
      </c>
      <c r="Y571" s="215">
        <v>45457</v>
      </c>
      <c r="Z571" s="130">
        <v>1829068</v>
      </c>
      <c r="AA571" s="130">
        <v>1158059</v>
      </c>
      <c r="AB571" s="130">
        <v>2987127</v>
      </c>
      <c r="AC571" s="130">
        <v>61.23</v>
      </c>
      <c r="AE571" s="215">
        <v>45457</v>
      </c>
      <c r="AF571" s="130">
        <v>854583</v>
      </c>
      <c r="AG571" s="130">
        <v>7869</v>
      </c>
      <c r="AH571" s="130">
        <v>862452</v>
      </c>
      <c r="AI571" s="130">
        <v>99.08</v>
      </c>
      <c r="AK571" s="215">
        <v>45457</v>
      </c>
      <c r="AL571" s="1">
        <v>707042</v>
      </c>
      <c r="AM571" s="1">
        <v>40751</v>
      </c>
      <c r="AN571" s="1">
        <v>747793</v>
      </c>
      <c r="AO571" s="1">
        <v>94.55</v>
      </c>
      <c r="AQ571" s="215">
        <v>45457</v>
      </c>
      <c r="AR571" s="115">
        <v>981606</v>
      </c>
      <c r="AS571" s="115">
        <v>0</v>
      </c>
      <c r="AT571" s="115">
        <v>981606</v>
      </c>
      <c r="AU571" s="115">
        <v>100</v>
      </c>
    </row>
    <row r="572" spans="1:47" hidden="1" x14ac:dyDescent="0.25">
      <c r="A572" s="215">
        <v>45458</v>
      </c>
      <c r="B572" s="130">
        <v>14862747</v>
      </c>
      <c r="C572" s="130">
        <v>937794</v>
      </c>
      <c r="D572" s="130">
        <v>15800541</v>
      </c>
      <c r="E572" s="130">
        <v>94.06</v>
      </c>
      <c r="G572" s="215">
        <v>45458</v>
      </c>
      <c r="H572" s="130">
        <v>1253931</v>
      </c>
      <c r="I572" s="130">
        <v>630509</v>
      </c>
      <c r="J572" s="130">
        <v>1884440</v>
      </c>
      <c r="K572" s="130">
        <v>66.540000000000006</v>
      </c>
      <c r="M572" s="215">
        <v>45458</v>
      </c>
      <c r="N572" s="130">
        <v>2082865</v>
      </c>
      <c r="O572" s="130">
        <v>1936249</v>
      </c>
      <c r="P572" s="130">
        <v>4019114</v>
      </c>
      <c r="Q572" s="130">
        <v>51.82</v>
      </c>
      <c r="S572" s="215">
        <v>45458</v>
      </c>
      <c r="T572" s="130">
        <v>1452851</v>
      </c>
      <c r="U572" s="130">
        <v>2636958</v>
      </c>
      <c r="V572" s="130">
        <v>4089809</v>
      </c>
      <c r="W572" s="130">
        <v>35.520000000000003</v>
      </c>
      <c r="Y572" s="215">
        <v>45458</v>
      </c>
      <c r="Z572" s="130">
        <v>1790525</v>
      </c>
      <c r="AA572" s="130">
        <v>1436710</v>
      </c>
      <c r="AB572" s="130">
        <v>3227235</v>
      </c>
      <c r="AC572" s="130">
        <v>55.48</v>
      </c>
      <c r="AE572" s="215">
        <v>45458</v>
      </c>
      <c r="AF572" s="130">
        <v>819098</v>
      </c>
      <c r="AG572" s="130">
        <v>6788</v>
      </c>
      <c r="AH572" s="130">
        <v>825886</v>
      </c>
      <c r="AI572" s="130">
        <v>99.17</v>
      </c>
      <c r="AK572" s="215">
        <v>45458</v>
      </c>
      <c r="AL572" s="48">
        <v>426106</v>
      </c>
      <c r="AM572" s="48">
        <v>24881</v>
      </c>
      <c r="AN572" s="48">
        <v>450987</v>
      </c>
      <c r="AO572" s="48">
        <v>94.48</v>
      </c>
      <c r="AQ572" s="215">
        <v>45458</v>
      </c>
      <c r="AR572" s="115">
        <v>935913</v>
      </c>
      <c r="AS572" s="115">
        <v>0</v>
      </c>
      <c r="AT572" s="115">
        <v>935913</v>
      </c>
      <c r="AU572" s="115">
        <v>100</v>
      </c>
    </row>
    <row r="573" spans="1:47" hidden="1" x14ac:dyDescent="0.25">
      <c r="A573" s="215">
        <v>45459</v>
      </c>
      <c r="B573" s="130">
        <v>10876094</v>
      </c>
      <c r="C573" s="130">
        <v>1022995</v>
      </c>
      <c r="D573" s="130">
        <v>11899089</v>
      </c>
      <c r="E573" s="130">
        <v>91.4</v>
      </c>
      <c r="G573" s="215">
        <v>45459</v>
      </c>
      <c r="H573" s="130">
        <v>687695</v>
      </c>
      <c r="I573" s="130">
        <v>257585</v>
      </c>
      <c r="J573" s="130">
        <v>945280</v>
      </c>
      <c r="K573" s="130">
        <v>72.75</v>
      </c>
      <c r="M573" s="215">
        <v>45459</v>
      </c>
      <c r="N573" s="130">
        <v>990464</v>
      </c>
      <c r="O573" s="130">
        <v>1096481</v>
      </c>
      <c r="P573" s="130">
        <v>2086945</v>
      </c>
      <c r="Q573" s="130">
        <v>47.459000000000003</v>
      </c>
      <c r="S573" s="215">
        <v>45459</v>
      </c>
      <c r="T573" s="130">
        <v>60691</v>
      </c>
      <c r="U573" s="130">
        <v>33867</v>
      </c>
      <c r="V573" s="130">
        <v>94558</v>
      </c>
      <c r="W573" s="130">
        <v>64.180000000000007</v>
      </c>
      <c r="Y573" s="215">
        <v>45459</v>
      </c>
      <c r="Z573" s="130">
        <v>1531196</v>
      </c>
      <c r="AA573" s="130">
        <v>1514916</v>
      </c>
      <c r="AB573" s="130">
        <v>3046112</v>
      </c>
      <c r="AC573" s="130">
        <v>50.26</v>
      </c>
      <c r="AE573" s="215">
        <v>45459</v>
      </c>
      <c r="AF573" s="130">
        <v>826733</v>
      </c>
      <c r="AG573" s="130">
        <v>5924</v>
      </c>
      <c r="AH573" s="130">
        <v>832657</v>
      </c>
      <c r="AI573" s="130">
        <v>99.28</v>
      </c>
      <c r="AK573" s="215">
        <v>45459</v>
      </c>
      <c r="AL573" s="87">
        <v>123399</v>
      </c>
      <c r="AM573" s="87">
        <v>16383</v>
      </c>
      <c r="AN573" s="87">
        <v>139782</v>
      </c>
      <c r="AO573" s="87">
        <v>88.28</v>
      </c>
      <c r="AQ573" s="215">
        <v>45459</v>
      </c>
      <c r="AR573" s="115">
        <v>602720</v>
      </c>
      <c r="AS573" s="115">
        <v>0</v>
      </c>
      <c r="AT573" s="115">
        <v>602720</v>
      </c>
      <c r="AU573" s="115">
        <v>100</v>
      </c>
    </row>
    <row r="574" spans="1:47" hidden="1" x14ac:dyDescent="0.25">
      <c r="A574" s="215">
        <v>45460</v>
      </c>
      <c r="B574" s="130">
        <v>12295125</v>
      </c>
      <c r="C574" s="130">
        <v>946472</v>
      </c>
      <c r="D574" s="130">
        <v>13241597</v>
      </c>
      <c r="E574" s="130">
        <v>92.85</v>
      </c>
      <c r="G574" s="215">
        <v>45460</v>
      </c>
      <c r="H574" s="130">
        <v>685188</v>
      </c>
      <c r="I574" s="130">
        <v>268986</v>
      </c>
      <c r="J574" s="130">
        <v>954174</v>
      </c>
      <c r="K574" s="130">
        <v>71.8</v>
      </c>
      <c r="M574" s="215">
        <v>45460</v>
      </c>
      <c r="N574" s="130">
        <v>1379233</v>
      </c>
      <c r="O574" s="130">
        <v>931691</v>
      </c>
      <c r="P574" s="130">
        <v>2310924</v>
      </c>
      <c r="Q574" s="130">
        <v>59.68</v>
      </c>
      <c r="S574" s="215">
        <v>45460</v>
      </c>
      <c r="T574" s="130">
        <v>2754094</v>
      </c>
      <c r="U574" s="130">
        <v>2905001</v>
      </c>
      <c r="V574" s="130">
        <v>5659095</v>
      </c>
      <c r="W574" s="130">
        <v>48.66</v>
      </c>
      <c r="Y574" s="215">
        <v>45460</v>
      </c>
      <c r="Z574" s="130">
        <v>1734831</v>
      </c>
      <c r="AA574" s="130">
        <v>968376</v>
      </c>
      <c r="AB574" s="130">
        <v>2703207</v>
      </c>
      <c r="AC574" s="130">
        <v>64.17</v>
      </c>
      <c r="AE574" s="215">
        <v>45460</v>
      </c>
      <c r="AF574" s="130">
        <v>856534</v>
      </c>
      <c r="AG574" s="130">
        <v>6710</v>
      </c>
      <c r="AH574" s="130">
        <v>863244</v>
      </c>
      <c r="AI574" s="130">
        <v>99.22</v>
      </c>
      <c r="AK574" s="224">
        <v>45460</v>
      </c>
      <c r="AL574" s="335">
        <v>269845</v>
      </c>
      <c r="AM574" s="335">
        <v>28330</v>
      </c>
      <c r="AN574" s="335">
        <v>298175</v>
      </c>
      <c r="AO574" s="335">
        <v>90.5</v>
      </c>
      <c r="AQ574" s="215">
        <v>45460</v>
      </c>
      <c r="AR574" s="115">
        <v>601744</v>
      </c>
      <c r="AS574" s="115">
        <v>0</v>
      </c>
      <c r="AT574" s="115">
        <v>601744</v>
      </c>
      <c r="AU574" s="115">
        <v>100</v>
      </c>
    </row>
    <row r="575" spans="1:47" hidden="1" x14ac:dyDescent="0.25">
      <c r="A575" s="215">
        <v>45461</v>
      </c>
      <c r="B575" s="130">
        <v>13511705</v>
      </c>
      <c r="C575" s="130">
        <v>997825</v>
      </c>
      <c r="D575" s="130">
        <v>14509530</v>
      </c>
      <c r="E575" s="130">
        <v>93.12</v>
      </c>
      <c r="G575" s="215">
        <v>45461</v>
      </c>
      <c r="H575" s="130">
        <v>5688198</v>
      </c>
      <c r="I575" s="130">
        <v>2226993</v>
      </c>
      <c r="J575" s="130">
        <v>7915191</v>
      </c>
      <c r="K575" s="130">
        <v>71.86</v>
      </c>
      <c r="M575" s="215">
        <v>45461</v>
      </c>
      <c r="N575" s="130">
        <v>1088455</v>
      </c>
      <c r="O575" s="130">
        <v>751008</v>
      </c>
      <c r="P575" s="130">
        <v>1839463</v>
      </c>
      <c r="Q575" s="130">
        <v>59.17</v>
      </c>
      <c r="S575" s="215">
        <v>45461</v>
      </c>
      <c r="T575" s="130">
        <v>2442757</v>
      </c>
      <c r="U575" s="130">
        <v>2633165</v>
      </c>
      <c r="V575" s="130">
        <v>5075922</v>
      </c>
      <c r="W575" s="130">
        <v>48.12</v>
      </c>
      <c r="Y575" s="215">
        <v>45461</v>
      </c>
      <c r="Z575" s="130">
        <v>2391747</v>
      </c>
      <c r="AA575" s="130">
        <v>2213237</v>
      </c>
      <c r="AB575" s="130">
        <v>4604984</v>
      </c>
      <c r="AC575" s="130">
        <v>51.94</v>
      </c>
      <c r="AE575" s="215">
        <v>45461</v>
      </c>
      <c r="AF575" s="130">
        <v>912480</v>
      </c>
      <c r="AG575" s="130">
        <v>7897</v>
      </c>
      <c r="AH575" s="130">
        <v>920377</v>
      </c>
      <c r="AI575" s="130">
        <v>99.14</v>
      </c>
      <c r="AK575" s="215">
        <v>45461</v>
      </c>
      <c r="AL575" s="67">
        <v>204090</v>
      </c>
      <c r="AM575" s="67">
        <v>879</v>
      </c>
      <c r="AN575" s="67">
        <v>204969</v>
      </c>
      <c r="AO575" s="67">
        <v>99.57</v>
      </c>
      <c r="AQ575" s="215">
        <v>45461</v>
      </c>
      <c r="AR575" s="115">
        <v>4050747</v>
      </c>
      <c r="AS575" s="115">
        <v>3680</v>
      </c>
      <c r="AT575" s="115">
        <v>4054427</v>
      </c>
      <c r="AU575" s="115">
        <v>99.91</v>
      </c>
    </row>
    <row r="576" spans="1:47" hidden="1" x14ac:dyDescent="0.25">
      <c r="A576" s="215">
        <v>45462</v>
      </c>
      <c r="B576" s="130">
        <v>12241381</v>
      </c>
      <c r="C576" s="130">
        <v>888857</v>
      </c>
      <c r="D576" s="130">
        <v>13130238</v>
      </c>
      <c r="E576" s="130">
        <v>93.23</v>
      </c>
      <c r="G576" s="215">
        <v>45462</v>
      </c>
      <c r="H576" s="130">
        <v>8306948</v>
      </c>
      <c r="I576" s="130">
        <v>3520314</v>
      </c>
      <c r="J576" s="130">
        <v>11827262</v>
      </c>
      <c r="K576" s="130">
        <v>70.239999999999995</v>
      </c>
      <c r="M576" s="215">
        <v>45462</v>
      </c>
      <c r="N576" s="130">
        <v>1522736</v>
      </c>
      <c r="O576" s="130">
        <v>1998941</v>
      </c>
      <c r="P576" s="130">
        <v>3521677</v>
      </c>
      <c r="Q576" s="130">
        <v>43.24</v>
      </c>
      <c r="S576" s="215">
        <v>45462</v>
      </c>
      <c r="T576" s="130">
        <v>2859994</v>
      </c>
      <c r="U576" s="130">
        <v>1733198</v>
      </c>
      <c r="V576" s="130">
        <v>4593192</v>
      </c>
      <c r="W576" s="130">
        <v>62.27</v>
      </c>
      <c r="Y576" s="215">
        <v>45462</v>
      </c>
      <c r="Z576" s="130">
        <v>1594160</v>
      </c>
      <c r="AA576" s="130">
        <v>977219</v>
      </c>
      <c r="AB576" s="130">
        <v>2571379</v>
      </c>
      <c r="AC576" s="130">
        <v>62</v>
      </c>
      <c r="AE576" s="215">
        <v>45462</v>
      </c>
      <c r="AF576" s="130">
        <v>846326</v>
      </c>
      <c r="AG576" s="130">
        <v>8471</v>
      </c>
      <c r="AH576" s="130">
        <v>854797</v>
      </c>
      <c r="AI576" s="130">
        <v>99.01</v>
      </c>
      <c r="AK576" s="215">
        <v>45462</v>
      </c>
      <c r="AL576" s="67">
        <v>436036</v>
      </c>
      <c r="AM576" s="67">
        <v>58490</v>
      </c>
      <c r="AN576" s="67">
        <v>494526</v>
      </c>
      <c r="AO576" s="67">
        <v>88.17</v>
      </c>
      <c r="AQ576" s="215">
        <v>45462</v>
      </c>
      <c r="AR576" s="115">
        <v>5812170</v>
      </c>
      <c r="AS576" s="115">
        <v>457</v>
      </c>
      <c r="AT576" s="115">
        <v>5812627</v>
      </c>
      <c r="AU576" s="115">
        <v>99.99</v>
      </c>
    </row>
    <row r="577" spans="1:47" hidden="1" x14ac:dyDescent="0.25">
      <c r="A577" s="215">
        <v>45463</v>
      </c>
      <c r="B577" s="130">
        <v>11788184</v>
      </c>
      <c r="C577" s="130">
        <v>785322</v>
      </c>
      <c r="D577" s="130">
        <v>12573506</v>
      </c>
      <c r="E577" s="130">
        <v>93.75</v>
      </c>
      <c r="G577" s="215">
        <v>45463</v>
      </c>
      <c r="H577" s="130">
        <v>1520046</v>
      </c>
      <c r="I577" s="130">
        <v>774369</v>
      </c>
      <c r="J577" s="130">
        <v>2294415</v>
      </c>
      <c r="K577" s="130">
        <v>66.25</v>
      </c>
      <c r="M577" s="215">
        <v>45463</v>
      </c>
      <c r="N577" s="130">
        <v>2168525</v>
      </c>
      <c r="O577" s="130">
        <v>1623794</v>
      </c>
      <c r="P577" s="130">
        <v>3792319</v>
      </c>
      <c r="Q577" s="130">
        <v>57.18</v>
      </c>
      <c r="S577" s="215">
        <v>45463</v>
      </c>
      <c r="T577" s="130">
        <v>1343915</v>
      </c>
      <c r="U577" s="130">
        <v>1460446</v>
      </c>
      <c r="V577" s="130">
        <v>2804361</v>
      </c>
      <c r="W577" s="130">
        <v>47.92</v>
      </c>
      <c r="Y577" s="215">
        <v>45463</v>
      </c>
      <c r="Z577" s="130">
        <v>1640863</v>
      </c>
      <c r="AA577" s="130">
        <v>762379</v>
      </c>
      <c r="AB577" s="130">
        <v>2403242</v>
      </c>
      <c r="AC577" s="130">
        <v>68.28</v>
      </c>
      <c r="AE577" s="215">
        <v>45463</v>
      </c>
      <c r="AF577" s="130">
        <v>843454</v>
      </c>
      <c r="AG577" s="130">
        <v>7456</v>
      </c>
      <c r="AH577" s="130">
        <v>850910</v>
      </c>
      <c r="AI577" s="130">
        <v>99.12</v>
      </c>
      <c r="AK577" s="215">
        <v>45463</v>
      </c>
      <c r="AL577" s="67">
        <v>654772</v>
      </c>
      <c r="AM577" s="67">
        <v>28795</v>
      </c>
      <c r="AN577" s="67">
        <v>683567</v>
      </c>
      <c r="AO577" s="67">
        <v>95.79</v>
      </c>
      <c r="AQ577" s="215">
        <v>45463</v>
      </c>
      <c r="AR577" s="115">
        <v>1178452</v>
      </c>
      <c r="AS577" s="115">
        <v>38</v>
      </c>
      <c r="AT577" s="115">
        <v>1178490</v>
      </c>
      <c r="AU577" s="115">
        <v>100</v>
      </c>
    </row>
    <row r="578" spans="1:47" hidden="1" x14ac:dyDescent="0.25">
      <c r="A578" s="215">
        <v>45464</v>
      </c>
      <c r="B578" s="130">
        <v>12774709</v>
      </c>
      <c r="C578" s="130">
        <v>813829</v>
      </c>
      <c r="D578" s="130">
        <v>13588538</v>
      </c>
      <c r="E578" s="130">
        <v>94.01</v>
      </c>
      <c r="G578" s="215">
        <v>45464</v>
      </c>
      <c r="H578" s="130">
        <v>688098</v>
      </c>
      <c r="I578" s="130">
        <v>276054</v>
      </c>
      <c r="J578" s="130">
        <v>964152</v>
      </c>
      <c r="K578" s="130">
        <v>71.37</v>
      </c>
      <c r="M578" s="215">
        <v>45464</v>
      </c>
      <c r="N578" s="130">
        <v>1147027</v>
      </c>
      <c r="O578" s="130">
        <v>638959</v>
      </c>
      <c r="P578" s="130">
        <v>1785986</v>
      </c>
      <c r="Q578" s="130">
        <v>64.22</v>
      </c>
      <c r="S578" s="215">
        <v>45464</v>
      </c>
      <c r="T578" s="130">
        <v>669741</v>
      </c>
      <c r="U578" s="130">
        <v>1178921</v>
      </c>
      <c r="V578" s="130">
        <v>1848662</v>
      </c>
      <c r="W578" s="130">
        <v>36.229999999999997</v>
      </c>
      <c r="Y578" s="215">
        <v>45464</v>
      </c>
      <c r="Z578" s="130">
        <v>1684586</v>
      </c>
      <c r="AA578" s="130">
        <v>768577</v>
      </c>
      <c r="AB578" s="130">
        <v>2453163</v>
      </c>
      <c r="AC578" s="130">
        <v>68.67</v>
      </c>
      <c r="AE578" s="215">
        <v>45464</v>
      </c>
      <c r="AF578" s="130">
        <v>875161</v>
      </c>
      <c r="AG578" s="130">
        <v>6832</v>
      </c>
      <c r="AH578" s="130">
        <v>881993</v>
      </c>
      <c r="AI578" s="130">
        <v>99.23</v>
      </c>
      <c r="AK578" s="215">
        <v>45464</v>
      </c>
      <c r="AL578" s="67">
        <v>329395</v>
      </c>
      <c r="AM578" s="67">
        <v>126</v>
      </c>
      <c r="AN578" s="67">
        <v>329521</v>
      </c>
      <c r="AO578" s="67">
        <v>99.96</v>
      </c>
      <c r="AQ578" s="215">
        <v>45464</v>
      </c>
      <c r="AR578" s="115">
        <v>618175</v>
      </c>
      <c r="AS578" s="115">
        <v>0</v>
      </c>
      <c r="AT578" s="115">
        <v>618175</v>
      </c>
      <c r="AU578" s="115">
        <v>100</v>
      </c>
    </row>
    <row r="579" spans="1:47" hidden="1" x14ac:dyDescent="0.25">
      <c r="A579" s="215">
        <v>45465</v>
      </c>
      <c r="B579" s="130">
        <v>12461634</v>
      </c>
      <c r="C579" s="130">
        <v>834515</v>
      </c>
      <c r="D579" s="130">
        <v>13296149</v>
      </c>
      <c r="E579" s="130">
        <v>93.72</v>
      </c>
      <c r="G579" s="215">
        <v>45465</v>
      </c>
      <c r="H579" s="130">
        <v>649948</v>
      </c>
      <c r="I579" s="130">
        <v>242934</v>
      </c>
      <c r="J579" s="130">
        <v>892882</v>
      </c>
      <c r="K579" s="130">
        <v>72.790000000000006</v>
      </c>
      <c r="M579" s="215">
        <v>45465</v>
      </c>
      <c r="N579" s="130">
        <v>1805248</v>
      </c>
      <c r="O579" s="130">
        <v>2033484</v>
      </c>
      <c r="P579" s="130">
        <v>3838732</v>
      </c>
      <c r="Q579" s="130">
        <v>47.03</v>
      </c>
      <c r="S579" s="215">
        <v>45465</v>
      </c>
      <c r="T579" s="130">
        <v>610929</v>
      </c>
      <c r="U579" s="130">
        <v>1077779</v>
      </c>
      <c r="V579" s="130">
        <v>1688708</v>
      </c>
      <c r="W579" s="130">
        <v>36.18</v>
      </c>
      <c r="Y579" s="215">
        <v>45465</v>
      </c>
      <c r="Z579" s="130">
        <v>1680659</v>
      </c>
      <c r="AA579" s="130">
        <v>973148</v>
      </c>
      <c r="AB579" s="130">
        <v>2653807</v>
      </c>
      <c r="AC579" s="130">
        <v>63.33</v>
      </c>
      <c r="AE579" s="215">
        <v>45465</v>
      </c>
      <c r="AF579" s="130">
        <v>835957</v>
      </c>
      <c r="AG579" s="130">
        <v>7535</v>
      </c>
      <c r="AH579" s="130">
        <v>843492</v>
      </c>
      <c r="AI579" s="130">
        <v>99.11</v>
      </c>
      <c r="AK579" s="215">
        <v>45465</v>
      </c>
      <c r="AL579" s="67">
        <v>514901</v>
      </c>
      <c r="AM579" s="67">
        <v>1055</v>
      </c>
      <c r="AN579" s="67">
        <v>515956</v>
      </c>
      <c r="AO579" s="67">
        <v>99.8</v>
      </c>
      <c r="AQ579" s="215">
        <v>45465</v>
      </c>
      <c r="AR579" s="115">
        <v>577098</v>
      </c>
      <c r="AS579" s="115">
        <v>0</v>
      </c>
      <c r="AT579" s="115">
        <v>577098</v>
      </c>
      <c r="AU579" s="115">
        <v>100</v>
      </c>
    </row>
    <row r="580" spans="1:47" ht="16.5" hidden="1" x14ac:dyDescent="0.25">
      <c r="A580" s="215">
        <v>45466</v>
      </c>
      <c r="B580" s="130">
        <v>11043656</v>
      </c>
      <c r="C580" s="130">
        <v>815722</v>
      </c>
      <c r="D580" s="130">
        <v>11859378</v>
      </c>
      <c r="E580" s="130">
        <v>93.12</v>
      </c>
      <c r="G580" s="215">
        <v>45466</v>
      </c>
      <c r="H580" s="332">
        <v>675930</v>
      </c>
      <c r="I580" s="332">
        <v>241765</v>
      </c>
      <c r="J580" s="332">
        <v>917695</v>
      </c>
      <c r="K580" s="332">
        <v>73.66</v>
      </c>
      <c r="M580" s="215">
        <v>45466</v>
      </c>
      <c r="N580" s="332">
        <v>1020063</v>
      </c>
      <c r="O580" s="332">
        <v>1269882</v>
      </c>
      <c r="P580" s="332">
        <v>2289945</v>
      </c>
      <c r="Q580" s="332">
        <v>44.55</v>
      </c>
      <c r="S580" s="215">
        <v>45466</v>
      </c>
      <c r="T580" s="332">
        <v>76138</v>
      </c>
      <c r="U580" s="332">
        <v>45152</v>
      </c>
      <c r="V580" s="332">
        <v>121290</v>
      </c>
      <c r="W580" s="332">
        <v>62.77</v>
      </c>
      <c r="Y580" s="215">
        <v>45466</v>
      </c>
      <c r="Z580" s="332">
        <v>1565670</v>
      </c>
      <c r="AA580" s="332">
        <v>1267716</v>
      </c>
      <c r="AB580" s="332">
        <v>2833386</v>
      </c>
      <c r="AC580" s="332">
        <v>55.26</v>
      </c>
      <c r="AE580" s="215">
        <v>45466</v>
      </c>
      <c r="AF580" s="130">
        <v>823618</v>
      </c>
      <c r="AG580" s="130">
        <v>6865</v>
      </c>
      <c r="AH580" s="130">
        <v>830483</v>
      </c>
      <c r="AI580" s="130">
        <v>99.17</v>
      </c>
      <c r="AK580" s="215">
        <v>45466</v>
      </c>
      <c r="AL580" s="48">
        <v>506898</v>
      </c>
      <c r="AM580" s="67">
        <v>0</v>
      </c>
      <c r="AN580" s="48">
        <v>506898</v>
      </c>
      <c r="AO580" s="67">
        <v>100</v>
      </c>
      <c r="AQ580" s="215">
        <v>45466</v>
      </c>
      <c r="AR580" s="1">
        <v>601673</v>
      </c>
      <c r="AS580" s="115">
        <v>0</v>
      </c>
      <c r="AT580" s="1">
        <v>601673</v>
      </c>
      <c r="AU580" s="115">
        <v>100</v>
      </c>
    </row>
    <row r="581" spans="1:47" hidden="1" x14ac:dyDescent="0.25">
      <c r="A581" s="215">
        <v>45467</v>
      </c>
      <c r="B581" s="101">
        <v>12814239</v>
      </c>
      <c r="C581" s="101">
        <v>816285</v>
      </c>
      <c r="D581" s="101">
        <v>13630524</v>
      </c>
      <c r="E581" s="101">
        <v>94.01</v>
      </c>
      <c r="G581" s="215">
        <v>45467</v>
      </c>
      <c r="H581" s="101">
        <v>715951</v>
      </c>
      <c r="I581" s="101">
        <v>260813</v>
      </c>
      <c r="J581" s="101">
        <v>976764</v>
      </c>
      <c r="K581" s="101">
        <v>73.3</v>
      </c>
      <c r="M581" s="215">
        <v>45467</v>
      </c>
      <c r="N581" s="101">
        <v>1450227</v>
      </c>
      <c r="O581" s="101">
        <v>1188298</v>
      </c>
      <c r="P581" s="101">
        <v>2638525</v>
      </c>
      <c r="Q581" s="101">
        <v>54.96</v>
      </c>
      <c r="S581" s="215">
        <v>45467</v>
      </c>
      <c r="T581" s="101">
        <v>550895</v>
      </c>
      <c r="U581" s="101">
        <v>953970</v>
      </c>
      <c r="V581" s="101">
        <v>1504865</v>
      </c>
      <c r="W581" s="101">
        <v>36.61</v>
      </c>
      <c r="Y581" s="215">
        <v>45467</v>
      </c>
      <c r="Z581" s="101">
        <v>1815994</v>
      </c>
      <c r="AA581" s="101">
        <v>1313549</v>
      </c>
      <c r="AB581" s="101">
        <v>3129543</v>
      </c>
      <c r="AC581" s="101">
        <v>58.03</v>
      </c>
      <c r="AE581" s="215">
        <v>45467</v>
      </c>
      <c r="AF581" s="101">
        <v>822104</v>
      </c>
      <c r="AG581" s="101">
        <v>7357</v>
      </c>
      <c r="AH581" s="101">
        <v>829461</v>
      </c>
      <c r="AI581" s="101">
        <v>99.11</v>
      </c>
      <c r="AK581" s="215">
        <v>45467</v>
      </c>
      <c r="AL581" s="67">
        <v>256384</v>
      </c>
      <c r="AM581" s="48">
        <v>3769</v>
      </c>
      <c r="AN581" s="67">
        <v>260153</v>
      </c>
      <c r="AO581" s="48">
        <v>98.55</v>
      </c>
      <c r="AQ581" s="215">
        <v>45467</v>
      </c>
      <c r="AR581" s="115">
        <v>635331</v>
      </c>
      <c r="AS581" s="115">
        <v>0</v>
      </c>
      <c r="AT581" s="115">
        <v>635331</v>
      </c>
      <c r="AU581" s="115">
        <v>100</v>
      </c>
    </row>
    <row r="582" spans="1:47" hidden="1" x14ac:dyDescent="0.25">
      <c r="A582" s="215">
        <v>45468</v>
      </c>
      <c r="B582" s="101">
        <v>13104701</v>
      </c>
      <c r="C582" s="101">
        <v>838707</v>
      </c>
      <c r="D582" s="101">
        <v>13943408</v>
      </c>
      <c r="E582" s="101">
        <v>93.98</v>
      </c>
      <c r="G582" s="215">
        <v>45468</v>
      </c>
      <c r="H582" s="101">
        <v>1463610</v>
      </c>
      <c r="I582" s="101">
        <v>578146</v>
      </c>
      <c r="J582" s="101">
        <v>2041756</v>
      </c>
      <c r="K582" s="101">
        <v>71.680000000000007</v>
      </c>
      <c r="M582" s="215">
        <v>45468</v>
      </c>
      <c r="N582" s="101">
        <v>426346</v>
      </c>
      <c r="O582" s="101">
        <v>430475</v>
      </c>
      <c r="P582" s="101">
        <v>856821</v>
      </c>
      <c r="Q582" s="101">
        <v>49.76</v>
      </c>
      <c r="S582" s="215">
        <v>45468</v>
      </c>
      <c r="T582" s="101">
        <v>1394381</v>
      </c>
      <c r="U582" s="101">
        <v>2666493</v>
      </c>
      <c r="V582" s="101">
        <v>4060874</v>
      </c>
      <c r="W582" s="101">
        <v>34.340000000000003</v>
      </c>
      <c r="Y582" s="215">
        <v>45468</v>
      </c>
      <c r="Z582" s="101">
        <v>1833750</v>
      </c>
      <c r="AA582" s="101">
        <v>1729898</v>
      </c>
      <c r="AB582" s="101">
        <v>3563648</v>
      </c>
      <c r="AC582" s="101">
        <v>51.46</v>
      </c>
      <c r="AE582" s="215">
        <v>45468</v>
      </c>
      <c r="AF582" s="101">
        <v>842336</v>
      </c>
      <c r="AG582" s="101">
        <v>6907</v>
      </c>
      <c r="AH582" s="101">
        <v>849243</v>
      </c>
      <c r="AI582" s="101">
        <v>99.19</v>
      </c>
      <c r="AK582" s="215">
        <v>45468</v>
      </c>
      <c r="AL582" s="48">
        <v>127782</v>
      </c>
      <c r="AM582" s="67">
        <v>14821</v>
      </c>
      <c r="AN582" s="48">
        <v>142603</v>
      </c>
      <c r="AO582" s="48">
        <v>89.61</v>
      </c>
      <c r="AQ582" s="215">
        <v>45468</v>
      </c>
      <c r="AR582" s="1">
        <v>1151920</v>
      </c>
      <c r="AS582" s="115">
        <v>0</v>
      </c>
      <c r="AT582" s="1">
        <v>1151920</v>
      </c>
      <c r="AU582" s="115">
        <v>100</v>
      </c>
    </row>
    <row r="583" spans="1:47" hidden="1" x14ac:dyDescent="0.25">
      <c r="A583" s="215">
        <v>45469</v>
      </c>
      <c r="B583" s="101">
        <v>12969633</v>
      </c>
      <c r="C583" s="101">
        <v>826552</v>
      </c>
      <c r="D583" s="101">
        <v>13796185</v>
      </c>
      <c r="E583" s="101">
        <v>94.01</v>
      </c>
      <c r="G583" s="215">
        <v>45469</v>
      </c>
      <c r="H583" s="101">
        <v>698611</v>
      </c>
      <c r="I583" s="101">
        <v>250415</v>
      </c>
      <c r="J583" s="101">
        <v>949026</v>
      </c>
      <c r="K583" s="101">
        <v>73.61</v>
      </c>
      <c r="M583" s="215">
        <v>45469</v>
      </c>
      <c r="N583" s="101">
        <v>2074706</v>
      </c>
      <c r="O583" s="101">
        <v>2442364</v>
      </c>
      <c r="P583" s="101">
        <v>4517070</v>
      </c>
      <c r="Q583" s="101">
        <v>45.93</v>
      </c>
      <c r="S583" s="215">
        <v>45469</v>
      </c>
      <c r="T583" s="101">
        <v>1386732</v>
      </c>
      <c r="U583" s="101">
        <v>2672912</v>
      </c>
      <c r="V583" s="101">
        <v>4059644</v>
      </c>
      <c r="W583" s="101">
        <v>34.159999999999997</v>
      </c>
      <c r="Y583" s="215">
        <v>45469</v>
      </c>
      <c r="Z583" s="101">
        <v>1526034</v>
      </c>
      <c r="AA583" s="101">
        <v>1306091</v>
      </c>
      <c r="AB583" s="101">
        <v>2832125</v>
      </c>
      <c r="AC583" s="101">
        <v>53.88</v>
      </c>
      <c r="AE583" s="215">
        <v>45469</v>
      </c>
      <c r="AF583" s="101">
        <v>863967</v>
      </c>
      <c r="AG583" s="101">
        <v>7687</v>
      </c>
      <c r="AH583" s="101">
        <v>871654</v>
      </c>
      <c r="AI583" s="101">
        <v>99.12</v>
      </c>
      <c r="AK583" s="215">
        <v>45469</v>
      </c>
      <c r="AL583" s="67">
        <v>161795</v>
      </c>
      <c r="AM583" s="48">
        <v>27107</v>
      </c>
      <c r="AN583" s="48">
        <v>188902</v>
      </c>
      <c r="AO583" s="48">
        <v>85.65</v>
      </c>
      <c r="AQ583" s="215">
        <v>45469</v>
      </c>
      <c r="AR583" s="115">
        <v>628868</v>
      </c>
      <c r="AS583" s="115">
        <v>0</v>
      </c>
      <c r="AT583" s="115">
        <v>628868</v>
      </c>
      <c r="AU583" s="115">
        <v>100</v>
      </c>
    </row>
    <row r="584" spans="1:47" hidden="1" x14ac:dyDescent="0.25">
      <c r="A584" s="215">
        <v>45470</v>
      </c>
      <c r="B584" s="101">
        <v>11365804</v>
      </c>
      <c r="C584" s="101">
        <v>781481</v>
      </c>
      <c r="D584" s="101">
        <v>12147285</v>
      </c>
      <c r="E584" s="101">
        <v>93.57</v>
      </c>
      <c r="G584" s="215">
        <v>45470</v>
      </c>
      <c r="H584" s="101">
        <v>5493263</v>
      </c>
      <c r="I584" s="101">
        <v>2407233</v>
      </c>
      <c r="J584" s="101">
        <v>7900496</v>
      </c>
      <c r="K584" s="101">
        <v>69.53</v>
      </c>
      <c r="M584" s="215">
        <v>45470</v>
      </c>
      <c r="N584" s="101">
        <v>2337859</v>
      </c>
      <c r="O584" s="101">
        <v>2111797</v>
      </c>
      <c r="P584" s="101">
        <v>4449656</v>
      </c>
      <c r="Q584" s="101">
        <v>52.54</v>
      </c>
      <c r="S584" s="215">
        <v>45470</v>
      </c>
      <c r="T584" s="101">
        <v>1381204</v>
      </c>
      <c r="U584" s="101">
        <v>2710760</v>
      </c>
      <c r="V584" s="101">
        <v>4091964</v>
      </c>
      <c r="W584" s="101">
        <v>33.75</v>
      </c>
      <c r="Y584" s="215">
        <v>45470</v>
      </c>
      <c r="Z584" s="101">
        <v>1556913</v>
      </c>
      <c r="AA584" s="101">
        <v>1352727</v>
      </c>
      <c r="AB584" s="101">
        <v>2909640</v>
      </c>
      <c r="AC584" s="101">
        <v>53.51</v>
      </c>
      <c r="AE584" s="215">
        <v>45470</v>
      </c>
      <c r="AF584" s="101">
        <v>816767</v>
      </c>
      <c r="AG584" s="101">
        <v>7780</v>
      </c>
      <c r="AH584" s="101">
        <v>824547</v>
      </c>
      <c r="AI584" s="101">
        <v>99.06</v>
      </c>
      <c r="AK584" s="215">
        <v>45470</v>
      </c>
      <c r="AL584" s="48">
        <v>135816</v>
      </c>
      <c r="AM584" s="48">
        <v>23298</v>
      </c>
      <c r="AN584" s="48">
        <v>159114</v>
      </c>
      <c r="AO584" s="48">
        <v>85.36</v>
      </c>
      <c r="AQ584" s="215">
        <v>45470</v>
      </c>
      <c r="AR584" s="115">
        <v>3956318</v>
      </c>
      <c r="AS584" s="115">
        <v>0</v>
      </c>
      <c r="AT584" s="115">
        <v>3956318</v>
      </c>
      <c r="AU584" s="115">
        <v>100</v>
      </c>
    </row>
    <row r="585" spans="1:47" hidden="1" x14ac:dyDescent="0.25">
      <c r="A585" s="215">
        <v>45471</v>
      </c>
      <c r="B585" s="101">
        <v>13321684</v>
      </c>
      <c r="C585" s="101">
        <v>968933</v>
      </c>
      <c r="D585" s="101">
        <v>14290617</v>
      </c>
      <c r="E585" s="101">
        <v>93.22</v>
      </c>
      <c r="G585" s="215">
        <v>45471</v>
      </c>
      <c r="H585" s="101">
        <v>8527475</v>
      </c>
      <c r="I585" s="101">
        <v>3336785</v>
      </c>
      <c r="J585" s="101">
        <v>11864260</v>
      </c>
      <c r="K585" s="101">
        <v>71.88</v>
      </c>
      <c r="M585" s="215">
        <v>45471</v>
      </c>
      <c r="N585" s="101">
        <v>1768604</v>
      </c>
      <c r="O585" s="101">
        <v>1647668</v>
      </c>
      <c r="P585" s="101">
        <v>3416272</v>
      </c>
      <c r="Q585" s="101">
        <v>51.77</v>
      </c>
      <c r="S585" s="215">
        <v>45471</v>
      </c>
      <c r="T585" s="101">
        <v>1189651</v>
      </c>
      <c r="U585" s="101">
        <v>2160980</v>
      </c>
      <c r="V585" s="101">
        <v>3350631</v>
      </c>
      <c r="W585" s="101">
        <v>35.51</v>
      </c>
      <c r="Y585" s="215">
        <v>45471</v>
      </c>
      <c r="Z585" s="101">
        <v>1633748</v>
      </c>
      <c r="AA585" s="101">
        <v>1146903</v>
      </c>
      <c r="AB585" s="101">
        <v>2780651</v>
      </c>
      <c r="AC585" s="101">
        <v>58.75</v>
      </c>
      <c r="AE585" s="215">
        <v>45471</v>
      </c>
      <c r="AF585" s="101">
        <v>1206045</v>
      </c>
      <c r="AG585" s="101">
        <v>23216</v>
      </c>
      <c r="AH585" s="101">
        <v>1229261</v>
      </c>
      <c r="AI585" s="101">
        <v>98.11</v>
      </c>
      <c r="AK585" s="215">
        <v>45471</v>
      </c>
      <c r="AL585" s="48">
        <v>206155</v>
      </c>
      <c r="AM585" s="48">
        <v>206155</v>
      </c>
      <c r="AN585" s="48">
        <v>242450</v>
      </c>
      <c r="AO585" s="48">
        <v>85.03</v>
      </c>
      <c r="AQ585" s="215">
        <v>45471</v>
      </c>
      <c r="AR585" s="115">
        <v>6053164</v>
      </c>
      <c r="AS585" s="115">
        <v>0</v>
      </c>
      <c r="AT585" s="115">
        <v>6053164</v>
      </c>
      <c r="AU585" s="115">
        <v>100</v>
      </c>
    </row>
    <row r="586" spans="1:47" hidden="1" x14ac:dyDescent="0.25">
      <c r="A586" s="215">
        <v>45472</v>
      </c>
      <c r="B586" s="101">
        <v>12896223</v>
      </c>
      <c r="C586" s="101">
        <v>1195135</v>
      </c>
      <c r="D586" s="101">
        <v>14091358</v>
      </c>
      <c r="E586" s="101">
        <v>91.52</v>
      </c>
      <c r="G586" s="215">
        <v>45472</v>
      </c>
      <c r="H586" s="101">
        <v>1892584</v>
      </c>
      <c r="I586" s="101">
        <v>803504</v>
      </c>
      <c r="J586" s="101">
        <v>2696088</v>
      </c>
      <c r="K586" s="101">
        <v>70.2</v>
      </c>
      <c r="M586" s="215">
        <v>45472</v>
      </c>
      <c r="N586" s="101">
        <v>2642004</v>
      </c>
      <c r="O586" s="101">
        <v>3205525</v>
      </c>
      <c r="P586" s="101">
        <v>5847529</v>
      </c>
      <c r="Q586" s="101">
        <v>45.18</v>
      </c>
      <c r="S586" s="215">
        <v>45472</v>
      </c>
      <c r="T586" s="101">
        <v>929595</v>
      </c>
      <c r="U586" s="101">
        <v>1760678</v>
      </c>
      <c r="V586" s="101">
        <v>2690273</v>
      </c>
      <c r="W586" s="101">
        <v>34.549999999999997</v>
      </c>
      <c r="Y586" s="215">
        <v>45472</v>
      </c>
      <c r="Z586" s="101">
        <v>1424381</v>
      </c>
      <c r="AA586" s="101">
        <v>1104565</v>
      </c>
      <c r="AB586" s="101">
        <v>2528946</v>
      </c>
      <c r="AC586" s="101">
        <v>56.32</v>
      </c>
      <c r="AE586" s="215">
        <v>45472</v>
      </c>
      <c r="AF586" s="101">
        <v>911776</v>
      </c>
      <c r="AG586" s="101">
        <v>9599</v>
      </c>
      <c r="AH586" s="101">
        <v>921375</v>
      </c>
      <c r="AI586" s="101">
        <v>98.96</v>
      </c>
      <c r="AK586" s="215">
        <v>45472</v>
      </c>
      <c r="AL586" s="48">
        <v>173690</v>
      </c>
      <c r="AM586" s="48">
        <v>32599</v>
      </c>
      <c r="AN586" s="48">
        <v>206289</v>
      </c>
      <c r="AO586" s="48">
        <v>84.2</v>
      </c>
      <c r="AQ586" s="215">
        <v>45472</v>
      </c>
      <c r="AR586" s="115">
        <v>1464149</v>
      </c>
      <c r="AS586" s="115">
        <v>0</v>
      </c>
      <c r="AT586" s="115">
        <v>1464149</v>
      </c>
      <c r="AU586" s="115">
        <v>100</v>
      </c>
    </row>
    <row r="587" spans="1:47" hidden="1" x14ac:dyDescent="0.25">
      <c r="A587" s="215">
        <v>45473</v>
      </c>
      <c r="B587" s="101">
        <v>10816629</v>
      </c>
      <c r="C587" s="101">
        <v>803808</v>
      </c>
      <c r="D587" s="101">
        <v>11620437</v>
      </c>
      <c r="E587" s="101">
        <v>93.08</v>
      </c>
      <c r="G587" s="215">
        <v>45473</v>
      </c>
      <c r="H587" s="101">
        <v>696199</v>
      </c>
      <c r="I587" s="101">
        <v>246399</v>
      </c>
      <c r="J587" s="101">
        <v>942598</v>
      </c>
      <c r="K587" s="101">
        <v>73.86</v>
      </c>
      <c r="M587" s="215">
        <v>45473</v>
      </c>
      <c r="N587" s="101">
        <v>1739019</v>
      </c>
      <c r="O587" s="101">
        <v>2187466</v>
      </c>
      <c r="P587" s="101">
        <v>3926485</v>
      </c>
      <c r="Q587" s="101">
        <v>44.29</v>
      </c>
      <c r="S587" s="215">
        <v>45473</v>
      </c>
      <c r="T587" s="101">
        <v>44485</v>
      </c>
      <c r="U587" s="101">
        <v>29310</v>
      </c>
      <c r="V587" s="101">
        <v>73795</v>
      </c>
      <c r="W587" s="101">
        <v>60.28</v>
      </c>
      <c r="Y587" s="215">
        <v>45473</v>
      </c>
      <c r="Z587" s="101">
        <v>1350882</v>
      </c>
      <c r="AA587" s="101">
        <v>1127786</v>
      </c>
      <c r="AB587" s="101">
        <v>2478668</v>
      </c>
      <c r="AC587" s="101">
        <v>54.5</v>
      </c>
      <c r="AE587" s="215">
        <v>45473</v>
      </c>
      <c r="AF587" s="101">
        <v>954400</v>
      </c>
      <c r="AG587" s="101">
        <v>8805</v>
      </c>
      <c r="AH587" s="101">
        <v>963205</v>
      </c>
      <c r="AI587" s="101">
        <v>99.09</v>
      </c>
      <c r="AK587" s="215">
        <v>45473</v>
      </c>
      <c r="AL587">
        <v>228828</v>
      </c>
      <c r="AM587">
        <v>26793</v>
      </c>
      <c r="AN587">
        <v>255621</v>
      </c>
      <c r="AO587">
        <v>89.52</v>
      </c>
      <c r="AQ587" s="215">
        <v>45473</v>
      </c>
      <c r="AR587">
        <v>621196</v>
      </c>
      <c r="AS587" s="339">
        <v>0</v>
      </c>
      <c r="AT587">
        <v>621196</v>
      </c>
      <c r="AU587" s="339">
        <v>100</v>
      </c>
    </row>
    <row r="588" spans="1:47" hidden="1" x14ac:dyDescent="0.25">
      <c r="A588" s="215">
        <v>45474</v>
      </c>
      <c r="B588" s="101">
        <v>13163724</v>
      </c>
      <c r="C588" s="101">
        <v>784336</v>
      </c>
      <c r="D588" s="101">
        <v>13948060</v>
      </c>
      <c r="E588" s="101">
        <v>94.38</v>
      </c>
      <c r="G588" s="215">
        <v>45474</v>
      </c>
      <c r="H588" s="101">
        <v>5312926</v>
      </c>
      <c r="I588" s="101">
        <v>2221745</v>
      </c>
      <c r="J588" s="101">
        <v>7534671</v>
      </c>
      <c r="K588" s="101">
        <v>70.510000000000005</v>
      </c>
      <c r="M588" s="215">
        <v>45474</v>
      </c>
      <c r="N588" s="101">
        <v>1223229</v>
      </c>
      <c r="O588" s="101">
        <v>1260816</v>
      </c>
      <c r="P588" s="101">
        <v>2484045</v>
      </c>
      <c r="Q588" s="101">
        <v>49.24</v>
      </c>
      <c r="S588" s="215">
        <v>45474</v>
      </c>
      <c r="T588" s="101">
        <v>717511</v>
      </c>
      <c r="U588" s="101">
        <v>1332145</v>
      </c>
      <c r="V588" s="101">
        <v>2049656</v>
      </c>
      <c r="W588" s="101">
        <v>35.01</v>
      </c>
      <c r="Y588" s="215">
        <v>45474</v>
      </c>
      <c r="Z588" s="101">
        <v>1567261</v>
      </c>
      <c r="AA588" s="101">
        <v>1137706</v>
      </c>
      <c r="AB588" s="101">
        <v>2704967</v>
      </c>
      <c r="AC588" s="101">
        <v>57.94</v>
      </c>
      <c r="AE588" s="215">
        <v>45474</v>
      </c>
      <c r="AF588" s="101">
        <v>869351</v>
      </c>
      <c r="AG588" s="101">
        <v>9406</v>
      </c>
      <c r="AH588" s="101">
        <v>878757</v>
      </c>
      <c r="AI588" s="101">
        <v>98.93</v>
      </c>
      <c r="AK588" s="215">
        <v>45474</v>
      </c>
      <c r="AL588" s="74">
        <v>171974</v>
      </c>
      <c r="AM588" s="74">
        <v>50970</v>
      </c>
      <c r="AN588" s="74">
        <v>222944</v>
      </c>
      <c r="AO588" s="74">
        <v>77.14</v>
      </c>
      <c r="AQ588" s="215">
        <v>45474</v>
      </c>
      <c r="AR588">
        <v>3683878</v>
      </c>
      <c r="AS588" s="339">
        <v>0</v>
      </c>
      <c r="AT588">
        <v>3683878</v>
      </c>
      <c r="AU588" s="339">
        <v>100</v>
      </c>
    </row>
    <row r="589" spans="1:47" hidden="1" x14ac:dyDescent="0.25">
      <c r="A589" s="224">
        <v>45475</v>
      </c>
      <c r="B589" s="173">
        <v>13331528</v>
      </c>
      <c r="C589" s="173">
        <v>839907</v>
      </c>
      <c r="D589" s="173">
        <v>14171435</v>
      </c>
      <c r="E589" s="173">
        <v>94.07</v>
      </c>
      <c r="G589" s="224">
        <v>45475</v>
      </c>
      <c r="H589" s="173">
        <v>6602767</v>
      </c>
      <c r="I589" s="173">
        <v>3194727</v>
      </c>
      <c r="J589" s="173">
        <v>9797494</v>
      </c>
      <c r="K589" s="173">
        <v>67.39</v>
      </c>
      <c r="M589" s="224">
        <v>45475</v>
      </c>
      <c r="N589" s="173">
        <v>341012</v>
      </c>
      <c r="O589" s="173">
        <v>504469</v>
      </c>
      <c r="P589" s="173">
        <v>845481</v>
      </c>
      <c r="Q589" s="173">
        <v>40.33</v>
      </c>
      <c r="S589" s="215">
        <v>45475</v>
      </c>
      <c r="T589" s="101">
        <v>57716</v>
      </c>
      <c r="U589" s="101">
        <v>32707</v>
      </c>
      <c r="V589" s="101">
        <v>90423</v>
      </c>
      <c r="W589" s="101">
        <v>63.83</v>
      </c>
      <c r="Y589" s="215">
        <v>45475</v>
      </c>
      <c r="Z589" s="101">
        <v>1625716</v>
      </c>
      <c r="AA589" s="101">
        <v>1038976</v>
      </c>
      <c r="AB589" s="101">
        <v>2664692</v>
      </c>
      <c r="AC589" s="101">
        <v>61.01</v>
      </c>
      <c r="AE589" s="215">
        <v>45475</v>
      </c>
      <c r="AF589" s="101">
        <v>839378</v>
      </c>
      <c r="AG589" s="101">
        <v>7558</v>
      </c>
      <c r="AH589" s="101">
        <v>846936</v>
      </c>
      <c r="AI589" s="101">
        <v>99.11</v>
      </c>
      <c r="AK589" s="215">
        <v>45475</v>
      </c>
      <c r="AL589" s="74">
        <v>774312</v>
      </c>
      <c r="AM589" s="74">
        <v>28259</v>
      </c>
      <c r="AN589" s="74">
        <v>802571</v>
      </c>
      <c r="AO589" s="74">
        <v>96.48</v>
      </c>
      <c r="AQ589" s="224">
        <v>45475</v>
      </c>
      <c r="AR589">
        <v>4360932</v>
      </c>
      <c r="AS589" s="339">
        <v>0</v>
      </c>
      <c r="AT589">
        <v>4360932</v>
      </c>
      <c r="AU589" s="339">
        <v>100</v>
      </c>
    </row>
    <row r="590" spans="1:47" hidden="1" x14ac:dyDescent="0.25">
      <c r="A590" s="215">
        <v>45476</v>
      </c>
      <c r="B590" s="104">
        <v>12401287</v>
      </c>
      <c r="C590" s="104">
        <v>809063</v>
      </c>
      <c r="D590" s="104">
        <v>13210350</v>
      </c>
      <c r="E590" s="104">
        <v>93.88</v>
      </c>
      <c r="G590" s="215">
        <v>45476</v>
      </c>
      <c r="H590" s="104">
        <v>1091182</v>
      </c>
      <c r="I590" s="104">
        <v>380378</v>
      </c>
      <c r="J590" s="104">
        <v>1471560</v>
      </c>
      <c r="K590" s="104">
        <v>74.150000000000006</v>
      </c>
      <c r="M590" s="215">
        <v>45476</v>
      </c>
      <c r="N590" s="104">
        <v>1910562</v>
      </c>
      <c r="O590" s="104">
        <v>1967883</v>
      </c>
      <c r="P590" s="104">
        <v>3878445</v>
      </c>
      <c r="Q590" s="104">
        <v>49.26</v>
      </c>
      <c r="S590" s="215">
        <v>45476</v>
      </c>
      <c r="T590" s="101">
        <v>785558</v>
      </c>
      <c r="U590" s="101">
        <v>1311166</v>
      </c>
      <c r="V590" s="101">
        <v>2096724</v>
      </c>
      <c r="W590" s="101">
        <v>37.47</v>
      </c>
      <c r="Y590" s="215">
        <v>45476</v>
      </c>
      <c r="Z590" s="101">
        <v>1607312</v>
      </c>
      <c r="AA590" s="101">
        <v>1116861</v>
      </c>
      <c r="AB590" s="101">
        <v>2724173</v>
      </c>
      <c r="AC590" s="101">
        <v>59</v>
      </c>
      <c r="AE590" s="215">
        <v>45476</v>
      </c>
      <c r="AF590" s="101">
        <v>849478</v>
      </c>
      <c r="AG590" s="101">
        <v>8088</v>
      </c>
      <c r="AH590" s="101">
        <v>857566</v>
      </c>
      <c r="AI590" s="101">
        <v>99.06</v>
      </c>
      <c r="AK590" s="224">
        <v>45476</v>
      </c>
      <c r="AL590" s="324">
        <v>918279</v>
      </c>
      <c r="AM590" s="324">
        <v>785</v>
      </c>
      <c r="AN590" s="324">
        <v>919064</v>
      </c>
      <c r="AO590" s="324">
        <v>99.91</v>
      </c>
      <c r="AQ590" s="215">
        <v>45476</v>
      </c>
      <c r="AR590" s="67">
        <v>916828</v>
      </c>
      <c r="AS590" s="67">
        <v>0</v>
      </c>
      <c r="AT590" s="67">
        <v>916828</v>
      </c>
      <c r="AU590" s="67">
        <v>100</v>
      </c>
    </row>
    <row r="591" spans="1:47" hidden="1" x14ac:dyDescent="0.25">
      <c r="A591" s="215">
        <v>45477</v>
      </c>
      <c r="B591" s="104">
        <v>12571226</v>
      </c>
      <c r="C591" s="104">
        <v>791040</v>
      </c>
      <c r="D591" s="104">
        <v>13362266</v>
      </c>
      <c r="E591" s="104">
        <v>94.08</v>
      </c>
      <c r="G591" s="215">
        <v>45477</v>
      </c>
      <c r="H591" s="104">
        <v>1209160</v>
      </c>
      <c r="I591" s="104">
        <v>794778</v>
      </c>
      <c r="J591" s="104">
        <v>2003938</v>
      </c>
      <c r="K591" s="104">
        <v>60.34</v>
      </c>
      <c r="M591" s="215">
        <v>45477</v>
      </c>
      <c r="N591" s="104">
        <v>2983755</v>
      </c>
      <c r="O591" s="104">
        <v>2663667</v>
      </c>
      <c r="P591" s="104">
        <v>5647422</v>
      </c>
      <c r="Q591" s="104">
        <v>52.83</v>
      </c>
      <c r="S591" s="215">
        <v>45477</v>
      </c>
      <c r="T591" s="173">
        <v>273162</v>
      </c>
      <c r="U591" s="173">
        <v>321862</v>
      </c>
      <c r="V591" s="173">
        <v>595024</v>
      </c>
      <c r="W591" s="173">
        <v>45.91</v>
      </c>
      <c r="Y591" s="215">
        <v>45477</v>
      </c>
      <c r="Z591" s="173">
        <v>1776601</v>
      </c>
      <c r="AA591" s="173">
        <v>1299197</v>
      </c>
      <c r="AB591" s="173">
        <v>3075798</v>
      </c>
      <c r="AC591" s="173">
        <v>57.76</v>
      </c>
      <c r="AE591" s="215">
        <v>45477</v>
      </c>
      <c r="AF591" s="173">
        <v>862260</v>
      </c>
      <c r="AG591" s="173">
        <v>8514</v>
      </c>
      <c r="AH591" s="173">
        <v>870774</v>
      </c>
      <c r="AI591" s="173">
        <v>99.02</v>
      </c>
      <c r="AK591" s="215">
        <v>45477</v>
      </c>
      <c r="AL591" s="48">
        <v>810618</v>
      </c>
      <c r="AM591" s="67">
        <v>0</v>
      </c>
      <c r="AN591" s="48">
        <v>810618</v>
      </c>
      <c r="AO591" s="67">
        <v>100</v>
      </c>
      <c r="AQ591" s="215">
        <v>45477</v>
      </c>
      <c r="AR591" s="48">
        <v>804636</v>
      </c>
      <c r="AS591" s="67">
        <v>0</v>
      </c>
      <c r="AT591" s="48">
        <v>804636</v>
      </c>
      <c r="AU591" s="67">
        <v>100</v>
      </c>
    </row>
    <row r="592" spans="1:47" hidden="1" x14ac:dyDescent="0.25">
      <c r="A592" s="215">
        <v>45478</v>
      </c>
      <c r="B592" s="48">
        <v>13522723</v>
      </c>
      <c r="C592" s="48">
        <v>865306</v>
      </c>
      <c r="D592" s="48">
        <v>14388029</v>
      </c>
      <c r="E592" s="71">
        <v>93.9859309</v>
      </c>
      <c r="G592" s="215">
        <v>45478</v>
      </c>
      <c r="H592" s="48">
        <v>5413220</v>
      </c>
      <c r="I592" s="48">
        <v>2377782</v>
      </c>
      <c r="J592" s="48">
        <v>7791002</v>
      </c>
      <c r="K592" s="48">
        <v>69.48</v>
      </c>
      <c r="M592" s="215">
        <v>45478</v>
      </c>
      <c r="N592" s="48">
        <v>1669132</v>
      </c>
      <c r="O592" s="48">
        <v>1676771</v>
      </c>
      <c r="P592" s="48">
        <v>3345903</v>
      </c>
      <c r="Q592" s="48">
        <v>49.884999999999998</v>
      </c>
      <c r="S592" s="215">
        <v>45478</v>
      </c>
      <c r="T592" s="48">
        <v>224257</v>
      </c>
      <c r="U592" s="48">
        <v>252470</v>
      </c>
      <c r="V592" s="48">
        <v>476727</v>
      </c>
      <c r="W592" s="48">
        <v>47.04</v>
      </c>
      <c r="Y592" s="215">
        <v>45478</v>
      </c>
      <c r="Z592" s="48">
        <v>1689609</v>
      </c>
      <c r="AA592" s="48">
        <v>1180965</v>
      </c>
      <c r="AB592" s="48">
        <v>2870574</v>
      </c>
      <c r="AC592" s="48">
        <v>58.85</v>
      </c>
      <c r="AE592" s="215">
        <v>45478</v>
      </c>
      <c r="AF592" s="48">
        <v>947583</v>
      </c>
      <c r="AG592" s="48">
        <v>10144</v>
      </c>
      <c r="AH592" s="48">
        <v>957727</v>
      </c>
      <c r="AI592" s="48">
        <v>98.94</v>
      </c>
      <c r="AK592" s="215">
        <v>45478</v>
      </c>
      <c r="AL592" s="67">
        <v>814038</v>
      </c>
      <c r="AM592" s="67">
        <v>0</v>
      </c>
      <c r="AN592" s="67">
        <v>814038</v>
      </c>
      <c r="AO592" s="67">
        <v>100</v>
      </c>
      <c r="AQ592" s="215">
        <v>45478</v>
      </c>
      <c r="AR592" s="48">
        <v>3561554</v>
      </c>
      <c r="AS592" s="67">
        <v>0</v>
      </c>
      <c r="AT592" s="48">
        <v>3561554</v>
      </c>
      <c r="AU592" s="67">
        <v>100</v>
      </c>
    </row>
    <row r="593" spans="1:47" hidden="1" x14ac:dyDescent="0.25">
      <c r="A593" s="215">
        <v>45479</v>
      </c>
      <c r="B593" s="48">
        <v>12575849</v>
      </c>
      <c r="C593" s="48">
        <v>866001</v>
      </c>
      <c r="D593" s="48">
        <v>13441850</v>
      </c>
      <c r="E593" s="71">
        <v>93.557427000000004</v>
      </c>
      <c r="G593" s="215">
        <v>45479</v>
      </c>
      <c r="H593" s="48">
        <v>6641275</v>
      </c>
      <c r="I593" s="48">
        <v>3163727</v>
      </c>
      <c r="J593" s="48">
        <v>9805002</v>
      </c>
      <c r="K593" s="48">
        <v>67.73</v>
      </c>
      <c r="M593" s="215">
        <v>45479</v>
      </c>
      <c r="N593" s="48">
        <v>2549577</v>
      </c>
      <c r="O593" s="48">
        <v>2906635</v>
      </c>
      <c r="P593" s="48">
        <v>5456212</v>
      </c>
      <c r="Q593" s="48">
        <v>46.72</v>
      </c>
      <c r="S593" s="215">
        <v>45479</v>
      </c>
      <c r="T593" s="48">
        <v>228690</v>
      </c>
      <c r="U593" s="48">
        <v>247081</v>
      </c>
      <c r="V593" s="48">
        <v>475771</v>
      </c>
      <c r="W593" s="48">
        <v>48.06</v>
      </c>
      <c r="Y593" s="215">
        <v>45479</v>
      </c>
      <c r="Z593" s="48">
        <v>1525523</v>
      </c>
      <c r="AA593" s="48">
        <v>1158376</v>
      </c>
      <c r="AB593" s="48">
        <v>2683899</v>
      </c>
      <c r="AC593" s="48">
        <v>56.83</v>
      </c>
      <c r="AE593" s="215">
        <v>45479</v>
      </c>
      <c r="AF593" s="48">
        <v>912468</v>
      </c>
      <c r="AG593" s="48">
        <v>10534</v>
      </c>
      <c r="AH593" s="48">
        <v>923002</v>
      </c>
      <c r="AI593" s="48">
        <v>98.85</v>
      </c>
      <c r="AK593" s="215">
        <v>45479</v>
      </c>
      <c r="AL593" s="67">
        <v>794646</v>
      </c>
      <c r="AM593" s="67">
        <v>839</v>
      </c>
      <c r="AN593" s="67">
        <v>795485</v>
      </c>
      <c r="AO593" s="67">
        <v>99.89</v>
      </c>
      <c r="AQ593" s="215">
        <v>45479</v>
      </c>
      <c r="AR593" s="67">
        <v>4574605</v>
      </c>
      <c r="AS593" s="67">
        <v>64358</v>
      </c>
      <c r="AT593" s="67">
        <v>4638963</v>
      </c>
      <c r="AU593" s="67">
        <v>98.61</v>
      </c>
    </row>
    <row r="594" spans="1:47" hidden="1" x14ac:dyDescent="0.25">
      <c r="A594" s="215">
        <v>45480</v>
      </c>
      <c r="B594" s="48">
        <v>10774321</v>
      </c>
      <c r="C594" s="48">
        <v>819982</v>
      </c>
      <c r="D594" s="48">
        <v>11594303</v>
      </c>
      <c r="E594" s="71">
        <v>92.9277163</v>
      </c>
      <c r="G594" s="215">
        <v>45480</v>
      </c>
      <c r="H594" s="48">
        <v>428148</v>
      </c>
      <c r="I594" s="48">
        <v>554308</v>
      </c>
      <c r="J594" s="48">
        <v>982456</v>
      </c>
      <c r="K594" s="48">
        <v>43.57</v>
      </c>
      <c r="M594" s="215">
        <v>45480</v>
      </c>
      <c r="N594" s="48">
        <v>1376710</v>
      </c>
      <c r="O594" s="48">
        <v>1833223</v>
      </c>
      <c r="P594" s="48">
        <v>3209933</v>
      </c>
      <c r="Q594" s="48">
        <v>42.889000000000003</v>
      </c>
      <c r="S594" s="215">
        <v>45480</v>
      </c>
      <c r="T594" s="48">
        <v>57982</v>
      </c>
      <c r="U594" s="48">
        <v>38449</v>
      </c>
      <c r="V594" s="48">
        <v>96431</v>
      </c>
      <c r="W594" s="48">
        <v>60.12</v>
      </c>
      <c r="Y594" s="215">
        <v>45480</v>
      </c>
      <c r="Z594" s="48">
        <v>1595284</v>
      </c>
      <c r="AA594" s="48">
        <v>1037358</v>
      </c>
      <c r="AB594" s="48">
        <v>2632642</v>
      </c>
      <c r="AC594" s="48">
        <v>60.59</v>
      </c>
      <c r="AE594" s="215">
        <v>45480</v>
      </c>
      <c r="AF594" s="48">
        <v>938957</v>
      </c>
      <c r="AG594" s="48">
        <v>8877</v>
      </c>
      <c r="AH594" s="48">
        <v>947834</v>
      </c>
      <c r="AI594" s="48">
        <v>99.063000000000002</v>
      </c>
      <c r="AK594" s="215">
        <v>45480</v>
      </c>
      <c r="AL594" s="67">
        <v>712954</v>
      </c>
      <c r="AM594" s="67">
        <v>1174</v>
      </c>
      <c r="AN594" s="67">
        <v>714128</v>
      </c>
      <c r="AO594" s="67">
        <v>99.84</v>
      </c>
      <c r="AQ594" s="215">
        <v>45480</v>
      </c>
      <c r="AR594" s="67">
        <v>302408</v>
      </c>
      <c r="AS594" s="67">
        <v>33300</v>
      </c>
      <c r="AT594" s="67">
        <v>335708</v>
      </c>
      <c r="AU594" s="67">
        <v>90.08</v>
      </c>
    </row>
    <row r="595" spans="1:47" hidden="1" x14ac:dyDescent="0.25">
      <c r="A595" s="215">
        <v>45481</v>
      </c>
      <c r="B595" s="104">
        <v>13370810</v>
      </c>
      <c r="C595" s="104">
        <v>888637</v>
      </c>
      <c r="D595" s="104">
        <v>14259447</v>
      </c>
      <c r="E595" s="104">
        <v>93.77</v>
      </c>
      <c r="G595" s="215">
        <v>45481</v>
      </c>
      <c r="H595" s="104">
        <v>476508</v>
      </c>
      <c r="I595" s="104">
        <v>221659</v>
      </c>
      <c r="J595" s="104">
        <v>698167</v>
      </c>
      <c r="K595" s="104">
        <v>68.25</v>
      </c>
      <c r="M595" s="215">
        <v>45481</v>
      </c>
      <c r="N595" s="104">
        <v>1449611</v>
      </c>
      <c r="O595" s="104">
        <v>1412159</v>
      </c>
      <c r="P595" s="104">
        <v>2861770</v>
      </c>
      <c r="Q595" s="104">
        <v>50.65</v>
      </c>
      <c r="S595" s="215">
        <v>45481</v>
      </c>
      <c r="T595" s="150">
        <v>234087</v>
      </c>
      <c r="U595" s="150">
        <v>309105</v>
      </c>
      <c r="V595" s="150">
        <v>543192</v>
      </c>
      <c r="W595" s="150">
        <v>43.09</v>
      </c>
      <c r="Y595" s="215">
        <v>45481</v>
      </c>
      <c r="Z595" s="150">
        <v>1613598</v>
      </c>
      <c r="AA595" s="150">
        <v>1386784</v>
      </c>
      <c r="AB595" s="150">
        <v>3000382</v>
      </c>
      <c r="AC595" s="150">
        <v>53.78</v>
      </c>
      <c r="AE595" s="215">
        <v>45481</v>
      </c>
      <c r="AF595" s="150">
        <v>921759</v>
      </c>
      <c r="AG595" s="150">
        <v>10022</v>
      </c>
      <c r="AH595" s="150">
        <v>931781</v>
      </c>
      <c r="AI595" s="150">
        <v>98.92</v>
      </c>
      <c r="AK595" s="215">
        <v>45481</v>
      </c>
      <c r="AL595" s="48">
        <v>550896</v>
      </c>
      <c r="AM595" s="67">
        <v>175</v>
      </c>
      <c r="AN595" s="48">
        <v>551071</v>
      </c>
      <c r="AO595" s="67">
        <v>99.97</v>
      </c>
      <c r="AQ595" s="215">
        <v>45481</v>
      </c>
      <c r="AR595" s="48">
        <v>364616</v>
      </c>
      <c r="AS595" s="67">
        <v>1816</v>
      </c>
      <c r="AT595" s="67">
        <v>366432</v>
      </c>
      <c r="AU595" s="48">
        <v>99.5</v>
      </c>
    </row>
    <row r="596" spans="1:47" hidden="1" x14ac:dyDescent="0.25">
      <c r="A596" s="215">
        <v>45482</v>
      </c>
      <c r="B596" s="101">
        <v>13106392</v>
      </c>
      <c r="C596" s="101">
        <v>866799</v>
      </c>
      <c r="D596" s="101">
        <v>13973191</v>
      </c>
      <c r="E596" s="101">
        <v>93.8</v>
      </c>
      <c r="G596" s="215">
        <v>45482</v>
      </c>
      <c r="H596" s="101">
        <v>568783</v>
      </c>
      <c r="I596" s="101">
        <v>248330</v>
      </c>
      <c r="J596" s="101">
        <v>817113</v>
      </c>
      <c r="K596" s="101">
        <v>69.61</v>
      </c>
      <c r="M596" s="215">
        <v>45482</v>
      </c>
      <c r="N596" s="101">
        <v>702471</v>
      </c>
      <c r="O596" s="101">
        <v>805076</v>
      </c>
      <c r="P596" s="101">
        <v>1507547</v>
      </c>
      <c r="Q596" s="101">
        <v>46.6</v>
      </c>
      <c r="S596" s="215">
        <v>45482</v>
      </c>
      <c r="T596" s="101">
        <v>215402</v>
      </c>
      <c r="U596" s="101">
        <v>249394</v>
      </c>
      <c r="V596" s="101">
        <v>464796</v>
      </c>
      <c r="W596" s="101">
        <v>46.34</v>
      </c>
      <c r="Y596" s="215">
        <v>45482</v>
      </c>
      <c r="Z596" s="101">
        <v>1685658</v>
      </c>
      <c r="AA596" s="101">
        <v>1292822</v>
      </c>
      <c r="AB596" s="101">
        <v>2978480</v>
      </c>
      <c r="AC596" s="101">
        <v>56.59</v>
      </c>
      <c r="AE596" s="215">
        <v>45482</v>
      </c>
      <c r="AF596" s="101">
        <v>868253</v>
      </c>
      <c r="AG596" s="101">
        <v>8860</v>
      </c>
      <c r="AH596" s="101">
        <v>877113</v>
      </c>
      <c r="AI596" s="101">
        <v>98.99</v>
      </c>
      <c r="AK596" s="215">
        <v>45482</v>
      </c>
      <c r="AL596" s="48">
        <v>592858</v>
      </c>
      <c r="AM596" s="48">
        <v>1434</v>
      </c>
      <c r="AN596" s="48">
        <v>594292</v>
      </c>
      <c r="AO596" s="48">
        <v>99.76</v>
      </c>
      <c r="AQ596" s="215">
        <v>45482</v>
      </c>
      <c r="AR596" s="48">
        <v>461676</v>
      </c>
      <c r="AS596" s="48">
        <v>787</v>
      </c>
      <c r="AT596" s="48">
        <v>462463</v>
      </c>
      <c r="AU596" s="48">
        <v>99.83</v>
      </c>
    </row>
    <row r="597" spans="1:47" hidden="1" x14ac:dyDescent="0.25">
      <c r="A597" s="215">
        <v>45483</v>
      </c>
      <c r="B597" s="173">
        <v>12559443</v>
      </c>
      <c r="C597" s="173">
        <v>934951</v>
      </c>
      <c r="D597" s="173">
        <v>13494394</v>
      </c>
      <c r="E597" s="173">
        <v>93.07</v>
      </c>
      <c r="G597" s="215">
        <v>45483</v>
      </c>
      <c r="H597" s="173">
        <v>6727320</v>
      </c>
      <c r="I597" s="173">
        <v>3224573</v>
      </c>
      <c r="J597" s="173">
        <v>9951893</v>
      </c>
      <c r="K597" s="173">
        <v>67.599999999999994</v>
      </c>
      <c r="M597" s="215">
        <v>45483</v>
      </c>
      <c r="N597" s="173">
        <v>2443869</v>
      </c>
      <c r="O597" s="173">
        <v>2213180</v>
      </c>
      <c r="P597" s="173">
        <v>4657049</v>
      </c>
      <c r="Q597" s="173">
        <v>52.48</v>
      </c>
      <c r="S597" s="215">
        <v>45483</v>
      </c>
      <c r="T597" s="173">
        <v>1401723</v>
      </c>
      <c r="U597" s="173">
        <v>2656061</v>
      </c>
      <c r="V597" s="173">
        <v>4057784</v>
      </c>
      <c r="W597" s="173">
        <v>34.54</v>
      </c>
      <c r="Y597" s="215">
        <v>45483</v>
      </c>
      <c r="Z597" s="173">
        <v>2832255</v>
      </c>
      <c r="AA597" s="173">
        <v>1794177</v>
      </c>
      <c r="AB597" s="173">
        <v>4626432</v>
      </c>
      <c r="AC597" s="173">
        <v>61.22</v>
      </c>
      <c r="AE597" s="215">
        <v>45483</v>
      </c>
      <c r="AF597" s="173">
        <v>866534</v>
      </c>
      <c r="AG597" s="173">
        <v>9276</v>
      </c>
      <c r="AH597" s="173">
        <v>875810</v>
      </c>
      <c r="AI597" s="173">
        <v>98.94</v>
      </c>
      <c r="AK597" s="215">
        <v>45483</v>
      </c>
      <c r="AL597" s="48">
        <v>792990</v>
      </c>
      <c r="AM597" s="67">
        <v>0</v>
      </c>
      <c r="AN597" s="48">
        <v>792990</v>
      </c>
      <c r="AO597" s="67">
        <v>100</v>
      </c>
      <c r="AQ597" s="215">
        <v>45483</v>
      </c>
      <c r="AR597" s="48">
        <v>4117666</v>
      </c>
      <c r="AS597" s="67">
        <v>0</v>
      </c>
      <c r="AT597" s="48">
        <v>4117666</v>
      </c>
      <c r="AU597" s="67">
        <v>100</v>
      </c>
    </row>
    <row r="598" spans="1:47" hidden="1" x14ac:dyDescent="0.25">
      <c r="A598" s="215">
        <v>45484</v>
      </c>
      <c r="B598" s="48">
        <v>12548556</v>
      </c>
      <c r="C598" s="48">
        <v>797612</v>
      </c>
      <c r="D598" s="48">
        <v>13346168</v>
      </c>
      <c r="E598" s="48">
        <v>94.02</v>
      </c>
      <c r="G598" s="215">
        <v>45484</v>
      </c>
      <c r="H598" s="48">
        <v>6579948</v>
      </c>
      <c r="I598" s="48">
        <v>3369412</v>
      </c>
      <c r="J598" s="48">
        <v>9949360</v>
      </c>
      <c r="K598" s="48">
        <v>66.13</v>
      </c>
      <c r="M598" s="215">
        <v>45484</v>
      </c>
      <c r="N598" s="48">
        <v>2975624</v>
      </c>
      <c r="O598" s="48">
        <v>2555156</v>
      </c>
      <c r="P598" s="48">
        <v>5530780</v>
      </c>
      <c r="Q598" s="48">
        <v>53.8</v>
      </c>
      <c r="S598" s="215">
        <v>45484</v>
      </c>
      <c r="T598" s="48">
        <v>1410319</v>
      </c>
      <c r="U598" s="48">
        <v>2657611</v>
      </c>
      <c r="V598" s="48">
        <v>4067930</v>
      </c>
      <c r="W598" s="48">
        <v>34.67</v>
      </c>
      <c r="Y598" s="215">
        <v>45484</v>
      </c>
      <c r="Z598" s="48">
        <v>1817023</v>
      </c>
      <c r="AA598" s="48">
        <v>1647867</v>
      </c>
      <c r="AB598" s="48">
        <v>3464890</v>
      </c>
      <c r="AC598" s="48">
        <v>52.44</v>
      </c>
      <c r="AE598" s="215">
        <v>45484</v>
      </c>
      <c r="AF598" s="48">
        <v>870625</v>
      </c>
      <c r="AG598" s="48">
        <v>8460</v>
      </c>
      <c r="AH598" s="48">
        <v>879085</v>
      </c>
      <c r="AI598" s="48">
        <v>99.04</v>
      </c>
      <c r="AK598" s="215">
        <v>45484</v>
      </c>
      <c r="AL598" s="48">
        <v>760178</v>
      </c>
      <c r="AM598" s="67">
        <v>681</v>
      </c>
      <c r="AN598" s="48">
        <v>760859</v>
      </c>
      <c r="AO598" s="48">
        <v>99.91</v>
      </c>
      <c r="AQ598" s="215">
        <v>45484</v>
      </c>
      <c r="AR598" s="48">
        <v>3947133</v>
      </c>
      <c r="AS598" s="48">
        <v>15461</v>
      </c>
      <c r="AT598" s="48">
        <v>3962594</v>
      </c>
      <c r="AU598" s="67">
        <v>99.61</v>
      </c>
    </row>
    <row r="599" spans="1:47" hidden="1" x14ac:dyDescent="0.25">
      <c r="A599" s="215">
        <v>45485</v>
      </c>
      <c r="B599" s="101">
        <v>12926335</v>
      </c>
      <c r="C599" s="101">
        <v>809853</v>
      </c>
      <c r="D599" s="101">
        <v>13736188</v>
      </c>
      <c r="E599" s="101">
        <v>94.1</v>
      </c>
      <c r="G599" s="215">
        <v>45485</v>
      </c>
      <c r="H599" s="101">
        <v>414477</v>
      </c>
      <c r="I599" s="101">
        <v>202621</v>
      </c>
      <c r="J599" s="101">
        <v>617098</v>
      </c>
      <c r="K599" s="101">
        <v>67.17</v>
      </c>
      <c r="M599" s="215">
        <v>45485</v>
      </c>
      <c r="N599" s="101">
        <v>1727725</v>
      </c>
      <c r="O599" s="101">
        <v>1531488</v>
      </c>
      <c r="P599" s="101">
        <v>3259213</v>
      </c>
      <c r="Q599" s="101">
        <v>53.01</v>
      </c>
      <c r="S599" s="215">
        <v>45485</v>
      </c>
      <c r="T599" s="101">
        <v>1183131</v>
      </c>
      <c r="U599" s="101">
        <v>2141753</v>
      </c>
      <c r="V599" s="101">
        <v>3324884</v>
      </c>
      <c r="W599" s="101">
        <v>35.58</v>
      </c>
      <c r="Y599" s="215">
        <v>45485</v>
      </c>
      <c r="Z599" s="101">
        <v>1764547</v>
      </c>
      <c r="AA599" s="101">
        <v>1373074</v>
      </c>
      <c r="AB599" s="101">
        <v>3137621</v>
      </c>
      <c r="AC599" s="101">
        <v>56.24</v>
      </c>
      <c r="AE599" s="215">
        <v>45485</v>
      </c>
      <c r="AF599" s="101">
        <v>953079</v>
      </c>
      <c r="AG599" s="101">
        <v>10411</v>
      </c>
      <c r="AH599" s="101">
        <v>963490</v>
      </c>
      <c r="AI599" s="101">
        <v>98.92</v>
      </c>
      <c r="AK599" s="215">
        <v>45485</v>
      </c>
      <c r="AL599" s="67">
        <v>784435</v>
      </c>
      <c r="AM599" s="67">
        <v>718</v>
      </c>
      <c r="AN599" s="67">
        <v>785153</v>
      </c>
      <c r="AO599" s="67">
        <v>99.91</v>
      </c>
      <c r="AQ599" s="224">
        <v>45485</v>
      </c>
      <c r="AR599" s="324">
        <v>307902</v>
      </c>
      <c r="AS599" s="319">
        <v>0</v>
      </c>
      <c r="AT599" s="324">
        <v>307902</v>
      </c>
      <c r="AU599" s="319">
        <v>100</v>
      </c>
    </row>
    <row r="600" spans="1:47" hidden="1" x14ac:dyDescent="0.25">
      <c r="A600" s="215">
        <v>45486</v>
      </c>
      <c r="B600" s="101">
        <v>12704331</v>
      </c>
      <c r="C600" s="101">
        <v>846398</v>
      </c>
      <c r="D600" s="101">
        <v>13550729</v>
      </c>
      <c r="E600" s="101">
        <v>93.75</v>
      </c>
      <c r="G600" s="215">
        <v>45486</v>
      </c>
      <c r="H600" s="101">
        <v>479824</v>
      </c>
      <c r="I600" s="101">
        <v>305185</v>
      </c>
      <c r="J600" s="101">
        <v>785009</v>
      </c>
      <c r="K600" s="101">
        <v>61.12</v>
      </c>
      <c r="M600" s="215">
        <v>45486</v>
      </c>
      <c r="N600" s="101">
        <v>2335062</v>
      </c>
      <c r="O600" s="101">
        <v>2918175</v>
      </c>
      <c r="P600" s="101">
        <v>5253237</v>
      </c>
      <c r="Q600" s="101">
        <v>44.45</v>
      </c>
      <c r="S600" s="215">
        <v>45486</v>
      </c>
      <c r="T600" s="101">
        <v>1421870</v>
      </c>
      <c r="U600" s="101">
        <v>2652176</v>
      </c>
      <c r="V600" s="101">
        <v>4074046</v>
      </c>
      <c r="W600" s="101">
        <v>34.9</v>
      </c>
      <c r="Y600" s="215">
        <v>45486</v>
      </c>
      <c r="Z600" s="101">
        <v>1667130</v>
      </c>
      <c r="AA600" s="101">
        <v>1306197</v>
      </c>
      <c r="AB600" s="101">
        <v>2973327</v>
      </c>
      <c r="AC600" s="101">
        <v>56.07</v>
      </c>
      <c r="AE600" s="215">
        <v>45486</v>
      </c>
      <c r="AF600" s="101">
        <v>913876</v>
      </c>
      <c r="AG600" s="101">
        <v>10664</v>
      </c>
      <c r="AH600" s="101">
        <v>924540</v>
      </c>
      <c r="AI600" s="101">
        <v>98.85</v>
      </c>
      <c r="AK600" s="215">
        <v>45486</v>
      </c>
      <c r="AL600" s="67">
        <v>810324</v>
      </c>
      <c r="AM600" s="67">
        <v>476</v>
      </c>
      <c r="AN600" s="67">
        <v>810800</v>
      </c>
      <c r="AO600" s="67">
        <v>99.94</v>
      </c>
      <c r="AQ600" s="215">
        <v>45486</v>
      </c>
      <c r="AR600" s="67">
        <v>333364</v>
      </c>
      <c r="AS600" s="67">
        <v>0</v>
      </c>
      <c r="AT600" s="67">
        <v>333364</v>
      </c>
      <c r="AU600" s="67">
        <v>100</v>
      </c>
    </row>
    <row r="601" spans="1:47" hidden="1" x14ac:dyDescent="0.25">
      <c r="A601" s="215">
        <v>45487</v>
      </c>
      <c r="B601" s="101">
        <v>10480935</v>
      </c>
      <c r="C601" s="101">
        <v>811168</v>
      </c>
      <c r="D601" s="101">
        <v>11292103</v>
      </c>
      <c r="E601" s="101">
        <v>92.82</v>
      </c>
      <c r="G601" s="215">
        <v>45487</v>
      </c>
      <c r="H601" s="101">
        <v>279637</v>
      </c>
      <c r="I601" s="101">
        <v>157615</v>
      </c>
      <c r="J601" s="101">
        <v>437252</v>
      </c>
      <c r="K601" s="101">
        <v>63.95</v>
      </c>
      <c r="M601" s="215">
        <v>45487</v>
      </c>
      <c r="N601" s="101">
        <v>1762526</v>
      </c>
      <c r="O601" s="101">
        <v>2230306</v>
      </c>
      <c r="P601" s="101">
        <v>3992832</v>
      </c>
      <c r="Q601" s="101">
        <v>44.14</v>
      </c>
      <c r="S601" s="215">
        <v>45487</v>
      </c>
      <c r="T601" s="101">
        <v>294029</v>
      </c>
      <c r="U601" s="101">
        <v>241955</v>
      </c>
      <c r="V601" s="101">
        <v>535984</v>
      </c>
      <c r="W601" s="101">
        <v>54.86</v>
      </c>
      <c r="Y601" s="215">
        <v>45487</v>
      </c>
      <c r="Z601" s="101">
        <v>1661038</v>
      </c>
      <c r="AA601" s="101">
        <v>1566373</v>
      </c>
      <c r="AB601" s="101">
        <v>3227411</v>
      </c>
      <c r="AC601" s="101">
        <v>51.47</v>
      </c>
      <c r="AE601" s="215">
        <v>45487</v>
      </c>
      <c r="AF601" s="101">
        <v>936977</v>
      </c>
      <c r="AG601" s="101">
        <v>9904</v>
      </c>
      <c r="AH601" s="101">
        <v>946881</v>
      </c>
      <c r="AI601" s="101">
        <v>98.95</v>
      </c>
      <c r="AK601" s="215">
        <v>45487</v>
      </c>
      <c r="AL601" s="67">
        <v>853206</v>
      </c>
      <c r="AM601" s="67">
        <v>2</v>
      </c>
      <c r="AN601" s="67">
        <v>853208</v>
      </c>
      <c r="AO601" s="67">
        <v>100</v>
      </c>
      <c r="AQ601" s="215">
        <v>45487</v>
      </c>
      <c r="AR601" s="67">
        <v>213965</v>
      </c>
      <c r="AS601" s="67">
        <v>0</v>
      </c>
      <c r="AT601" s="67">
        <v>213965</v>
      </c>
      <c r="AU601" s="67">
        <v>100</v>
      </c>
    </row>
    <row r="602" spans="1:47" hidden="1" x14ac:dyDescent="0.25">
      <c r="A602" s="215">
        <v>45488</v>
      </c>
      <c r="B602" s="101">
        <v>13137343</v>
      </c>
      <c r="C602" s="101">
        <v>818242</v>
      </c>
      <c r="D602" s="101">
        <v>13955585</v>
      </c>
      <c r="E602" s="101">
        <v>94.14</v>
      </c>
      <c r="G602" s="215">
        <v>45488</v>
      </c>
      <c r="H602" s="101">
        <v>665196</v>
      </c>
      <c r="I602" s="101">
        <v>291744</v>
      </c>
      <c r="J602" s="101">
        <v>956940</v>
      </c>
      <c r="K602" s="101">
        <v>69.510000000000005</v>
      </c>
      <c r="M602" s="215">
        <v>45488</v>
      </c>
      <c r="N602" s="101">
        <v>3249858</v>
      </c>
      <c r="O602" s="101">
        <v>3012363</v>
      </c>
      <c r="P602" s="101">
        <v>6262221</v>
      </c>
      <c r="Q602" s="101">
        <v>51.9</v>
      </c>
      <c r="S602" s="215">
        <v>45488</v>
      </c>
      <c r="T602" s="101">
        <v>2760275</v>
      </c>
      <c r="U602" s="101">
        <v>2411594</v>
      </c>
      <c r="V602" s="101">
        <v>5171869</v>
      </c>
      <c r="W602" s="101">
        <v>53.37</v>
      </c>
      <c r="Y602" s="215">
        <v>45488</v>
      </c>
      <c r="Z602" s="101">
        <v>1630761</v>
      </c>
      <c r="AA602" s="101">
        <v>1167598</v>
      </c>
      <c r="AB602" s="101">
        <v>2798359</v>
      </c>
      <c r="AC602" s="101">
        <v>58.28</v>
      </c>
      <c r="AE602" s="215">
        <v>45488</v>
      </c>
      <c r="AF602" s="101">
        <v>896417</v>
      </c>
      <c r="AG602" s="101">
        <v>9805</v>
      </c>
      <c r="AH602" s="101">
        <v>906222</v>
      </c>
      <c r="AI602" s="101">
        <v>98.92</v>
      </c>
      <c r="AK602" s="215">
        <v>45488</v>
      </c>
      <c r="AL602" s="67">
        <v>595503</v>
      </c>
      <c r="AM602" s="67">
        <v>532</v>
      </c>
      <c r="AN602" s="67">
        <v>596035</v>
      </c>
      <c r="AO602" s="67">
        <v>99.91</v>
      </c>
      <c r="AQ602" s="215">
        <v>45488</v>
      </c>
      <c r="AR602" s="48">
        <v>542849</v>
      </c>
      <c r="AS602" s="67">
        <v>0</v>
      </c>
      <c r="AT602" s="48">
        <v>542849</v>
      </c>
      <c r="AU602" s="67">
        <v>100</v>
      </c>
    </row>
    <row r="603" spans="1:47" hidden="1" x14ac:dyDescent="0.25">
      <c r="A603" s="215">
        <v>45489</v>
      </c>
      <c r="B603" s="101">
        <v>13269967</v>
      </c>
      <c r="C603" s="101">
        <v>875134</v>
      </c>
      <c r="D603" s="101">
        <v>14145101</v>
      </c>
      <c r="E603" s="101">
        <v>93.81</v>
      </c>
      <c r="G603" s="215">
        <v>45489</v>
      </c>
      <c r="H603" s="101">
        <v>5654413</v>
      </c>
      <c r="I603" s="101">
        <v>2388656</v>
      </c>
      <c r="J603" s="101">
        <v>8043069</v>
      </c>
      <c r="K603" s="101">
        <v>70.3</v>
      </c>
      <c r="M603" s="215">
        <v>45489</v>
      </c>
      <c r="N603" s="101">
        <v>358072</v>
      </c>
      <c r="O603" s="101">
        <v>566587</v>
      </c>
      <c r="P603" s="101">
        <v>924659</v>
      </c>
      <c r="Q603" s="101">
        <v>38.72</v>
      </c>
      <c r="S603" s="215">
        <v>45489</v>
      </c>
      <c r="T603" s="101">
        <v>1016692</v>
      </c>
      <c r="U603" s="101">
        <v>1417400</v>
      </c>
      <c r="V603" s="101">
        <v>2434092</v>
      </c>
      <c r="W603" s="101">
        <v>41.77</v>
      </c>
      <c r="Y603" s="215">
        <v>45489</v>
      </c>
      <c r="Z603" s="101">
        <v>1775150</v>
      </c>
      <c r="AA603" s="101">
        <v>1341739</v>
      </c>
      <c r="AB603" s="101">
        <v>3116889</v>
      </c>
      <c r="AC603" s="101">
        <v>56.95</v>
      </c>
      <c r="AE603" s="215">
        <v>45489</v>
      </c>
      <c r="AF603" s="101">
        <v>902978</v>
      </c>
      <c r="AG603" s="101">
        <v>10138</v>
      </c>
      <c r="AH603" s="101">
        <v>913116</v>
      </c>
      <c r="AI603" s="101">
        <v>98.89</v>
      </c>
      <c r="AK603" s="215">
        <v>45489</v>
      </c>
      <c r="AL603" s="67">
        <v>696479</v>
      </c>
      <c r="AM603" s="67">
        <v>133</v>
      </c>
      <c r="AN603" s="67">
        <v>696612</v>
      </c>
      <c r="AO603" s="67">
        <v>99.98</v>
      </c>
      <c r="AQ603" s="215">
        <v>45489</v>
      </c>
      <c r="AR603" s="67">
        <v>3968681</v>
      </c>
      <c r="AS603" s="67">
        <v>1289</v>
      </c>
      <c r="AT603" s="67">
        <v>3969970</v>
      </c>
      <c r="AU603" s="67">
        <v>99.97</v>
      </c>
    </row>
    <row r="604" spans="1:47" hidden="1" x14ac:dyDescent="0.25">
      <c r="A604" s="215">
        <v>45490</v>
      </c>
      <c r="B604" s="101">
        <v>12138056</v>
      </c>
      <c r="C604" s="101">
        <v>800316</v>
      </c>
      <c r="D604" s="101">
        <v>12938372</v>
      </c>
      <c r="E604" s="101">
        <v>93.81</v>
      </c>
      <c r="G604" s="215">
        <v>45490</v>
      </c>
      <c r="H604" s="101">
        <v>7761828</v>
      </c>
      <c r="I604" s="101">
        <v>3391653</v>
      </c>
      <c r="J604" s="101">
        <v>11153481</v>
      </c>
      <c r="K604" s="101">
        <v>69.59</v>
      </c>
      <c r="M604" s="215">
        <v>45490</v>
      </c>
      <c r="N604" s="101">
        <v>2546467</v>
      </c>
      <c r="O604" s="101">
        <v>2395699</v>
      </c>
      <c r="P604" s="101">
        <v>4942166</v>
      </c>
      <c r="Q604" s="101">
        <v>51.53</v>
      </c>
      <c r="S604" s="215">
        <v>45490</v>
      </c>
      <c r="T604" s="101">
        <v>2412801</v>
      </c>
      <c r="U604" s="101">
        <v>1773756</v>
      </c>
      <c r="V604" s="101">
        <v>4186557</v>
      </c>
      <c r="W604" s="101">
        <v>57.63</v>
      </c>
      <c r="Y604" s="215">
        <v>45490</v>
      </c>
      <c r="Z604" s="101">
        <v>1569648</v>
      </c>
      <c r="AA604" s="101">
        <v>1395559</v>
      </c>
      <c r="AB604" s="101">
        <v>2965207</v>
      </c>
      <c r="AC604" s="101">
        <v>52.94</v>
      </c>
      <c r="AE604" s="215">
        <v>45490</v>
      </c>
      <c r="AF604" s="101">
        <v>886062</v>
      </c>
      <c r="AG604" s="101">
        <v>10093</v>
      </c>
      <c r="AH604" s="101">
        <v>896155</v>
      </c>
      <c r="AI604" s="101">
        <v>98.87</v>
      </c>
      <c r="AK604" s="215">
        <v>45490</v>
      </c>
      <c r="AL604" s="48">
        <v>550468</v>
      </c>
      <c r="AM604" s="67">
        <v>0</v>
      </c>
      <c r="AN604" s="48">
        <v>550468</v>
      </c>
      <c r="AO604" s="67">
        <v>100</v>
      </c>
      <c r="AQ604" s="215">
        <v>45490</v>
      </c>
      <c r="AR604" s="48">
        <v>5450973</v>
      </c>
      <c r="AS604" s="67">
        <v>0</v>
      </c>
      <c r="AT604" s="48">
        <v>5450973</v>
      </c>
      <c r="AU604" s="67">
        <v>100</v>
      </c>
    </row>
    <row r="605" spans="1:47" hidden="1" x14ac:dyDescent="0.25">
      <c r="A605" s="215">
        <v>45491</v>
      </c>
      <c r="B605" s="101">
        <v>12066931</v>
      </c>
      <c r="C605" s="101">
        <v>892076</v>
      </c>
      <c r="D605" s="101">
        <v>12959007</v>
      </c>
      <c r="E605" s="101">
        <v>93.12</v>
      </c>
      <c r="G605" s="215">
        <v>45491</v>
      </c>
      <c r="H605" s="101">
        <v>1058986</v>
      </c>
      <c r="I605" s="101">
        <v>549876</v>
      </c>
      <c r="J605" s="101">
        <v>1608862</v>
      </c>
      <c r="K605" s="101">
        <v>65.819999999999993</v>
      </c>
      <c r="M605" s="215">
        <v>45491</v>
      </c>
      <c r="N605" s="101">
        <v>2762412</v>
      </c>
      <c r="O605" s="101">
        <v>2554960</v>
      </c>
      <c r="P605" s="101">
        <v>5317372</v>
      </c>
      <c r="Q605" s="101">
        <v>51.95</v>
      </c>
      <c r="R605" s="243"/>
      <c r="S605" s="215">
        <v>45491</v>
      </c>
      <c r="T605" s="101">
        <v>903784</v>
      </c>
      <c r="U605" s="101">
        <v>1400303</v>
      </c>
      <c r="V605" s="101">
        <v>2304087</v>
      </c>
      <c r="W605" s="101">
        <v>39.229999999999997</v>
      </c>
      <c r="Y605" s="215">
        <v>45491</v>
      </c>
      <c r="Z605" s="101">
        <v>1667944</v>
      </c>
      <c r="AA605" s="101">
        <v>867898</v>
      </c>
      <c r="AB605" s="101">
        <v>2535842</v>
      </c>
      <c r="AC605" s="101">
        <v>65.77</v>
      </c>
      <c r="AE605" s="215">
        <v>45491</v>
      </c>
      <c r="AF605" s="101">
        <v>903244</v>
      </c>
      <c r="AG605" s="101">
        <v>10178</v>
      </c>
      <c r="AH605" s="101">
        <v>913422</v>
      </c>
      <c r="AI605" s="101">
        <v>98.89</v>
      </c>
      <c r="AK605" s="215">
        <v>45491</v>
      </c>
      <c r="AL605" s="48">
        <v>623226</v>
      </c>
      <c r="AM605" s="67">
        <v>0</v>
      </c>
      <c r="AN605" s="48">
        <v>623226</v>
      </c>
      <c r="AO605" s="67">
        <v>100</v>
      </c>
      <c r="AQ605" s="215">
        <v>45491</v>
      </c>
      <c r="AR605" s="48">
        <v>829234</v>
      </c>
      <c r="AS605" s="67">
        <v>0</v>
      </c>
      <c r="AT605" s="48">
        <v>829234</v>
      </c>
      <c r="AU605" s="67">
        <v>100</v>
      </c>
    </row>
    <row r="606" spans="1:47" hidden="1" x14ac:dyDescent="0.25">
      <c r="A606" s="215">
        <v>45492</v>
      </c>
      <c r="B606" s="101">
        <v>13007218</v>
      </c>
      <c r="C606" s="101">
        <v>829372</v>
      </c>
      <c r="D606" s="101">
        <v>13836590</v>
      </c>
      <c r="E606" s="101">
        <v>94.01</v>
      </c>
      <c r="G606" s="215">
        <v>45492</v>
      </c>
      <c r="H606" s="101">
        <v>642253</v>
      </c>
      <c r="I606" s="101">
        <v>264958</v>
      </c>
      <c r="J606" s="101">
        <v>907211</v>
      </c>
      <c r="K606" s="101">
        <v>70.790000000000006</v>
      </c>
      <c r="M606" s="215">
        <v>45492</v>
      </c>
      <c r="N606" s="101">
        <v>2543638</v>
      </c>
      <c r="O606" s="101">
        <v>2220517</v>
      </c>
      <c r="P606" s="101">
        <v>4764155</v>
      </c>
      <c r="Q606" s="101">
        <v>53.39</v>
      </c>
      <c r="S606" s="215">
        <v>45492</v>
      </c>
      <c r="T606" s="101">
        <v>649137</v>
      </c>
      <c r="U606" s="101">
        <v>1177455</v>
      </c>
      <c r="V606" s="101">
        <v>1826592</v>
      </c>
      <c r="W606" s="101">
        <v>35.54</v>
      </c>
      <c r="Y606" s="215">
        <v>45492</v>
      </c>
      <c r="Z606" s="101">
        <v>1721480</v>
      </c>
      <c r="AA606" s="101">
        <v>928567</v>
      </c>
      <c r="AB606" s="101">
        <v>2650047</v>
      </c>
      <c r="AC606" s="101">
        <v>64.959999999999994</v>
      </c>
      <c r="AE606" s="215">
        <v>45492</v>
      </c>
      <c r="AF606" s="101">
        <v>985670</v>
      </c>
      <c r="AG606" s="101">
        <v>10213</v>
      </c>
      <c r="AH606" s="101">
        <v>995883</v>
      </c>
      <c r="AI606" s="101">
        <v>98.97</v>
      </c>
      <c r="AK606" s="215">
        <v>45492</v>
      </c>
      <c r="AL606" s="48">
        <v>825759</v>
      </c>
      <c r="AM606" s="67">
        <v>0</v>
      </c>
      <c r="AN606" s="48">
        <v>825759</v>
      </c>
      <c r="AO606" s="67">
        <v>100</v>
      </c>
      <c r="AQ606" s="215">
        <v>45492</v>
      </c>
      <c r="AR606" s="67">
        <v>538587</v>
      </c>
      <c r="AS606" s="67">
        <v>206</v>
      </c>
      <c r="AT606" s="48">
        <v>538793</v>
      </c>
      <c r="AU606" s="67">
        <v>99.96</v>
      </c>
    </row>
    <row r="607" spans="1:47" hidden="1" x14ac:dyDescent="0.25">
      <c r="A607" s="215">
        <v>45493</v>
      </c>
      <c r="B607" s="101">
        <v>12410536</v>
      </c>
      <c r="C607" s="101">
        <v>837167</v>
      </c>
      <c r="D607" s="101">
        <v>13247703</v>
      </c>
      <c r="E607" s="101">
        <v>93.68</v>
      </c>
      <c r="G607" s="215">
        <v>45493</v>
      </c>
      <c r="H607" s="101">
        <v>589014</v>
      </c>
      <c r="I607" s="101">
        <v>263783</v>
      </c>
      <c r="J607" s="101">
        <v>852797</v>
      </c>
      <c r="K607" s="101">
        <v>69.069999999999993</v>
      </c>
      <c r="M607" s="215">
        <v>45493</v>
      </c>
      <c r="N607" s="101">
        <v>3241325</v>
      </c>
      <c r="O607" s="101">
        <v>4123782</v>
      </c>
      <c r="P607" s="101">
        <v>7365107</v>
      </c>
      <c r="Q607" s="101">
        <v>44.01</v>
      </c>
      <c r="S607" s="215">
        <v>45493</v>
      </c>
      <c r="T607" s="101">
        <v>425985</v>
      </c>
      <c r="U607" s="101">
        <v>747925</v>
      </c>
      <c r="V607" s="101">
        <v>1173910</v>
      </c>
      <c r="W607" s="101">
        <v>36.29</v>
      </c>
      <c r="Y607" s="215">
        <v>45493</v>
      </c>
      <c r="Z607" s="101">
        <v>1801879</v>
      </c>
      <c r="AA607" s="101">
        <v>898956</v>
      </c>
      <c r="AB607" s="101">
        <v>2700835</v>
      </c>
      <c r="AC607" s="101">
        <v>66.72</v>
      </c>
      <c r="AE607" s="215">
        <v>45493</v>
      </c>
      <c r="AF607" s="101">
        <v>946787</v>
      </c>
      <c r="AG607" s="101">
        <v>10911</v>
      </c>
      <c r="AH607" s="101">
        <v>957698</v>
      </c>
      <c r="AI607" s="101">
        <v>98.86</v>
      </c>
      <c r="AK607" s="215">
        <v>45493</v>
      </c>
      <c r="AL607" s="48">
        <v>758496</v>
      </c>
      <c r="AM607" s="67">
        <v>0</v>
      </c>
      <c r="AN607" s="48">
        <v>758496</v>
      </c>
      <c r="AO607" s="67">
        <v>100</v>
      </c>
      <c r="AQ607" s="215">
        <v>45493</v>
      </c>
      <c r="AR607" s="48">
        <v>497700</v>
      </c>
      <c r="AS607" s="67">
        <v>0</v>
      </c>
      <c r="AT607" s="48">
        <v>497700</v>
      </c>
      <c r="AU607" s="67">
        <v>100</v>
      </c>
    </row>
    <row r="608" spans="1:47" hidden="1" x14ac:dyDescent="0.25">
      <c r="A608" s="215">
        <v>45494</v>
      </c>
      <c r="B608" s="101">
        <v>10522985</v>
      </c>
      <c r="C608" s="101">
        <v>805639</v>
      </c>
      <c r="D608" s="101">
        <v>11328624</v>
      </c>
      <c r="E608" s="101">
        <v>92.89</v>
      </c>
      <c r="G608" s="215">
        <v>45494</v>
      </c>
      <c r="H608" s="101">
        <v>595957</v>
      </c>
      <c r="I608" s="101">
        <v>249179</v>
      </c>
      <c r="J608" s="101">
        <v>845136</v>
      </c>
      <c r="K608" s="101">
        <v>70.52</v>
      </c>
      <c r="M608" s="215">
        <v>45494</v>
      </c>
      <c r="N608" s="101">
        <v>1940615</v>
      </c>
      <c r="O608" s="101">
        <v>2942045</v>
      </c>
      <c r="P608" s="101">
        <v>4882660</v>
      </c>
      <c r="Q608" s="101">
        <v>39.75</v>
      </c>
      <c r="S608" s="215">
        <v>45494</v>
      </c>
      <c r="T608" s="101">
        <v>45261</v>
      </c>
      <c r="U608" s="101">
        <v>25484</v>
      </c>
      <c r="V608" s="101">
        <v>70745</v>
      </c>
      <c r="W608" s="101">
        <v>63.98</v>
      </c>
      <c r="Y608" s="215">
        <v>45494</v>
      </c>
      <c r="Z608" s="101">
        <v>1744577</v>
      </c>
      <c r="AA608" s="101">
        <v>1090183</v>
      </c>
      <c r="AB608" s="101">
        <v>2834760</v>
      </c>
      <c r="AC608" s="101">
        <v>61.54</v>
      </c>
      <c r="AE608" s="215">
        <v>45494</v>
      </c>
      <c r="AF608" s="101">
        <v>996690</v>
      </c>
      <c r="AG608" s="101">
        <v>10970</v>
      </c>
      <c r="AH608" s="101">
        <v>1007660</v>
      </c>
      <c r="AI608" s="101">
        <v>98.91</v>
      </c>
      <c r="AK608" s="215">
        <v>45494</v>
      </c>
      <c r="AL608" s="67">
        <v>658024</v>
      </c>
      <c r="AM608" s="67">
        <v>0</v>
      </c>
      <c r="AN608" s="67">
        <v>658024</v>
      </c>
      <c r="AO608" s="67">
        <v>100</v>
      </c>
      <c r="AQ608" s="215">
        <v>45494</v>
      </c>
      <c r="AR608" s="48">
        <v>497259</v>
      </c>
      <c r="AS608" s="67">
        <v>0</v>
      </c>
      <c r="AT608" s="48">
        <v>497259</v>
      </c>
      <c r="AU608" s="67">
        <v>100</v>
      </c>
    </row>
    <row r="609" spans="1:47" hidden="1" x14ac:dyDescent="0.25">
      <c r="A609" s="215">
        <v>45495</v>
      </c>
      <c r="B609" s="101">
        <v>12702842</v>
      </c>
      <c r="C609" s="101">
        <v>803156</v>
      </c>
      <c r="D609" s="101">
        <v>13505998</v>
      </c>
      <c r="E609" s="101">
        <v>94.05</v>
      </c>
      <c r="G609" s="215">
        <v>45495</v>
      </c>
      <c r="H609" s="101">
        <v>5453880</v>
      </c>
      <c r="I609" s="101">
        <v>2001113</v>
      </c>
      <c r="J609" s="101">
        <v>7454993</v>
      </c>
      <c r="K609" s="101">
        <v>73.16</v>
      </c>
      <c r="M609" s="215">
        <v>45495</v>
      </c>
      <c r="N609" s="101">
        <v>2662955</v>
      </c>
      <c r="O609" s="101">
        <v>2912260</v>
      </c>
      <c r="P609" s="101">
        <v>5575215</v>
      </c>
      <c r="Q609" s="101">
        <v>47.76</v>
      </c>
      <c r="S609" s="215">
        <v>45495</v>
      </c>
      <c r="T609" s="101">
        <v>1370217</v>
      </c>
      <c r="U609" s="101">
        <v>2684654</v>
      </c>
      <c r="V609" s="101">
        <v>4054871</v>
      </c>
      <c r="W609" s="101">
        <v>33.79</v>
      </c>
      <c r="Y609" s="215">
        <v>45495</v>
      </c>
      <c r="Z609" s="101">
        <v>1570678</v>
      </c>
      <c r="AA609" s="101">
        <v>886097</v>
      </c>
      <c r="AB609" s="101">
        <v>2456775</v>
      </c>
      <c r="AC609" s="101">
        <v>63.93</v>
      </c>
      <c r="AE609" s="215">
        <v>45495</v>
      </c>
      <c r="AF609" s="101">
        <v>916054</v>
      </c>
      <c r="AG609" s="101">
        <v>11198</v>
      </c>
      <c r="AH609" s="101">
        <v>927252</v>
      </c>
      <c r="AI609" s="101">
        <v>98.79</v>
      </c>
      <c r="AK609" s="215">
        <v>45495</v>
      </c>
      <c r="AL609" s="48">
        <v>496286</v>
      </c>
      <c r="AM609" s="48">
        <v>338</v>
      </c>
      <c r="AN609" s="48">
        <v>496624</v>
      </c>
      <c r="AO609" s="48">
        <v>99.93</v>
      </c>
      <c r="AQ609" s="215">
        <v>45495</v>
      </c>
      <c r="AR609" s="1">
        <v>3906759</v>
      </c>
      <c r="AS609" s="67">
        <v>0</v>
      </c>
      <c r="AT609" s="1">
        <v>3906759</v>
      </c>
      <c r="AU609" s="67">
        <v>100</v>
      </c>
    </row>
    <row r="610" spans="1:47" hidden="1" x14ac:dyDescent="0.25">
      <c r="A610" s="215">
        <v>45496</v>
      </c>
      <c r="B610" s="101">
        <v>12832213</v>
      </c>
      <c r="C610" s="101">
        <v>850044</v>
      </c>
      <c r="D610" s="101">
        <v>13682257</v>
      </c>
      <c r="E610" s="101">
        <v>93.79</v>
      </c>
      <c r="G610" s="215">
        <v>45496</v>
      </c>
      <c r="H610" s="101">
        <v>8551036</v>
      </c>
      <c r="I610" s="101">
        <v>3248765</v>
      </c>
      <c r="J610" s="101">
        <v>11799801</v>
      </c>
      <c r="K610" s="101">
        <v>72.47</v>
      </c>
      <c r="M610" s="215">
        <v>45496</v>
      </c>
      <c r="N610" s="101">
        <v>879993</v>
      </c>
      <c r="O610" s="101">
        <v>1001508</v>
      </c>
      <c r="P610" s="101">
        <v>1881501</v>
      </c>
      <c r="Q610" s="101">
        <v>46.77</v>
      </c>
      <c r="S610" s="215">
        <v>45496</v>
      </c>
      <c r="T610" s="101">
        <v>1713322</v>
      </c>
      <c r="U610" s="101">
        <v>2411365</v>
      </c>
      <c r="V610" s="101">
        <v>4124687</v>
      </c>
      <c r="W610" s="101">
        <v>41.54</v>
      </c>
      <c r="Y610" s="215">
        <v>45496</v>
      </c>
      <c r="Z610" s="101">
        <v>1528327</v>
      </c>
      <c r="AA610" s="101">
        <v>683915</v>
      </c>
      <c r="AB610" s="101">
        <v>2212242</v>
      </c>
      <c r="AC610" s="101">
        <v>69.08</v>
      </c>
      <c r="AE610" s="215">
        <v>45496</v>
      </c>
      <c r="AF610" s="101">
        <v>880777</v>
      </c>
      <c r="AG610" s="101">
        <v>10235</v>
      </c>
      <c r="AH610" s="101">
        <v>891012</v>
      </c>
      <c r="AI610" s="101">
        <v>98.85</v>
      </c>
      <c r="AK610" s="215">
        <v>45496</v>
      </c>
      <c r="AL610" s="48">
        <v>635450</v>
      </c>
      <c r="AM610" s="48">
        <v>434</v>
      </c>
      <c r="AN610" s="67">
        <v>635884</v>
      </c>
      <c r="AO610" s="48">
        <v>99.93</v>
      </c>
      <c r="AQ610" s="215">
        <v>45496</v>
      </c>
      <c r="AR610" s="115">
        <v>6080707</v>
      </c>
      <c r="AS610" s="67">
        <v>0</v>
      </c>
      <c r="AT610" s="115">
        <v>6080707</v>
      </c>
      <c r="AU610" s="67">
        <v>100</v>
      </c>
    </row>
    <row r="611" spans="1:47" hidden="1" x14ac:dyDescent="0.25">
      <c r="A611" s="215">
        <v>45497</v>
      </c>
      <c r="B611" s="101">
        <v>11800026</v>
      </c>
      <c r="C611" s="101">
        <v>756668</v>
      </c>
      <c r="D611" s="101">
        <v>12556694</v>
      </c>
      <c r="E611" s="101">
        <v>93.97</v>
      </c>
      <c r="G611" s="215">
        <v>45497</v>
      </c>
      <c r="H611" s="101">
        <v>2021062</v>
      </c>
      <c r="I611" s="101">
        <v>905285</v>
      </c>
      <c r="J611" s="101">
        <v>2926347</v>
      </c>
      <c r="K611" s="101">
        <v>69.06</v>
      </c>
      <c r="M611" s="215">
        <v>45497</v>
      </c>
      <c r="N611" s="101">
        <v>3020956</v>
      </c>
      <c r="O611" s="101">
        <v>3065718</v>
      </c>
      <c r="P611" s="101">
        <v>6086674</v>
      </c>
      <c r="Q611" s="101">
        <v>49.63</v>
      </c>
      <c r="S611" s="215">
        <v>45497</v>
      </c>
      <c r="T611" s="101">
        <v>1416248</v>
      </c>
      <c r="U611" s="101">
        <v>2687063</v>
      </c>
      <c r="V611" s="101">
        <v>4103311</v>
      </c>
      <c r="W611" s="101">
        <v>34.51</v>
      </c>
      <c r="Y611" s="215">
        <v>45497</v>
      </c>
      <c r="Z611" s="101">
        <v>1605628</v>
      </c>
      <c r="AA611" s="101">
        <v>742728</v>
      </c>
      <c r="AB611" s="101">
        <v>2348356</v>
      </c>
      <c r="AC611" s="101">
        <v>68.37</v>
      </c>
      <c r="AE611" s="215">
        <v>45497</v>
      </c>
      <c r="AF611" s="101">
        <v>869602</v>
      </c>
      <c r="AG611" s="101">
        <v>9995</v>
      </c>
      <c r="AH611" s="101">
        <v>879597</v>
      </c>
      <c r="AI611" s="101">
        <v>98.86</v>
      </c>
      <c r="AK611" s="215">
        <v>45497</v>
      </c>
      <c r="AL611" s="48">
        <v>623208</v>
      </c>
      <c r="AM611" s="67">
        <v>0</v>
      </c>
      <c r="AN611" s="48">
        <v>623208</v>
      </c>
      <c r="AO611" s="67">
        <v>100</v>
      </c>
      <c r="AQ611" s="215">
        <v>45497</v>
      </c>
      <c r="AR611" s="1">
        <v>1525728</v>
      </c>
      <c r="AS611" s="67">
        <v>296</v>
      </c>
      <c r="AT611" s="1">
        <v>1526024</v>
      </c>
      <c r="AU611" s="67">
        <v>99.98</v>
      </c>
    </row>
    <row r="612" spans="1:47" hidden="1" x14ac:dyDescent="0.25">
      <c r="A612" s="215">
        <v>45498</v>
      </c>
      <c r="B612" s="173">
        <v>12009377</v>
      </c>
      <c r="C612" s="173">
        <v>880690</v>
      </c>
      <c r="D612" s="173">
        <v>12890067</v>
      </c>
      <c r="E612" s="173">
        <v>93.17</v>
      </c>
      <c r="G612" s="215">
        <v>45498</v>
      </c>
      <c r="H612" s="173">
        <v>579088</v>
      </c>
      <c r="I612" s="173">
        <v>253176</v>
      </c>
      <c r="J612" s="173">
        <v>832264</v>
      </c>
      <c r="K612" s="173">
        <v>69.58</v>
      </c>
      <c r="M612" s="215">
        <v>45498</v>
      </c>
      <c r="N612" s="173">
        <v>3051594</v>
      </c>
      <c r="O612" s="173">
        <v>3311426</v>
      </c>
      <c r="P612" s="173">
        <v>6363020</v>
      </c>
      <c r="Q612" s="173">
        <v>47.96</v>
      </c>
      <c r="S612" s="215">
        <v>45498</v>
      </c>
      <c r="T612" s="101">
        <v>1320787</v>
      </c>
      <c r="U612" s="101">
        <v>2731966</v>
      </c>
      <c r="V612" s="101">
        <v>4052753</v>
      </c>
      <c r="W612" s="101">
        <v>32.590000000000003</v>
      </c>
      <c r="Y612" s="215">
        <v>45498</v>
      </c>
      <c r="Z612" s="101">
        <v>1636992</v>
      </c>
      <c r="AA612" s="101">
        <v>882824</v>
      </c>
      <c r="AB612" s="101">
        <v>2519816</v>
      </c>
      <c r="AC612" s="101">
        <v>64.959999999999994</v>
      </c>
      <c r="AE612" s="215">
        <v>45498</v>
      </c>
      <c r="AF612" s="101">
        <v>873732</v>
      </c>
      <c r="AG612" s="101">
        <v>10007</v>
      </c>
      <c r="AH612" s="101">
        <v>883739</v>
      </c>
      <c r="AI612" s="101">
        <v>98.87</v>
      </c>
      <c r="AK612" s="215">
        <v>45498</v>
      </c>
      <c r="AL612" s="48">
        <v>529356</v>
      </c>
      <c r="AM612" s="67">
        <v>0</v>
      </c>
      <c r="AN612" s="48">
        <v>529356</v>
      </c>
      <c r="AO612" s="67">
        <v>100</v>
      </c>
      <c r="AQ612" s="215">
        <v>45498</v>
      </c>
      <c r="AR612" s="1">
        <v>487647</v>
      </c>
      <c r="AS612" s="67">
        <v>577</v>
      </c>
      <c r="AT612" s="115">
        <v>488224</v>
      </c>
      <c r="AU612" s="67">
        <v>99.88</v>
      </c>
    </row>
    <row r="613" spans="1:47" hidden="1" x14ac:dyDescent="0.25">
      <c r="A613" s="215">
        <v>45499</v>
      </c>
      <c r="B613" s="48">
        <v>12883583</v>
      </c>
      <c r="C613" s="48">
        <v>916588</v>
      </c>
      <c r="D613" s="48">
        <v>13800171</v>
      </c>
      <c r="E613" s="48">
        <v>93.35</v>
      </c>
      <c r="G613" s="215">
        <v>45499</v>
      </c>
      <c r="H613" s="48">
        <v>659794</v>
      </c>
      <c r="I613" s="48">
        <v>257249</v>
      </c>
      <c r="J613" s="48">
        <v>917043</v>
      </c>
      <c r="K613" s="48">
        <v>71.94</v>
      </c>
      <c r="M613" s="215">
        <v>45499</v>
      </c>
      <c r="N613" s="48">
        <v>1765466</v>
      </c>
      <c r="O613" s="48">
        <v>1247448</v>
      </c>
      <c r="P613" s="48">
        <v>3012914</v>
      </c>
      <c r="Q613" s="48">
        <v>58.59</v>
      </c>
      <c r="S613" s="215">
        <v>45499</v>
      </c>
      <c r="T613">
        <v>1181624</v>
      </c>
      <c r="U613">
        <v>2565712</v>
      </c>
      <c r="V613">
        <v>3747336</v>
      </c>
      <c r="W613">
        <v>31.53</v>
      </c>
      <c r="Y613" s="215">
        <v>45499</v>
      </c>
      <c r="Z613">
        <v>1568623</v>
      </c>
      <c r="AA613">
        <v>1192025</v>
      </c>
      <c r="AB613">
        <v>2760648</v>
      </c>
      <c r="AC613">
        <v>56.82</v>
      </c>
      <c r="AE613" s="215">
        <v>45499</v>
      </c>
      <c r="AF613">
        <v>933048</v>
      </c>
      <c r="AG613">
        <v>16990</v>
      </c>
      <c r="AH613">
        <v>950038</v>
      </c>
      <c r="AI613">
        <v>98.21</v>
      </c>
      <c r="AK613" s="215">
        <v>45499</v>
      </c>
      <c r="AL613" s="74">
        <v>708528</v>
      </c>
      <c r="AM613" s="74">
        <v>1301</v>
      </c>
      <c r="AN613" s="74">
        <v>709829</v>
      </c>
      <c r="AO613" s="74">
        <v>99.82</v>
      </c>
      <c r="AQ613" s="215">
        <v>45499</v>
      </c>
      <c r="AR613">
        <v>555850</v>
      </c>
      <c r="AS613" s="119">
        <v>0</v>
      </c>
      <c r="AT613">
        <v>555850</v>
      </c>
      <c r="AU613" s="119">
        <v>100</v>
      </c>
    </row>
    <row r="614" spans="1:47" hidden="1" x14ac:dyDescent="0.25">
      <c r="A614" s="215">
        <v>45500</v>
      </c>
      <c r="B614" s="48">
        <v>12577185</v>
      </c>
      <c r="C614" s="48">
        <v>854723</v>
      </c>
      <c r="D614" s="48">
        <v>13431908</v>
      </c>
      <c r="E614" s="48">
        <v>93.63</v>
      </c>
      <c r="G614" s="215">
        <v>45500</v>
      </c>
      <c r="H614" s="48">
        <v>580223</v>
      </c>
      <c r="I614" s="48">
        <v>254558</v>
      </c>
      <c r="J614" s="48">
        <v>834781</v>
      </c>
      <c r="K614" s="48">
        <v>69.5</v>
      </c>
      <c r="M614" s="215">
        <v>45500</v>
      </c>
      <c r="N614" s="48">
        <v>3980121</v>
      </c>
      <c r="O614" s="48">
        <v>3829442</v>
      </c>
      <c r="P614" s="48">
        <v>7809563</v>
      </c>
      <c r="Q614" s="48">
        <v>50.96</v>
      </c>
      <c r="S614" s="215">
        <v>45500</v>
      </c>
      <c r="T614">
        <v>1370878</v>
      </c>
      <c r="U614">
        <v>2710303</v>
      </c>
      <c r="V614">
        <v>4081181</v>
      </c>
      <c r="W614">
        <v>33.590000000000003</v>
      </c>
      <c r="Y614" s="215">
        <v>45500</v>
      </c>
      <c r="Z614">
        <v>1448411</v>
      </c>
      <c r="AA614">
        <v>709861</v>
      </c>
      <c r="AB614">
        <v>2158272</v>
      </c>
      <c r="AC614">
        <v>67.099999999999994</v>
      </c>
      <c r="AE614" s="215">
        <v>45500</v>
      </c>
      <c r="AF614">
        <v>851088</v>
      </c>
      <c r="AG614">
        <v>9706</v>
      </c>
      <c r="AH614">
        <v>860794</v>
      </c>
      <c r="AI614">
        <v>98.87</v>
      </c>
      <c r="AK614" s="215">
        <v>45500</v>
      </c>
      <c r="AL614" s="74">
        <v>714469</v>
      </c>
      <c r="AM614" s="74">
        <v>176</v>
      </c>
      <c r="AN614" s="74">
        <v>714645</v>
      </c>
      <c r="AO614" s="74">
        <v>99.98</v>
      </c>
      <c r="AQ614" s="215">
        <v>45500</v>
      </c>
      <c r="AR614">
        <v>489398</v>
      </c>
      <c r="AS614" s="119">
        <v>0</v>
      </c>
      <c r="AT614">
        <v>489398</v>
      </c>
      <c r="AU614" s="119">
        <v>100</v>
      </c>
    </row>
    <row r="615" spans="1:47" hidden="1" x14ac:dyDescent="0.25">
      <c r="A615" s="215">
        <v>45501</v>
      </c>
      <c r="B615" s="48">
        <v>10539621</v>
      </c>
      <c r="C615" s="48">
        <v>788466</v>
      </c>
      <c r="D615" s="48">
        <v>11328087</v>
      </c>
      <c r="E615" s="48">
        <v>93.03</v>
      </c>
      <c r="G615" s="215">
        <v>45501</v>
      </c>
      <c r="H615" s="48">
        <v>581846</v>
      </c>
      <c r="I615" s="48">
        <v>249305</v>
      </c>
      <c r="J615" s="48">
        <v>831151</v>
      </c>
      <c r="K615" s="48">
        <v>70</v>
      </c>
      <c r="M615" s="215">
        <v>45501</v>
      </c>
      <c r="N615" s="48">
        <v>1362942</v>
      </c>
      <c r="O615" s="48">
        <v>1853703</v>
      </c>
      <c r="P615" s="48">
        <v>3216645</v>
      </c>
      <c r="Q615" s="48">
        <v>42.37</v>
      </c>
      <c r="S615" s="215">
        <v>45501</v>
      </c>
      <c r="T615">
        <v>82904</v>
      </c>
      <c r="U615">
        <v>50494</v>
      </c>
      <c r="V615">
        <v>133398</v>
      </c>
      <c r="W615">
        <v>62.14</v>
      </c>
      <c r="Y615" s="215">
        <v>45501</v>
      </c>
      <c r="Z615">
        <v>1384794</v>
      </c>
      <c r="AA615">
        <v>741584</v>
      </c>
      <c r="AB615">
        <v>2126378</v>
      </c>
      <c r="AC615">
        <v>65.12</v>
      </c>
      <c r="AE615" s="215">
        <v>45501</v>
      </c>
      <c r="AF615">
        <v>830993</v>
      </c>
      <c r="AG615">
        <v>8064</v>
      </c>
      <c r="AH615">
        <v>839057</v>
      </c>
      <c r="AI615">
        <v>99.03</v>
      </c>
      <c r="AK615" s="224">
        <v>45501</v>
      </c>
      <c r="AL615" s="324">
        <v>695832</v>
      </c>
      <c r="AM615" s="324">
        <v>0</v>
      </c>
      <c r="AN615" s="324">
        <v>695832</v>
      </c>
      <c r="AO615" s="324">
        <v>100</v>
      </c>
      <c r="AQ615" s="224">
        <v>45501</v>
      </c>
      <c r="AR615">
        <v>482897</v>
      </c>
      <c r="AS615" s="119">
        <v>0</v>
      </c>
      <c r="AT615">
        <v>482897</v>
      </c>
      <c r="AU615" s="119">
        <v>100</v>
      </c>
    </row>
    <row r="616" spans="1:47" hidden="1" x14ac:dyDescent="0.25">
      <c r="A616" s="224">
        <v>45502</v>
      </c>
      <c r="B616" s="173">
        <v>12725712</v>
      </c>
      <c r="C616" s="173">
        <v>831713</v>
      </c>
      <c r="D616" s="173">
        <v>13557425</v>
      </c>
      <c r="E616" s="173">
        <v>93.87</v>
      </c>
      <c r="G616" s="215">
        <v>45502</v>
      </c>
      <c r="H616" s="101">
        <v>636785</v>
      </c>
      <c r="I616" s="101">
        <v>268093</v>
      </c>
      <c r="J616" s="101">
        <v>904878</v>
      </c>
      <c r="K616" s="101">
        <v>70.37</v>
      </c>
      <c r="M616" s="215">
        <v>45502</v>
      </c>
      <c r="N616" s="101">
        <v>2529782</v>
      </c>
      <c r="O616" s="101">
        <v>2568875</v>
      </c>
      <c r="P616" s="101">
        <v>5098657</v>
      </c>
      <c r="Q616" s="101">
        <v>49.62</v>
      </c>
      <c r="S616" s="215">
        <v>45502</v>
      </c>
      <c r="T616" s="101">
        <v>1218866</v>
      </c>
      <c r="U616" s="101">
        <v>2346902</v>
      </c>
      <c r="V616" s="101">
        <v>3565768</v>
      </c>
      <c r="W616" s="101">
        <v>34.18</v>
      </c>
      <c r="Y616" s="215">
        <v>45502</v>
      </c>
      <c r="Z616" s="101">
        <v>1346214</v>
      </c>
      <c r="AA616" s="101">
        <v>897589</v>
      </c>
      <c r="AB616" s="101">
        <v>2243803</v>
      </c>
      <c r="AC616" s="101">
        <v>60</v>
      </c>
      <c r="AE616" s="215">
        <v>45502</v>
      </c>
      <c r="AF616" s="101">
        <v>814174</v>
      </c>
      <c r="AG616" s="101">
        <v>9162</v>
      </c>
      <c r="AH616" s="101">
        <v>823336</v>
      </c>
      <c r="AI616" s="101">
        <v>98.89</v>
      </c>
      <c r="AK616" s="215">
        <v>45502</v>
      </c>
      <c r="AL616" s="48">
        <v>811372</v>
      </c>
      <c r="AM616" s="67">
        <v>0</v>
      </c>
      <c r="AN616" s="48">
        <v>811372</v>
      </c>
      <c r="AO616" s="67">
        <v>100</v>
      </c>
      <c r="AQ616" s="215">
        <v>45502</v>
      </c>
      <c r="AR616" s="48">
        <v>536748</v>
      </c>
      <c r="AS616" s="67">
        <v>0</v>
      </c>
      <c r="AT616" s="48">
        <v>536748</v>
      </c>
      <c r="AU616" s="67">
        <v>100</v>
      </c>
    </row>
    <row r="617" spans="1:47" hidden="1" x14ac:dyDescent="0.25">
      <c r="A617" s="215">
        <v>45503</v>
      </c>
      <c r="B617" s="104">
        <v>13486000</v>
      </c>
      <c r="C617" s="104">
        <v>922806</v>
      </c>
      <c r="D617" s="104">
        <v>14408806</v>
      </c>
      <c r="E617" s="104">
        <v>93.6</v>
      </c>
      <c r="G617" s="215">
        <v>45503</v>
      </c>
      <c r="H617" s="101">
        <v>593645</v>
      </c>
      <c r="I617" s="101">
        <v>264844</v>
      </c>
      <c r="J617" s="101">
        <v>858489</v>
      </c>
      <c r="K617" s="101">
        <v>69.150000000000006</v>
      </c>
      <c r="M617" s="215">
        <v>45503</v>
      </c>
      <c r="N617" s="101">
        <v>2255521</v>
      </c>
      <c r="O617" s="101">
        <v>1479561</v>
      </c>
      <c r="P617" s="101">
        <v>3735082</v>
      </c>
      <c r="Q617" s="101">
        <v>60.39</v>
      </c>
      <c r="S617" s="215">
        <v>45503</v>
      </c>
      <c r="T617" s="101">
        <v>478007</v>
      </c>
      <c r="U617" s="101">
        <v>1001287</v>
      </c>
      <c r="V617" s="101">
        <v>1479294</v>
      </c>
      <c r="W617" s="101">
        <v>32.31</v>
      </c>
      <c r="Y617" s="215">
        <v>45503</v>
      </c>
      <c r="Z617" s="101">
        <v>1629687</v>
      </c>
      <c r="AA617" s="101">
        <v>1382644</v>
      </c>
      <c r="AB617" s="101">
        <v>3012331</v>
      </c>
      <c r="AC617" s="101">
        <v>54.1</v>
      </c>
      <c r="AE617" s="215">
        <v>45503</v>
      </c>
      <c r="AF617" s="101">
        <v>871993</v>
      </c>
      <c r="AG617" s="101">
        <v>8575</v>
      </c>
      <c r="AH617" s="101">
        <v>880568</v>
      </c>
      <c r="AI617" s="101">
        <v>99.03</v>
      </c>
      <c r="AK617" s="215">
        <v>45503</v>
      </c>
      <c r="AL617" s="48">
        <v>752862</v>
      </c>
      <c r="AM617" s="67">
        <v>0</v>
      </c>
      <c r="AN617" s="48">
        <v>752862</v>
      </c>
      <c r="AO617" s="67">
        <v>100</v>
      </c>
      <c r="AQ617" s="215">
        <v>45503</v>
      </c>
      <c r="AR617" s="48">
        <v>491217</v>
      </c>
      <c r="AS617" s="48">
        <v>735</v>
      </c>
      <c r="AT617" s="48">
        <v>491952</v>
      </c>
      <c r="AU617" s="48">
        <v>99.85</v>
      </c>
    </row>
    <row r="618" spans="1:47" hidden="1" x14ac:dyDescent="0.25">
      <c r="A618" s="215">
        <v>45504</v>
      </c>
      <c r="B618" s="104">
        <v>12978112</v>
      </c>
      <c r="C618" s="104">
        <v>1065317</v>
      </c>
      <c r="D618" s="104">
        <v>14043429</v>
      </c>
      <c r="E618" s="104">
        <v>92.41</v>
      </c>
      <c r="G618" s="215">
        <v>45504</v>
      </c>
      <c r="H618" s="101">
        <v>585468</v>
      </c>
      <c r="I618" s="101">
        <v>254151</v>
      </c>
      <c r="J618" s="101">
        <v>839619</v>
      </c>
      <c r="K618" s="101">
        <v>69.73</v>
      </c>
      <c r="M618" s="215">
        <v>45504</v>
      </c>
      <c r="N618" s="101">
        <v>3508447</v>
      </c>
      <c r="O618" s="101">
        <v>2882232</v>
      </c>
      <c r="P618" s="101">
        <v>6390679</v>
      </c>
      <c r="Q618" s="101">
        <v>54.9</v>
      </c>
      <c r="S618" s="215">
        <v>45504</v>
      </c>
      <c r="T618" s="101">
        <v>668240</v>
      </c>
      <c r="U618" s="101">
        <v>1404958</v>
      </c>
      <c r="V618" s="101">
        <v>2073198</v>
      </c>
      <c r="W618" s="101">
        <v>32.229999999999997</v>
      </c>
      <c r="Y618" s="215">
        <v>45504</v>
      </c>
      <c r="Z618" s="101">
        <v>1377214</v>
      </c>
      <c r="AA618" s="101">
        <v>1200662</v>
      </c>
      <c r="AB618" s="101">
        <v>2577876</v>
      </c>
      <c r="AC618" s="101">
        <v>53.42</v>
      </c>
      <c r="AE618" s="215">
        <v>45504</v>
      </c>
      <c r="AF618" s="101">
        <v>872458</v>
      </c>
      <c r="AG618" s="101">
        <v>9317</v>
      </c>
      <c r="AH618" s="101">
        <v>881775</v>
      </c>
      <c r="AI618" s="101">
        <v>98.94</v>
      </c>
      <c r="AK618" s="215">
        <v>45504</v>
      </c>
      <c r="AL618" s="67">
        <v>548459</v>
      </c>
      <c r="AM618" s="67">
        <v>148</v>
      </c>
      <c r="AN618" s="67">
        <v>548607</v>
      </c>
      <c r="AO618" s="67">
        <v>99.97</v>
      </c>
      <c r="AQ618" s="215">
        <v>45504</v>
      </c>
      <c r="AR618" s="67">
        <v>490679</v>
      </c>
      <c r="AS618" s="67">
        <v>652</v>
      </c>
      <c r="AT618" s="67">
        <v>491331</v>
      </c>
      <c r="AU618" s="67">
        <v>99.87</v>
      </c>
    </row>
    <row r="619" spans="1:47" hidden="1" x14ac:dyDescent="0.25">
      <c r="A619" s="215">
        <v>45505</v>
      </c>
      <c r="B619" s="104">
        <v>12325596</v>
      </c>
      <c r="C619" s="104">
        <v>1382862</v>
      </c>
      <c r="D619" s="104">
        <v>13708458</v>
      </c>
      <c r="E619" s="104">
        <v>89.91</v>
      </c>
      <c r="G619" s="215">
        <v>45505</v>
      </c>
      <c r="H619" s="101">
        <v>257432</v>
      </c>
      <c r="I619" s="101">
        <v>134502</v>
      </c>
      <c r="J619" s="101">
        <v>391934</v>
      </c>
      <c r="K619" s="101">
        <v>65.680000000000007</v>
      </c>
      <c r="M619" s="215">
        <v>45505</v>
      </c>
      <c r="N619" s="101">
        <v>3310868</v>
      </c>
      <c r="O619" s="101">
        <v>2840404</v>
      </c>
      <c r="P619" s="101">
        <v>6151272</v>
      </c>
      <c r="Q619" s="101">
        <v>53.82</v>
      </c>
      <c r="S619" s="215">
        <v>45505</v>
      </c>
      <c r="T619" s="101">
        <v>295324</v>
      </c>
      <c r="U619" s="101">
        <v>609547</v>
      </c>
      <c r="V619" s="101">
        <v>904871</v>
      </c>
      <c r="W619" s="101">
        <v>32.64</v>
      </c>
      <c r="Y619" s="224">
        <v>45505</v>
      </c>
      <c r="Z619" s="173">
        <v>1534582</v>
      </c>
      <c r="AA619" s="173">
        <v>1115050</v>
      </c>
      <c r="AB619" s="173">
        <v>2649632</v>
      </c>
      <c r="AC619" s="173">
        <v>57.92</v>
      </c>
      <c r="AE619" s="215">
        <v>45505</v>
      </c>
      <c r="AF619" s="101">
        <v>883927</v>
      </c>
      <c r="AG619" s="101">
        <v>9598</v>
      </c>
      <c r="AH619" s="101">
        <v>893525</v>
      </c>
      <c r="AI619" s="101">
        <v>98.93</v>
      </c>
      <c r="AK619" s="215">
        <v>45505</v>
      </c>
      <c r="AL619" s="67">
        <v>519419</v>
      </c>
      <c r="AM619" s="67">
        <v>11</v>
      </c>
      <c r="AN619" s="67">
        <v>519430</v>
      </c>
      <c r="AO619" s="67">
        <v>100</v>
      </c>
      <c r="AQ619" s="215">
        <v>45505</v>
      </c>
      <c r="AR619" s="67">
        <v>201621</v>
      </c>
      <c r="AS619" s="67">
        <v>0</v>
      </c>
      <c r="AT619" s="67">
        <v>201621</v>
      </c>
      <c r="AU619" s="67">
        <v>100</v>
      </c>
    </row>
    <row r="620" spans="1:47" hidden="1" x14ac:dyDescent="0.25">
      <c r="A620" s="215">
        <v>45506</v>
      </c>
      <c r="B620" s="48">
        <v>13243273</v>
      </c>
      <c r="C620" s="48">
        <v>843648</v>
      </c>
      <c r="D620" s="48">
        <v>14086921</v>
      </c>
      <c r="E620" s="48">
        <v>94.01</v>
      </c>
      <c r="G620" s="224">
        <v>45506</v>
      </c>
      <c r="H620">
        <v>271651</v>
      </c>
      <c r="I620">
        <v>134091</v>
      </c>
      <c r="J620">
        <v>405742</v>
      </c>
      <c r="K620">
        <v>66.95</v>
      </c>
      <c r="M620" s="224">
        <v>45506</v>
      </c>
      <c r="N620">
        <v>2228598</v>
      </c>
      <c r="O620">
        <v>1395339</v>
      </c>
      <c r="P620">
        <v>3623937</v>
      </c>
      <c r="Q620">
        <v>61.49</v>
      </c>
      <c r="S620" s="224">
        <v>45506</v>
      </c>
      <c r="T620">
        <v>526343</v>
      </c>
      <c r="U620">
        <v>1088213</v>
      </c>
      <c r="V620">
        <v>1614556</v>
      </c>
      <c r="W620">
        <v>32.590000000000003</v>
      </c>
      <c r="Y620" s="215">
        <v>45506</v>
      </c>
      <c r="Z620" s="1">
        <v>1554650</v>
      </c>
      <c r="AA620" s="1">
        <v>1247406</v>
      </c>
      <c r="AB620" s="1">
        <v>2802056</v>
      </c>
      <c r="AC620" s="1">
        <v>55.482399999999998</v>
      </c>
      <c r="AE620" s="224">
        <v>45506</v>
      </c>
      <c r="AF620">
        <v>968246</v>
      </c>
      <c r="AG620">
        <v>9766</v>
      </c>
      <c r="AH620">
        <v>978012</v>
      </c>
      <c r="AI620">
        <v>99</v>
      </c>
      <c r="AK620" s="215">
        <v>45506</v>
      </c>
      <c r="AL620" s="48">
        <v>615370</v>
      </c>
      <c r="AM620" s="67">
        <v>1245</v>
      </c>
      <c r="AN620" s="48">
        <v>616615</v>
      </c>
      <c r="AO620" s="67">
        <v>99.8</v>
      </c>
      <c r="AQ620" s="215">
        <v>45506</v>
      </c>
      <c r="AR620" s="67">
        <v>216405</v>
      </c>
      <c r="AS620" s="67">
        <v>0</v>
      </c>
      <c r="AT620" s="67">
        <v>216405</v>
      </c>
      <c r="AU620" s="67">
        <v>100</v>
      </c>
    </row>
    <row r="621" spans="1:47" hidden="1" x14ac:dyDescent="0.25">
      <c r="A621" s="215">
        <v>45507</v>
      </c>
      <c r="B621" s="48">
        <v>12513946</v>
      </c>
      <c r="C621" s="48">
        <v>805117</v>
      </c>
      <c r="D621" s="48">
        <v>13319063</v>
      </c>
      <c r="E621" s="48">
        <v>93.95</v>
      </c>
      <c r="G621" s="215">
        <v>45507</v>
      </c>
      <c r="H621" s="48">
        <v>277420</v>
      </c>
      <c r="I621" s="48">
        <v>142981</v>
      </c>
      <c r="J621" s="48">
        <v>420401</v>
      </c>
      <c r="K621" s="48">
        <v>65.98</v>
      </c>
      <c r="M621" s="215">
        <v>45507</v>
      </c>
      <c r="N621" s="48">
        <v>2621832</v>
      </c>
      <c r="O621" s="48">
        <v>3530046</v>
      </c>
      <c r="P621" s="48">
        <v>6151878</v>
      </c>
      <c r="Q621" s="48">
        <v>42.61</v>
      </c>
      <c r="S621" s="215">
        <v>45507</v>
      </c>
      <c r="T621" s="48">
        <v>320819</v>
      </c>
      <c r="U621" s="48">
        <v>621871</v>
      </c>
      <c r="V621" s="48">
        <v>942690</v>
      </c>
      <c r="W621" s="48">
        <v>34.03</v>
      </c>
      <c r="Y621" s="215">
        <v>45507</v>
      </c>
      <c r="Z621" s="1">
        <v>1482103</v>
      </c>
      <c r="AA621" s="1">
        <v>752090</v>
      </c>
      <c r="AB621" s="1">
        <v>2234193</v>
      </c>
      <c r="AC621" s="1">
        <v>66.337000000000003</v>
      </c>
      <c r="AE621" s="215">
        <v>45507</v>
      </c>
      <c r="AF621" s="48">
        <v>943165</v>
      </c>
      <c r="AG621" s="48">
        <v>10307</v>
      </c>
      <c r="AH621" s="48">
        <v>953472</v>
      </c>
      <c r="AI621" s="48">
        <v>98.91</v>
      </c>
      <c r="AK621" s="215">
        <v>45507</v>
      </c>
      <c r="AL621" s="48">
        <v>484920</v>
      </c>
      <c r="AM621" s="67">
        <v>1566</v>
      </c>
      <c r="AN621" s="48">
        <v>486486</v>
      </c>
      <c r="AO621" s="48">
        <v>99.68</v>
      </c>
      <c r="AQ621" s="215">
        <v>45507</v>
      </c>
      <c r="AR621" s="48">
        <v>216813</v>
      </c>
      <c r="AS621" s="67">
        <v>0</v>
      </c>
      <c r="AT621" s="48">
        <v>216813</v>
      </c>
      <c r="AU621" s="67">
        <v>100</v>
      </c>
    </row>
    <row r="622" spans="1:47" hidden="1" x14ac:dyDescent="0.25">
      <c r="A622" s="215">
        <v>45508</v>
      </c>
      <c r="B622" s="48">
        <v>10757619</v>
      </c>
      <c r="C622" s="48">
        <v>788489</v>
      </c>
      <c r="D622" s="48">
        <v>11546108</v>
      </c>
      <c r="E622" s="48">
        <v>93.17</v>
      </c>
      <c r="G622" s="215">
        <v>45508</v>
      </c>
      <c r="H622" s="48">
        <v>272826</v>
      </c>
      <c r="I622" s="48">
        <v>137874</v>
      </c>
      <c r="J622" s="48">
        <v>410700</v>
      </c>
      <c r="K622" s="48">
        <v>66.42</v>
      </c>
      <c r="M622" s="215">
        <v>45508</v>
      </c>
      <c r="N622" s="48">
        <v>121495</v>
      </c>
      <c r="O622" s="48">
        <v>1003995</v>
      </c>
      <c r="P622" s="48">
        <v>1125490</v>
      </c>
      <c r="Q622" s="48">
        <v>10.79</v>
      </c>
      <c r="S622" s="215">
        <v>45508</v>
      </c>
      <c r="T622" s="48">
        <v>48981</v>
      </c>
      <c r="U622" s="48">
        <v>30417</v>
      </c>
      <c r="V622" s="48">
        <v>79398</v>
      </c>
      <c r="W622" s="48">
        <v>61.69</v>
      </c>
      <c r="Y622" s="215">
        <v>45508</v>
      </c>
      <c r="Z622" s="1">
        <v>1471798</v>
      </c>
      <c r="AA622" s="1">
        <v>603216</v>
      </c>
      <c r="AB622" s="1">
        <v>2075014</v>
      </c>
      <c r="AC622" s="1">
        <v>70.929500000000004</v>
      </c>
      <c r="AE622" s="215">
        <v>45508</v>
      </c>
      <c r="AF622" s="48">
        <v>939046</v>
      </c>
      <c r="AG622" s="48">
        <v>8869</v>
      </c>
      <c r="AH622" s="48">
        <v>947915</v>
      </c>
      <c r="AI622" s="48">
        <v>99.06</v>
      </c>
      <c r="AK622" s="215">
        <v>45508</v>
      </c>
      <c r="AL622" s="67">
        <v>672529</v>
      </c>
      <c r="AM622" s="67">
        <v>71</v>
      </c>
      <c r="AN622" s="48">
        <v>672600</v>
      </c>
      <c r="AO622" s="48">
        <v>99.99</v>
      </c>
      <c r="AQ622" s="215">
        <v>45508</v>
      </c>
      <c r="AR622" s="48">
        <v>215403</v>
      </c>
      <c r="AS622" s="67">
        <v>0</v>
      </c>
      <c r="AT622" s="48">
        <v>215403</v>
      </c>
      <c r="AU622" s="67">
        <v>100</v>
      </c>
    </row>
    <row r="623" spans="1:47" x14ac:dyDescent="0.25">
      <c r="A623" s="215">
        <v>45509</v>
      </c>
      <c r="B623" s="101">
        <v>13399756</v>
      </c>
      <c r="C623" s="101">
        <v>824008</v>
      </c>
      <c r="D623" s="101">
        <v>14223764</v>
      </c>
      <c r="E623" s="101">
        <v>94.21</v>
      </c>
      <c r="G623" s="215">
        <v>45509</v>
      </c>
      <c r="H623" s="104">
        <v>929597</v>
      </c>
      <c r="I623" s="104">
        <v>394896</v>
      </c>
      <c r="J623" s="104">
        <v>1324493</v>
      </c>
      <c r="K623" s="104">
        <v>70.19</v>
      </c>
      <c r="M623" s="215">
        <v>45509</v>
      </c>
      <c r="N623" s="104">
        <v>2859668</v>
      </c>
      <c r="O623" s="104">
        <v>2612257</v>
      </c>
      <c r="P623" s="104">
        <v>5471925</v>
      </c>
      <c r="Q623" s="104">
        <v>52.26</v>
      </c>
      <c r="S623" s="215">
        <v>45509</v>
      </c>
      <c r="T623" s="104">
        <v>1271576</v>
      </c>
      <c r="U623" s="104">
        <v>2793954</v>
      </c>
      <c r="V623" s="104">
        <v>4065530</v>
      </c>
      <c r="W623" s="104">
        <v>31.28</v>
      </c>
      <c r="Y623" s="215">
        <v>45509</v>
      </c>
      <c r="Z623" s="104">
        <v>1510067</v>
      </c>
      <c r="AA623" s="104">
        <v>618291</v>
      </c>
      <c r="AB623" s="104">
        <v>2128358</v>
      </c>
      <c r="AC623" s="104">
        <v>70.95</v>
      </c>
      <c r="AE623" s="215">
        <v>45509</v>
      </c>
      <c r="AF623" s="104">
        <v>885209</v>
      </c>
      <c r="AG623" s="104">
        <v>8890</v>
      </c>
      <c r="AH623" s="104">
        <v>894099</v>
      </c>
      <c r="AI623" s="104">
        <v>99.01</v>
      </c>
      <c r="AK623" s="215">
        <v>45509</v>
      </c>
      <c r="AL623" s="48">
        <v>737646</v>
      </c>
      <c r="AM623" s="67">
        <v>0</v>
      </c>
      <c r="AN623" s="48">
        <v>737646</v>
      </c>
      <c r="AO623" s="67">
        <v>100</v>
      </c>
      <c r="AQ623" s="215">
        <v>45509</v>
      </c>
      <c r="AR623" s="48">
        <v>785680</v>
      </c>
      <c r="AS623" s="67">
        <v>0</v>
      </c>
      <c r="AT623" s="48">
        <v>785680</v>
      </c>
      <c r="AU623" s="67">
        <v>100</v>
      </c>
    </row>
    <row r="624" spans="1:47" x14ac:dyDescent="0.25">
      <c r="A624" s="215">
        <v>45510</v>
      </c>
      <c r="B624" s="101">
        <v>14068070</v>
      </c>
      <c r="C624" s="101">
        <v>944131</v>
      </c>
      <c r="D624" s="101">
        <v>15012201</v>
      </c>
      <c r="E624" s="101">
        <v>93.71</v>
      </c>
      <c r="G624" s="215">
        <v>45510</v>
      </c>
      <c r="H624" s="104">
        <v>271594</v>
      </c>
      <c r="I624" s="104">
        <v>134794</v>
      </c>
      <c r="J624" s="104">
        <v>406388</v>
      </c>
      <c r="K624" s="104">
        <v>66.83</v>
      </c>
      <c r="M624" s="215">
        <v>45510</v>
      </c>
      <c r="N624" s="104">
        <v>1828457</v>
      </c>
      <c r="O624" s="104">
        <v>1490216</v>
      </c>
      <c r="P624" s="104">
        <v>3318673</v>
      </c>
      <c r="Q624" s="104">
        <v>55.1</v>
      </c>
      <c r="S624" s="215">
        <v>45510</v>
      </c>
      <c r="T624" s="104">
        <v>1122316</v>
      </c>
      <c r="U624" s="104">
        <v>2490163</v>
      </c>
      <c r="V624" s="104">
        <v>3612479</v>
      </c>
      <c r="W624" s="104">
        <v>31.07</v>
      </c>
      <c r="Y624" s="215">
        <v>45510</v>
      </c>
      <c r="Z624" s="104">
        <v>1742374</v>
      </c>
      <c r="AA624" s="104">
        <v>700476</v>
      </c>
      <c r="AB624" s="104">
        <v>2442850</v>
      </c>
      <c r="AC624" s="104">
        <v>71.33</v>
      </c>
      <c r="AE624" s="215">
        <v>45510</v>
      </c>
      <c r="AF624" s="104">
        <v>892961</v>
      </c>
      <c r="AG624" s="104">
        <v>11753</v>
      </c>
      <c r="AH624" s="104">
        <v>904714</v>
      </c>
      <c r="AI624" s="104">
        <v>98.7</v>
      </c>
      <c r="AK624" s="215">
        <v>45510</v>
      </c>
      <c r="AL624">
        <v>754300</v>
      </c>
      <c r="AM624" s="119">
        <v>0</v>
      </c>
      <c r="AN624">
        <v>754300</v>
      </c>
      <c r="AO624" s="119">
        <v>100</v>
      </c>
      <c r="AQ624" s="215">
        <v>45510</v>
      </c>
      <c r="AR624" s="115">
        <v>212495</v>
      </c>
      <c r="AS624" s="67">
        <v>0</v>
      </c>
      <c r="AT624" s="115">
        <v>212495</v>
      </c>
      <c r="AU624" s="67">
        <v>100</v>
      </c>
    </row>
    <row r="625" spans="1:47" x14ac:dyDescent="0.25">
      <c r="A625" s="224">
        <v>45511</v>
      </c>
      <c r="B625" s="173">
        <v>11641131</v>
      </c>
      <c r="C625" s="173">
        <v>850308</v>
      </c>
      <c r="D625" s="173">
        <v>12491439</v>
      </c>
      <c r="E625" s="173">
        <v>93.19</v>
      </c>
      <c r="G625" s="215">
        <v>45511</v>
      </c>
      <c r="H625" s="104">
        <v>4499919</v>
      </c>
      <c r="I625" s="104">
        <v>1885538</v>
      </c>
      <c r="J625" s="104">
        <v>6385457</v>
      </c>
      <c r="K625" s="104">
        <v>70.47</v>
      </c>
      <c r="M625" s="215">
        <v>45511</v>
      </c>
      <c r="N625" s="104">
        <v>2858751</v>
      </c>
      <c r="O625" s="104">
        <v>2660379</v>
      </c>
      <c r="P625" s="104">
        <v>5519130</v>
      </c>
      <c r="Q625" s="104">
        <v>51.8</v>
      </c>
      <c r="S625" s="215">
        <v>45511</v>
      </c>
      <c r="T625" s="104">
        <v>1266146</v>
      </c>
      <c r="U625" s="104">
        <v>2740604</v>
      </c>
      <c r="V625" s="104">
        <v>4006750</v>
      </c>
      <c r="W625" s="104">
        <v>31.6</v>
      </c>
      <c r="Y625" s="215">
        <v>45511</v>
      </c>
      <c r="Z625" s="104">
        <v>1525024</v>
      </c>
      <c r="AA625" s="104">
        <v>633595</v>
      </c>
      <c r="AB625" s="104">
        <v>2158619</v>
      </c>
      <c r="AC625" s="104">
        <v>70.650000000000006</v>
      </c>
      <c r="AE625" s="215">
        <v>45511</v>
      </c>
      <c r="AF625" s="104">
        <v>895511</v>
      </c>
      <c r="AG625" s="104">
        <v>9588</v>
      </c>
      <c r="AH625" s="104">
        <v>905099</v>
      </c>
      <c r="AI625" s="104">
        <v>98.94</v>
      </c>
      <c r="AK625" s="215">
        <v>45511</v>
      </c>
      <c r="AL625">
        <v>813158</v>
      </c>
      <c r="AM625" s="119">
        <v>0</v>
      </c>
      <c r="AN625">
        <v>813158</v>
      </c>
      <c r="AO625" s="119">
        <v>100</v>
      </c>
      <c r="AQ625" s="215">
        <v>45511</v>
      </c>
      <c r="AR625" s="1">
        <v>3145504</v>
      </c>
      <c r="AS625" s="67">
        <v>0</v>
      </c>
      <c r="AT625" s="1">
        <v>3145504</v>
      </c>
      <c r="AU625" s="67">
        <v>100</v>
      </c>
    </row>
    <row r="626" spans="1:47" x14ac:dyDescent="0.25">
      <c r="A626" s="215">
        <v>45512</v>
      </c>
      <c r="B626" s="104">
        <v>12438707</v>
      </c>
      <c r="C626" s="104">
        <v>798191</v>
      </c>
      <c r="D626" s="104">
        <v>13236898</v>
      </c>
      <c r="E626" s="104">
        <v>93.97</v>
      </c>
      <c r="G626" s="215">
        <v>45512</v>
      </c>
      <c r="H626" s="104">
        <v>7965160</v>
      </c>
      <c r="I626" s="104">
        <v>3516104</v>
      </c>
      <c r="J626" s="104">
        <v>11481264</v>
      </c>
      <c r="K626" s="104">
        <v>69.38</v>
      </c>
      <c r="M626" s="215">
        <v>45512</v>
      </c>
      <c r="N626" s="104">
        <v>3360985</v>
      </c>
      <c r="O626" s="104">
        <v>2905138</v>
      </c>
      <c r="P626" s="104">
        <v>6266123</v>
      </c>
      <c r="Q626" s="104">
        <v>53.64</v>
      </c>
      <c r="S626" s="215">
        <v>45512</v>
      </c>
      <c r="T626" s="104">
        <v>1663275</v>
      </c>
      <c r="U626" s="104">
        <v>2432486</v>
      </c>
      <c r="V626" s="104">
        <v>4095761</v>
      </c>
      <c r="W626" s="104">
        <v>40.61</v>
      </c>
      <c r="Y626" s="215">
        <v>45512</v>
      </c>
      <c r="Z626" s="104">
        <v>1493542</v>
      </c>
      <c r="AA626" s="104">
        <v>521959</v>
      </c>
      <c r="AB626" s="104">
        <v>2015501</v>
      </c>
      <c r="AC626" s="104">
        <v>74.099999999999994</v>
      </c>
      <c r="AE626" s="215">
        <v>45512</v>
      </c>
      <c r="AF626" s="104">
        <v>896484</v>
      </c>
      <c r="AG626" s="104">
        <v>10288</v>
      </c>
      <c r="AH626" s="104">
        <v>906772</v>
      </c>
      <c r="AI626" s="104">
        <v>98.87</v>
      </c>
      <c r="AK626" s="215">
        <v>45512</v>
      </c>
      <c r="AL626">
        <v>823990</v>
      </c>
      <c r="AM626" s="119">
        <v>0</v>
      </c>
      <c r="AN626" s="74">
        <v>826046</v>
      </c>
      <c r="AO626" s="119">
        <v>99.75</v>
      </c>
      <c r="AQ626" s="215">
        <v>45512</v>
      </c>
      <c r="AR626" s="1">
        <v>5693165</v>
      </c>
      <c r="AS626" s="67">
        <v>0</v>
      </c>
      <c r="AT626" s="1">
        <v>5693165</v>
      </c>
      <c r="AU626" s="67">
        <v>100</v>
      </c>
    </row>
    <row r="627" spans="1:47" x14ac:dyDescent="0.25">
      <c r="A627" s="215">
        <v>45513</v>
      </c>
      <c r="B627" s="104">
        <v>13266354</v>
      </c>
      <c r="C627" s="104">
        <v>851710</v>
      </c>
      <c r="D627" s="104">
        <v>14118064</v>
      </c>
      <c r="E627" s="104">
        <v>93.97</v>
      </c>
      <c r="G627" s="215">
        <v>45513</v>
      </c>
      <c r="H627" s="104">
        <v>808171</v>
      </c>
      <c r="I627" s="104">
        <v>353473</v>
      </c>
      <c r="J627" s="104">
        <v>1161644</v>
      </c>
      <c r="K627" s="104">
        <v>69.569999999999993</v>
      </c>
      <c r="M627" s="215">
        <v>45513</v>
      </c>
      <c r="N627" s="104">
        <v>2220521</v>
      </c>
      <c r="O627" s="104">
        <v>1807483</v>
      </c>
      <c r="P627" s="104">
        <v>4028004</v>
      </c>
      <c r="Q627" s="104">
        <v>55.13</v>
      </c>
      <c r="S627" s="215">
        <v>45513</v>
      </c>
      <c r="T627" s="104">
        <v>1267751</v>
      </c>
      <c r="U627" s="104">
        <v>2716007</v>
      </c>
      <c r="V627" s="104">
        <v>3983758</v>
      </c>
      <c r="W627" s="104">
        <v>31.82</v>
      </c>
      <c r="Y627" s="215">
        <v>45513</v>
      </c>
      <c r="Z627" s="104">
        <v>1535380</v>
      </c>
      <c r="AA627" s="104">
        <v>535426</v>
      </c>
      <c r="AB627" s="104">
        <v>2070806</v>
      </c>
      <c r="AC627" s="104">
        <v>74.14</v>
      </c>
      <c r="AE627" s="215">
        <v>45513</v>
      </c>
      <c r="AF627" s="104">
        <v>989832</v>
      </c>
      <c r="AG627" s="104">
        <v>10372</v>
      </c>
      <c r="AH627" s="104">
        <v>1000204</v>
      </c>
      <c r="AI627" s="104">
        <v>98.96</v>
      </c>
      <c r="AK627" s="215">
        <v>45513</v>
      </c>
      <c r="AL627">
        <v>735313</v>
      </c>
      <c r="AM627">
        <v>1051</v>
      </c>
      <c r="AN627" s="74">
        <v>736364</v>
      </c>
      <c r="AO627" s="390">
        <v>99.86</v>
      </c>
      <c r="AQ627" s="215">
        <v>45513</v>
      </c>
      <c r="AR627" s="115">
        <v>677576</v>
      </c>
      <c r="AS627" s="391">
        <v>327</v>
      </c>
      <c r="AT627" s="1">
        <v>677903</v>
      </c>
      <c r="AU627" s="391">
        <v>99.95</v>
      </c>
    </row>
    <row r="628" spans="1:47" x14ac:dyDescent="0.25">
      <c r="A628" s="215">
        <v>45514</v>
      </c>
      <c r="B628" s="104">
        <v>12762456</v>
      </c>
      <c r="C628" s="104">
        <v>853806</v>
      </c>
      <c r="D628" s="104">
        <v>13616262</v>
      </c>
      <c r="E628" s="104">
        <v>93.73</v>
      </c>
      <c r="G628" s="215">
        <v>45514</v>
      </c>
      <c r="H628" s="104">
        <v>627065</v>
      </c>
      <c r="I628" s="104">
        <v>270628</v>
      </c>
      <c r="J628" s="104">
        <v>897693</v>
      </c>
      <c r="K628" s="104">
        <v>69.849999999999994</v>
      </c>
      <c r="M628" s="215">
        <v>45514</v>
      </c>
      <c r="N628" s="104">
        <v>2600757</v>
      </c>
      <c r="O628" s="104">
        <v>2953511</v>
      </c>
      <c r="P628" s="104">
        <v>5554268</v>
      </c>
      <c r="Q628" s="104">
        <v>46.82</v>
      </c>
      <c r="S628" s="215">
        <v>45514</v>
      </c>
      <c r="T628" s="104">
        <v>1252388</v>
      </c>
      <c r="U628" s="104">
        <v>2801826</v>
      </c>
      <c r="V628" s="104">
        <v>4054214</v>
      </c>
      <c r="W628" s="104">
        <v>30.89</v>
      </c>
      <c r="Y628" s="215">
        <v>45514</v>
      </c>
      <c r="Z628" s="104">
        <v>1755317</v>
      </c>
      <c r="AA628" s="104">
        <v>554904</v>
      </c>
      <c r="AB628" s="104">
        <v>2310221</v>
      </c>
      <c r="AC628" s="104">
        <v>75.98</v>
      </c>
      <c r="AE628" s="215">
        <v>45514</v>
      </c>
      <c r="AF628" s="104">
        <v>932825</v>
      </c>
      <c r="AG628" s="104">
        <v>10001</v>
      </c>
      <c r="AH628" s="104">
        <v>942826</v>
      </c>
      <c r="AI628" s="104">
        <v>98.94</v>
      </c>
      <c r="AK628" s="215">
        <v>45514</v>
      </c>
      <c r="AL628" s="74">
        <v>693469</v>
      </c>
      <c r="AM628" s="389">
        <v>21</v>
      </c>
      <c r="AN628">
        <v>693490</v>
      </c>
      <c r="AO628" s="390">
        <v>100</v>
      </c>
      <c r="AQ628" s="215">
        <v>45514</v>
      </c>
      <c r="AR628" s="115">
        <v>524574</v>
      </c>
      <c r="AS628" s="391">
        <v>0</v>
      </c>
      <c r="AT628" s="115">
        <v>524574</v>
      </c>
      <c r="AU628" s="391">
        <v>100</v>
      </c>
    </row>
    <row r="629" spans="1:47" x14ac:dyDescent="0.25">
      <c r="A629" s="215">
        <v>45515</v>
      </c>
      <c r="B629" s="48">
        <v>10756215</v>
      </c>
      <c r="C629" s="48">
        <v>803791</v>
      </c>
      <c r="D629" s="48">
        <v>11560006</v>
      </c>
      <c r="E629" s="48">
        <v>93.04</v>
      </c>
      <c r="G629" s="215">
        <v>45515</v>
      </c>
      <c r="H629" s="48">
        <v>591590</v>
      </c>
      <c r="I629" s="48">
        <v>254247</v>
      </c>
      <c r="J629" s="48">
        <v>845837</v>
      </c>
      <c r="K629" s="48">
        <v>69.94</v>
      </c>
      <c r="M629" s="215">
        <v>45515</v>
      </c>
      <c r="N629" s="48">
        <v>2004577</v>
      </c>
      <c r="O629" s="48">
        <v>2478469</v>
      </c>
      <c r="P629" s="48">
        <v>4483046</v>
      </c>
      <c r="Q629" s="48">
        <v>44.71</v>
      </c>
      <c r="S629" s="215">
        <v>45515</v>
      </c>
      <c r="T629" s="48">
        <v>42282</v>
      </c>
      <c r="U629" s="48">
        <v>23398</v>
      </c>
      <c r="V629" s="48">
        <v>65680</v>
      </c>
      <c r="W629" s="48">
        <v>64.37</v>
      </c>
      <c r="Y629" s="215">
        <v>45515</v>
      </c>
      <c r="Z629" s="1">
        <v>1524555</v>
      </c>
      <c r="AA629" s="1">
        <v>530363</v>
      </c>
      <c r="AB629" s="1">
        <v>2054918</v>
      </c>
      <c r="AC629" s="1">
        <v>74.19</v>
      </c>
      <c r="AE629" s="215">
        <v>45515</v>
      </c>
      <c r="AF629" s="48">
        <v>933470</v>
      </c>
      <c r="AG629" s="48">
        <v>8579</v>
      </c>
      <c r="AH629" s="48">
        <v>942049</v>
      </c>
      <c r="AI629" s="48">
        <v>99.08</v>
      </c>
      <c r="AK629" s="215">
        <v>45515</v>
      </c>
      <c r="AL629">
        <v>638342</v>
      </c>
      <c r="AM629" s="389">
        <v>135</v>
      </c>
      <c r="AN629" s="74">
        <v>638477</v>
      </c>
      <c r="AO629" s="390">
        <v>99.98</v>
      </c>
      <c r="AQ629" s="215">
        <v>45515</v>
      </c>
      <c r="AR629" s="1">
        <v>497414</v>
      </c>
      <c r="AS629" s="391">
        <v>0</v>
      </c>
      <c r="AT629" s="1">
        <v>497414</v>
      </c>
      <c r="AU629" s="391">
        <v>100</v>
      </c>
    </row>
  </sheetData>
  <mergeCells count="2">
    <mergeCell ref="AK1:AO1"/>
    <mergeCell ref="AQ1:AU1"/>
  </mergeCells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O657"/>
  <sheetViews>
    <sheetView topLeftCell="BC1" zoomScale="90" zoomScaleNormal="90" workbookViewId="0">
      <pane ySplit="196" topLeftCell="A197" activePane="bottomLeft" state="frozen"/>
      <selection activeCell="AG641" sqref="AG641"/>
      <selection pane="bottomLeft" activeCell="A620" sqref="A620:XFD622"/>
    </sheetView>
  </sheetViews>
  <sheetFormatPr defaultRowHeight="15" x14ac:dyDescent="0.25"/>
  <cols>
    <col min="1" max="1" width="11.140625" customWidth="1"/>
    <col min="5" max="5" width="12.140625" bestFit="1" customWidth="1"/>
    <col min="6" max="6" width="10.5703125" bestFit="1" customWidth="1"/>
    <col min="8" max="8" width="10.42578125" bestFit="1" customWidth="1"/>
    <col min="12" max="12" width="11.42578125" bestFit="1" customWidth="1"/>
    <col min="13" max="13" width="9.5703125" bestFit="1" customWidth="1"/>
    <col min="19" max="19" width="11.5703125" bestFit="1" customWidth="1"/>
    <col min="20" max="20" width="10.5703125" bestFit="1" customWidth="1"/>
    <col min="21" max="21" width="10.5703125" customWidth="1"/>
    <col min="26" max="26" width="11.42578125" bestFit="1" customWidth="1"/>
    <col min="33" max="33" width="11.42578125" bestFit="1" customWidth="1"/>
    <col min="40" max="40" width="12" customWidth="1"/>
    <col min="64" max="64" width="11.28515625" bestFit="1" customWidth="1"/>
    <col min="68" max="68" width="11.5703125" bestFit="1" customWidth="1"/>
    <col min="69" max="69" width="10.5703125" bestFit="1" customWidth="1"/>
    <col min="70" max="77" width="10.5703125" customWidth="1"/>
    <col min="78" max="78" width="8" bestFit="1" customWidth="1"/>
    <col min="79" max="79" width="14.85546875" customWidth="1"/>
    <col min="80" max="80" width="13.85546875" customWidth="1"/>
    <col min="81" max="81" width="39.28515625" customWidth="1"/>
    <col min="82" max="82" width="10.5703125" customWidth="1"/>
    <col min="83" max="83" width="12.42578125" bestFit="1" customWidth="1"/>
    <col min="84" max="84" width="12.5703125" customWidth="1"/>
    <col min="86" max="86" width="11.85546875" customWidth="1"/>
    <col min="87" max="87" width="11.5703125" bestFit="1" customWidth="1"/>
    <col min="90" max="90" width="11" customWidth="1"/>
    <col min="91" max="91" width="30.7109375" bestFit="1" customWidth="1"/>
    <col min="93" max="93" width="11.42578125" customWidth="1"/>
  </cols>
  <sheetData>
    <row r="1" spans="1:92" x14ac:dyDescent="0.25">
      <c r="A1" s="1"/>
      <c r="B1" s="1">
        <v>133</v>
      </c>
      <c r="C1" s="1"/>
      <c r="D1" s="1"/>
      <c r="E1" s="1"/>
      <c r="F1" s="1"/>
      <c r="H1" s="1"/>
      <c r="I1" s="1">
        <v>105</v>
      </c>
      <c r="J1" s="1"/>
      <c r="K1" s="1"/>
      <c r="L1" s="1"/>
      <c r="M1" s="1"/>
      <c r="O1" s="1"/>
      <c r="P1" s="1">
        <v>155</v>
      </c>
      <c r="Q1" s="1"/>
      <c r="R1" s="1"/>
      <c r="S1" s="1"/>
      <c r="T1" s="1"/>
      <c r="V1" s="1"/>
      <c r="W1" s="1" t="s">
        <v>225</v>
      </c>
      <c r="X1" s="1"/>
      <c r="Y1" s="1"/>
      <c r="Z1" s="1"/>
      <c r="AA1" s="1"/>
      <c r="AC1" s="1">
        <v>590</v>
      </c>
      <c r="AD1" s="1"/>
      <c r="AE1" s="1"/>
      <c r="AF1" s="1"/>
      <c r="AG1" s="1"/>
      <c r="AH1" s="1"/>
      <c r="AJ1" s="1">
        <v>432</v>
      </c>
      <c r="AK1" s="1"/>
      <c r="AL1" s="1"/>
      <c r="AM1" s="1"/>
      <c r="AN1" s="1"/>
      <c r="AO1" s="1"/>
      <c r="AQ1" s="1">
        <v>296</v>
      </c>
      <c r="AR1" s="1"/>
      <c r="AS1" s="1"/>
      <c r="AT1" s="1"/>
      <c r="AU1" s="1"/>
      <c r="AV1" s="1"/>
      <c r="AX1" s="1" t="s">
        <v>226</v>
      </c>
      <c r="AY1" s="1"/>
      <c r="AZ1" s="1"/>
      <c r="BA1" s="1"/>
      <c r="BB1" s="1"/>
      <c r="BC1" s="1"/>
      <c r="BE1" s="1" t="s">
        <v>227</v>
      </c>
      <c r="BF1" s="1"/>
      <c r="BG1" s="1"/>
      <c r="BH1" s="1"/>
      <c r="BI1" s="1"/>
      <c r="BJ1" s="1"/>
      <c r="BL1" t="s">
        <v>228</v>
      </c>
      <c r="BS1">
        <v>422</v>
      </c>
      <c r="CE1" s="233" t="s">
        <v>229</v>
      </c>
      <c r="CF1" s="1"/>
      <c r="CG1" s="1"/>
      <c r="CH1" s="1"/>
      <c r="CI1" s="1"/>
      <c r="CJ1" s="1"/>
      <c r="CL1" t="s">
        <v>23</v>
      </c>
      <c r="CM1" t="s">
        <v>230</v>
      </c>
    </row>
    <row r="2" spans="1:92" x14ac:dyDescent="0.25">
      <c r="A2" s="232" t="s">
        <v>23</v>
      </c>
      <c r="B2" s="232" t="s">
        <v>231</v>
      </c>
      <c r="C2" s="232" t="s">
        <v>232</v>
      </c>
      <c r="D2" s="232" t="s">
        <v>219</v>
      </c>
      <c r="E2" s="232" t="s">
        <v>233</v>
      </c>
      <c r="F2" s="232" t="s">
        <v>138</v>
      </c>
      <c r="H2" s="233" t="s">
        <v>23</v>
      </c>
      <c r="I2" s="233" t="s">
        <v>231</v>
      </c>
      <c r="J2" s="233" t="s">
        <v>232</v>
      </c>
      <c r="K2" s="233" t="s">
        <v>219</v>
      </c>
      <c r="L2" s="233" t="s">
        <v>233</v>
      </c>
      <c r="M2" s="233" t="s">
        <v>138</v>
      </c>
      <c r="O2" s="233" t="s">
        <v>23</v>
      </c>
      <c r="P2" s="233" t="s">
        <v>231</v>
      </c>
      <c r="Q2" s="233" t="s">
        <v>232</v>
      </c>
      <c r="R2" s="233" t="s">
        <v>219</v>
      </c>
      <c r="S2" s="233" t="s">
        <v>233</v>
      </c>
      <c r="T2" s="233" t="s">
        <v>138</v>
      </c>
      <c r="V2" s="233" t="s">
        <v>23</v>
      </c>
      <c r="W2" s="233" t="s">
        <v>231</v>
      </c>
      <c r="X2" s="233" t="s">
        <v>232</v>
      </c>
      <c r="Y2" s="233" t="s">
        <v>219</v>
      </c>
      <c r="Z2" s="233" t="s">
        <v>233</v>
      </c>
      <c r="AA2" s="233" t="s">
        <v>138</v>
      </c>
      <c r="AC2" s="233" t="s">
        <v>23</v>
      </c>
      <c r="AD2" s="233" t="s">
        <v>231</v>
      </c>
      <c r="AE2" s="233" t="s">
        <v>232</v>
      </c>
      <c r="AF2" s="233" t="s">
        <v>219</v>
      </c>
      <c r="AG2" s="233" t="s">
        <v>233</v>
      </c>
      <c r="AH2" s="233" t="s">
        <v>138</v>
      </c>
      <c r="AJ2" s="232" t="s">
        <v>23</v>
      </c>
      <c r="AK2" s="232" t="s">
        <v>231</v>
      </c>
      <c r="AL2" s="232" t="s">
        <v>232</v>
      </c>
      <c r="AM2" s="232" t="s">
        <v>219</v>
      </c>
      <c r="AN2" s="232" t="s">
        <v>233</v>
      </c>
      <c r="AO2" s="244" t="s">
        <v>138</v>
      </c>
      <c r="AQ2" s="232" t="s">
        <v>23</v>
      </c>
      <c r="AR2" s="232" t="s">
        <v>231</v>
      </c>
      <c r="AS2" s="232" t="s">
        <v>232</v>
      </c>
      <c r="AT2" s="232" t="s">
        <v>219</v>
      </c>
      <c r="AU2" s="232" t="s">
        <v>233</v>
      </c>
      <c r="AV2" s="244" t="s">
        <v>138</v>
      </c>
      <c r="AX2" s="232" t="s">
        <v>23</v>
      </c>
      <c r="AY2" s="232" t="s">
        <v>231</v>
      </c>
      <c r="AZ2" s="232" t="s">
        <v>232</v>
      </c>
      <c r="BA2" s="232" t="s">
        <v>219</v>
      </c>
      <c r="BB2" s="232" t="s">
        <v>233</v>
      </c>
      <c r="BC2" s="244" t="s">
        <v>138</v>
      </c>
      <c r="BE2" s="233" t="s">
        <v>23</v>
      </c>
      <c r="BF2" s="233" t="s">
        <v>231</v>
      </c>
      <c r="BG2" s="233" t="s">
        <v>232</v>
      </c>
      <c r="BH2" s="233" t="s">
        <v>219</v>
      </c>
      <c r="BI2" s="233" t="s">
        <v>233</v>
      </c>
      <c r="BJ2" s="233" t="s">
        <v>138</v>
      </c>
      <c r="BL2" s="26" t="s">
        <v>23</v>
      </c>
      <c r="BM2" s="26" t="s">
        <v>231</v>
      </c>
      <c r="BN2" s="26" t="s">
        <v>232</v>
      </c>
      <c r="BO2" s="26" t="s">
        <v>219</v>
      </c>
      <c r="BP2" s="26" t="s">
        <v>233</v>
      </c>
      <c r="BQ2" s="245" t="s">
        <v>138</v>
      </c>
      <c r="BS2" s="195" t="s">
        <v>23</v>
      </c>
      <c r="BT2" s="195" t="s">
        <v>231</v>
      </c>
      <c r="BU2" s="195" t="s">
        <v>232</v>
      </c>
      <c r="BV2" s="195" t="s">
        <v>219</v>
      </c>
      <c r="BW2" s="195" t="s">
        <v>233</v>
      </c>
      <c r="BX2" s="245" t="s">
        <v>138</v>
      </c>
      <c r="BZ2" s="233" t="s">
        <v>23</v>
      </c>
      <c r="CA2" s="233" t="s">
        <v>234</v>
      </c>
      <c r="CB2" s="233" t="s">
        <v>235</v>
      </c>
      <c r="CC2" s="233" t="s">
        <v>236</v>
      </c>
      <c r="CE2" s="233" t="s">
        <v>23</v>
      </c>
      <c r="CF2" s="233" t="s">
        <v>231</v>
      </c>
      <c r="CG2" s="233" t="s">
        <v>232</v>
      </c>
      <c r="CH2" s="233" t="s">
        <v>219</v>
      </c>
      <c r="CI2" s="233" t="s">
        <v>233</v>
      </c>
      <c r="CJ2" s="233" t="s">
        <v>138</v>
      </c>
    </row>
    <row r="3" spans="1:92" hidden="1" x14ac:dyDescent="0.25">
      <c r="A3" s="215">
        <v>44862</v>
      </c>
      <c r="B3" s="197">
        <v>5848334</v>
      </c>
      <c r="C3" s="197">
        <v>1228</v>
      </c>
      <c r="D3" s="197">
        <v>5849562</v>
      </c>
      <c r="E3" s="197">
        <v>99.98</v>
      </c>
      <c r="F3" s="71">
        <f t="shared" ref="F3:F11" si="0">D3/1000000</f>
        <v>5.8495619999999997</v>
      </c>
      <c r="H3" s="215">
        <v>44862</v>
      </c>
      <c r="I3" s="197">
        <v>3413132</v>
      </c>
      <c r="J3" s="197">
        <v>4388</v>
      </c>
      <c r="K3" s="197">
        <v>3417520</v>
      </c>
      <c r="L3" s="197">
        <v>99.87</v>
      </c>
      <c r="M3" s="71">
        <f t="shared" ref="M3:M53" si="1">K3/1000000</f>
        <v>3.4175200000000001</v>
      </c>
      <c r="O3" s="215">
        <v>44862</v>
      </c>
      <c r="P3" s="198">
        <v>865948</v>
      </c>
      <c r="Q3" s="198">
        <v>670</v>
      </c>
      <c r="R3" s="198">
        <v>866618</v>
      </c>
      <c r="S3" s="198">
        <v>99.92</v>
      </c>
      <c r="T3" s="71">
        <f t="shared" ref="T3:T25" si="2">R3/1000000</f>
        <v>0.866618</v>
      </c>
      <c r="V3" s="215">
        <v>44862</v>
      </c>
      <c r="W3" s="197">
        <v>835090</v>
      </c>
      <c r="X3" s="197">
        <v>142</v>
      </c>
      <c r="Y3" s="197">
        <v>835232</v>
      </c>
      <c r="Z3" s="197">
        <v>99.98</v>
      </c>
      <c r="AA3" s="71">
        <f t="shared" ref="AA3:AA53" si="3">Y3/1000000</f>
        <v>0.83523199999999997</v>
      </c>
      <c r="AC3" s="215">
        <v>44862</v>
      </c>
      <c r="AD3" s="48">
        <v>611988</v>
      </c>
      <c r="AE3" s="48">
        <v>1688</v>
      </c>
      <c r="AF3" s="48">
        <v>613676</v>
      </c>
      <c r="AG3" s="48">
        <v>99.72</v>
      </c>
      <c r="AH3" s="71">
        <f t="shared" ref="AH3:AH53" si="4">AF3/1000000</f>
        <v>0.613676</v>
      </c>
      <c r="AI3" s="178"/>
      <c r="AJ3" s="215">
        <v>44862</v>
      </c>
      <c r="AK3" s="48">
        <v>611988</v>
      </c>
      <c r="AL3" s="48">
        <v>1688</v>
      </c>
      <c r="AM3" s="48">
        <v>613676</v>
      </c>
      <c r="AN3" s="48">
        <v>99.72</v>
      </c>
      <c r="AO3" s="246">
        <f t="shared" ref="AO3:AO11" si="5">AM3/1000000</f>
        <v>0.613676</v>
      </c>
      <c r="AP3" s="178"/>
      <c r="AQ3" s="215">
        <v>44862</v>
      </c>
      <c r="AR3" s="48">
        <v>611988</v>
      </c>
      <c r="AS3" s="48">
        <v>1688</v>
      </c>
      <c r="AT3" s="48">
        <v>613676</v>
      </c>
      <c r="AU3" s="48">
        <v>99.72</v>
      </c>
      <c r="AV3" s="246">
        <f t="shared" ref="AV3:AV11" si="6">AT3/1000000</f>
        <v>0.613676</v>
      </c>
      <c r="AW3" s="178"/>
      <c r="AX3" s="215">
        <v>44862</v>
      </c>
      <c r="AY3" s="48">
        <v>611988</v>
      </c>
      <c r="AZ3" s="48">
        <v>1688</v>
      </c>
      <c r="BA3" s="48">
        <v>613676</v>
      </c>
      <c r="BB3" s="48">
        <v>99.72</v>
      </c>
      <c r="BC3" s="246">
        <f t="shared" ref="BC3:BC11" si="7">BA3/1000000</f>
        <v>0.613676</v>
      </c>
      <c r="BD3" s="178"/>
      <c r="BE3" s="215">
        <v>44862</v>
      </c>
      <c r="BF3" s="48">
        <v>611988</v>
      </c>
      <c r="BG3" s="48">
        <v>1688</v>
      </c>
      <c r="BH3" s="48">
        <v>613676</v>
      </c>
      <c r="BI3" s="48">
        <v>99.72</v>
      </c>
      <c r="BJ3" s="71">
        <f t="shared" ref="BJ3:BJ11" si="8">BH3/1000000</f>
        <v>0.613676</v>
      </c>
      <c r="BK3" s="178"/>
      <c r="BL3" s="1"/>
      <c r="BM3" s="1"/>
      <c r="BN3" s="1"/>
      <c r="BO3" s="1"/>
      <c r="BP3" s="1"/>
      <c r="BQ3" s="247"/>
      <c r="BS3" s="48"/>
      <c r="BT3" s="48"/>
      <c r="BU3" s="48"/>
      <c r="BV3" s="48"/>
      <c r="BW3" s="48"/>
      <c r="BZ3" s="1"/>
      <c r="CA3" s="1"/>
      <c r="CB3" s="1"/>
      <c r="CC3" s="1"/>
      <c r="CE3" s="215">
        <v>44862</v>
      </c>
      <c r="CF3" s="1">
        <v>12929530</v>
      </c>
      <c r="CG3" s="1">
        <v>20138</v>
      </c>
      <c r="CH3" s="1">
        <v>12949668</v>
      </c>
      <c r="CI3" s="46">
        <f t="shared" ref="CI3:CI53" si="9">CF3/CH3%</f>
        <v>99.84449022167982</v>
      </c>
      <c r="CJ3" s="46">
        <f t="shared" ref="CJ3:CJ27" si="10">CH3/1000000</f>
        <v>12.949668000000001</v>
      </c>
      <c r="CL3" s="140">
        <v>44914</v>
      </c>
      <c r="CM3" t="s">
        <v>237</v>
      </c>
      <c r="CN3">
        <v>7410</v>
      </c>
    </row>
    <row r="4" spans="1:92" hidden="1" x14ac:dyDescent="0.25">
      <c r="A4" s="215">
        <v>44863</v>
      </c>
      <c r="B4" s="197">
        <v>5351788</v>
      </c>
      <c r="C4" s="197">
        <v>1254</v>
      </c>
      <c r="D4" s="197">
        <v>5353042</v>
      </c>
      <c r="E4" s="197">
        <v>99.98</v>
      </c>
      <c r="F4" s="71">
        <f t="shared" si="0"/>
        <v>5.3530420000000003</v>
      </c>
      <c r="H4" s="215">
        <v>44863</v>
      </c>
      <c r="I4" s="197">
        <v>3453684</v>
      </c>
      <c r="J4" s="197">
        <v>4510</v>
      </c>
      <c r="K4" s="197">
        <v>3458194</v>
      </c>
      <c r="L4" s="197">
        <v>99.87</v>
      </c>
      <c r="M4" s="71">
        <f t="shared" si="1"/>
        <v>3.4581940000000002</v>
      </c>
      <c r="O4" s="215">
        <v>44863</v>
      </c>
      <c r="P4" s="198">
        <v>944936</v>
      </c>
      <c r="Q4" s="198">
        <v>184</v>
      </c>
      <c r="R4" s="198">
        <v>945120</v>
      </c>
      <c r="S4" s="198">
        <v>99.98</v>
      </c>
      <c r="T4" s="71">
        <f t="shared" si="2"/>
        <v>0.94511999999999996</v>
      </c>
      <c r="V4" s="215">
        <v>44863</v>
      </c>
      <c r="W4" s="197">
        <v>846910</v>
      </c>
      <c r="X4" s="197">
        <v>626</v>
      </c>
      <c r="Y4" s="197">
        <v>847536</v>
      </c>
      <c r="Z4" s="197">
        <v>99.93</v>
      </c>
      <c r="AA4" s="71">
        <f t="shared" si="3"/>
        <v>0.84753599999999996</v>
      </c>
      <c r="AC4" s="215">
        <v>44863</v>
      </c>
      <c r="AD4" s="48">
        <v>561676</v>
      </c>
      <c r="AE4" s="48">
        <v>624</v>
      </c>
      <c r="AF4" s="48">
        <v>562300</v>
      </c>
      <c r="AG4" s="48">
        <v>99.89</v>
      </c>
      <c r="AH4" s="71">
        <f t="shared" si="4"/>
        <v>0.56230000000000002</v>
      </c>
      <c r="AI4" s="178"/>
      <c r="AJ4" s="215">
        <v>44863</v>
      </c>
      <c r="AK4" s="48">
        <v>561676</v>
      </c>
      <c r="AL4" s="48">
        <v>624</v>
      </c>
      <c r="AM4" s="48">
        <v>562300</v>
      </c>
      <c r="AN4" s="48">
        <v>99.89</v>
      </c>
      <c r="AO4" s="246">
        <f t="shared" si="5"/>
        <v>0.56230000000000002</v>
      </c>
      <c r="AP4" s="178"/>
      <c r="AQ4" s="215">
        <v>44863</v>
      </c>
      <c r="AR4" s="48">
        <v>561676</v>
      </c>
      <c r="AS4" s="48">
        <v>624</v>
      </c>
      <c r="AT4" s="48">
        <v>562300</v>
      </c>
      <c r="AU4" s="48">
        <v>99.89</v>
      </c>
      <c r="AV4" s="246">
        <f t="shared" si="6"/>
        <v>0.56230000000000002</v>
      </c>
      <c r="AW4" s="178"/>
      <c r="AX4" s="215">
        <v>44863</v>
      </c>
      <c r="AY4" s="48">
        <v>561676</v>
      </c>
      <c r="AZ4" s="48">
        <v>624</v>
      </c>
      <c r="BA4" s="48">
        <v>562300</v>
      </c>
      <c r="BB4" s="48">
        <v>99.89</v>
      </c>
      <c r="BC4" s="246">
        <f t="shared" si="7"/>
        <v>0.56230000000000002</v>
      </c>
      <c r="BD4" s="178"/>
      <c r="BE4" s="215">
        <v>44863</v>
      </c>
      <c r="BF4" s="48">
        <v>561676</v>
      </c>
      <c r="BG4" s="48">
        <v>624</v>
      </c>
      <c r="BH4" s="48">
        <v>562300</v>
      </c>
      <c r="BI4" s="48">
        <v>99.89</v>
      </c>
      <c r="BJ4" s="71">
        <f t="shared" si="8"/>
        <v>0.56230000000000002</v>
      </c>
      <c r="BK4" s="178"/>
      <c r="BL4" s="1"/>
      <c r="BM4" s="1"/>
      <c r="BN4" s="1"/>
      <c r="BO4" s="1"/>
      <c r="BP4" s="1"/>
      <c r="BQ4" s="247"/>
      <c r="BS4" s="48"/>
      <c r="BT4" s="48"/>
      <c r="BU4" s="48"/>
      <c r="BV4" s="48"/>
      <c r="BW4" s="48"/>
      <c r="BZ4" s="1"/>
      <c r="CA4" s="1"/>
      <c r="CB4" s="1"/>
      <c r="CC4" s="1"/>
      <c r="CE4" s="215">
        <v>44863</v>
      </c>
      <c r="CF4" s="1">
        <v>12584778</v>
      </c>
      <c r="CG4" s="1">
        <v>15980</v>
      </c>
      <c r="CH4" s="1">
        <v>12600758</v>
      </c>
      <c r="CI4" s="46">
        <f t="shared" si="9"/>
        <v>99.873182232370468</v>
      </c>
      <c r="CJ4" s="46">
        <f t="shared" si="10"/>
        <v>12.600758000000001</v>
      </c>
      <c r="CL4" s="140">
        <v>44914</v>
      </c>
      <c r="CM4" t="s">
        <v>238</v>
      </c>
      <c r="CN4">
        <v>6850</v>
      </c>
    </row>
    <row r="5" spans="1:92" hidden="1" x14ac:dyDescent="0.25">
      <c r="A5" s="215">
        <v>44864</v>
      </c>
      <c r="B5" s="197">
        <v>4338980</v>
      </c>
      <c r="C5" s="197">
        <v>3246</v>
      </c>
      <c r="D5" s="197">
        <v>4342226</v>
      </c>
      <c r="E5" s="197">
        <v>99.93</v>
      </c>
      <c r="F5" s="71">
        <f t="shared" si="0"/>
        <v>4.3422260000000001</v>
      </c>
      <c r="H5" s="215">
        <v>44864</v>
      </c>
      <c r="I5" s="197">
        <v>3238888</v>
      </c>
      <c r="J5" s="197">
        <v>4684</v>
      </c>
      <c r="K5" s="197">
        <v>3243572</v>
      </c>
      <c r="L5" s="197">
        <v>99.86</v>
      </c>
      <c r="M5" s="71">
        <f t="shared" si="1"/>
        <v>3.2435719999999999</v>
      </c>
      <c r="O5" s="215">
        <v>44864</v>
      </c>
      <c r="P5" s="198">
        <v>824946</v>
      </c>
      <c r="Q5" s="198">
        <v>634</v>
      </c>
      <c r="R5" s="198">
        <v>825580</v>
      </c>
      <c r="S5" s="198">
        <v>99.92</v>
      </c>
      <c r="T5" s="71">
        <f t="shared" si="2"/>
        <v>0.82557999999999998</v>
      </c>
      <c r="V5" s="215">
        <v>44864</v>
      </c>
      <c r="W5" s="197">
        <v>801882</v>
      </c>
      <c r="X5" s="197">
        <v>458</v>
      </c>
      <c r="Y5" s="197">
        <v>802340</v>
      </c>
      <c r="Z5" s="197">
        <v>99.94</v>
      </c>
      <c r="AA5" s="71">
        <f t="shared" si="3"/>
        <v>0.80234000000000005</v>
      </c>
      <c r="AC5" s="215">
        <v>44864</v>
      </c>
      <c r="AD5" s="48">
        <v>505316</v>
      </c>
      <c r="AE5" s="48">
        <v>216</v>
      </c>
      <c r="AF5" s="48">
        <v>505532</v>
      </c>
      <c r="AG5" s="48">
        <v>99.96</v>
      </c>
      <c r="AH5" s="71">
        <f t="shared" si="4"/>
        <v>0.50553199999999998</v>
      </c>
      <c r="AI5" s="178"/>
      <c r="AJ5" s="215">
        <v>44864</v>
      </c>
      <c r="AK5" s="48">
        <v>505316</v>
      </c>
      <c r="AL5" s="48">
        <v>216</v>
      </c>
      <c r="AM5" s="48">
        <v>505532</v>
      </c>
      <c r="AN5" s="48">
        <v>99.96</v>
      </c>
      <c r="AO5" s="246">
        <f t="shared" si="5"/>
        <v>0.50553199999999998</v>
      </c>
      <c r="AP5" s="178"/>
      <c r="AQ5" s="215">
        <v>44864</v>
      </c>
      <c r="AR5" s="48">
        <v>505316</v>
      </c>
      <c r="AS5" s="48">
        <v>216</v>
      </c>
      <c r="AT5" s="48">
        <v>505532</v>
      </c>
      <c r="AU5" s="48">
        <v>99.96</v>
      </c>
      <c r="AV5" s="246">
        <f t="shared" si="6"/>
        <v>0.50553199999999998</v>
      </c>
      <c r="AW5" s="178"/>
      <c r="AX5" s="215">
        <v>44864</v>
      </c>
      <c r="AY5" s="48">
        <v>505316</v>
      </c>
      <c r="AZ5" s="48">
        <v>216</v>
      </c>
      <c r="BA5" s="48">
        <v>505532</v>
      </c>
      <c r="BB5" s="48">
        <v>99.96</v>
      </c>
      <c r="BC5" s="316">
        <v>45322</v>
      </c>
      <c r="BD5" s="178"/>
      <c r="BE5" s="215">
        <v>44864</v>
      </c>
      <c r="BF5" s="48">
        <v>505316</v>
      </c>
      <c r="BG5" s="48">
        <v>216</v>
      </c>
      <c r="BH5" s="48">
        <v>505532</v>
      </c>
      <c r="BI5" s="48">
        <v>99.96</v>
      </c>
      <c r="BJ5" s="71">
        <f t="shared" si="8"/>
        <v>0.50553199999999998</v>
      </c>
      <c r="BK5" s="178"/>
      <c r="BL5" s="1"/>
      <c r="BM5" s="1"/>
      <c r="BN5" s="1"/>
      <c r="BO5" s="1"/>
      <c r="BP5" s="1"/>
      <c r="BQ5" s="247"/>
      <c r="BS5" s="48"/>
      <c r="BT5" s="48"/>
      <c r="BU5" s="48"/>
      <c r="BV5" s="48"/>
      <c r="BW5" s="48"/>
      <c r="BZ5" s="1"/>
      <c r="CA5" s="1"/>
      <c r="CB5" s="1"/>
      <c r="CC5" s="1"/>
      <c r="CE5" s="215">
        <v>44864</v>
      </c>
      <c r="CF5" s="1">
        <v>10982868</v>
      </c>
      <c r="CG5" s="1">
        <v>17304</v>
      </c>
      <c r="CH5" s="1">
        <v>11000172</v>
      </c>
      <c r="CI5" s="46">
        <f t="shared" si="9"/>
        <v>99.842693368794599</v>
      </c>
      <c r="CJ5" s="46">
        <f t="shared" si="10"/>
        <v>11.000171999999999</v>
      </c>
      <c r="CL5" s="140">
        <v>44914</v>
      </c>
      <c r="CM5" t="s">
        <v>239</v>
      </c>
      <c r="CN5">
        <v>3998</v>
      </c>
    </row>
    <row r="6" spans="1:92" hidden="1" x14ac:dyDescent="0.25">
      <c r="A6" s="215">
        <v>44865</v>
      </c>
      <c r="B6" s="204">
        <v>5445062</v>
      </c>
      <c r="C6" s="204">
        <v>3240</v>
      </c>
      <c r="D6" s="204">
        <v>5448302</v>
      </c>
      <c r="E6" s="204">
        <v>99.94</v>
      </c>
      <c r="F6" s="71">
        <f t="shared" si="0"/>
        <v>5.448302</v>
      </c>
      <c r="H6" s="215">
        <v>44865</v>
      </c>
      <c r="I6" s="204">
        <v>3491710</v>
      </c>
      <c r="J6" s="204">
        <v>6448</v>
      </c>
      <c r="K6" s="204">
        <v>3498158</v>
      </c>
      <c r="L6" s="204">
        <v>99.82</v>
      </c>
      <c r="M6" s="71">
        <f t="shared" si="1"/>
        <v>3.4981580000000001</v>
      </c>
      <c r="O6" s="215">
        <v>44865</v>
      </c>
      <c r="P6" s="204">
        <v>904052</v>
      </c>
      <c r="Q6" s="204">
        <v>692</v>
      </c>
      <c r="R6" s="204">
        <v>904744</v>
      </c>
      <c r="S6" s="204">
        <v>99.92</v>
      </c>
      <c r="T6" s="71">
        <f t="shared" si="2"/>
        <v>0.90474399999999999</v>
      </c>
      <c r="V6" s="215">
        <v>44865</v>
      </c>
      <c r="W6" s="204">
        <v>922582</v>
      </c>
      <c r="X6" s="204">
        <v>132</v>
      </c>
      <c r="Y6" s="204">
        <v>922714</v>
      </c>
      <c r="Z6" s="204">
        <v>99.99</v>
      </c>
      <c r="AA6" s="71">
        <f t="shared" si="3"/>
        <v>0.92271400000000003</v>
      </c>
      <c r="AC6" s="215">
        <v>44865</v>
      </c>
      <c r="AD6" s="204">
        <v>528876</v>
      </c>
      <c r="AE6" s="204">
        <v>548</v>
      </c>
      <c r="AF6" s="204">
        <v>529424</v>
      </c>
      <c r="AG6" s="204">
        <v>99.9</v>
      </c>
      <c r="AH6" s="71">
        <f t="shared" si="4"/>
        <v>0.52942400000000001</v>
      </c>
      <c r="AI6" s="178"/>
      <c r="AJ6" s="215">
        <v>44865</v>
      </c>
      <c r="AK6" s="204">
        <v>528876</v>
      </c>
      <c r="AL6" s="204">
        <v>548</v>
      </c>
      <c r="AM6" s="204">
        <v>529424</v>
      </c>
      <c r="AN6" s="204">
        <v>99.9</v>
      </c>
      <c r="AO6" s="246">
        <f t="shared" si="5"/>
        <v>0.52942400000000001</v>
      </c>
      <c r="AP6" s="178"/>
      <c r="AQ6" s="215">
        <v>44865</v>
      </c>
      <c r="AR6" s="204">
        <v>528876</v>
      </c>
      <c r="AS6" s="204">
        <v>548</v>
      </c>
      <c r="AT6" s="204">
        <v>529424</v>
      </c>
      <c r="AU6" s="204">
        <v>99.9</v>
      </c>
      <c r="AV6" s="246">
        <f t="shared" si="6"/>
        <v>0.52942400000000001</v>
      </c>
      <c r="AW6" s="178"/>
      <c r="AX6" s="215">
        <v>44865</v>
      </c>
      <c r="AY6" s="204">
        <v>528876</v>
      </c>
      <c r="AZ6" s="204">
        <v>548</v>
      </c>
      <c r="BA6" s="204">
        <v>529424</v>
      </c>
      <c r="BB6" s="204">
        <v>99.9</v>
      </c>
      <c r="BC6" s="246">
        <f t="shared" si="7"/>
        <v>0.52942400000000001</v>
      </c>
      <c r="BD6" s="178"/>
      <c r="BE6" s="215">
        <v>44865</v>
      </c>
      <c r="BF6" s="204">
        <v>528876</v>
      </c>
      <c r="BG6" s="204">
        <v>548</v>
      </c>
      <c r="BH6" s="204">
        <v>529424</v>
      </c>
      <c r="BI6" s="204">
        <v>99.9</v>
      </c>
      <c r="BJ6" s="71">
        <f t="shared" si="8"/>
        <v>0.52942400000000001</v>
      </c>
      <c r="BK6" s="178"/>
      <c r="BL6" s="1"/>
      <c r="BM6" s="1"/>
      <c r="BN6" s="1"/>
      <c r="BO6" s="1"/>
      <c r="BP6" s="1"/>
      <c r="BQ6" s="247"/>
      <c r="BS6" s="48"/>
      <c r="BT6" s="48"/>
      <c r="BU6" s="48"/>
      <c r="BV6" s="48"/>
      <c r="BW6" s="48"/>
      <c r="BZ6" s="1"/>
      <c r="CA6" s="1"/>
      <c r="CB6" s="1"/>
      <c r="CC6" s="1"/>
      <c r="CE6" s="215">
        <v>44865</v>
      </c>
      <c r="CF6" s="1">
        <v>12730418</v>
      </c>
      <c r="CG6" s="1">
        <v>22672</v>
      </c>
      <c r="CH6" s="1">
        <v>12753090</v>
      </c>
      <c r="CI6" s="46">
        <f t="shared" si="9"/>
        <v>99.822223476820128</v>
      </c>
      <c r="CJ6" s="46">
        <f t="shared" si="10"/>
        <v>12.75309</v>
      </c>
      <c r="CL6" s="140">
        <v>44914</v>
      </c>
      <c r="CM6" t="s">
        <v>240</v>
      </c>
      <c r="CN6">
        <v>2644</v>
      </c>
    </row>
    <row r="7" spans="1:92" hidden="1" x14ac:dyDescent="0.25">
      <c r="A7" s="215">
        <v>44866</v>
      </c>
      <c r="B7" s="204">
        <v>5036976</v>
      </c>
      <c r="C7" s="204">
        <v>4314</v>
      </c>
      <c r="D7" s="204">
        <v>5041290</v>
      </c>
      <c r="E7" s="204">
        <v>99.91</v>
      </c>
      <c r="F7" s="71">
        <f t="shared" si="0"/>
        <v>5.04129</v>
      </c>
      <c r="H7" s="215">
        <v>44866</v>
      </c>
      <c r="I7" s="204">
        <v>3280516</v>
      </c>
      <c r="J7" s="204">
        <v>5992</v>
      </c>
      <c r="K7" s="204">
        <v>3286508</v>
      </c>
      <c r="L7" s="204">
        <v>99.82</v>
      </c>
      <c r="M7" s="71">
        <f t="shared" si="1"/>
        <v>3.286508</v>
      </c>
      <c r="O7" s="215">
        <v>44866</v>
      </c>
      <c r="P7" s="204">
        <v>784980</v>
      </c>
      <c r="Q7" s="204">
        <v>726</v>
      </c>
      <c r="R7" s="204">
        <v>785706</v>
      </c>
      <c r="S7" s="204">
        <v>99.91</v>
      </c>
      <c r="T7" s="71">
        <f t="shared" si="2"/>
        <v>0.78570600000000002</v>
      </c>
      <c r="V7" s="215">
        <v>44866</v>
      </c>
      <c r="W7" s="204">
        <v>849338</v>
      </c>
      <c r="X7" s="204">
        <v>766</v>
      </c>
      <c r="Y7" s="204">
        <v>850104</v>
      </c>
      <c r="Z7" s="204">
        <v>99.91</v>
      </c>
      <c r="AA7" s="71">
        <f t="shared" si="3"/>
        <v>0.85010399999999997</v>
      </c>
      <c r="AC7" s="215">
        <v>44866</v>
      </c>
      <c r="AD7" s="204">
        <v>572482</v>
      </c>
      <c r="AE7" s="204">
        <v>368</v>
      </c>
      <c r="AF7" s="204">
        <v>572850</v>
      </c>
      <c r="AG7" s="204">
        <v>99.94</v>
      </c>
      <c r="AH7" s="71">
        <f t="shared" si="4"/>
        <v>0.57284999999999997</v>
      </c>
      <c r="AI7" s="178"/>
      <c r="AJ7" s="215">
        <v>44866</v>
      </c>
      <c r="AK7" s="204">
        <v>572482</v>
      </c>
      <c r="AL7" s="204">
        <v>368</v>
      </c>
      <c r="AM7" s="204">
        <v>572850</v>
      </c>
      <c r="AN7" s="204">
        <v>99.94</v>
      </c>
      <c r="AO7" s="246">
        <f t="shared" si="5"/>
        <v>0.57284999999999997</v>
      </c>
      <c r="AP7" s="178"/>
      <c r="AQ7" s="215">
        <v>44866</v>
      </c>
      <c r="AR7" s="204">
        <v>572482</v>
      </c>
      <c r="AS7" s="204">
        <v>368</v>
      </c>
      <c r="AT7" s="204">
        <v>572850</v>
      </c>
      <c r="AU7" s="204">
        <v>99.94</v>
      </c>
      <c r="AV7" s="246">
        <f t="shared" si="6"/>
        <v>0.57284999999999997</v>
      </c>
      <c r="AW7" s="178"/>
      <c r="AX7" s="215">
        <v>44866</v>
      </c>
      <c r="AY7" s="204">
        <v>572482</v>
      </c>
      <c r="AZ7" s="204">
        <v>368</v>
      </c>
      <c r="BA7" s="204">
        <v>572850</v>
      </c>
      <c r="BB7" s="204">
        <v>99.94</v>
      </c>
      <c r="BC7" s="246">
        <f t="shared" si="7"/>
        <v>0.57284999999999997</v>
      </c>
      <c r="BD7" s="178"/>
      <c r="BE7" s="215">
        <v>44866</v>
      </c>
      <c r="BF7" s="204">
        <v>572482</v>
      </c>
      <c r="BG7" s="204">
        <v>368</v>
      </c>
      <c r="BH7" s="204">
        <v>572850</v>
      </c>
      <c r="BI7" s="204">
        <v>99.94</v>
      </c>
      <c r="BJ7" s="71">
        <f t="shared" si="8"/>
        <v>0.57284999999999997</v>
      </c>
      <c r="BK7" s="178"/>
      <c r="BL7" s="1"/>
      <c r="BM7" s="1"/>
      <c r="BN7" s="1"/>
      <c r="BO7" s="1"/>
      <c r="BP7" s="1"/>
      <c r="BQ7" s="247"/>
      <c r="BS7" s="48"/>
      <c r="BT7" s="48"/>
      <c r="BU7" s="48"/>
      <c r="BV7" s="48"/>
      <c r="BW7" s="48"/>
      <c r="BZ7" s="1"/>
      <c r="CA7" s="1"/>
      <c r="CB7" s="1"/>
      <c r="CC7" s="1"/>
      <c r="CE7" s="215">
        <v>44866</v>
      </c>
      <c r="CF7" s="1">
        <v>11772208</v>
      </c>
      <c r="CG7" s="1">
        <v>19764</v>
      </c>
      <c r="CH7" s="1">
        <v>11791972</v>
      </c>
      <c r="CI7" s="46">
        <f t="shared" si="9"/>
        <v>99.832394445984093</v>
      </c>
      <c r="CJ7" s="46">
        <f t="shared" si="10"/>
        <v>11.791971999999999</v>
      </c>
      <c r="CL7" s="140">
        <v>44914</v>
      </c>
      <c r="CM7" t="s">
        <v>241</v>
      </c>
      <c r="CN7">
        <v>880</v>
      </c>
    </row>
    <row r="8" spans="1:92" hidden="1" x14ac:dyDescent="0.25">
      <c r="A8" s="215">
        <v>44867</v>
      </c>
      <c r="B8" s="48">
        <v>5354308</v>
      </c>
      <c r="C8" s="48">
        <v>1676</v>
      </c>
      <c r="D8" s="48">
        <v>5355984</v>
      </c>
      <c r="E8" s="48">
        <v>99.96</v>
      </c>
      <c r="F8" s="71">
        <f t="shared" si="0"/>
        <v>5.3559840000000003</v>
      </c>
      <c r="H8" s="215">
        <v>44867</v>
      </c>
      <c r="I8" s="48">
        <v>3218102</v>
      </c>
      <c r="J8" s="48">
        <v>5168</v>
      </c>
      <c r="K8" s="48">
        <v>3223270</v>
      </c>
      <c r="L8" s="48">
        <v>99.83</v>
      </c>
      <c r="M8" s="71">
        <f t="shared" si="1"/>
        <v>3.2232699999999999</v>
      </c>
      <c r="O8" s="215">
        <v>44867</v>
      </c>
      <c r="P8" s="1">
        <v>805582</v>
      </c>
      <c r="Q8" s="198">
        <v>660</v>
      </c>
      <c r="R8" s="48">
        <v>806242</v>
      </c>
      <c r="S8" s="204">
        <v>99.91</v>
      </c>
      <c r="T8" s="71">
        <f t="shared" si="2"/>
        <v>0.80624200000000001</v>
      </c>
      <c r="V8" s="215">
        <v>44867</v>
      </c>
      <c r="W8" s="48">
        <v>886470</v>
      </c>
      <c r="X8" s="197">
        <v>178</v>
      </c>
      <c r="Y8" s="48">
        <v>886648</v>
      </c>
      <c r="Z8" s="48">
        <v>99.97</v>
      </c>
      <c r="AA8" s="71">
        <f t="shared" si="3"/>
        <v>0.88664799999999999</v>
      </c>
      <c r="AC8" s="215">
        <v>44867</v>
      </c>
      <c r="AD8" s="1">
        <v>579656</v>
      </c>
      <c r="AE8" s="48">
        <v>2164</v>
      </c>
      <c r="AF8" s="48">
        <v>581820</v>
      </c>
      <c r="AG8" s="48">
        <v>99.62</v>
      </c>
      <c r="AH8" s="71">
        <f t="shared" si="4"/>
        <v>0.58182</v>
      </c>
      <c r="AI8" s="178"/>
      <c r="AJ8" s="215">
        <v>44867</v>
      </c>
      <c r="AK8" s="48">
        <v>579656</v>
      </c>
      <c r="AL8" s="48">
        <v>2164</v>
      </c>
      <c r="AM8" s="48">
        <v>581820</v>
      </c>
      <c r="AN8" s="48">
        <v>99.62</v>
      </c>
      <c r="AO8" s="246">
        <f t="shared" si="5"/>
        <v>0.58182</v>
      </c>
      <c r="AP8" s="178"/>
      <c r="AQ8" s="215">
        <v>44867</v>
      </c>
      <c r="AR8" s="48">
        <v>579656</v>
      </c>
      <c r="AS8" s="48">
        <v>2164</v>
      </c>
      <c r="AT8" s="48">
        <v>581820</v>
      </c>
      <c r="AU8" s="48">
        <v>99.62</v>
      </c>
      <c r="AV8" s="246">
        <f t="shared" si="6"/>
        <v>0.58182</v>
      </c>
      <c r="AW8" s="178"/>
      <c r="AX8" s="215">
        <v>44867</v>
      </c>
      <c r="AY8" s="48">
        <v>579656</v>
      </c>
      <c r="AZ8" s="48">
        <v>2164</v>
      </c>
      <c r="BA8" s="48">
        <v>581820</v>
      </c>
      <c r="BB8" s="48">
        <v>99.62</v>
      </c>
      <c r="BC8" s="246">
        <f t="shared" si="7"/>
        <v>0.58182</v>
      </c>
      <c r="BD8" s="178"/>
      <c r="BE8" s="215">
        <v>44867</v>
      </c>
      <c r="BF8" s="1">
        <v>579656</v>
      </c>
      <c r="BG8" s="48">
        <v>2164</v>
      </c>
      <c r="BH8" s="48">
        <v>581820</v>
      </c>
      <c r="BI8" s="48">
        <v>99.62</v>
      </c>
      <c r="BJ8" s="71">
        <f t="shared" si="8"/>
        <v>0.58182</v>
      </c>
      <c r="BK8" s="178"/>
      <c r="BL8" s="1"/>
      <c r="BM8" s="1"/>
      <c r="BN8" s="1"/>
      <c r="BO8" s="1"/>
      <c r="BP8" s="1"/>
      <c r="BQ8" s="247"/>
      <c r="BS8" s="48"/>
      <c r="BT8" s="48"/>
      <c r="BU8" s="48"/>
      <c r="BV8" s="48"/>
      <c r="BW8" s="48"/>
      <c r="BZ8" s="1"/>
      <c r="CA8" s="1"/>
      <c r="CB8" s="1"/>
      <c r="CC8" s="1"/>
      <c r="CE8" s="215">
        <v>44867</v>
      </c>
      <c r="CF8" s="1">
        <v>12228820</v>
      </c>
      <c r="CG8" s="1">
        <v>26338</v>
      </c>
      <c r="CH8" s="1">
        <v>12255158</v>
      </c>
      <c r="CI8" s="46">
        <f t="shared" si="9"/>
        <v>99.785086410146647</v>
      </c>
      <c r="CJ8" s="46">
        <f t="shared" si="10"/>
        <v>12.255158</v>
      </c>
      <c r="CL8" s="140">
        <v>44915</v>
      </c>
      <c r="CM8" t="s">
        <v>238</v>
      </c>
      <c r="CN8">
        <v>6714</v>
      </c>
    </row>
    <row r="9" spans="1:92" hidden="1" x14ac:dyDescent="0.25">
      <c r="A9" s="215">
        <v>44868</v>
      </c>
      <c r="B9" s="48">
        <v>5235496</v>
      </c>
      <c r="C9" s="48">
        <v>3066</v>
      </c>
      <c r="D9" s="48">
        <v>5238562</v>
      </c>
      <c r="E9" s="48">
        <v>99.94</v>
      </c>
      <c r="F9" s="71">
        <f t="shared" si="0"/>
        <v>5.2385619999999999</v>
      </c>
      <c r="H9" s="215">
        <v>44868</v>
      </c>
      <c r="I9" s="48">
        <v>3170030</v>
      </c>
      <c r="J9" s="48">
        <v>5184</v>
      </c>
      <c r="K9" s="48">
        <v>3175214</v>
      </c>
      <c r="L9" s="48">
        <v>99.83</v>
      </c>
      <c r="M9" s="71">
        <f t="shared" si="1"/>
        <v>3.175214</v>
      </c>
      <c r="O9" s="215">
        <v>44868</v>
      </c>
      <c r="P9" s="1">
        <v>812540</v>
      </c>
      <c r="Q9" s="48">
        <v>672</v>
      </c>
      <c r="R9" s="48">
        <v>813212</v>
      </c>
      <c r="S9" s="204">
        <v>99.91</v>
      </c>
      <c r="T9" s="71">
        <f t="shared" si="2"/>
        <v>0.81321200000000005</v>
      </c>
      <c r="V9" s="215">
        <v>44868</v>
      </c>
      <c r="W9" s="48">
        <v>876730</v>
      </c>
      <c r="X9" s="48">
        <v>384</v>
      </c>
      <c r="Y9" s="48">
        <v>877114</v>
      </c>
      <c r="Z9" s="48">
        <v>99.95</v>
      </c>
      <c r="AA9" s="71">
        <f t="shared" si="3"/>
        <v>0.87711399999999995</v>
      </c>
      <c r="AC9" s="215">
        <v>44868</v>
      </c>
      <c r="AD9" s="1">
        <v>566672</v>
      </c>
      <c r="AE9" s="48">
        <v>834</v>
      </c>
      <c r="AF9" s="48">
        <v>567506</v>
      </c>
      <c r="AG9" s="48">
        <v>99.85</v>
      </c>
      <c r="AH9" s="71">
        <f t="shared" si="4"/>
        <v>0.56750599999999995</v>
      </c>
      <c r="AI9" s="178"/>
      <c r="AJ9" s="215">
        <v>44868</v>
      </c>
      <c r="AK9" s="48">
        <v>566672</v>
      </c>
      <c r="AL9" s="48">
        <v>834</v>
      </c>
      <c r="AM9" s="48">
        <v>567506</v>
      </c>
      <c r="AN9" s="48">
        <v>99.85</v>
      </c>
      <c r="AO9" s="246">
        <f t="shared" si="5"/>
        <v>0.56750599999999995</v>
      </c>
      <c r="AP9" s="178"/>
      <c r="AQ9" s="215">
        <v>44868</v>
      </c>
      <c r="AR9" s="48">
        <v>566672</v>
      </c>
      <c r="AS9" s="48">
        <v>834</v>
      </c>
      <c r="AT9" s="48">
        <v>567506</v>
      </c>
      <c r="AU9" s="48">
        <v>99.85</v>
      </c>
      <c r="AV9" s="246">
        <f t="shared" si="6"/>
        <v>0.56750599999999995</v>
      </c>
      <c r="AW9" s="178"/>
      <c r="AX9" s="215">
        <v>44868</v>
      </c>
      <c r="AY9" s="48">
        <v>566672</v>
      </c>
      <c r="AZ9" s="48">
        <v>834</v>
      </c>
      <c r="BA9" s="48">
        <v>567506</v>
      </c>
      <c r="BB9" s="48">
        <v>99.85</v>
      </c>
      <c r="BC9" s="246">
        <f t="shared" si="7"/>
        <v>0.56750599999999995</v>
      </c>
      <c r="BD9" s="178"/>
      <c r="BE9" s="215">
        <v>44868</v>
      </c>
      <c r="BF9" s="1">
        <v>566672</v>
      </c>
      <c r="BG9" s="48">
        <v>834</v>
      </c>
      <c r="BH9" s="48">
        <v>567506</v>
      </c>
      <c r="BI9" s="48">
        <v>99.85</v>
      </c>
      <c r="BJ9" s="71">
        <f t="shared" si="8"/>
        <v>0.56750599999999995</v>
      </c>
      <c r="BK9" s="178"/>
      <c r="BL9" s="1"/>
      <c r="BM9" s="1"/>
      <c r="BN9" s="1"/>
      <c r="BO9" s="1"/>
      <c r="BP9" s="1"/>
      <c r="BQ9" s="247"/>
      <c r="BS9" s="48"/>
      <c r="BT9" s="48"/>
      <c r="BU9" s="48"/>
      <c r="BV9" s="48"/>
      <c r="BW9" s="48"/>
      <c r="BZ9" s="1"/>
      <c r="CA9" s="1"/>
      <c r="CB9" s="1"/>
      <c r="CC9" s="1"/>
      <c r="CE9" s="215">
        <v>44868</v>
      </c>
      <c r="CF9" s="1">
        <v>12089508</v>
      </c>
      <c r="CG9" s="1">
        <v>19082</v>
      </c>
      <c r="CH9" s="1">
        <v>12108590</v>
      </c>
      <c r="CI9" s="46">
        <f t="shared" si="9"/>
        <v>99.842409396965294</v>
      </c>
      <c r="CJ9" s="46">
        <f t="shared" si="10"/>
        <v>12.10859</v>
      </c>
      <c r="CL9" s="140">
        <v>44915</v>
      </c>
      <c r="CM9" t="s">
        <v>237</v>
      </c>
      <c r="CN9">
        <v>5920</v>
      </c>
    </row>
    <row r="10" spans="1:92" hidden="1" x14ac:dyDescent="0.25">
      <c r="A10" s="215">
        <v>44869</v>
      </c>
      <c r="B10" s="48">
        <v>5506686</v>
      </c>
      <c r="C10" s="48">
        <v>3074</v>
      </c>
      <c r="D10" s="48">
        <v>5509760</v>
      </c>
      <c r="E10" s="48">
        <v>99.94</v>
      </c>
      <c r="F10" s="71">
        <f t="shared" si="0"/>
        <v>5.50976</v>
      </c>
      <c r="H10" s="215">
        <v>44869</v>
      </c>
      <c r="I10" s="48">
        <v>3274106</v>
      </c>
      <c r="J10" s="48">
        <v>4314</v>
      </c>
      <c r="K10" s="48">
        <v>3278420</v>
      </c>
      <c r="L10" s="48">
        <v>99.87</v>
      </c>
      <c r="M10" s="71">
        <f t="shared" si="1"/>
        <v>3.2784200000000001</v>
      </c>
      <c r="O10" s="215">
        <v>44869</v>
      </c>
      <c r="P10" s="1">
        <v>813808</v>
      </c>
      <c r="Q10" s="48">
        <v>672</v>
      </c>
      <c r="R10" s="48">
        <v>814480</v>
      </c>
      <c r="S10" s="48">
        <v>99.92</v>
      </c>
      <c r="T10" s="71">
        <f t="shared" si="2"/>
        <v>0.81447999999999998</v>
      </c>
      <c r="V10" s="215">
        <v>44869</v>
      </c>
      <c r="W10" s="48">
        <v>918748</v>
      </c>
      <c r="X10" s="48">
        <v>348</v>
      </c>
      <c r="Y10" s="48">
        <v>919096</v>
      </c>
      <c r="Z10" s="48">
        <v>99.96</v>
      </c>
      <c r="AA10" s="71">
        <f t="shared" si="3"/>
        <v>0.91909600000000002</v>
      </c>
      <c r="AC10" s="215">
        <v>44869</v>
      </c>
      <c r="AD10" s="1">
        <v>647164</v>
      </c>
      <c r="AE10" s="48">
        <v>1602</v>
      </c>
      <c r="AF10" s="48">
        <v>648766</v>
      </c>
      <c r="AG10" s="48">
        <v>99.75</v>
      </c>
      <c r="AH10" s="71">
        <f t="shared" si="4"/>
        <v>0.64876599999999995</v>
      </c>
      <c r="AI10" s="178"/>
      <c r="AJ10" s="215">
        <v>44869</v>
      </c>
      <c r="AK10" s="48">
        <v>647164</v>
      </c>
      <c r="AL10" s="48">
        <v>1602</v>
      </c>
      <c r="AM10" s="48">
        <v>648766</v>
      </c>
      <c r="AN10" s="48">
        <v>99.75</v>
      </c>
      <c r="AO10" s="246">
        <f t="shared" si="5"/>
        <v>0.64876599999999995</v>
      </c>
      <c r="AP10" s="178"/>
      <c r="AQ10" s="215">
        <v>44869</v>
      </c>
      <c r="AR10" s="48">
        <v>647164</v>
      </c>
      <c r="AS10" s="48">
        <v>1602</v>
      </c>
      <c r="AT10" s="48">
        <v>648766</v>
      </c>
      <c r="AU10" s="48">
        <v>99.75</v>
      </c>
      <c r="AV10" s="246">
        <f t="shared" si="6"/>
        <v>0.64876599999999995</v>
      </c>
      <c r="AW10" s="178"/>
      <c r="AX10" s="215">
        <v>44869</v>
      </c>
      <c r="AY10" s="48">
        <v>647164</v>
      </c>
      <c r="AZ10" s="48">
        <v>1602</v>
      </c>
      <c r="BA10" s="48">
        <v>648766</v>
      </c>
      <c r="BB10" s="48">
        <v>99.75</v>
      </c>
      <c r="BC10" s="246">
        <f t="shared" si="7"/>
        <v>0.64876599999999995</v>
      </c>
      <c r="BD10" s="178"/>
      <c r="BE10" s="215">
        <v>44869</v>
      </c>
      <c r="BF10" s="1">
        <v>647164</v>
      </c>
      <c r="BG10" s="48">
        <v>1602</v>
      </c>
      <c r="BH10" s="48">
        <v>648766</v>
      </c>
      <c r="BI10" s="48">
        <v>99.75</v>
      </c>
      <c r="BJ10" s="71">
        <f t="shared" si="8"/>
        <v>0.64876599999999995</v>
      </c>
      <c r="BK10" s="178"/>
      <c r="BL10" s="1"/>
      <c r="BM10" s="1"/>
      <c r="BN10" s="1"/>
      <c r="BO10" s="1"/>
      <c r="BP10" s="1"/>
      <c r="BQ10" s="247"/>
      <c r="BS10" s="48"/>
      <c r="BT10" s="48"/>
      <c r="BU10" s="48"/>
      <c r="BV10" s="48"/>
      <c r="BW10" s="48"/>
      <c r="BZ10" s="1"/>
      <c r="CA10" s="1"/>
      <c r="CB10" s="1"/>
      <c r="CC10" s="1"/>
      <c r="CE10" s="215">
        <v>44869</v>
      </c>
      <c r="CF10" s="1">
        <v>12536518</v>
      </c>
      <c r="CG10" s="1">
        <v>20756</v>
      </c>
      <c r="CH10" s="1">
        <v>12557274</v>
      </c>
      <c r="CI10" s="46">
        <f t="shared" si="9"/>
        <v>99.834709348541722</v>
      </c>
      <c r="CJ10" s="46">
        <f t="shared" si="10"/>
        <v>12.557274</v>
      </c>
      <c r="CL10" s="140">
        <v>44915</v>
      </c>
      <c r="CM10" t="s">
        <v>239</v>
      </c>
      <c r="CN10">
        <v>5176</v>
      </c>
    </row>
    <row r="11" spans="1:92" hidden="1" x14ac:dyDescent="0.25">
      <c r="A11" s="215">
        <v>44870</v>
      </c>
      <c r="B11" s="48">
        <v>5216388</v>
      </c>
      <c r="C11" s="48">
        <v>3808</v>
      </c>
      <c r="D11" s="48">
        <v>5220196</v>
      </c>
      <c r="E11" s="71">
        <f>B11/D11*100</f>
        <v>99.927052547452249</v>
      </c>
      <c r="F11" s="71">
        <f t="shared" si="0"/>
        <v>5.2201959999999996</v>
      </c>
      <c r="H11" s="215">
        <v>44870</v>
      </c>
      <c r="I11" s="48">
        <v>3138968</v>
      </c>
      <c r="J11" s="48">
        <v>4612</v>
      </c>
      <c r="K11" s="48">
        <v>3143580</v>
      </c>
      <c r="L11" s="71">
        <f>I11/K11*100</f>
        <v>99.85328828914804</v>
      </c>
      <c r="M11" s="71">
        <f t="shared" si="1"/>
        <v>3.14358</v>
      </c>
      <c r="O11" s="215">
        <v>44870</v>
      </c>
      <c r="P11" s="1">
        <v>776310</v>
      </c>
      <c r="Q11" s="48">
        <v>596</v>
      </c>
      <c r="R11" s="48">
        <v>776906</v>
      </c>
      <c r="S11" s="71">
        <f>P11/R11*100</f>
        <v>99.923285442511713</v>
      </c>
      <c r="T11" s="71">
        <f t="shared" si="2"/>
        <v>0.77690599999999999</v>
      </c>
      <c r="V11" s="215">
        <v>44870</v>
      </c>
      <c r="W11" s="48">
        <v>881244</v>
      </c>
      <c r="X11" s="48">
        <v>150</v>
      </c>
      <c r="Y11" s="48">
        <v>881394</v>
      </c>
      <c r="Z11" s="71">
        <f>W11/Y11*100</f>
        <v>99.982981504298877</v>
      </c>
      <c r="AA11" s="71">
        <f t="shared" si="3"/>
        <v>0.88139400000000001</v>
      </c>
      <c r="AC11" s="215">
        <v>44870</v>
      </c>
      <c r="AD11" s="1">
        <v>689944</v>
      </c>
      <c r="AE11" s="48">
        <v>7922</v>
      </c>
      <c r="AF11" s="48">
        <v>697866</v>
      </c>
      <c r="AG11" s="71">
        <f>AD11/AF11*100</f>
        <v>98.864825052373945</v>
      </c>
      <c r="AH11" s="71">
        <f t="shared" si="4"/>
        <v>0.69786599999999999</v>
      </c>
      <c r="AI11" s="178"/>
      <c r="AJ11" s="215">
        <v>44870</v>
      </c>
      <c r="AK11" s="48">
        <v>689944</v>
      </c>
      <c r="AL11" s="48">
        <v>7922</v>
      </c>
      <c r="AM11" s="48">
        <v>697866</v>
      </c>
      <c r="AN11" s="71">
        <f>AK11/AM11*100</f>
        <v>98.864825052373945</v>
      </c>
      <c r="AO11" s="246">
        <f t="shared" si="5"/>
        <v>0.69786599999999999</v>
      </c>
      <c r="AP11" s="178"/>
      <c r="AQ11" s="215">
        <v>44870</v>
      </c>
      <c r="AR11" s="48">
        <v>689944</v>
      </c>
      <c r="AS11" s="48">
        <v>7922</v>
      </c>
      <c r="AT11" s="48">
        <v>697866</v>
      </c>
      <c r="AU11" s="71">
        <f>AR11/AT11*100</f>
        <v>98.864825052373945</v>
      </c>
      <c r="AV11" s="246">
        <f t="shared" si="6"/>
        <v>0.69786599999999999</v>
      </c>
      <c r="AW11" s="178"/>
      <c r="AX11" s="215">
        <v>44870</v>
      </c>
      <c r="AY11" s="48">
        <v>689944</v>
      </c>
      <c r="AZ11" s="48">
        <v>7922</v>
      </c>
      <c r="BA11" s="48">
        <v>697866</v>
      </c>
      <c r="BB11" s="71">
        <f>AY11/BA11*100</f>
        <v>98.864825052373945</v>
      </c>
      <c r="BC11" s="246">
        <f t="shared" si="7"/>
        <v>0.69786599999999999</v>
      </c>
      <c r="BD11" s="178"/>
      <c r="BE11" s="215">
        <v>44870</v>
      </c>
      <c r="BF11" s="1">
        <v>689944</v>
      </c>
      <c r="BG11" s="48">
        <v>7922</v>
      </c>
      <c r="BH11" s="48">
        <v>697866</v>
      </c>
      <c r="BI11" s="71">
        <f>BF11/BH11*100</f>
        <v>98.864825052373945</v>
      </c>
      <c r="BJ11" s="71">
        <f t="shared" si="8"/>
        <v>0.69786599999999999</v>
      </c>
      <c r="BK11" s="178"/>
      <c r="BL11" s="1"/>
      <c r="BM11" s="1"/>
      <c r="BN11" s="1"/>
      <c r="BO11" s="1"/>
      <c r="BP11" s="1"/>
      <c r="BQ11" s="247"/>
      <c r="BS11" s="48"/>
      <c r="BT11" s="48"/>
      <c r="BU11" s="48"/>
      <c r="BV11" s="48"/>
      <c r="BW11" s="48"/>
      <c r="BZ11" s="1"/>
      <c r="CA11" s="1"/>
      <c r="CB11" s="1"/>
      <c r="CC11" s="1"/>
      <c r="CE11" s="215">
        <v>44870</v>
      </c>
      <c r="CF11" s="1">
        <v>12026166</v>
      </c>
      <c r="CG11" s="1">
        <v>27518</v>
      </c>
      <c r="CH11" s="1">
        <v>12053684</v>
      </c>
      <c r="CI11" s="46">
        <f t="shared" si="9"/>
        <v>99.771704650627981</v>
      </c>
      <c r="CJ11" s="46">
        <f t="shared" si="10"/>
        <v>12.053684000000001</v>
      </c>
      <c r="CL11" s="140">
        <v>44915</v>
      </c>
      <c r="CM11" t="s">
        <v>240</v>
      </c>
      <c r="CN11">
        <v>2476</v>
      </c>
    </row>
    <row r="12" spans="1:92" hidden="1" x14ac:dyDescent="0.25">
      <c r="A12" s="215">
        <v>44871</v>
      </c>
      <c r="B12" s="210">
        <v>4298314</v>
      </c>
      <c r="C12" s="210">
        <v>1738</v>
      </c>
      <c r="D12" s="210">
        <v>4300052</v>
      </c>
      <c r="E12" s="210">
        <v>99.96</v>
      </c>
      <c r="F12" s="210">
        <v>4.3</v>
      </c>
      <c r="H12" s="215">
        <v>44871</v>
      </c>
      <c r="I12" s="217">
        <v>2939804</v>
      </c>
      <c r="J12" s="210">
        <v>3852</v>
      </c>
      <c r="K12" s="210">
        <v>2943656</v>
      </c>
      <c r="L12" s="210">
        <v>99.87</v>
      </c>
      <c r="M12" s="210">
        <v>2.94</v>
      </c>
      <c r="O12" s="215">
        <v>44871</v>
      </c>
      <c r="P12" s="217">
        <v>769544</v>
      </c>
      <c r="Q12" s="210">
        <v>612</v>
      </c>
      <c r="R12" s="210">
        <v>770156</v>
      </c>
      <c r="S12" s="210">
        <v>99.92</v>
      </c>
      <c r="T12" s="210">
        <v>0.77</v>
      </c>
      <c r="V12" s="215">
        <v>44871</v>
      </c>
      <c r="W12" s="210">
        <v>792358</v>
      </c>
      <c r="X12" s="210">
        <v>206</v>
      </c>
      <c r="Y12" s="210">
        <v>792564</v>
      </c>
      <c r="Z12" s="210">
        <v>99.97</v>
      </c>
      <c r="AA12" s="210">
        <v>0.79</v>
      </c>
      <c r="AC12" s="215">
        <v>44871</v>
      </c>
      <c r="AD12" s="217">
        <v>593794</v>
      </c>
      <c r="AE12" s="210">
        <v>9356</v>
      </c>
      <c r="AF12" s="210">
        <v>603150</v>
      </c>
      <c r="AG12" s="210">
        <v>98.45</v>
      </c>
      <c r="AH12" s="210">
        <v>0.61</v>
      </c>
      <c r="AJ12" s="215">
        <v>44871</v>
      </c>
      <c r="AK12" s="210">
        <v>593794</v>
      </c>
      <c r="AL12" s="210">
        <v>9356</v>
      </c>
      <c r="AM12" s="210">
        <v>603150</v>
      </c>
      <c r="AN12" s="210">
        <v>98.45</v>
      </c>
      <c r="AO12" s="248">
        <v>0.61</v>
      </c>
      <c r="AQ12" s="215">
        <v>44871</v>
      </c>
      <c r="AR12" s="210">
        <v>593794</v>
      </c>
      <c r="AS12" s="210">
        <v>9356</v>
      </c>
      <c r="AT12" s="210">
        <v>603150</v>
      </c>
      <c r="AU12" s="210">
        <v>98.45</v>
      </c>
      <c r="AV12" s="248">
        <v>0.61</v>
      </c>
      <c r="AX12" s="215">
        <v>44871</v>
      </c>
      <c r="AY12" s="210">
        <v>593794</v>
      </c>
      <c r="AZ12" s="210">
        <v>9356</v>
      </c>
      <c r="BA12" s="210">
        <v>603150</v>
      </c>
      <c r="BB12" s="210">
        <v>98.45</v>
      </c>
      <c r="BC12" s="248">
        <v>0.61</v>
      </c>
      <c r="BE12" s="215">
        <v>44871</v>
      </c>
      <c r="BF12" s="217">
        <v>593794</v>
      </c>
      <c r="BG12" s="210">
        <v>9356</v>
      </c>
      <c r="BH12" s="210">
        <v>603150</v>
      </c>
      <c r="BI12" s="210">
        <v>98.45</v>
      </c>
      <c r="BJ12" s="210">
        <v>0.61</v>
      </c>
      <c r="BL12" s="1"/>
      <c r="BM12" s="1"/>
      <c r="BN12" s="1"/>
      <c r="BO12" s="1"/>
      <c r="BP12" s="1"/>
      <c r="BQ12" s="247"/>
      <c r="BS12" s="48"/>
      <c r="BT12" s="48"/>
      <c r="BU12" s="48"/>
      <c r="BV12" s="48"/>
      <c r="BW12" s="48"/>
      <c r="BZ12" s="1"/>
      <c r="CA12" s="1"/>
      <c r="CB12" s="1"/>
      <c r="CC12" s="1"/>
      <c r="CE12" s="215">
        <v>44871</v>
      </c>
      <c r="CF12" s="1">
        <v>10630552</v>
      </c>
      <c r="CG12" s="1">
        <v>23500</v>
      </c>
      <c r="CH12" s="1">
        <v>10654052</v>
      </c>
      <c r="CI12" s="46">
        <v>99.78</v>
      </c>
      <c r="CJ12" s="46">
        <v>10.65</v>
      </c>
      <c r="CL12" s="140">
        <v>44915</v>
      </c>
      <c r="CM12" t="s">
        <v>241</v>
      </c>
      <c r="CN12">
        <v>774</v>
      </c>
    </row>
    <row r="13" spans="1:92" hidden="1" x14ac:dyDescent="0.25">
      <c r="A13" s="215">
        <v>44872</v>
      </c>
      <c r="B13" s="204">
        <v>5486976</v>
      </c>
      <c r="C13" s="204">
        <v>1150</v>
      </c>
      <c r="D13" s="204">
        <v>5488126</v>
      </c>
      <c r="E13" s="210">
        <v>99.98</v>
      </c>
      <c r="F13" s="71">
        <f>D13/1000000</f>
        <v>5.4881260000000003</v>
      </c>
      <c r="H13" s="215">
        <v>44872</v>
      </c>
      <c r="I13" s="204">
        <v>3083800</v>
      </c>
      <c r="J13" s="204">
        <v>5972</v>
      </c>
      <c r="K13" s="204">
        <v>3089772</v>
      </c>
      <c r="L13" s="204">
        <v>99.81</v>
      </c>
      <c r="M13" s="71">
        <f t="shared" si="1"/>
        <v>3.089772</v>
      </c>
      <c r="O13" s="215">
        <v>44872</v>
      </c>
      <c r="P13" s="204">
        <v>774142</v>
      </c>
      <c r="Q13" s="204">
        <v>680</v>
      </c>
      <c r="R13" s="204">
        <v>774822</v>
      </c>
      <c r="S13" s="204">
        <v>99.91</v>
      </c>
      <c r="T13" s="71">
        <f t="shared" si="2"/>
        <v>0.77482200000000001</v>
      </c>
      <c r="V13" s="215">
        <v>44872</v>
      </c>
      <c r="W13" s="204">
        <v>933700</v>
      </c>
      <c r="X13" s="204">
        <v>168</v>
      </c>
      <c r="Y13" s="204">
        <v>933868</v>
      </c>
      <c r="Z13" s="204">
        <v>99.98</v>
      </c>
      <c r="AA13" s="71">
        <f t="shared" si="3"/>
        <v>0.93386800000000003</v>
      </c>
      <c r="AC13" s="215">
        <v>44872</v>
      </c>
      <c r="AD13" s="204">
        <v>533860</v>
      </c>
      <c r="AE13" s="204">
        <v>364</v>
      </c>
      <c r="AF13" s="204">
        <v>534224</v>
      </c>
      <c r="AG13" s="204">
        <v>99.93</v>
      </c>
      <c r="AH13" s="71">
        <f t="shared" si="4"/>
        <v>0.53422400000000003</v>
      </c>
      <c r="AJ13" s="215">
        <v>44872</v>
      </c>
      <c r="AK13" s="204">
        <v>533860</v>
      </c>
      <c r="AL13" s="204">
        <v>364</v>
      </c>
      <c r="AM13" s="204">
        <v>534224</v>
      </c>
      <c r="AN13" s="204">
        <v>99.93</v>
      </c>
      <c r="AO13" s="246">
        <f t="shared" ref="AO13:AO53" si="11">AM13/1000000</f>
        <v>0.53422400000000003</v>
      </c>
      <c r="AQ13" s="215">
        <v>44872</v>
      </c>
      <c r="AR13" s="204">
        <v>533860</v>
      </c>
      <c r="AS13" s="204">
        <v>364</v>
      </c>
      <c r="AT13" s="204">
        <v>534224</v>
      </c>
      <c r="AU13" s="204">
        <v>99.93</v>
      </c>
      <c r="AV13" s="246">
        <f t="shared" ref="AV13:AV53" si="12">AT13/1000000</f>
        <v>0.53422400000000003</v>
      </c>
      <c r="AX13" s="215">
        <v>44872</v>
      </c>
      <c r="AY13" s="204">
        <v>533860</v>
      </c>
      <c r="AZ13" s="204">
        <v>364</v>
      </c>
      <c r="BA13" s="204">
        <v>534224</v>
      </c>
      <c r="BB13" s="204">
        <v>99.93</v>
      </c>
      <c r="BC13" s="246">
        <f t="shared" ref="BC13:BC53" si="13">BA13/1000000</f>
        <v>0.53422400000000003</v>
      </c>
      <c r="BE13" s="215">
        <v>44872</v>
      </c>
      <c r="BF13" s="204">
        <v>533860</v>
      </c>
      <c r="BG13" s="204">
        <v>364</v>
      </c>
      <c r="BH13" s="204">
        <v>534224</v>
      </c>
      <c r="BI13" s="204">
        <v>99.93</v>
      </c>
      <c r="BJ13" s="71">
        <f t="shared" ref="BJ13:BJ53" si="14">BH13/1000000</f>
        <v>0.53422400000000003</v>
      </c>
      <c r="BL13" s="1"/>
      <c r="BM13" s="1"/>
      <c r="BN13" s="1"/>
      <c r="BO13" s="1"/>
      <c r="BP13" s="1"/>
      <c r="BQ13" s="247"/>
      <c r="BS13" s="48"/>
      <c r="BT13" s="48"/>
      <c r="BU13" s="48"/>
      <c r="BV13" s="48"/>
      <c r="BW13" s="48"/>
      <c r="BZ13" s="1"/>
      <c r="CA13" s="1"/>
      <c r="CB13" s="1"/>
      <c r="CC13" s="1"/>
      <c r="CE13" s="215">
        <v>44872</v>
      </c>
      <c r="CF13" s="1">
        <v>12107650</v>
      </c>
      <c r="CG13" s="1">
        <v>14980</v>
      </c>
      <c r="CH13" s="1">
        <v>12122630</v>
      </c>
      <c r="CI13" s="46">
        <f t="shared" si="9"/>
        <v>99.876429454664532</v>
      </c>
      <c r="CJ13" s="46">
        <f t="shared" si="10"/>
        <v>12.122629999999999</v>
      </c>
      <c r="CL13" s="140">
        <v>44916</v>
      </c>
      <c r="CM13" t="s">
        <v>239</v>
      </c>
      <c r="CN13">
        <v>12930</v>
      </c>
    </row>
    <row r="14" spans="1:92" hidden="1" x14ac:dyDescent="0.25">
      <c r="A14" s="215">
        <v>44873</v>
      </c>
      <c r="B14" s="204">
        <v>5317784</v>
      </c>
      <c r="C14" s="204">
        <v>1690</v>
      </c>
      <c r="D14" s="204">
        <v>5319474</v>
      </c>
      <c r="E14" s="204">
        <v>99.97</v>
      </c>
      <c r="F14" s="71">
        <f t="shared" ref="F14:F53" si="15">D14/1000000</f>
        <v>5.3194739999999996</v>
      </c>
      <c r="H14" s="215">
        <v>44873</v>
      </c>
      <c r="I14" s="204">
        <v>2974720</v>
      </c>
      <c r="J14" s="204">
        <v>12526</v>
      </c>
      <c r="K14" s="204">
        <v>2987246</v>
      </c>
      <c r="L14" s="204">
        <v>99.58</v>
      </c>
      <c r="M14" s="71">
        <f t="shared" si="1"/>
        <v>2.9872459999999998</v>
      </c>
      <c r="O14" s="215">
        <v>44873</v>
      </c>
      <c r="P14" s="204">
        <v>719384</v>
      </c>
      <c r="Q14" s="204">
        <v>556</v>
      </c>
      <c r="R14" s="204">
        <v>719940</v>
      </c>
      <c r="S14" s="204">
        <v>99.92</v>
      </c>
      <c r="T14" s="71">
        <f t="shared" si="2"/>
        <v>0.71994000000000002</v>
      </c>
      <c r="V14" s="215">
        <v>44873</v>
      </c>
      <c r="W14" s="204">
        <v>869590</v>
      </c>
      <c r="X14" s="204">
        <v>142</v>
      </c>
      <c r="Y14" s="204">
        <v>869732</v>
      </c>
      <c r="Z14" s="204">
        <v>99.98</v>
      </c>
      <c r="AA14" s="71">
        <f t="shared" si="3"/>
        <v>0.86973199999999995</v>
      </c>
      <c r="AC14" s="215">
        <v>44873</v>
      </c>
      <c r="AD14" s="204">
        <v>555540</v>
      </c>
      <c r="AE14" s="204">
        <v>288</v>
      </c>
      <c r="AF14" s="204">
        <v>555828</v>
      </c>
      <c r="AG14" s="204">
        <v>99.95</v>
      </c>
      <c r="AH14" s="71">
        <f t="shared" si="4"/>
        <v>0.55582799999999999</v>
      </c>
      <c r="AJ14" s="215">
        <v>44873</v>
      </c>
      <c r="AK14" s="204">
        <v>555540</v>
      </c>
      <c r="AL14" s="204">
        <v>288</v>
      </c>
      <c r="AM14" s="204">
        <v>555828</v>
      </c>
      <c r="AN14" s="204">
        <v>99.95</v>
      </c>
      <c r="AO14" s="246">
        <f t="shared" si="11"/>
        <v>0.55582799999999999</v>
      </c>
      <c r="AQ14" s="215">
        <v>44873</v>
      </c>
      <c r="AR14" s="204">
        <v>555540</v>
      </c>
      <c r="AS14" s="204">
        <v>288</v>
      </c>
      <c r="AT14" s="204">
        <v>555828</v>
      </c>
      <c r="AU14" s="204">
        <v>99.95</v>
      </c>
      <c r="AV14" s="246">
        <f t="shared" si="12"/>
        <v>0.55582799999999999</v>
      </c>
      <c r="AX14" s="215">
        <v>44873</v>
      </c>
      <c r="AY14" s="204">
        <v>555540</v>
      </c>
      <c r="AZ14" s="204">
        <v>288</v>
      </c>
      <c r="BA14" s="204">
        <v>555828</v>
      </c>
      <c r="BB14" s="204">
        <v>99.95</v>
      </c>
      <c r="BC14" s="246">
        <f t="shared" si="13"/>
        <v>0.55582799999999999</v>
      </c>
      <c r="BE14" s="215">
        <v>44873</v>
      </c>
      <c r="BF14" s="204">
        <v>555540</v>
      </c>
      <c r="BG14" s="204">
        <v>288</v>
      </c>
      <c r="BH14" s="204">
        <v>555828</v>
      </c>
      <c r="BI14" s="204">
        <v>99.95</v>
      </c>
      <c r="BJ14" s="71">
        <f t="shared" si="14"/>
        <v>0.55582799999999999</v>
      </c>
      <c r="BL14" s="1"/>
      <c r="BM14" s="1"/>
      <c r="BN14" s="1"/>
      <c r="BO14" s="1"/>
      <c r="BP14" s="1"/>
      <c r="BQ14" s="247"/>
      <c r="BS14" s="48"/>
      <c r="BT14" s="48"/>
      <c r="BU14" s="48"/>
      <c r="BV14" s="48"/>
      <c r="BW14" s="48"/>
      <c r="BZ14" s="1"/>
      <c r="CA14" s="1"/>
      <c r="CB14" s="1"/>
      <c r="CC14" s="1"/>
      <c r="CE14" s="215">
        <v>44873</v>
      </c>
      <c r="CF14" s="1">
        <v>11737740</v>
      </c>
      <c r="CG14" s="1">
        <v>22568</v>
      </c>
      <c r="CH14" s="1">
        <v>11760308</v>
      </c>
      <c r="CI14" s="46">
        <f t="shared" si="9"/>
        <v>99.808100264040704</v>
      </c>
      <c r="CJ14" s="46">
        <f t="shared" si="10"/>
        <v>11.760308</v>
      </c>
      <c r="CL14" s="140">
        <v>44916</v>
      </c>
      <c r="CM14" t="s">
        <v>237</v>
      </c>
      <c r="CN14">
        <v>4756</v>
      </c>
    </row>
    <row r="15" spans="1:92" hidden="1" x14ac:dyDescent="0.25">
      <c r="A15" s="215">
        <v>44874</v>
      </c>
      <c r="B15" s="204">
        <v>5283370</v>
      </c>
      <c r="C15" s="204">
        <v>16270</v>
      </c>
      <c r="D15" s="204">
        <v>5299640</v>
      </c>
      <c r="E15" s="204">
        <v>99.69</v>
      </c>
      <c r="F15" s="71">
        <f t="shared" si="15"/>
        <v>5.2996400000000001</v>
      </c>
      <c r="H15" s="215">
        <v>44874</v>
      </c>
      <c r="I15" s="204">
        <v>2895718</v>
      </c>
      <c r="J15" s="204">
        <v>5658</v>
      </c>
      <c r="K15" s="204">
        <v>2901376</v>
      </c>
      <c r="L15" s="204">
        <v>99.8</v>
      </c>
      <c r="M15" s="71">
        <f t="shared" si="1"/>
        <v>2.901376</v>
      </c>
      <c r="O15" s="215">
        <v>44874</v>
      </c>
      <c r="P15" s="204">
        <v>741172</v>
      </c>
      <c r="Q15" s="204">
        <v>598</v>
      </c>
      <c r="R15" s="204">
        <v>741770</v>
      </c>
      <c r="S15" s="204">
        <v>99.92</v>
      </c>
      <c r="T15" s="71">
        <f t="shared" si="2"/>
        <v>0.74177000000000004</v>
      </c>
      <c r="V15" s="215">
        <v>44874</v>
      </c>
      <c r="W15" s="204">
        <v>856068</v>
      </c>
      <c r="X15" s="204">
        <v>184</v>
      </c>
      <c r="Y15" s="204">
        <v>856252</v>
      </c>
      <c r="Z15" s="204">
        <v>99.98</v>
      </c>
      <c r="AA15" s="71">
        <f t="shared" si="3"/>
        <v>0.85625200000000001</v>
      </c>
      <c r="AC15" s="215">
        <v>44874</v>
      </c>
      <c r="AD15" s="204">
        <v>595036</v>
      </c>
      <c r="AE15" s="204">
        <v>194</v>
      </c>
      <c r="AF15" s="204">
        <v>595230</v>
      </c>
      <c r="AG15" s="204">
        <v>99.97</v>
      </c>
      <c r="AH15" s="71">
        <f t="shared" si="4"/>
        <v>0.59523000000000004</v>
      </c>
      <c r="AJ15" s="215">
        <v>44874</v>
      </c>
      <c r="AK15" s="204">
        <v>595036</v>
      </c>
      <c r="AL15" s="204">
        <v>194</v>
      </c>
      <c r="AM15" s="204">
        <v>595230</v>
      </c>
      <c r="AN15" s="204">
        <v>99.97</v>
      </c>
      <c r="AO15" s="246">
        <f t="shared" si="11"/>
        <v>0.59523000000000004</v>
      </c>
      <c r="AQ15" s="215">
        <v>44874</v>
      </c>
      <c r="AR15" s="204">
        <v>595036</v>
      </c>
      <c r="AS15" s="204">
        <v>194</v>
      </c>
      <c r="AT15" s="204">
        <v>595230</v>
      </c>
      <c r="AU15" s="204">
        <v>99.97</v>
      </c>
      <c r="AV15" s="246">
        <f t="shared" si="12"/>
        <v>0.59523000000000004</v>
      </c>
      <c r="AX15" s="215">
        <v>44874</v>
      </c>
      <c r="AY15" s="204">
        <v>595036</v>
      </c>
      <c r="AZ15" s="204">
        <v>194</v>
      </c>
      <c r="BA15" s="204">
        <v>595230</v>
      </c>
      <c r="BB15" s="204">
        <v>99.97</v>
      </c>
      <c r="BC15" s="246">
        <f t="shared" si="13"/>
        <v>0.59523000000000004</v>
      </c>
      <c r="BE15" s="215">
        <v>44874</v>
      </c>
      <c r="BF15" s="204">
        <v>595036</v>
      </c>
      <c r="BG15" s="204">
        <v>194</v>
      </c>
      <c r="BH15" s="204">
        <v>595230</v>
      </c>
      <c r="BI15" s="204">
        <v>99.97</v>
      </c>
      <c r="BJ15" s="71">
        <f t="shared" si="14"/>
        <v>0.59523000000000004</v>
      </c>
      <c r="BL15" s="1"/>
      <c r="BM15" s="1"/>
      <c r="BN15" s="1"/>
      <c r="BO15" s="1"/>
      <c r="BP15" s="1"/>
      <c r="BQ15" s="247"/>
      <c r="BS15" s="48"/>
      <c r="BT15" s="48"/>
      <c r="BU15" s="48"/>
      <c r="BV15" s="48"/>
      <c r="BW15" s="48"/>
      <c r="BZ15" s="1"/>
      <c r="CA15" s="1"/>
      <c r="CB15" s="1"/>
      <c r="CC15" s="1"/>
      <c r="CE15" s="215">
        <v>44874</v>
      </c>
      <c r="CF15" s="1">
        <v>11677950</v>
      </c>
      <c r="CG15" s="1">
        <v>30322</v>
      </c>
      <c r="CH15" s="1">
        <v>11708272</v>
      </c>
      <c r="CI15" s="46">
        <f t="shared" si="9"/>
        <v>99.741020707410968</v>
      </c>
      <c r="CJ15" s="46">
        <f t="shared" si="10"/>
        <v>11.708271999999999</v>
      </c>
      <c r="CL15" s="140">
        <v>44916</v>
      </c>
      <c r="CM15" t="s">
        <v>238</v>
      </c>
      <c r="CN15">
        <v>4666</v>
      </c>
    </row>
    <row r="16" spans="1:92" hidden="1" x14ac:dyDescent="0.25">
      <c r="A16" s="215">
        <v>44875</v>
      </c>
      <c r="B16" s="204">
        <v>5270364</v>
      </c>
      <c r="C16" s="204">
        <v>4982</v>
      </c>
      <c r="D16" s="204">
        <v>5275346</v>
      </c>
      <c r="E16" s="204">
        <v>99.91</v>
      </c>
      <c r="F16" s="71">
        <f t="shared" si="15"/>
        <v>5.2753459999999999</v>
      </c>
      <c r="H16" s="215">
        <v>44875</v>
      </c>
      <c r="I16" s="204">
        <v>2968546</v>
      </c>
      <c r="J16" s="204">
        <v>29758</v>
      </c>
      <c r="K16" s="204">
        <v>2998304</v>
      </c>
      <c r="L16" s="204">
        <v>99.01</v>
      </c>
      <c r="M16" s="71">
        <f t="shared" si="1"/>
        <v>2.9983040000000001</v>
      </c>
      <c r="O16" s="215">
        <v>44875</v>
      </c>
      <c r="P16" s="204">
        <v>748896</v>
      </c>
      <c r="Q16" s="204">
        <v>600</v>
      </c>
      <c r="R16" s="204">
        <v>749496</v>
      </c>
      <c r="S16" s="204">
        <v>99.92</v>
      </c>
      <c r="T16" s="71">
        <f t="shared" si="2"/>
        <v>0.74949600000000005</v>
      </c>
      <c r="V16" s="215">
        <v>44875</v>
      </c>
      <c r="W16" s="204">
        <v>901202</v>
      </c>
      <c r="X16" s="204">
        <v>246</v>
      </c>
      <c r="Y16" s="204">
        <v>901448</v>
      </c>
      <c r="Z16" s="204">
        <v>99.97</v>
      </c>
      <c r="AA16" s="71">
        <f t="shared" si="3"/>
        <v>0.90144800000000003</v>
      </c>
      <c r="AC16" s="215">
        <v>44875</v>
      </c>
      <c r="AD16" s="204">
        <v>620126</v>
      </c>
      <c r="AE16" s="204">
        <v>172</v>
      </c>
      <c r="AF16" s="204">
        <v>620298</v>
      </c>
      <c r="AG16" s="204">
        <v>99.97</v>
      </c>
      <c r="AH16" s="71">
        <f t="shared" si="4"/>
        <v>0.62029800000000002</v>
      </c>
      <c r="AJ16" s="215">
        <v>44875</v>
      </c>
      <c r="AK16" s="204">
        <v>620126</v>
      </c>
      <c r="AL16" s="204">
        <v>172</v>
      </c>
      <c r="AM16" s="204">
        <v>620298</v>
      </c>
      <c r="AN16" s="204">
        <v>99.97</v>
      </c>
      <c r="AO16" s="246">
        <f t="shared" si="11"/>
        <v>0.62029800000000002</v>
      </c>
      <c r="AQ16" s="215">
        <v>44875</v>
      </c>
      <c r="AR16" s="204">
        <v>620126</v>
      </c>
      <c r="AS16" s="204">
        <v>172</v>
      </c>
      <c r="AT16" s="204">
        <v>620298</v>
      </c>
      <c r="AU16" s="204">
        <v>99.97</v>
      </c>
      <c r="AV16" s="246">
        <f t="shared" si="12"/>
        <v>0.62029800000000002</v>
      </c>
      <c r="AX16" s="215">
        <v>44875</v>
      </c>
      <c r="AY16" s="204">
        <v>620126</v>
      </c>
      <c r="AZ16" s="204">
        <v>172</v>
      </c>
      <c r="BA16" s="204">
        <v>620298</v>
      </c>
      <c r="BB16" s="204">
        <v>99.97</v>
      </c>
      <c r="BC16" s="246">
        <f t="shared" si="13"/>
        <v>0.62029800000000002</v>
      </c>
      <c r="BE16" s="215">
        <v>44875</v>
      </c>
      <c r="BF16" s="204">
        <v>620126</v>
      </c>
      <c r="BG16" s="204">
        <v>172</v>
      </c>
      <c r="BH16" s="204">
        <v>620298</v>
      </c>
      <c r="BI16" s="204">
        <v>99.97</v>
      </c>
      <c r="BJ16" s="71">
        <f t="shared" si="14"/>
        <v>0.62029800000000002</v>
      </c>
      <c r="BL16" s="1"/>
      <c r="BM16" s="1"/>
      <c r="BN16" s="1"/>
      <c r="BO16" s="1"/>
      <c r="BP16" s="1"/>
      <c r="BQ16" s="247"/>
      <c r="BS16" s="48"/>
      <c r="BT16" s="48"/>
      <c r="BU16" s="48"/>
      <c r="BV16" s="48"/>
      <c r="BW16" s="48"/>
      <c r="BZ16" s="1"/>
      <c r="CA16" s="1"/>
      <c r="CB16" s="1"/>
      <c r="CC16" s="1"/>
      <c r="CE16" s="215">
        <v>44875</v>
      </c>
      <c r="CF16" s="1">
        <v>11941574</v>
      </c>
      <c r="CG16" s="1">
        <v>48856</v>
      </c>
      <c r="CH16" s="1">
        <v>11990430</v>
      </c>
      <c r="CI16" s="46">
        <f t="shared" si="9"/>
        <v>99.592541718687315</v>
      </c>
      <c r="CJ16" s="46">
        <f t="shared" si="10"/>
        <v>11.99043</v>
      </c>
      <c r="CL16" s="140">
        <v>44916</v>
      </c>
      <c r="CM16" t="s">
        <v>240</v>
      </c>
      <c r="CN16">
        <v>2396</v>
      </c>
    </row>
    <row r="17" spans="1:92" hidden="1" x14ac:dyDescent="0.25">
      <c r="A17" s="215">
        <v>44876</v>
      </c>
      <c r="B17" s="204">
        <v>5134416</v>
      </c>
      <c r="C17" s="204">
        <v>2616</v>
      </c>
      <c r="D17" s="204">
        <v>5137032</v>
      </c>
      <c r="E17" s="204">
        <v>99.95</v>
      </c>
      <c r="F17" s="71">
        <f t="shared" si="15"/>
        <v>5.1370319999999996</v>
      </c>
      <c r="H17" s="215">
        <v>44876</v>
      </c>
      <c r="I17" s="204">
        <v>3051734</v>
      </c>
      <c r="J17" s="204">
        <v>2184</v>
      </c>
      <c r="K17" s="204">
        <v>3053918</v>
      </c>
      <c r="L17" s="204">
        <v>99.93</v>
      </c>
      <c r="M17" s="71">
        <f t="shared" si="1"/>
        <v>3.0539179999999999</v>
      </c>
      <c r="O17" s="215">
        <v>44876</v>
      </c>
      <c r="P17" s="204">
        <v>736788</v>
      </c>
      <c r="Q17" s="204">
        <v>550</v>
      </c>
      <c r="R17" s="204">
        <v>737338</v>
      </c>
      <c r="S17" s="204">
        <v>99.93</v>
      </c>
      <c r="T17" s="71">
        <f t="shared" si="2"/>
        <v>0.73733800000000005</v>
      </c>
      <c r="V17" s="215">
        <v>44876</v>
      </c>
      <c r="W17" s="204">
        <v>906696</v>
      </c>
      <c r="X17" s="204">
        <v>160</v>
      </c>
      <c r="Y17" s="204">
        <v>906856</v>
      </c>
      <c r="Z17" s="204">
        <v>99.98</v>
      </c>
      <c r="AA17" s="71">
        <f t="shared" si="3"/>
        <v>0.906856</v>
      </c>
      <c r="AC17" s="215">
        <v>44876</v>
      </c>
      <c r="AD17" s="204">
        <v>583180</v>
      </c>
      <c r="AE17" s="204">
        <v>254</v>
      </c>
      <c r="AF17" s="204">
        <v>583434</v>
      </c>
      <c r="AG17" s="204">
        <v>99.96</v>
      </c>
      <c r="AH17" s="71">
        <f t="shared" si="4"/>
        <v>0.58343400000000001</v>
      </c>
      <c r="AJ17" s="215">
        <v>44876</v>
      </c>
      <c r="AK17" s="204">
        <v>583180</v>
      </c>
      <c r="AL17" s="204">
        <v>254</v>
      </c>
      <c r="AM17" s="204">
        <v>583434</v>
      </c>
      <c r="AN17" s="204">
        <v>99.96</v>
      </c>
      <c r="AO17" s="246">
        <f t="shared" si="11"/>
        <v>0.58343400000000001</v>
      </c>
      <c r="AQ17" s="215">
        <v>44876</v>
      </c>
      <c r="AR17" s="204">
        <v>583180</v>
      </c>
      <c r="AS17" s="204">
        <v>254</v>
      </c>
      <c r="AT17" s="204">
        <v>583434</v>
      </c>
      <c r="AU17" s="204">
        <v>99.96</v>
      </c>
      <c r="AV17" s="246">
        <f t="shared" si="12"/>
        <v>0.58343400000000001</v>
      </c>
      <c r="AX17" s="215">
        <v>44876</v>
      </c>
      <c r="AY17" s="204">
        <v>583180</v>
      </c>
      <c r="AZ17" s="204">
        <v>254</v>
      </c>
      <c r="BA17" s="204">
        <v>583434</v>
      </c>
      <c r="BB17" s="204">
        <v>99.96</v>
      </c>
      <c r="BC17" s="246">
        <f t="shared" si="13"/>
        <v>0.58343400000000001</v>
      </c>
      <c r="BE17" s="215">
        <v>44876</v>
      </c>
      <c r="BF17" s="204">
        <v>583180</v>
      </c>
      <c r="BG17" s="204">
        <v>254</v>
      </c>
      <c r="BH17" s="204">
        <v>583434</v>
      </c>
      <c r="BI17" s="204">
        <v>99.96</v>
      </c>
      <c r="BJ17" s="71">
        <f t="shared" si="14"/>
        <v>0.58343400000000001</v>
      </c>
      <c r="BL17" s="1"/>
      <c r="BM17" s="1"/>
      <c r="BN17" s="1"/>
      <c r="BO17" s="1"/>
      <c r="BP17" s="1"/>
      <c r="BQ17" s="247"/>
      <c r="BS17" s="48"/>
      <c r="BT17" s="48"/>
      <c r="BU17" s="48"/>
      <c r="BV17" s="48"/>
      <c r="BW17" s="48"/>
      <c r="BZ17" s="1"/>
      <c r="CA17" s="1"/>
      <c r="CB17" s="1"/>
      <c r="CC17" s="1"/>
      <c r="CE17" s="215">
        <v>44876</v>
      </c>
      <c r="CF17" s="1">
        <v>11713524</v>
      </c>
      <c r="CG17" s="1">
        <v>12078</v>
      </c>
      <c r="CH17" s="1">
        <v>11725602</v>
      </c>
      <c r="CI17" s="46">
        <f t="shared" si="9"/>
        <v>99.896994627653228</v>
      </c>
      <c r="CJ17" s="46">
        <f t="shared" si="10"/>
        <v>11.725602</v>
      </c>
      <c r="CL17" s="140">
        <v>44916</v>
      </c>
      <c r="CM17" t="s">
        <v>242</v>
      </c>
      <c r="CN17">
        <v>1698</v>
      </c>
    </row>
    <row r="18" spans="1:92" hidden="1" x14ac:dyDescent="0.25">
      <c r="A18" s="215">
        <v>44877</v>
      </c>
      <c r="B18" s="204">
        <v>4962262</v>
      </c>
      <c r="C18" s="204">
        <v>3736</v>
      </c>
      <c r="D18" s="204">
        <v>4965998</v>
      </c>
      <c r="E18" s="204">
        <v>99.92</v>
      </c>
      <c r="F18" s="71">
        <f t="shared" si="15"/>
        <v>4.9659979999999999</v>
      </c>
      <c r="H18" s="215">
        <v>44877</v>
      </c>
      <c r="I18" s="204">
        <v>3020114</v>
      </c>
      <c r="J18" s="204">
        <v>2078</v>
      </c>
      <c r="K18" s="204">
        <v>3022192</v>
      </c>
      <c r="L18" s="204">
        <v>99.93</v>
      </c>
      <c r="M18" s="71">
        <f t="shared" si="1"/>
        <v>3.022192</v>
      </c>
      <c r="O18" s="215">
        <v>44877</v>
      </c>
      <c r="P18" s="204">
        <v>747278</v>
      </c>
      <c r="Q18" s="204">
        <v>562</v>
      </c>
      <c r="R18" s="204">
        <v>747840</v>
      </c>
      <c r="S18" s="204">
        <v>99.92</v>
      </c>
      <c r="T18" s="71">
        <f t="shared" si="2"/>
        <v>0.74783999999999995</v>
      </c>
      <c r="V18" s="215">
        <v>44877</v>
      </c>
      <c r="W18" s="204">
        <v>879828</v>
      </c>
      <c r="X18" s="204">
        <v>398</v>
      </c>
      <c r="Y18" s="204">
        <v>880226</v>
      </c>
      <c r="Z18" s="204">
        <v>99.95</v>
      </c>
      <c r="AA18" s="71">
        <f t="shared" si="3"/>
        <v>0.88022599999999995</v>
      </c>
      <c r="AC18" s="215">
        <v>44877</v>
      </c>
      <c r="AD18" s="204">
        <v>564188</v>
      </c>
      <c r="AE18" s="204">
        <v>1412</v>
      </c>
      <c r="AF18" s="204">
        <v>565600</v>
      </c>
      <c r="AG18" s="204">
        <v>99.75</v>
      </c>
      <c r="AH18" s="71">
        <f t="shared" si="4"/>
        <v>0.56559999999999999</v>
      </c>
      <c r="AJ18" s="215">
        <v>44877</v>
      </c>
      <c r="AK18" s="204">
        <v>564188</v>
      </c>
      <c r="AL18" s="204">
        <v>1412</v>
      </c>
      <c r="AM18" s="204">
        <v>565600</v>
      </c>
      <c r="AN18" s="204">
        <v>99.75</v>
      </c>
      <c r="AO18" s="246">
        <f t="shared" si="11"/>
        <v>0.56559999999999999</v>
      </c>
      <c r="AQ18" s="215">
        <v>44877</v>
      </c>
      <c r="AR18" s="204">
        <v>564188</v>
      </c>
      <c r="AS18" s="204">
        <v>1412</v>
      </c>
      <c r="AT18" s="204">
        <v>565600</v>
      </c>
      <c r="AU18" s="204">
        <v>99.75</v>
      </c>
      <c r="AV18" s="246">
        <f t="shared" si="12"/>
        <v>0.56559999999999999</v>
      </c>
      <c r="AX18" s="215">
        <v>44877</v>
      </c>
      <c r="AY18" s="204">
        <v>564188</v>
      </c>
      <c r="AZ18" s="204">
        <v>1412</v>
      </c>
      <c r="BA18" s="204">
        <v>565600</v>
      </c>
      <c r="BB18" s="204">
        <v>99.75</v>
      </c>
      <c r="BC18" s="246">
        <f t="shared" si="13"/>
        <v>0.56559999999999999</v>
      </c>
      <c r="BE18" s="215">
        <v>44877</v>
      </c>
      <c r="BF18" s="204">
        <v>564188</v>
      </c>
      <c r="BG18" s="204">
        <v>1412</v>
      </c>
      <c r="BH18" s="204">
        <v>565600</v>
      </c>
      <c r="BI18" s="204">
        <v>99.75</v>
      </c>
      <c r="BJ18" s="71">
        <f t="shared" si="14"/>
        <v>0.56559999999999999</v>
      </c>
      <c r="BL18" s="1"/>
      <c r="BM18" s="1"/>
      <c r="BN18" s="1"/>
      <c r="BO18" s="1"/>
      <c r="BP18" s="1"/>
      <c r="BQ18" s="247"/>
      <c r="BS18" s="48"/>
      <c r="BT18" s="48"/>
      <c r="BU18" s="48"/>
      <c r="BV18" s="48"/>
      <c r="BW18" s="48"/>
      <c r="BZ18" s="1"/>
      <c r="CA18" s="1"/>
      <c r="CB18" s="1"/>
      <c r="CC18" s="1"/>
      <c r="CE18" s="215">
        <v>44877</v>
      </c>
      <c r="CF18" s="1">
        <v>11486036</v>
      </c>
      <c r="CG18" s="1">
        <v>15032</v>
      </c>
      <c r="CH18" s="1">
        <v>11501068</v>
      </c>
      <c r="CI18" s="46">
        <f t="shared" si="9"/>
        <v>99.869299094658004</v>
      </c>
      <c r="CJ18" s="46">
        <f t="shared" si="10"/>
        <v>11.501068</v>
      </c>
      <c r="CL18" s="140">
        <v>44917</v>
      </c>
      <c r="CM18" t="s">
        <v>238</v>
      </c>
      <c r="CN18">
        <v>14676</v>
      </c>
    </row>
    <row r="19" spans="1:92" hidden="1" x14ac:dyDescent="0.25">
      <c r="A19" s="215">
        <v>44878</v>
      </c>
      <c r="B19" s="204">
        <v>4537050</v>
      </c>
      <c r="C19" s="204">
        <v>55976</v>
      </c>
      <c r="D19" s="204">
        <v>4593026</v>
      </c>
      <c r="E19" s="204">
        <v>98.78</v>
      </c>
      <c r="F19" s="71">
        <f t="shared" si="15"/>
        <v>4.5930260000000001</v>
      </c>
      <c r="H19" s="215">
        <v>44878</v>
      </c>
      <c r="I19" s="204">
        <v>3051382</v>
      </c>
      <c r="J19" s="204">
        <v>39548</v>
      </c>
      <c r="K19" s="204">
        <v>3090930</v>
      </c>
      <c r="L19" s="204">
        <v>98.72</v>
      </c>
      <c r="M19" s="71">
        <f t="shared" si="1"/>
        <v>3.0909300000000002</v>
      </c>
      <c r="O19" s="215">
        <v>44878</v>
      </c>
      <c r="P19" s="204">
        <v>792528</v>
      </c>
      <c r="Q19" s="204">
        <v>518</v>
      </c>
      <c r="R19" s="204">
        <v>793046</v>
      </c>
      <c r="S19" s="204">
        <v>99.93</v>
      </c>
      <c r="T19" s="71">
        <f t="shared" si="2"/>
        <v>0.79304600000000003</v>
      </c>
      <c r="V19" s="215">
        <v>44878</v>
      </c>
      <c r="W19" s="204">
        <v>919080</v>
      </c>
      <c r="X19" s="204">
        <v>188</v>
      </c>
      <c r="Y19" s="204">
        <v>919268</v>
      </c>
      <c r="Z19" s="204">
        <v>99.98</v>
      </c>
      <c r="AA19" s="71">
        <f t="shared" si="3"/>
        <v>0.91926799999999997</v>
      </c>
      <c r="AC19" s="215">
        <v>44878</v>
      </c>
      <c r="AD19" s="204">
        <v>559290</v>
      </c>
      <c r="AE19" s="204">
        <v>7404</v>
      </c>
      <c r="AF19" s="204">
        <v>566694</v>
      </c>
      <c r="AG19" s="204">
        <v>98.69</v>
      </c>
      <c r="AH19" s="71">
        <f t="shared" si="4"/>
        <v>0.56669400000000003</v>
      </c>
      <c r="AJ19" s="215">
        <v>44878</v>
      </c>
      <c r="AK19" s="204">
        <v>559290</v>
      </c>
      <c r="AL19" s="204">
        <v>7404</v>
      </c>
      <c r="AM19" s="204">
        <v>566694</v>
      </c>
      <c r="AN19" s="204">
        <v>98.69</v>
      </c>
      <c r="AO19" s="246">
        <f t="shared" si="11"/>
        <v>0.56669400000000003</v>
      </c>
      <c r="AQ19" s="215">
        <v>44878</v>
      </c>
      <c r="AR19" s="204">
        <v>559290</v>
      </c>
      <c r="AS19" s="204">
        <v>7404</v>
      </c>
      <c r="AT19" s="204">
        <v>566694</v>
      </c>
      <c r="AU19" s="204">
        <v>98.69</v>
      </c>
      <c r="AV19" s="246">
        <f t="shared" si="12"/>
        <v>0.56669400000000003</v>
      </c>
      <c r="AX19" s="215">
        <v>44878</v>
      </c>
      <c r="AY19" s="204">
        <v>559290</v>
      </c>
      <c r="AZ19" s="204">
        <v>7404</v>
      </c>
      <c r="BA19" s="204">
        <v>566694</v>
      </c>
      <c r="BB19" s="204">
        <v>98.69</v>
      </c>
      <c r="BC19" s="246">
        <f t="shared" si="13"/>
        <v>0.56669400000000003</v>
      </c>
      <c r="BE19" s="215">
        <v>44878</v>
      </c>
      <c r="BF19" s="204">
        <v>559290</v>
      </c>
      <c r="BG19" s="204">
        <v>7404</v>
      </c>
      <c r="BH19" s="204">
        <v>566694</v>
      </c>
      <c r="BI19" s="204">
        <v>98.69</v>
      </c>
      <c r="BJ19" s="71">
        <f t="shared" si="14"/>
        <v>0.56669400000000003</v>
      </c>
      <c r="BL19" s="1"/>
      <c r="BM19" s="1"/>
      <c r="BN19" s="1"/>
      <c r="BO19" s="1"/>
      <c r="BP19" s="1"/>
      <c r="BQ19" s="247"/>
      <c r="BS19" s="48"/>
      <c r="BT19" s="48"/>
      <c r="BU19" s="48"/>
      <c r="BV19" s="48"/>
      <c r="BW19" s="48"/>
      <c r="BZ19" s="1"/>
      <c r="CA19" s="1"/>
      <c r="CB19" s="1"/>
      <c r="CC19" s="1"/>
      <c r="CE19" s="215">
        <v>44878</v>
      </c>
      <c r="CF19" s="1">
        <v>11127880</v>
      </c>
      <c r="CG19" s="1">
        <v>117744</v>
      </c>
      <c r="CH19" s="1">
        <v>11245624</v>
      </c>
      <c r="CI19" s="46">
        <f t="shared" si="9"/>
        <v>98.952979398919965</v>
      </c>
      <c r="CJ19" s="46">
        <f t="shared" si="10"/>
        <v>11.245623999999999</v>
      </c>
      <c r="CL19" s="140">
        <v>44917</v>
      </c>
      <c r="CM19" t="s">
        <v>239</v>
      </c>
      <c r="CN19">
        <v>4876</v>
      </c>
    </row>
    <row r="20" spans="1:92" hidden="1" x14ac:dyDescent="0.25">
      <c r="A20" s="215">
        <v>44879</v>
      </c>
      <c r="B20" s="204">
        <v>5148734</v>
      </c>
      <c r="C20" s="204">
        <v>4276</v>
      </c>
      <c r="D20" s="204">
        <v>5153010</v>
      </c>
      <c r="E20" s="204">
        <v>99.92</v>
      </c>
      <c r="F20" s="71">
        <f t="shared" si="15"/>
        <v>5.1530100000000001</v>
      </c>
      <c r="H20" s="215">
        <v>44879</v>
      </c>
      <c r="I20" s="204">
        <v>2999916</v>
      </c>
      <c r="J20" s="204">
        <v>32270</v>
      </c>
      <c r="K20" s="204">
        <v>3032186</v>
      </c>
      <c r="L20" s="204">
        <v>98.94</v>
      </c>
      <c r="M20" s="71">
        <f t="shared" si="1"/>
        <v>3.0321859999999998</v>
      </c>
      <c r="O20" s="215">
        <v>44879</v>
      </c>
      <c r="P20" s="204">
        <v>744562</v>
      </c>
      <c r="Q20" s="204">
        <v>542</v>
      </c>
      <c r="R20" s="204">
        <v>745104</v>
      </c>
      <c r="S20" s="204">
        <v>99.93</v>
      </c>
      <c r="T20" s="71">
        <f t="shared" si="2"/>
        <v>0.74510399999999999</v>
      </c>
      <c r="V20" s="215">
        <v>44879</v>
      </c>
      <c r="W20" s="204">
        <v>914754</v>
      </c>
      <c r="X20" s="204">
        <v>146</v>
      </c>
      <c r="Y20" s="204">
        <v>914900</v>
      </c>
      <c r="Z20" s="204">
        <v>99.98</v>
      </c>
      <c r="AA20" s="71">
        <f t="shared" si="3"/>
        <v>0.91490000000000005</v>
      </c>
      <c r="AC20" s="215">
        <v>44879</v>
      </c>
      <c r="AD20" s="204">
        <v>573926</v>
      </c>
      <c r="AE20" s="204">
        <v>2040</v>
      </c>
      <c r="AF20" s="204">
        <v>575966</v>
      </c>
      <c r="AG20" s="204">
        <v>99.65</v>
      </c>
      <c r="AH20" s="71">
        <f t="shared" si="4"/>
        <v>0.57596599999999998</v>
      </c>
      <c r="AJ20" s="215">
        <v>44879</v>
      </c>
      <c r="AK20" s="204">
        <v>573926</v>
      </c>
      <c r="AL20" s="204">
        <v>2040</v>
      </c>
      <c r="AM20" s="204">
        <v>575966</v>
      </c>
      <c r="AN20" s="204">
        <v>99.65</v>
      </c>
      <c r="AO20" s="246">
        <f t="shared" si="11"/>
        <v>0.57596599999999998</v>
      </c>
      <c r="AQ20" s="215">
        <v>44879</v>
      </c>
      <c r="AR20" s="204">
        <v>573926</v>
      </c>
      <c r="AS20" s="204">
        <v>2040</v>
      </c>
      <c r="AT20" s="204">
        <v>575966</v>
      </c>
      <c r="AU20" s="204">
        <v>99.65</v>
      </c>
      <c r="AV20" s="246">
        <f t="shared" si="12"/>
        <v>0.57596599999999998</v>
      </c>
      <c r="AX20" s="215">
        <v>44879</v>
      </c>
      <c r="AY20" s="204">
        <v>573926</v>
      </c>
      <c r="AZ20" s="204">
        <v>2040</v>
      </c>
      <c r="BA20" s="204">
        <v>575966</v>
      </c>
      <c r="BB20" s="204">
        <v>99.65</v>
      </c>
      <c r="BC20" s="246">
        <f t="shared" si="13"/>
        <v>0.57596599999999998</v>
      </c>
      <c r="BE20" s="215">
        <v>44879</v>
      </c>
      <c r="BF20" s="204">
        <v>573926</v>
      </c>
      <c r="BG20" s="204">
        <v>2040</v>
      </c>
      <c r="BH20" s="204">
        <v>575966</v>
      </c>
      <c r="BI20" s="204">
        <v>99.65</v>
      </c>
      <c r="BJ20" s="71">
        <f t="shared" si="14"/>
        <v>0.57596599999999998</v>
      </c>
      <c r="BL20" s="1"/>
      <c r="BM20" s="1"/>
      <c r="BN20" s="1"/>
      <c r="BO20" s="1"/>
      <c r="BP20" s="1"/>
      <c r="BQ20" s="247"/>
      <c r="BS20" s="48"/>
      <c r="BT20" s="48"/>
      <c r="BU20" s="48"/>
      <c r="BV20" s="48"/>
      <c r="BW20" s="48"/>
      <c r="BZ20" s="1"/>
      <c r="CA20" s="1"/>
      <c r="CB20" s="1"/>
      <c r="CC20" s="1"/>
      <c r="CE20" s="215">
        <v>44879</v>
      </c>
      <c r="CF20" s="1">
        <v>11670628</v>
      </c>
      <c r="CG20" s="1">
        <v>50484</v>
      </c>
      <c r="CH20" s="1">
        <v>11721112</v>
      </c>
      <c r="CI20" s="46">
        <f t="shared" si="9"/>
        <v>99.569290012756468</v>
      </c>
      <c r="CJ20" s="46">
        <f t="shared" si="10"/>
        <v>11.721112</v>
      </c>
      <c r="CL20" s="140">
        <v>44917</v>
      </c>
      <c r="CM20" t="s">
        <v>237</v>
      </c>
      <c r="CN20">
        <v>3530</v>
      </c>
    </row>
    <row r="21" spans="1:92" hidden="1" x14ac:dyDescent="0.25">
      <c r="A21" s="215">
        <v>44880</v>
      </c>
      <c r="B21" s="48">
        <v>4994386</v>
      </c>
      <c r="C21" s="48">
        <v>5614</v>
      </c>
      <c r="D21" s="48">
        <v>5000000</v>
      </c>
      <c r="E21" s="204">
        <v>99.88</v>
      </c>
      <c r="F21" s="71">
        <f t="shared" si="15"/>
        <v>5</v>
      </c>
      <c r="H21" s="215">
        <v>44880</v>
      </c>
      <c r="I21" s="48">
        <v>3288662</v>
      </c>
      <c r="J21" s="48">
        <v>6526</v>
      </c>
      <c r="K21" s="48">
        <v>3295188</v>
      </c>
      <c r="L21" s="212">
        <f>I21/K21*100</f>
        <v>99.801953636636213</v>
      </c>
      <c r="M21" s="71">
        <f t="shared" si="1"/>
        <v>3.295188</v>
      </c>
      <c r="O21" s="215">
        <v>44880</v>
      </c>
      <c r="P21" s="48">
        <v>750492</v>
      </c>
      <c r="Q21" s="204">
        <v>542</v>
      </c>
      <c r="R21" s="48">
        <v>751034</v>
      </c>
      <c r="S21" s="204">
        <v>99.93</v>
      </c>
      <c r="T21" s="71">
        <f t="shared" si="2"/>
        <v>0.75103399999999998</v>
      </c>
      <c r="V21" s="215">
        <v>44880</v>
      </c>
      <c r="W21" s="48">
        <v>912248</v>
      </c>
      <c r="X21" s="48">
        <v>150</v>
      </c>
      <c r="Y21" s="48">
        <v>912398</v>
      </c>
      <c r="Z21" s="204">
        <v>99.98</v>
      </c>
      <c r="AA21" s="71">
        <f t="shared" si="3"/>
        <v>0.91239800000000004</v>
      </c>
      <c r="AC21" s="215">
        <v>44880</v>
      </c>
      <c r="AD21" s="48">
        <v>589936</v>
      </c>
      <c r="AE21" s="48">
        <v>1874</v>
      </c>
      <c r="AF21" s="48">
        <v>591810</v>
      </c>
      <c r="AG21" s="204">
        <v>99.68</v>
      </c>
      <c r="AH21" s="71">
        <f t="shared" si="4"/>
        <v>0.59180999999999995</v>
      </c>
      <c r="AJ21" s="215">
        <v>44880</v>
      </c>
      <c r="AK21" s="48">
        <v>589936</v>
      </c>
      <c r="AL21" s="48">
        <v>1874</v>
      </c>
      <c r="AM21" s="48">
        <v>591810</v>
      </c>
      <c r="AN21" s="204">
        <v>99.68</v>
      </c>
      <c r="AO21" s="246">
        <f t="shared" si="11"/>
        <v>0.59180999999999995</v>
      </c>
      <c r="AQ21" s="215">
        <v>44880</v>
      </c>
      <c r="AR21" s="48">
        <v>589936</v>
      </c>
      <c r="AS21" s="48">
        <v>1874</v>
      </c>
      <c r="AT21" s="48">
        <v>591810</v>
      </c>
      <c r="AU21" s="204">
        <v>99.68</v>
      </c>
      <c r="AV21" s="246">
        <f t="shared" si="12"/>
        <v>0.59180999999999995</v>
      </c>
      <c r="AX21" s="215">
        <v>44880</v>
      </c>
      <c r="AY21" s="48">
        <v>589936</v>
      </c>
      <c r="AZ21" s="48">
        <v>1874</v>
      </c>
      <c r="BA21" s="48">
        <v>591810</v>
      </c>
      <c r="BB21" s="204">
        <v>99.68</v>
      </c>
      <c r="BC21" s="246">
        <f t="shared" si="13"/>
        <v>0.59180999999999995</v>
      </c>
      <c r="BE21" s="215">
        <v>44880</v>
      </c>
      <c r="BF21" s="48">
        <v>589936</v>
      </c>
      <c r="BG21" s="48">
        <v>1874</v>
      </c>
      <c r="BH21" s="48">
        <v>591810</v>
      </c>
      <c r="BI21" s="204">
        <v>99.68</v>
      </c>
      <c r="BJ21" s="71">
        <f t="shared" si="14"/>
        <v>0.59180999999999995</v>
      </c>
      <c r="BL21" s="1"/>
      <c r="BM21" s="1"/>
      <c r="BN21" s="1"/>
      <c r="BO21" s="1"/>
      <c r="BP21" s="1"/>
      <c r="BQ21" s="247"/>
      <c r="BS21" s="48"/>
      <c r="BT21" s="48"/>
      <c r="BU21" s="48"/>
      <c r="BV21" s="48"/>
      <c r="BW21" s="48"/>
      <c r="BZ21" s="1"/>
      <c r="CA21" s="1"/>
      <c r="CB21" s="1"/>
      <c r="CC21" s="1"/>
      <c r="CE21" s="215">
        <v>44880</v>
      </c>
      <c r="CF21" s="1">
        <v>11810444</v>
      </c>
      <c r="CG21" s="1">
        <v>21858</v>
      </c>
      <c r="CH21" s="1">
        <v>11832302</v>
      </c>
      <c r="CI21" s="46">
        <f t="shared" si="9"/>
        <v>99.815268406773257</v>
      </c>
      <c r="CJ21" s="46">
        <f t="shared" si="10"/>
        <v>11.832302</v>
      </c>
      <c r="CL21" s="140">
        <v>44917</v>
      </c>
      <c r="CM21" t="s">
        <v>240</v>
      </c>
      <c r="CN21">
        <v>2908</v>
      </c>
    </row>
    <row r="22" spans="1:92" hidden="1" x14ac:dyDescent="0.25">
      <c r="A22" s="215">
        <v>44881</v>
      </c>
      <c r="B22" s="48">
        <v>6081182</v>
      </c>
      <c r="C22" s="48">
        <v>27870</v>
      </c>
      <c r="D22" s="48">
        <v>6109052</v>
      </c>
      <c r="E22" s="48">
        <v>99.55</v>
      </c>
      <c r="F22" s="71">
        <f t="shared" si="15"/>
        <v>6.1090520000000001</v>
      </c>
      <c r="H22" s="215">
        <v>44881</v>
      </c>
      <c r="I22" s="48">
        <v>2929504</v>
      </c>
      <c r="J22" s="48">
        <v>4568</v>
      </c>
      <c r="K22" s="48">
        <v>2934072</v>
      </c>
      <c r="L22" s="48">
        <v>98.45</v>
      </c>
      <c r="M22" s="71">
        <f t="shared" si="1"/>
        <v>2.934072</v>
      </c>
      <c r="O22" s="215">
        <v>44881</v>
      </c>
      <c r="P22" s="48">
        <v>722418</v>
      </c>
      <c r="Q22" s="48">
        <v>592</v>
      </c>
      <c r="R22" s="48">
        <v>723010</v>
      </c>
      <c r="S22" s="48">
        <v>99.92</v>
      </c>
      <c r="T22" s="71">
        <f t="shared" si="2"/>
        <v>0.72301000000000004</v>
      </c>
      <c r="V22" s="215">
        <v>44881</v>
      </c>
      <c r="W22" s="48">
        <v>864188</v>
      </c>
      <c r="X22" s="48">
        <v>150</v>
      </c>
      <c r="Y22" s="48">
        <v>864338</v>
      </c>
      <c r="Z22" s="48">
        <v>99.99</v>
      </c>
      <c r="AA22" s="71">
        <f t="shared" si="3"/>
        <v>0.86433800000000005</v>
      </c>
      <c r="AC22" s="215">
        <v>44881</v>
      </c>
      <c r="AD22" s="48">
        <v>623370</v>
      </c>
      <c r="AE22" s="204">
        <v>194</v>
      </c>
      <c r="AF22" s="48">
        <v>623564</v>
      </c>
      <c r="AG22" s="48">
        <v>99.69</v>
      </c>
      <c r="AH22" s="71">
        <f t="shared" si="4"/>
        <v>0.62356400000000001</v>
      </c>
      <c r="AJ22" s="215">
        <v>44881</v>
      </c>
      <c r="AK22" s="48">
        <v>623370</v>
      </c>
      <c r="AL22" s="204">
        <v>194</v>
      </c>
      <c r="AM22" s="48">
        <v>623564</v>
      </c>
      <c r="AN22" s="48">
        <v>99.69</v>
      </c>
      <c r="AO22" s="246">
        <f t="shared" si="11"/>
        <v>0.62356400000000001</v>
      </c>
      <c r="AQ22" s="215">
        <v>44881</v>
      </c>
      <c r="AR22" s="48">
        <v>623370</v>
      </c>
      <c r="AS22" s="204">
        <v>194</v>
      </c>
      <c r="AT22" s="48">
        <v>623564</v>
      </c>
      <c r="AU22" s="48">
        <v>99.69</v>
      </c>
      <c r="AV22" s="246">
        <f t="shared" si="12"/>
        <v>0.62356400000000001</v>
      </c>
      <c r="AX22" s="215">
        <v>44881</v>
      </c>
      <c r="AY22" s="48">
        <v>623370</v>
      </c>
      <c r="AZ22" s="204">
        <v>194</v>
      </c>
      <c r="BA22" s="48">
        <v>623564</v>
      </c>
      <c r="BB22" s="48">
        <v>99.69</v>
      </c>
      <c r="BC22" s="246">
        <f t="shared" si="13"/>
        <v>0.62356400000000001</v>
      </c>
      <c r="BE22" s="215">
        <v>44881</v>
      </c>
      <c r="BF22" s="48">
        <v>623370</v>
      </c>
      <c r="BG22" s="204">
        <v>194</v>
      </c>
      <c r="BH22" s="48">
        <v>623564</v>
      </c>
      <c r="BI22" s="48">
        <v>99.69</v>
      </c>
      <c r="BJ22" s="71">
        <f t="shared" si="14"/>
        <v>0.62356400000000001</v>
      </c>
      <c r="BL22" s="1"/>
      <c r="BM22" s="1"/>
      <c r="BN22" s="1"/>
      <c r="BO22" s="1"/>
      <c r="BP22" s="1"/>
      <c r="BQ22" s="247"/>
      <c r="BS22" s="48"/>
      <c r="BT22" s="48"/>
      <c r="BU22" s="48"/>
      <c r="BV22" s="48"/>
      <c r="BW22" s="48"/>
      <c r="BZ22" s="1"/>
      <c r="CA22" s="1"/>
      <c r="CB22" s="1"/>
      <c r="CC22" s="1"/>
      <c r="CE22" s="215">
        <v>44881</v>
      </c>
      <c r="CF22" s="1">
        <v>11416438</v>
      </c>
      <c r="CG22" s="1">
        <v>41506</v>
      </c>
      <c r="CH22" s="1">
        <v>11457944</v>
      </c>
      <c r="CI22" s="46">
        <f t="shared" si="9"/>
        <v>99.637753509704709</v>
      </c>
      <c r="CJ22" s="46">
        <f t="shared" si="10"/>
        <v>11.457943999999999</v>
      </c>
      <c r="CL22" s="140">
        <v>44917</v>
      </c>
      <c r="CM22" t="s">
        <v>241</v>
      </c>
      <c r="CN22">
        <v>802</v>
      </c>
    </row>
    <row r="23" spans="1:92" hidden="1" x14ac:dyDescent="0.25">
      <c r="A23" s="215">
        <v>44882</v>
      </c>
      <c r="B23" s="48">
        <v>6017324</v>
      </c>
      <c r="C23" s="48">
        <v>11964</v>
      </c>
      <c r="D23" s="48">
        <v>6029288</v>
      </c>
      <c r="E23" s="204">
        <v>99.81</v>
      </c>
      <c r="F23" s="71">
        <f t="shared" si="15"/>
        <v>6.0292880000000002</v>
      </c>
      <c r="H23" s="215">
        <v>44882</v>
      </c>
      <c r="I23" s="48">
        <v>2887028</v>
      </c>
      <c r="J23" s="48">
        <v>18842</v>
      </c>
      <c r="K23" s="48">
        <v>2905870</v>
      </c>
      <c r="L23" s="204">
        <v>99.35</v>
      </c>
      <c r="M23" s="71">
        <f t="shared" si="1"/>
        <v>2.9058700000000002</v>
      </c>
      <c r="O23" s="215">
        <v>44882</v>
      </c>
      <c r="P23" s="48">
        <v>741004</v>
      </c>
      <c r="Q23" s="48">
        <v>632</v>
      </c>
      <c r="R23" s="48">
        <v>741636</v>
      </c>
      <c r="S23" s="204">
        <v>99.91</v>
      </c>
      <c r="T23" s="71">
        <f t="shared" si="2"/>
        <v>0.74163599999999996</v>
      </c>
      <c r="V23" s="215">
        <v>44882</v>
      </c>
      <c r="W23" s="48">
        <v>856812</v>
      </c>
      <c r="X23" s="48">
        <v>146</v>
      </c>
      <c r="Y23" s="48">
        <v>856958</v>
      </c>
      <c r="Z23" s="204">
        <v>99.98</v>
      </c>
      <c r="AA23" s="71">
        <f t="shared" si="3"/>
        <v>0.856958</v>
      </c>
      <c r="AC23" s="215">
        <v>44882</v>
      </c>
      <c r="AD23" s="48">
        <v>595550</v>
      </c>
      <c r="AE23" s="48">
        <v>406</v>
      </c>
      <c r="AF23" s="48">
        <v>595956</v>
      </c>
      <c r="AG23" s="48">
        <v>99.93</v>
      </c>
      <c r="AH23" s="71">
        <f t="shared" si="4"/>
        <v>0.59595600000000004</v>
      </c>
      <c r="AJ23" s="215">
        <v>44882</v>
      </c>
      <c r="AK23" s="48">
        <v>595550</v>
      </c>
      <c r="AL23" s="48">
        <v>406</v>
      </c>
      <c r="AM23" s="48">
        <v>595956</v>
      </c>
      <c r="AN23" s="48">
        <v>99.93</v>
      </c>
      <c r="AO23" s="246">
        <f t="shared" si="11"/>
        <v>0.59595600000000004</v>
      </c>
      <c r="AQ23" s="215">
        <v>44882</v>
      </c>
      <c r="AR23" s="48">
        <v>595550</v>
      </c>
      <c r="AS23" s="48">
        <v>406</v>
      </c>
      <c r="AT23" s="48">
        <v>595956</v>
      </c>
      <c r="AU23" s="48">
        <v>99.93</v>
      </c>
      <c r="AV23" s="246">
        <f t="shared" si="12"/>
        <v>0.59595600000000004</v>
      </c>
      <c r="AX23" s="215">
        <v>44882</v>
      </c>
      <c r="AY23" s="48">
        <v>595550</v>
      </c>
      <c r="AZ23" s="48">
        <v>406</v>
      </c>
      <c r="BA23" s="48">
        <v>595956</v>
      </c>
      <c r="BB23" s="48">
        <v>99.93</v>
      </c>
      <c r="BC23" s="246">
        <f t="shared" si="13"/>
        <v>0.59595600000000004</v>
      </c>
      <c r="BE23" s="215">
        <v>44882</v>
      </c>
      <c r="BF23" s="48">
        <v>595550</v>
      </c>
      <c r="BG23" s="48">
        <v>406</v>
      </c>
      <c r="BH23" s="48">
        <v>595956</v>
      </c>
      <c r="BI23" s="48">
        <v>99.93</v>
      </c>
      <c r="BJ23" s="71">
        <f t="shared" si="14"/>
        <v>0.59595600000000004</v>
      </c>
      <c r="BL23" s="1"/>
      <c r="BM23" s="1"/>
      <c r="BN23" s="1"/>
      <c r="BO23" s="1"/>
      <c r="BP23" s="1"/>
      <c r="BQ23" s="247"/>
      <c r="BS23" s="48"/>
      <c r="BT23" s="48"/>
      <c r="BU23" s="48"/>
      <c r="BV23" s="48"/>
      <c r="BW23" s="48"/>
      <c r="BZ23" s="1"/>
      <c r="CA23" s="1"/>
      <c r="CB23" s="1"/>
      <c r="CC23" s="1"/>
      <c r="CE23" s="215">
        <v>44882</v>
      </c>
      <c r="CF23" s="1">
        <v>11322780</v>
      </c>
      <c r="CG23" s="1">
        <v>38042</v>
      </c>
      <c r="CH23" s="1">
        <v>11360822</v>
      </c>
      <c r="CI23" s="46">
        <f t="shared" si="9"/>
        <v>99.665147469082783</v>
      </c>
      <c r="CJ23" s="46">
        <f t="shared" si="10"/>
        <v>11.360822000000001</v>
      </c>
      <c r="CL23" s="140">
        <v>44918</v>
      </c>
      <c r="CM23" t="s">
        <v>239</v>
      </c>
      <c r="CN23">
        <v>14502</v>
      </c>
    </row>
    <row r="24" spans="1:92" hidden="1" x14ac:dyDescent="0.25">
      <c r="A24" s="215">
        <v>44883</v>
      </c>
      <c r="B24" s="48">
        <v>5106014</v>
      </c>
      <c r="C24" s="48">
        <v>2224</v>
      </c>
      <c r="D24" s="48">
        <v>5108238</v>
      </c>
      <c r="E24" s="48">
        <v>99.96</v>
      </c>
      <c r="F24" s="71">
        <f t="shared" si="15"/>
        <v>5.1082380000000001</v>
      </c>
      <c r="H24" s="215">
        <v>44883</v>
      </c>
      <c r="I24" s="48">
        <v>2966806</v>
      </c>
      <c r="J24" s="48">
        <v>2548</v>
      </c>
      <c r="K24" s="48">
        <v>2969354</v>
      </c>
      <c r="L24" s="48">
        <v>99.91</v>
      </c>
      <c r="M24" s="71">
        <f t="shared" si="1"/>
        <v>2.969354</v>
      </c>
      <c r="O24" s="215">
        <v>44883</v>
      </c>
      <c r="P24" s="48">
        <v>761106</v>
      </c>
      <c r="Q24" s="48">
        <v>610</v>
      </c>
      <c r="R24" s="48">
        <v>761716</v>
      </c>
      <c r="S24" s="48">
        <v>99.92</v>
      </c>
      <c r="T24" s="71">
        <f t="shared" si="2"/>
        <v>0.76171599999999995</v>
      </c>
      <c r="V24" s="215">
        <v>44883</v>
      </c>
      <c r="W24" s="48">
        <v>911548</v>
      </c>
      <c r="X24" s="48">
        <v>180</v>
      </c>
      <c r="Y24" s="48">
        <v>911728</v>
      </c>
      <c r="Z24" s="48">
        <v>99.98</v>
      </c>
      <c r="AA24" s="71">
        <f t="shared" si="3"/>
        <v>0.91172799999999998</v>
      </c>
      <c r="AC24" s="215">
        <v>44883</v>
      </c>
      <c r="AD24" s="48">
        <v>598828</v>
      </c>
      <c r="AE24" s="48">
        <v>494</v>
      </c>
      <c r="AF24" s="48">
        <v>599322</v>
      </c>
      <c r="AG24" s="48">
        <v>99.92</v>
      </c>
      <c r="AH24" s="71">
        <f t="shared" si="4"/>
        <v>0.59932200000000002</v>
      </c>
      <c r="AJ24" s="215">
        <v>44883</v>
      </c>
      <c r="AK24" s="48">
        <v>598828</v>
      </c>
      <c r="AL24" s="48">
        <v>494</v>
      </c>
      <c r="AM24" s="48">
        <v>599322</v>
      </c>
      <c r="AN24" s="48">
        <v>99.92</v>
      </c>
      <c r="AO24" s="246">
        <f t="shared" si="11"/>
        <v>0.59932200000000002</v>
      </c>
      <c r="AQ24" s="215">
        <v>44883</v>
      </c>
      <c r="AR24" s="48">
        <v>598828</v>
      </c>
      <c r="AS24" s="48">
        <v>494</v>
      </c>
      <c r="AT24" s="48">
        <v>599322</v>
      </c>
      <c r="AU24" s="48">
        <v>99.92</v>
      </c>
      <c r="AV24" s="246">
        <f t="shared" si="12"/>
        <v>0.59932200000000002</v>
      </c>
      <c r="AX24" s="215">
        <v>44883</v>
      </c>
      <c r="AY24" s="48">
        <v>598828</v>
      </c>
      <c r="AZ24" s="48">
        <v>494</v>
      </c>
      <c r="BA24" s="48">
        <v>599322</v>
      </c>
      <c r="BB24" s="48">
        <v>99.92</v>
      </c>
      <c r="BC24" s="246">
        <f t="shared" si="13"/>
        <v>0.59932200000000002</v>
      </c>
      <c r="BE24" s="215">
        <v>44883</v>
      </c>
      <c r="BF24" s="48">
        <v>598828</v>
      </c>
      <c r="BG24" s="48">
        <v>494</v>
      </c>
      <c r="BH24" s="48">
        <v>599322</v>
      </c>
      <c r="BI24" s="48">
        <v>99.92</v>
      </c>
      <c r="BJ24" s="71">
        <f t="shared" si="14"/>
        <v>0.59932200000000002</v>
      </c>
      <c r="BL24" s="1"/>
      <c r="BM24" s="1"/>
      <c r="BN24" s="1"/>
      <c r="BO24" s="1"/>
      <c r="BP24" s="1"/>
      <c r="BQ24" s="247"/>
      <c r="BS24" s="48"/>
      <c r="BT24" s="48"/>
      <c r="BU24" s="48"/>
      <c r="BV24" s="48"/>
      <c r="BW24" s="48"/>
      <c r="BZ24" s="1"/>
      <c r="CA24" s="1"/>
      <c r="CB24" s="1"/>
      <c r="CC24" s="1"/>
      <c r="CE24" s="215">
        <v>44883</v>
      </c>
      <c r="CF24" s="1">
        <v>11738544</v>
      </c>
      <c r="CG24" s="1">
        <v>15944</v>
      </c>
      <c r="CH24" s="1">
        <v>11754488</v>
      </c>
      <c r="CI24" s="46">
        <f t="shared" si="9"/>
        <v>99.864358192377239</v>
      </c>
      <c r="CJ24" s="46">
        <f t="shared" si="10"/>
        <v>11.754488</v>
      </c>
      <c r="CL24" s="140">
        <v>44918</v>
      </c>
      <c r="CM24" t="s">
        <v>237</v>
      </c>
      <c r="CN24">
        <v>5968</v>
      </c>
    </row>
    <row r="25" spans="1:92" hidden="1" x14ac:dyDescent="0.25">
      <c r="A25" s="215">
        <v>44884</v>
      </c>
      <c r="B25" s="48">
        <v>6071886</v>
      </c>
      <c r="C25" s="48">
        <v>18618</v>
      </c>
      <c r="D25" s="48">
        <v>6090504</v>
      </c>
      <c r="E25" s="48">
        <v>99.96</v>
      </c>
      <c r="F25" s="71">
        <f t="shared" si="15"/>
        <v>6.0905040000000001</v>
      </c>
      <c r="H25" s="215">
        <v>44884</v>
      </c>
      <c r="I25" s="48">
        <v>2996610</v>
      </c>
      <c r="J25" s="48">
        <v>5312</v>
      </c>
      <c r="K25" s="48">
        <v>3001922</v>
      </c>
      <c r="L25" s="48">
        <v>99.91</v>
      </c>
      <c r="M25" s="71">
        <f t="shared" si="1"/>
        <v>3.001922</v>
      </c>
      <c r="O25" s="215">
        <v>44884</v>
      </c>
      <c r="P25" s="48">
        <v>764658</v>
      </c>
      <c r="Q25" s="48">
        <v>620</v>
      </c>
      <c r="R25" s="48">
        <v>765278</v>
      </c>
      <c r="S25" s="48">
        <v>99.92</v>
      </c>
      <c r="T25" s="71">
        <f t="shared" si="2"/>
        <v>0.76527800000000001</v>
      </c>
      <c r="V25" s="215">
        <v>44884</v>
      </c>
      <c r="W25" s="48">
        <v>887536</v>
      </c>
      <c r="X25" s="48">
        <v>1226</v>
      </c>
      <c r="Y25" s="48">
        <v>888762</v>
      </c>
      <c r="Z25" s="48">
        <v>99.98</v>
      </c>
      <c r="AA25" s="71">
        <f t="shared" si="3"/>
        <v>0.88876200000000005</v>
      </c>
      <c r="AC25" s="215">
        <v>44884</v>
      </c>
      <c r="AD25" s="48">
        <v>578014</v>
      </c>
      <c r="AE25" s="48">
        <v>386</v>
      </c>
      <c r="AF25" s="48">
        <v>578400</v>
      </c>
      <c r="AG25" s="48">
        <v>99.92</v>
      </c>
      <c r="AH25" s="71">
        <f t="shared" si="4"/>
        <v>0.57840000000000003</v>
      </c>
      <c r="AJ25" s="215">
        <v>44884</v>
      </c>
      <c r="AK25" s="48">
        <v>578014</v>
      </c>
      <c r="AL25" s="48">
        <v>386</v>
      </c>
      <c r="AM25" s="48">
        <v>578400</v>
      </c>
      <c r="AN25" s="48">
        <v>99.92</v>
      </c>
      <c r="AO25" s="246">
        <f t="shared" si="11"/>
        <v>0.57840000000000003</v>
      </c>
      <c r="AQ25" s="215">
        <v>44884</v>
      </c>
      <c r="AR25" s="48">
        <v>578014</v>
      </c>
      <c r="AS25" s="48">
        <v>386</v>
      </c>
      <c r="AT25" s="48">
        <v>578400</v>
      </c>
      <c r="AU25" s="48">
        <v>99.92</v>
      </c>
      <c r="AV25" s="246">
        <f t="shared" si="12"/>
        <v>0.57840000000000003</v>
      </c>
      <c r="AX25" s="215">
        <v>44884</v>
      </c>
      <c r="AY25" s="48">
        <v>578014</v>
      </c>
      <c r="AZ25" s="48">
        <v>386</v>
      </c>
      <c r="BA25" s="48">
        <v>578400</v>
      </c>
      <c r="BB25" s="48">
        <v>99.92</v>
      </c>
      <c r="BC25" s="246">
        <f t="shared" si="13"/>
        <v>0.57840000000000003</v>
      </c>
      <c r="BE25" s="215">
        <v>44884</v>
      </c>
      <c r="BF25" s="48">
        <v>578014</v>
      </c>
      <c r="BG25" s="48">
        <v>386</v>
      </c>
      <c r="BH25" s="48">
        <v>578400</v>
      </c>
      <c r="BI25" s="48">
        <v>99.92</v>
      </c>
      <c r="BJ25" s="71">
        <f t="shared" si="14"/>
        <v>0.57840000000000003</v>
      </c>
      <c r="BL25" s="1"/>
      <c r="BM25" s="1"/>
      <c r="BN25" s="1"/>
      <c r="BO25" s="1"/>
      <c r="BP25" s="1"/>
      <c r="BQ25" s="247"/>
      <c r="BS25" s="48"/>
      <c r="BT25" s="48"/>
      <c r="BU25" s="48"/>
      <c r="BV25" s="48"/>
      <c r="BW25" s="48"/>
      <c r="BZ25" s="1"/>
      <c r="CA25" s="1"/>
      <c r="CB25" s="1"/>
      <c r="CC25" s="1"/>
      <c r="CE25" s="215">
        <v>44884</v>
      </c>
      <c r="CF25" s="1">
        <v>11486146</v>
      </c>
      <c r="CG25" s="1">
        <v>34244</v>
      </c>
      <c r="CH25" s="1">
        <v>11520390</v>
      </c>
      <c r="CI25" s="46">
        <f t="shared" si="9"/>
        <v>99.702753118601024</v>
      </c>
      <c r="CJ25" s="46">
        <f t="shared" si="10"/>
        <v>11.520390000000001</v>
      </c>
      <c r="CL25" s="140">
        <v>44918</v>
      </c>
      <c r="CM25" t="s">
        <v>238</v>
      </c>
      <c r="CN25">
        <v>5200</v>
      </c>
    </row>
    <row r="26" spans="1:92" hidden="1" x14ac:dyDescent="0.25">
      <c r="A26" s="215">
        <v>44885</v>
      </c>
      <c r="B26" s="48">
        <v>5386460</v>
      </c>
      <c r="C26" s="48">
        <v>113146</v>
      </c>
      <c r="D26" s="48">
        <v>5499606</v>
      </c>
      <c r="E26" s="169">
        <f>B26/D26*100</f>
        <v>97.942652619114895</v>
      </c>
      <c r="F26" s="71">
        <f t="shared" si="15"/>
        <v>5.499606</v>
      </c>
      <c r="H26" s="215">
        <v>44885</v>
      </c>
      <c r="I26" s="48">
        <v>2867960</v>
      </c>
      <c r="J26" s="48">
        <v>5882</v>
      </c>
      <c r="K26" s="48">
        <v>2873842</v>
      </c>
      <c r="L26" s="169">
        <f>I26/K26*100</f>
        <v>99.795326256627888</v>
      </c>
      <c r="M26" s="71">
        <f t="shared" si="1"/>
        <v>2.8738419999999998</v>
      </c>
      <c r="O26" s="215">
        <v>44885</v>
      </c>
      <c r="P26" s="48">
        <v>756278</v>
      </c>
      <c r="Q26" s="48">
        <v>538</v>
      </c>
      <c r="R26" s="48">
        <v>756816</v>
      </c>
      <c r="S26" s="71">
        <f>P26/R26*100</f>
        <v>99.928912707976579</v>
      </c>
      <c r="T26" s="71">
        <f>R26/1000000</f>
        <v>0.75681600000000004</v>
      </c>
      <c r="V26" s="215">
        <v>44885</v>
      </c>
      <c r="W26" s="48">
        <v>843328</v>
      </c>
      <c r="X26" s="48">
        <v>13766</v>
      </c>
      <c r="Y26" s="48">
        <v>857094</v>
      </c>
      <c r="Z26" s="71">
        <f>W26/Y26*100</f>
        <v>98.393875117548362</v>
      </c>
      <c r="AA26" s="71">
        <f t="shared" si="3"/>
        <v>0.85709400000000002</v>
      </c>
      <c r="AC26" s="215">
        <v>44885</v>
      </c>
      <c r="AD26" s="48">
        <v>503240</v>
      </c>
      <c r="AE26" s="48">
        <v>278</v>
      </c>
      <c r="AF26" s="48">
        <v>503518</v>
      </c>
      <c r="AG26" s="71">
        <f>AD26/AF26*100</f>
        <v>99.944788468336782</v>
      </c>
      <c r="AH26" s="71">
        <f t="shared" si="4"/>
        <v>0.50351800000000002</v>
      </c>
      <c r="AJ26" s="215">
        <v>44885</v>
      </c>
      <c r="AK26" s="48">
        <v>503240</v>
      </c>
      <c r="AL26" s="48">
        <v>278</v>
      </c>
      <c r="AM26" s="48">
        <v>503518</v>
      </c>
      <c r="AN26" s="71">
        <f>AK26/AM26*100</f>
        <v>99.944788468336782</v>
      </c>
      <c r="AO26" s="246">
        <f t="shared" si="11"/>
        <v>0.50351800000000002</v>
      </c>
      <c r="AQ26" s="215">
        <v>44885</v>
      </c>
      <c r="AR26" s="48">
        <v>503240</v>
      </c>
      <c r="AS26" s="48">
        <v>278</v>
      </c>
      <c r="AT26" s="48">
        <v>503518</v>
      </c>
      <c r="AU26" s="71">
        <f>AR26/AT26*100</f>
        <v>99.944788468336782</v>
      </c>
      <c r="AV26" s="246">
        <f t="shared" si="12"/>
        <v>0.50351800000000002</v>
      </c>
      <c r="AX26" s="215">
        <v>44885</v>
      </c>
      <c r="AY26" s="48">
        <v>503240</v>
      </c>
      <c r="AZ26" s="48">
        <v>278</v>
      </c>
      <c r="BA26" s="48">
        <v>503518</v>
      </c>
      <c r="BB26" s="71">
        <f>AY26/BA26*100</f>
        <v>99.944788468336782</v>
      </c>
      <c r="BC26" s="246">
        <f t="shared" si="13"/>
        <v>0.50351800000000002</v>
      </c>
      <c r="BE26" s="215">
        <v>44885</v>
      </c>
      <c r="BF26" s="48">
        <v>503240</v>
      </c>
      <c r="BG26" s="48">
        <v>278</v>
      </c>
      <c r="BH26" s="48">
        <v>503518</v>
      </c>
      <c r="BI26" s="71">
        <f>BF26/BH26*100</f>
        <v>99.944788468336782</v>
      </c>
      <c r="BJ26" s="71">
        <f t="shared" si="14"/>
        <v>0.50351800000000002</v>
      </c>
      <c r="BL26" s="1"/>
      <c r="BM26" s="1"/>
      <c r="BN26" s="1"/>
      <c r="BO26" s="1"/>
      <c r="BP26" s="1"/>
      <c r="BQ26" s="247"/>
      <c r="BS26" s="48"/>
      <c r="BT26" s="48"/>
      <c r="BU26" s="48"/>
      <c r="BV26" s="48"/>
      <c r="BW26" s="48"/>
      <c r="BZ26" s="1"/>
      <c r="CA26" s="1"/>
      <c r="CB26" s="1"/>
      <c r="CC26" s="1"/>
      <c r="CE26" s="215">
        <v>44885</v>
      </c>
      <c r="CF26" s="1">
        <v>10481382</v>
      </c>
      <c r="CG26" s="1">
        <v>130742</v>
      </c>
      <c r="CH26" s="1">
        <v>10612124</v>
      </c>
      <c r="CI26" s="46">
        <f t="shared" si="9"/>
        <v>98.76799404153212</v>
      </c>
      <c r="CJ26" s="46">
        <f t="shared" si="10"/>
        <v>10.612124</v>
      </c>
      <c r="CL26" s="140">
        <v>44918</v>
      </c>
      <c r="CM26" t="s">
        <v>240</v>
      </c>
      <c r="CN26">
        <v>4174</v>
      </c>
    </row>
    <row r="27" spans="1:92" hidden="1" x14ac:dyDescent="0.25">
      <c r="A27" s="215">
        <v>44886</v>
      </c>
      <c r="B27" s="204">
        <v>5291268</v>
      </c>
      <c r="C27" s="204">
        <v>22852</v>
      </c>
      <c r="D27" s="204">
        <v>5314120</v>
      </c>
      <c r="E27" s="204">
        <v>99.57</v>
      </c>
      <c r="F27" s="71">
        <f t="shared" si="15"/>
        <v>5.31412</v>
      </c>
      <c r="H27" s="215">
        <v>44886</v>
      </c>
      <c r="I27" s="204">
        <v>2902946</v>
      </c>
      <c r="J27" s="204">
        <v>9170</v>
      </c>
      <c r="K27" s="204">
        <v>2912116</v>
      </c>
      <c r="L27" s="204">
        <v>99.69</v>
      </c>
      <c r="M27" s="71">
        <f t="shared" si="1"/>
        <v>2.9121160000000001</v>
      </c>
      <c r="O27" s="215">
        <v>44886</v>
      </c>
      <c r="P27" s="204">
        <v>786676</v>
      </c>
      <c r="Q27" s="204">
        <v>586</v>
      </c>
      <c r="R27" s="204">
        <v>787262</v>
      </c>
      <c r="S27" s="204">
        <v>99.93</v>
      </c>
      <c r="T27" s="71">
        <f t="shared" ref="T27:T53" si="16">R27/1000000</f>
        <v>0.78726200000000002</v>
      </c>
      <c r="V27" s="215">
        <v>44886</v>
      </c>
      <c r="W27" s="204">
        <v>910652</v>
      </c>
      <c r="X27" s="204">
        <v>1632</v>
      </c>
      <c r="Y27" s="204">
        <v>912284</v>
      </c>
      <c r="Z27" s="204">
        <v>99.82</v>
      </c>
      <c r="AA27" s="71">
        <f t="shared" si="3"/>
        <v>0.91228399999999998</v>
      </c>
      <c r="AC27" s="215">
        <v>44886</v>
      </c>
      <c r="AD27" s="204">
        <v>576658</v>
      </c>
      <c r="AE27" s="204">
        <v>1054</v>
      </c>
      <c r="AF27" s="204">
        <v>577712</v>
      </c>
      <c r="AG27" s="204">
        <v>99.82</v>
      </c>
      <c r="AH27" s="71">
        <f t="shared" si="4"/>
        <v>0.577712</v>
      </c>
      <c r="AJ27" s="215">
        <v>44886</v>
      </c>
      <c r="AK27" s="204">
        <v>576658</v>
      </c>
      <c r="AL27" s="204">
        <v>1054</v>
      </c>
      <c r="AM27" s="204">
        <v>577712</v>
      </c>
      <c r="AN27" s="204">
        <v>99.82</v>
      </c>
      <c r="AO27" s="246">
        <f t="shared" si="11"/>
        <v>0.577712</v>
      </c>
      <c r="AQ27" s="215">
        <v>44886</v>
      </c>
      <c r="AR27" s="204">
        <v>576658</v>
      </c>
      <c r="AS27" s="204">
        <v>1054</v>
      </c>
      <c r="AT27" s="204">
        <v>577712</v>
      </c>
      <c r="AU27" s="204">
        <v>99.82</v>
      </c>
      <c r="AV27" s="246">
        <f t="shared" si="12"/>
        <v>0.577712</v>
      </c>
      <c r="AX27" s="215">
        <v>44886</v>
      </c>
      <c r="AY27" s="204">
        <v>576658</v>
      </c>
      <c r="AZ27" s="204">
        <v>1054</v>
      </c>
      <c r="BA27" s="204">
        <v>577712</v>
      </c>
      <c r="BB27" s="204">
        <v>99.82</v>
      </c>
      <c r="BC27" s="246">
        <f t="shared" si="13"/>
        <v>0.577712</v>
      </c>
      <c r="BE27" s="215">
        <v>44886</v>
      </c>
      <c r="BF27" s="204">
        <v>576658</v>
      </c>
      <c r="BG27" s="204">
        <v>1054</v>
      </c>
      <c r="BH27" s="204">
        <v>577712</v>
      </c>
      <c r="BI27" s="204">
        <v>99.82</v>
      </c>
      <c r="BJ27" s="71">
        <f t="shared" si="14"/>
        <v>0.577712</v>
      </c>
      <c r="BL27" s="1"/>
      <c r="BM27" s="1"/>
      <c r="BN27" s="1"/>
      <c r="BO27" s="1"/>
      <c r="BP27" s="1"/>
      <c r="BQ27" s="247"/>
      <c r="BS27" s="48"/>
      <c r="BT27" s="48"/>
      <c r="BU27" s="48"/>
      <c r="BV27" s="48"/>
      <c r="BW27" s="48"/>
      <c r="BZ27" s="1"/>
      <c r="CA27" s="1"/>
      <c r="CB27" s="1"/>
      <c r="CC27" s="1"/>
      <c r="CE27" s="215">
        <v>44886</v>
      </c>
      <c r="CF27" s="1">
        <v>11909748</v>
      </c>
      <c r="CG27" s="1">
        <v>49796</v>
      </c>
      <c r="CH27" s="1">
        <v>11959544</v>
      </c>
      <c r="CI27" s="46">
        <f t="shared" si="9"/>
        <v>99.583629609958365</v>
      </c>
      <c r="CJ27" s="46">
        <f t="shared" si="10"/>
        <v>11.959543999999999</v>
      </c>
      <c r="CL27" s="140">
        <v>44918</v>
      </c>
      <c r="CM27" t="s">
        <v>241</v>
      </c>
      <c r="CN27">
        <v>716</v>
      </c>
    </row>
    <row r="28" spans="1:92" hidden="1" x14ac:dyDescent="0.25">
      <c r="A28" s="215">
        <v>44887</v>
      </c>
      <c r="B28" s="48">
        <v>5160862</v>
      </c>
      <c r="C28" s="48">
        <v>181138</v>
      </c>
      <c r="D28" s="48">
        <v>5342000</v>
      </c>
      <c r="E28" s="212">
        <f>B28/D28*100</f>
        <v>96.609172594533888</v>
      </c>
      <c r="F28" s="71">
        <f t="shared" si="15"/>
        <v>5.3419999999999996</v>
      </c>
      <c r="H28" s="215">
        <v>44887</v>
      </c>
      <c r="I28" s="48">
        <v>2908684</v>
      </c>
      <c r="J28" s="48">
        <v>7432</v>
      </c>
      <c r="K28" s="48">
        <v>2916116</v>
      </c>
      <c r="L28" s="71">
        <f>I28/K28*100</f>
        <v>99.745140453946277</v>
      </c>
      <c r="M28" s="71">
        <f t="shared" si="1"/>
        <v>2.9161160000000002</v>
      </c>
      <c r="O28" s="215">
        <v>44887</v>
      </c>
      <c r="P28" s="48">
        <v>696868</v>
      </c>
      <c r="Q28" s="48">
        <v>532</v>
      </c>
      <c r="R28" s="48">
        <v>697400</v>
      </c>
      <c r="S28" s="71">
        <f>P28/R28*100</f>
        <v>99.923716661887013</v>
      </c>
      <c r="T28" s="71">
        <f t="shared" si="16"/>
        <v>0.69740000000000002</v>
      </c>
      <c r="V28" s="215">
        <v>44887</v>
      </c>
      <c r="W28" s="48">
        <v>874734</v>
      </c>
      <c r="X28" s="48">
        <v>29466</v>
      </c>
      <c r="Y28" s="48">
        <v>904200</v>
      </c>
      <c r="Z28" s="71">
        <f>W28/Y28*100</f>
        <v>96.741207697412079</v>
      </c>
      <c r="AA28" s="71">
        <f t="shared" si="3"/>
        <v>0.9042</v>
      </c>
      <c r="AC28" s="215">
        <v>44887</v>
      </c>
      <c r="AD28" s="48">
        <v>551220</v>
      </c>
      <c r="AE28" s="48">
        <v>4946</v>
      </c>
      <c r="AF28" s="48">
        <v>556166</v>
      </c>
      <c r="AG28" s="71">
        <f>AD28/AF28*100</f>
        <v>99.110697165954051</v>
      </c>
      <c r="AH28" s="71">
        <f t="shared" si="4"/>
        <v>0.55616600000000005</v>
      </c>
      <c r="AJ28" s="215">
        <v>44887</v>
      </c>
      <c r="AK28" s="48">
        <v>551220</v>
      </c>
      <c r="AL28" s="48">
        <v>4946</v>
      </c>
      <c r="AM28" s="48">
        <v>556166</v>
      </c>
      <c r="AN28" s="71">
        <f>AK28/AM28*100</f>
        <v>99.110697165954051</v>
      </c>
      <c r="AO28" s="246">
        <f t="shared" si="11"/>
        <v>0.55616600000000005</v>
      </c>
      <c r="AQ28" s="215">
        <v>44887</v>
      </c>
      <c r="AR28" s="48">
        <v>551220</v>
      </c>
      <c r="AS28" s="48">
        <v>4946</v>
      </c>
      <c r="AT28" s="48">
        <v>556166</v>
      </c>
      <c r="AU28" s="71">
        <f>AR28/AT28*100</f>
        <v>99.110697165954051</v>
      </c>
      <c r="AV28" s="246">
        <f t="shared" si="12"/>
        <v>0.55616600000000005</v>
      </c>
      <c r="AX28" s="215">
        <v>44887</v>
      </c>
      <c r="AY28" s="48">
        <v>551220</v>
      </c>
      <c r="AZ28" s="48">
        <v>4946</v>
      </c>
      <c r="BA28" s="48">
        <v>556166</v>
      </c>
      <c r="BB28" s="71">
        <f>AY28/BA28*100</f>
        <v>99.110697165954051</v>
      </c>
      <c r="BC28" s="246">
        <f t="shared" si="13"/>
        <v>0.55616600000000005</v>
      </c>
      <c r="BE28" s="215">
        <v>44887</v>
      </c>
      <c r="BF28" s="48">
        <v>551220</v>
      </c>
      <c r="BG28" s="48">
        <v>4946</v>
      </c>
      <c r="BH28" s="48">
        <v>556166</v>
      </c>
      <c r="BI28" s="71">
        <f>BF28/BH28*100</f>
        <v>99.110697165954051</v>
      </c>
      <c r="BJ28" s="71">
        <f t="shared" si="14"/>
        <v>0.55616600000000005</v>
      </c>
      <c r="BL28" s="1"/>
      <c r="BM28" s="1"/>
      <c r="BN28" s="1"/>
      <c r="BO28" s="1"/>
      <c r="BP28" s="1"/>
      <c r="BQ28" s="247"/>
      <c r="BS28" s="48"/>
      <c r="BT28" s="48"/>
      <c r="BU28" s="48"/>
      <c r="BV28" s="48"/>
      <c r="BW28" s="48"/>
      <c r="BZ28" s="1"/>
      <c r="CA28" s="1"/>
      <c r="CB28" s="1"/>
      <c r="CC28" s="1"/>
      <c r="CE28" s="215">
        <v>44887</v>
      </c>
      <c r="CF28" s="1">
        <v>11585016</v>
      </c>
      <c r="CG28" s="1">
        <v>251138</v>
      </c>
      <c r="CH28" s="1">
        <v>11836154</v>
      </c>
      <c r="CI28" s="46">
        <f t="shared" si="9"/>
        <v>97.878212804598533</v>
      </c>
      <c r="CJ28" s="46">
        <f>CH28/1000000</f>
        <v>11.836154000000001</v>
      </c>
      <c r="CL28" s="140">
        <v>44919</v>
      </c>
      <c r="CM28" t="s">
        <v>239</v>
      </c>
      <c r="CN28">
        <v>13514</v>
      </c>
    </row>
    <row r="29" spans="1:92" hidden="1" x14ac:dyDescent="0.25">
      <c r="A29" s="215">
        <v>44888</v>
      </c>
      <c r="B29" s="48">
        <v>6472082</v>
      </c>
      <c r="C29" s="48">
        <v>291032</v>
      </c>
      <c r="D29" s="48">
        <v>6763114</v>
      </c>
      <c r="E29" s="48">
        <v>95.7</v>
      </c>
      <c r="F29" s="71">
        <f t="shared" si="15"/>
        <v>6.7631139999999998</v>
      </c>
      <c r="H29" s="215">
        <v>44888</v>
      </c>
      <c r="I29" s="48">
        <v>2726316</v>
      </c>
      <c r="J29" s="48">
        <v>3992</v>
      </c>
      <c r="K29" s="48">
        <v>2730308</v>
      </c>
      <c r="L29" s="48">
        <v>99.85</v>
      </c>
      <c r="M29" s="71">
        <f t="shared" si="1"/>
        <v>2.730308</v>
      </c>
      <c r="O29" s="215">
        <v>44888</v>
      </c>
      <c r="P29" s="48">
        <v>707944</v>
      </c>
      <c r="Q29" s="48">
        <v>606</v>
      </c>
      <c r="R29" s="48">
        <v>708550</v>
      </c>
      <c r="S29" s="48">
        <v>99.91</v>
      </c>
      <c r="T29" s="71">
        <f t="shared" si="16"/>
        <v>0.70855000000000001</v>
      </c>
      <c r="V29" s="215">
        <v>44888</v>
      </c>
      <c r="W29" s="48">
        <v>899596</v>
      </c>
      <c r="X29" s="48">
        <v>42146</v>
      </c>
      <c r="Y29" s="48">
        <v>941742</v>
      </c>
      <c r="Z29" s="48">
        <v>95.53</v>
      </c>
      <c r="AA29" s="71">
        <f t="shared" si="3"/>
        <v>0.94174199999999997</v>
      </c>
      <c r="AC29" s="215">
        <v>44888</v>
      </c>
      <c r="AD29" s="48">
        <v>532906</v>
      </c>
      <c r="AE29" s="48">
        <v>470</v>
      </c>
      <c r="AF29" s="48">
        <v>533376</v>
      </c>
      <c r="AG29" s="48">
        <v>99.91</v>
      </c>
      <c r="AH29" s="71">
        <f t="shared" si="4"/>
        <v>0.53337599999999996</v>
      </c>
      <c r="AJ29" s="215">
        <v>44888</v>
      </c>
      <c r="AK29" s="48">
        <v>532906</v>
      </c>
      <c r="AL29" s="48">
        <v>470</v>
      </c>
      <c r="AM29" s="48">
        <v>533376</v>
      </c>
      <c r="AN29" s="48">
        <v>99.91</v>
      </c>
      <c r="AO29" s="246">
        <f t="shared" si="11"/>
        <v>0.53337599999999996</v>
      </c>
      <c r="AQ29" s="215">
        <v>44888</v>
      </c>
      <c r="AR29" s="48">
        <v>532906</v>
      </c>
      <c r="AS29" s="48">
        <v>470</v>
      </c>
      <c r="AT29" s="48">
        <v>533376</v>
      </c>
      <c r="AU29" s="48">
        <v>99.91</v>
      </c>
      <c r="AV29" s="246">
        <f t="shared" si="12"/>
        <v>0.53337599999999996</v>
      </c>
      <c r="AX29" s="215">
        <v>44888</v>
      </c>
      <c r="AY29" s="48">
        <v>532906</v>
      </c>
      <c r="AZ29" s="48">
        <v>470</v>
      </c>
      <c r="BA29" s="48">
        <v>533376</v>
      </c>
      <c r="BB29" s="48">
        <v>99.91</v>
      </c>
      <c r="BC29" s="246">
        <f t="shared" si="13"/>
        <v>0.53337599999999996</v>
      </c>
      <c r="BE29" s="215">
        <v>44888</v>
      </c>
      <c r="BF29" s="48">
        <v>532906</v>
      </c>
      <c r="BG29" s="48">
        <v>470</v>
      </c>
      <c r="BH29" s="48">
        <v>533376</v>
      </c>
      <c r="BI29" s="48">
        <v>99.91</v>
      </c>
      <c r="BJ29" s="71">
        <f t="shared" si="14"/>
        <v>0.53337599999999996</v>
      </c>
      <c r="BL29" s="1"/>
      <c r="BM29" s="1"/>
      <c r="BN29" s="1"/>
      <c r="BO29" s="1"/>
      <c r="BP29" s="1"/>
      <c r="BQ29" s="247"/>
      <c r="BS29" s="48"/>
      <c r="BT29" s="48"/>
      <c r="BU29" s="48"/>
      <c r="BV29" s="48"/>
      <c r="BW29" s="48"/>
      <c r="BZ29" s="1"/>
      <c r="CA29" s="1"/>
      <c r="CB29" s="1"/>
      <c r="CC29" s="1"/>
      <c r="CE29" s="215">
        <v>44888</v>
      </c>
      <c r="CF29" s="1">
        <v>11443702</v>
      </c>
      <c r="CG29" s="1">
        <v>307320</v>
      </c>
      <c r="CH29" s="1">
        <v>11751022</v>
      </c>
      <c r="CI29" s="46">
        <f t="shared" si="9"/>
        <v>97.384738110438391</v>
      </c>
      <c r="CJ29" s="46">
        <f t="shared" ref="CJ29:CJ53" si="17">CH29/1000000</f>
        <v>11.751022000000001</v>
      </c>
      <c r="CL29" s="140">
        <v>44919</v>
      </c>
      <c r="CM29" t="s">
        <v>237</v>
      </c>
      <c r="CN29">
        <v>6003</v>
      </c>
    </row>
    <row r="30" spans="1:92" hidden="1" x14ac:dyDescent="0.25">
      <c r="A30" s="215">
        <v>44889</v>
      </c>
      <c r="B30" s="48">
        <v>6319252</v>
      </c>
      <c r="C30" s="48">
        <v>3192</v>
      </c>
      <c r="D30" s="48">
        <v>6322444</v>
      </c>
      <c r="E30" s="48">
        <v>99.95</v>
      </c>
      <c r="F30" s="71">
        <f t="shared" si="15"/>
        <v>6.322444</v>
      </c>
      <c r="H30" s="215">
        <v>44889</v>
      </c>
      <c r="I30" s="48">
        <v>2772928</v>
      </c>
      <c r="J30" s="48">
        <v>13710</v>
      </c>
      <c r="K30" s="48">
        <v>2786638</v>
      </c>
      <c r="L30" s="48">
        <v>99.51</v>
      </c>
      <c r="M30" s="71">
        <f t="shared" si="1"/>
        <v>2.7866379999999999</v>
      </c>
      <c r="O30" s="215">
        <v>44889</v>
      </c>
      <c r="P30" s="48">
        <v>717270</v>
      </c>
      <c r="Q30" s="48">
        <v>630</v>
      </c>
      <c r="R30" s="48">
        <v>717900</v>
      </c>
      <c r="S30" s="48">
        <v>99.92</v>
      </c>
      <c r="T30" s="71">
        <f t="shared" si="16"/>
        <v>0.71789999999999998</v>
      </c>
      <c r="V30" s="215">
        <v>44889</v>
      </c>
      <c r="W30" s="48">
        <v>855044</v>
      </c>
      <c r="X30" s="48">
        <v>146</v>
      </c>
      <c r="Y30" s="48">
        <v>855190</v>
      </c>
      <c r="Z30" s="48">
        <v>99.98</v>
      </c>
      <c r="AA30" s="71">
        <f t="shared" si="3"/>
        <v>0.85519000000000001</v>
      </c>
      <c r="AC30" s="215">
        <v>44889</v>
      </c>
      <c r="AD30" s="48">
        <v>483400</v>
      </c>
      <c r="AE30" s="48">
        <v>958</v>
      </c>
      <c r="AF30" s="48">
        <v>484358</v>
      </c>
      <c r="AG30" s="48">
        <v>99.8</v>
      </c>
      <c r="AH30" s="71">
        <f t="shared" si="4"/>
        <v>0.48435800000000001</v>
      </c>
      <c r="AJ30" s="215">
        <v>44889</v>
      </c>
      <c r="AK30" s="48">
        <v>483400</v>
      </c>
      <c r="AL30" s="48">
        <v>958</v>
      </c>
      <c r="AM30" s="48">
        <v>484358</v>
      </c>
      <c r="AN30" s="48">
        <v>99.8</v>
      </c>
      <c r="AO30" s="246">
        <f t="shared" si="11"/>
        <v>0.48435800000000001</v>
      </c>
      <c r="AQ30" s="215">
        <v>44889</v>
      </c>
      <c r="AR30" s="48">
        <v>483400</v>
      </c>
      <c r="AS30" s="48">
        <v>958</v>
      </c>
      <c r="AT30" s="48">
        <v>484358</v>
      </c>
      <c r="AU30" s="48">
        <v>99.8</v>
      </c>
      <c r="AV30" s="246">
        <f t="shared" si="12"/>
        <v>0.48435800000000001</v>
      </c>
      <c r="AX30" s="215">
        <v>44889</v>
      </c>
      <c r="AY30" s="48">
        <v>483400</v>
      </c>
      <c r="AZ30" s="48">
        <v>958</v>
      </c>
      <c r="BA30" s="48">
        <v>484358</v>
      </c>
      <c r="BB30" s="48">
        <v>99.8</v>
      </c>
      <c r="BC30" s="246">
        <f t="shared" si="13"/>
        <v>0.48435800000000001</v>
      </c>
      <c r="BE30" s="215">
        <v>44889</v>
      </c>
      <c r="BF30" s="48">
        <v>483400</v>
      </c>
      <c r="BG30" s="48">
        <v>958</v>
      </c>
      <c r="BH30" s="48">
        <v>484358</v>
      </c>
      <c r="BI30" s="48">
        <v>99.8</v>
      </c>
      <c r="BJ30" s="71">
        <f t="shared" si="14"/>
        <v>0.48435800000000001</v>
      </c>
      <c r="BL30" s="1"/>
      <c r="BM30" s="1"/>
      <c r="BN30" s="1"/>
      <c r="BO30" s="1"/>
      <c r="BP30" s="1"/>
      <c r="BQ30" s="247"/>
      <c r="BS30" s="48"/>
      <c r="BT30" s="48"/>
      <c r="BU30" s="48"/>
      <c r="BV30" s="48"/>
      <c r="BW30" s="48"/>
      <c r="BZ30" s="1"/>
      <c r="CA30" s="1"/>
      <c r="CB30" s="1"/>
      <c r="CC30" s="1"/>
      <c r="CE30" s="215">
        <v>44889</v>
      </c>
      <c r="CF30" s="1">
        <v>11290816</v>
      </c>
      <c r="CG30" s="1">
        <v>24070</v>
      </c>
      <c r="CH30" s="1">
        <v>11314886</v>
      </c>
      <c r="CI30" s="46">
        <f t="shared" si="9"/>
        <v>99.787271387444818</v>
      </c>
      <c r="CJ30" s="46">
        <f t="shared" si="17"/>
        <v>11.314886</v>
      </c>
      <c r="CL30" s="140">
        <v>44919</v>
      </c>
      <c r="CM30" t="s">
        <v>238</v>
      </c>
      <c r="CN30">
        <v>4598</v>
      </c>
    </row>
    <row r="31" spans="1:92" hidden="1" x14ac:dyDescent="0.25">
      <c r="A31" s="215">
        <v>44890</v>
      </c>
      <c r="B31" s="48">
        <v>5351228</v>
      </c>
      <c r="C31" s="48">
        <v>57042</v>
      </c>
      <c r="D31" s="48">
        <v>5408270</v>
      </c>
      <c r="E31" s="48">
        <v>98.95</v>
      </c>
      <c r="F31" s="71">
        <f t="shared" si="15"/>
        <v>5.4082699999999999</v>
      </c>
      <c r="H31" s="215">
        <v>44890</v>
      </c>
      <c r="I31" s="48">
        <v>3097624</v>
      </c>
      <c r="J31" s="48">
        <v>2960</v>
      </c>
      <c r="K31" s="48">
        <v>3100584</v>
      </c>
      <c r="L31" s="48">
        <v>99.9</v>
      </c>
      <c r="M31" s="71">
        <f t="shared" si="1"/>
        <v>3.100584</v>
      </c>
      <c r="O31" s="215">
        <v>44890</v>
      </c>
      <c r="P31" s="48">
        <v>735608</v>
      </c>
      <c r="Q31" s="48">
        <v>696</v>
      </c>
      <c r="R31" s="48">
        <v>736304</v>
      </c>
      <c r="S31" s="48">
        <v>99.91</v>
      </c>
      <c r="T31" s="71">
        <f t="shared" si="16"/>
        <v>0.73630399999999996</v>
      </c>
      <c r="V31" s="215">
        <v>44890</v>
      </c>
      <c r="W31" s="48">
        <v>920770</v>
      </c>
      <c r="X31" s="48">
        <v>8976</v>
      </c>
      <c r="Y31" s="48">
        <v>929746</v>
      </c>
      <c r="Z31" s="48">
        <v>99.03</v>
      </c>
      <c r="AA31" s="71">
        <f t="shared" si="3"/>
        <v>0.92974599999999996</v>
      </c>
      <c r="AC31" s="215">
        <v>44890</v>
      </c>
      <c r="AD31" s="48">
        <v>483568</v>
      </c>
      <c r="AE31" s="48">
        <v>830</v>
      </c>
      <c r="AF31" s="48">
        <v>484398</v>
      </c>
      <c r="AG31" s="48">
        <v>99.83</v>
      </c>
      <c r="AH31" s="71">
        <f t="shared" si="4"/>
        <v>0.484398</v>
      </c>
      <c r="AJ31" s="215">
        <v>44890</v>
      </c>
      <c r="AK31" s="48">
        <v>483568</v>
      </c>
      <c r="AL31" s="48">
        <v>830</v>
      </c>
      <c r="AM31" s="48">
        <v>484398</v>
      </c>
      <c r="AN31" s="48">
        <v>99.83</v>
      </c>
      <c r="AO31" s="246">
        <f t="shared" si="11"/>
        <v>0.484398</v>
      </c>
      <c r="AQ31" s="215">
        <v>44890</v>
      </c>
      <c r="AR31" s="48">
        <v>483568</v>
      </c>
      <c r="AS31" s="48">
        <v>830</v>
      </c>
      <c r="AT31" s="48">
        <v>484398</v>
      </c>
      <c r="AU31" s="48">
        <v>99.83</v>
      </c>
      <c r="AV31" s="246">
        <f t="shared" si="12"/>
        <v>0.484398</v>
      </c>
      <c r="AX31" s="215">
        <v>44890</v>
      </c>
      <c r="AY31" s="48">
        <v>483568</v>
      </c>
      <c r="AZ31" s="48">
        <v>830</v>
      </c>
      <c r="BA31" s="48">
        <v>484398</v>
      </c>
      <c r="BB31" s="48">
        <v>99.83</v>
      </c>
      <c r="BC31" s="246">
        <f t="shared" si="13"/>
        <v>0.484398</v>
      </c>
      <c r="BE31" s="215">
        <v>44890</v>
      </c>
      <c r="BF31" s="48">
        <v>483568</v>
      </c>
      <c r="BG31" s="48">
        <v>830</v>
      </c>
      <c r="BH31" s="48">
        <v>484398</v>
      </c>
      <c r="BI31" s="48">
        <v>99.83</v>
      </c>
      <c r="BJ31" s="71">
        <f t="shared" si="14"/>
        <v>0.484398</v>
      </c>
      <c r="BL31" s="1"/>
      <c r="BM31" s="1"/>
      <c r="BN31" s="1"/>
      <c r="BO31" s="1"/>
      <c r="BP31" s="1"/>
      <c r="BQ31" s="247"/>
      <c r="BS31" s="48"/>
      <c r="BT31" s="48"/>
      <c r="BU31" s="48"/>
      <c r="BV31" s="48"/>
      <c r="BW31" s="48"/>
      <c r="BZ31" s="1"/>
      <c r="CA31" s="1"/>
      <c r="CB31" s="1"/>
      <c r="CC31" s="1"/>
      <c r="CE31" s="215">
        <v>44890</v>
      </c>
      <c r="CF31" s="1">
        <v>11986496</v>
      </c>
      <c r="CG31" s="1">
        <v>80052</v>
      </c>
      <c r="CH31" s="1">
        <v>12066548</v>
      </c>
      <c r="CI31" s="46">
        <f t="shared" si="9"/>
        <v>99.336579111109501</v>
      </c>
      <c r="CJ31" s="46">
        <f t="shared" si="17"/>
        <v>12.066547999999999</v>
      </c>
      <c r="CL31" s="140">
        <v>44919</v>
      </c>
      <c r="CM31" t="s">
        <v>240</v>
      </c>
      <c r="CN31">
        <v>2979</v>
      </c>
    </row>
    <row r="32" spans="1:92" hidden="1" x14ac:dyDescent="0.25">
      <c r="A32" s="215">
        <v>44891</v>
      </c>
      <c r="B32" s="48">
        <v>4999098</v>
      </c>
      <c r="C32" s="48">
        <v>2054</v>
      </c>
      <c r="D32" s="48">
        <v>5001152</v>
      </c>
      <c r="E32" s="48">
        <v>99.96</v>
      </c>
      <c r="F32" s="71">
        <f t="shared" si="15"/>
        <v>5.0011520000000003</v>
      </c>
      <c r="H32" s="215">
        <v>44891</v>
      </c>
      <c r="I32" s="48">
        <v>2943164</v>
      </c>
      <c r="J32" s="48">
        <v>2616</v>
      </c>
      <c r="K32" s="48">
        <v>2945780</v>
      </c>
      <c r="L32" s="48">
        <v>99.91</v>
      </c>
      <c r="M32" s="71">
        <f t="shared" si="1"/>
        <v>2.9457800000000001</v>
      </c>
      <c r="O32" s="215">
        <v>44891</v>
      </c>
      <c r="P32" s="48">
        <v>718052</v>
      </c>
      <c r="Q32" s="48">
        <v>570</v>
      </c>
      <c r="R32" s="48">
        <v>718622</v>
      </c>
      <c r="S32" s="48">
        <v>99.92</v>
      </c>
      <c r="T32" s="71">
        <f t="shared" si="16"/>
        <v>0.71862199999999998</v>
      </c>
      <c r="V32" s="215">
        <v>44891</v>
      </c>
      <c r="W32" s="48">
        <v>909462</v>
      </c>
      <c r="X32" s="48">
        <v>156</v>
      </c>
      <c r="Y32" s="48">
        <v>909618</v>
      </c>
      <c r="Z32" s="48">
        <v>99.98</v>
      </c>
      <c r="AA32" s="71">
        <f t="shared" si="3"/>
        <v>0.90961800000000004</v>
      </c>
      <c r="AC32" s="215">
        <v>44891</v>
      </c>
      <c r="AD32" s="48">
        <v>492312</v>
      </c>
      <c r="AE32" s="48">
        <v>72</v>
      </c>
      <c r="AF32" s="48">
        <v>492384</v>
      </c>
      <c r="AG32" s="48">
        <v>99.99</v>
      </c>
      <c r="AH32" s="71">
        <f t="shared" si="4"/>
        <v>0.49238399999999999</v>
      </c>
      <c r="AJ32" s="215">
        <v>44891</v>
      </c>
      <c r="AK32" s="48">
        <v>492312</v>
      </c>
      <c r="AL32" s="48">
        <v>72</v>
      </c>
      <c r="AM32" s="48">
        <v>492384</v>
      </c>
      <c r="AN32" s="48">
        <v>99.99</v>
      </c>
      <c r="AO32" s="246">
        <f t="shared" si="11"/>
        <v>0.49238399999999999</v>
      </c>
      <c r="AQ32" s="215">
        <v>44891</v>
      </c>
      <c r="AR32" s="48">
        <v>492312</v>
      </c>
      <c r="AS32" s="48">
        <v>72</v>
      </c>
      <c r="AT32" s="48">
        <v>492384</v>
      </c>
      <c r="AU32" s="48">
        <v>99.99</v>
      </c>
      <c r="AV32" s="246">
        <f t="shared" si="12"/>
        <v>0.49238399999999999</v>
      </c>
      <c r="AX32" s="215">
        <v>44891</v>
      </c>
      <c r="AY32" s="48">
        <v>492312</v>
      </c>
      <c r="AZ32" s="48">
        <v>72</v>
      </c>
      <c r="BA32" s="48">
        <v>492384</v>
      </c>
      <c r="BB32" s="48">
        <v>99.99</v>
      </c>
      <c r="BC32" s="246">
        <f t="shared" si="13"/>
        <v>0.49238399999999999</v>
      </c>
      <c r="BE32" s="215">
        <v>44891</v>
      </c>
      <c r="BF32" s="48">
        <v>492312</v>
      </c>
      <c r="BG32" s="48">
        <v>72</v>
      </c>
      <c r="BH32" s="48">
        <v>492384</v>
      </c>
      <c r="BI32" s="48">
        <v>99.99</v>
      </c>
      <c r="BJ32" s="71">
        <f t="shared" si="14"/>
        <v>0.49238399999999999</v>
      </c>
      <c r="BL32" s="1"/>
      <c r="BM32" s="1"/>
      <c r="BN32" s="1"/>
      <c r="BO32" s="1"/>
      <c r="BP32" s="1"/>
      <c r="BQ32" s="247"/>
      <c r="BS32" s="48"/>
      <c r="BT32" s="48"/>
      <c r="BU32" s="48"/>
      <c r="BV32" s="48"/>
      <c r="BW32" s="48"/>
      <c r="BZ32" s="1"/>
      <c r="CA32" s="1"/>
      <c r="CB32" s="1"/>
      <c r="CC32" s="1"/>
      <c r="CE32" s="215">
        <v>44891</v>
      </c>
      <c r="CF32" s="1">
        <v>11345924</v>
      </c>
      <c r="CG32" s="1">
        <v>12180</v>
      </c>
      <c r="CH32" s="1">
        <v>11358104</v>
      </c>
      <c r="CI32" s="46">
        <f t="shared" si="9"/>
        <v>99.892763792266749</v>
      </c>
      <c r="CJ32" s="46">
        <f t="shared" si="17"/>
        <v>11.358104000000001</v>
      </c>
      <c r="CL32" s="140">
        <v>44919</v>
      </c>
      <c r="CM32" t="s">
        <v>241</v>
      </c>
      <c r="CN32" s="249">
        <v>935</v>
      </c>
    </row>
    <row r="33" spans="1:92" hidden="1" x14ac:dyDescent="0.25">
      <c r="A33" s="215">
        <v>44892</v>
      </c>
      <c r="B33" s="48">
        <v>4217012</v>
      </c>
      <c r="C33" s="48">
        <v>13494</v>
      </c>
      <c r="D33" s="48">
        <v>4230506</v>
      </c>
      <c r="E33" s="48">
        <v>99.68</v>
      </c>
      <c r="F33" s="71">
        <f t="shared" si="15"/>
        <v>4.2305060000000001</v>
      </c>
      <c r="H33" s="215">
        <v>44892</v>
      </c>
      <c r="I33" s="210">
        <v>2786886</v>
      </c>
      <c r="J33" s="210">
        <v>6470</v>
      </c>
      <c r="K33" s="210">
        <v>2793356</v>
      </c>
      <c r="L33" s="210">
        <v>99.77</v>
      </c>
      <c r="M33" s="71">
        <f t="shared" si="1"/>
        <v>2.7933560000000002</v>
      </c>
      <c r="O33" s="215">
        <v>44892</v>
      </c>
      <c r="P33" s="210">
        <v>708970</v>
      </c>
      <c r="Q33" s="210">
        <v>1820</v>
      </c>
      <c r="R33" s="210">
        <v>710790</v>
      </c>
      <c r="S33" s="210">
        <v>99.74</v>
      </c>
      <c r="T33" s="71">
        <f t="shared" si="16"/>
        <v>0.71079000000000003</v>
      </c>
      <c r="V33" s="215">
        <v>44892</v>
      </c>
      <c r="W33" s="210">
        <v>838228</v>
      </c>
      <c r="X33" s="210">
        <v>1898</v>
      </c>
      <c r="Y33" s="210">
        <v>840126</v>
      </c>
      <c r="Z33" s="210">
        <v>99.77</v>
      </c>
      <c r="AA33" s="71">
        <f t="shared" si="3"/>
        <v>0.84012600000000004</v>
      </c>
      <c r="AC33" s="215">
        <v>44892</v>
      </c>
      <c r="AD33" s="48">
        <v>490690</v>
      </c>
      <c r="AE33" s="48">
        <v>4044</v>
      </c>
      <c r="AF33" s="48">
        <v>494734</v>
      </c>
      <c r="AG33" s="48">
        <v>99.18</v>
      </c>
      <c r="AH33" s="71">
        <f t="shared" si="4"/>
        <v>0.49473400000000001</v>
      </c>
      <c r="AJ33" s="215">
        <v>44892</v>
      </c>
      <c r="AK33" s="48">
        <v>490690</v>
      </c>
      <c r="AL33" s="48">
        <v>4044</v>
      </c>
      <c r="AM33" s="48">
        <v>494734</v>
      </c>
      <c r="AN33" s="48">
        <v>99.18</v>
      </c>
      <c r="AO33" s="246">
        <f t="shared" si="11"/>
        <v>0.49473400000000001</v>
      </c>
      <c r="AQ33" s="215">
        <v>44892</v>
      </c>
      <c r="AR33" s="48">
        <v>490690</v>
      </c>
      <c r="AS33" s="48">
        <v>4044</v>
      </c>
      <c r="AT33" s="48">
        <v>494734</v>
      </c>
      <c r="AU33" s="48">
        <v>99.18</v>
      </c>
      <c r="AV33" s="246">
        <f t="shared" si="12"/>
        <v>0.49473400000000001</v>
      </c>
      <c r="AX33" s="215">
        <v>44892</v>
      </c>
      <c r="AY33" s="48">
        <v>490690</v>
      </c>
      <c r="AZ33" s="48">
        <v>4044</v>
      </c>
      <c r="BA33" s="48">
        <v>494734</v>
      </c>
      <c r="BB33" s="48">
        <v>99.18</v>
      </c>
      <c r="BC33" s="246">
        <f t="shared" si="13"/>
        <v>0.49473400000000001</v>
      </c>
      <c r="BE33" s="215">
        <v>44892</v>
      </c>
      <c r="BF33" s="48">
        <v>490690</v>
      </c>
      <c r="BG33" s="48">
        <v>4044</v>
      </c>
      <c r="BH33" s="48">
        <v>494734</v>
      </c>
      <c r="BI33" s="48">
        <v>99.18</v>
      </c>
      <c r="BJ33" s="71">
        <f t="shared" si="14"/>
        <v>0.49473400000000001</v>
      </c>
      <c r="BL33" s="1"/>
      <c r="BM33" s="1"/>
      <c r="BN33" s="1"/>
      <c r="BO33" s="1"/>
      <c r="BP33" s="1"/>
      <c r="BQ33" s="247"/>
      <c r="BS33" s="48"/>
      <c r="BT33" s="48"/>
      <c r="BU33" s="48"/>
      <c r="BV33" s="48"/>
      <c r="BW33" s="48"/>
      <c r="BZ33" s="1"/>
      <c r="CA33" s="1"/>
      <c r="CB33" s="1"/>
      <c r="CC33" s="1"/>
      <c r="CE33" s="215">
        <v>44892</v>
      </c>
      <c r="CF33" s="1">
        <v>10285508</v>
      </c>
      <c r="CG33" s="1">
        <v>35792</v>
      </c>
      <c r="CH33" s="1">
        <v>10321300</v>
      </c>
      <c r="CI33" s="1">
        <v>99.65</v>
      </c>
      <c r="CJ33" s="1">
        <v>10.33</v>
      </c>
      <c r="CL33" s="140">
        <v>44920</v>
      </c>
      <c r="CM33" t="s">
        <v>239</v>
      </c>
      <c r="CN33">
        <v>8288</v>
      </c>
    </row>
    <row r="34" spans="1:92" hidden="1" x14ac:dyDescent="0.25">
      <c r="A34" s="215">
        <v>44893</v>
      </c>
      <c r="B34" s="204">
        <v>5156858</v>
      </c>
      <c r="C34" s="204">
        <v>51098</v>
      </c>
      <c r="D34" s="204">
        <v>5207956</v>
      </c>
      <c r="E34" s="204">
        <v>99.02</v>
      </c>
      <c r="F34" s="71">
        <f t="shared" si="15"/>
        <v>5.2079560000000003</v>
      </c>
      <c r="H34" s="215">
        <v>44893</v>
      </c>
      <c r="I34" s="204">
        <v>2839558</v>
      </c>
      <c r="J34" s="204">
        <v>4620</v>
      </c>
      <c r="K34" s="204">
        <v>2844178</v>
      </c>
      <c r="L34" s="204">
        <v>99.84</v>
      </c>
      <c r="M34" s="71">
        <f t="shared" si="1"/>
        <v>2.8441779999999999</v>
      </c>
      <c r="O34" s="215">
        <v>44893</v>
      </c>
      <c r="P34" s="204">
        <v>691982</v>
      </c>
      <c r="Q34" s="204">
        <v>616</v>
      </c>
      <c r="R34" s="204">
        <v>692598</v>
      </c>
      <c r="S34" s="204">
        <v>99.91</v>
      </c>
      <c r="T34" s="71">
        <f t="shared" si="16"/>
        <v>0.69259800000000005</v>
      </c>
      <c r="V34" s="215">
        <v>44893</v>
      </c>
      <c r="W34" s="204">
        <v>907608</v>
      </c>
      <c r="X34" s="204">
        <v>10686</v>
      </c>
      <c r="Y34" s="204">
        <v>918294</v>
      </c>
      <c r="Z34" s="204">
        <v>98.84</v>
      </c>
      <c r="AA34" s="71">
        <f t="shared" si="3"/>
        <v>0.91829400000000005</v>
      </c>
      <c r="AC34" s="215">
        <v>44893</v>
      </c>
      <c r="AD34" s="204">
        <v>508906</v>
      </c>
      <c r="AE34" s="204">
        <v>1298</v>
      </c>
      <c r="AF34" s="204">
        <v>510204</v>
      </c>
      <c r="AG34" s="204">
        <v>99.75</v>
      </c>
      <c r="AH34" s="71">
        <f t="shared" si="4"/>
        <v>0.51020399999999999</v>
      </c>
      <c r="AJ34" s="215">
        <v>44893</v>
      </c>
      <c r="AK34" s="204">
        <v>508906</v>
      </c>
      <c r="AL34" s="204">
        <v>1298</v>
      </c>
      <c r="AM34" s="204">
        <v>510204</v>
      </c>
      <c r="AN34" s="204">
        <v>99.75</v>
      </c>
      <c r="AO34" s="246">
        <f t="shared" si="11"/>
        <v>0.51020399999999999</v>
      </c>
      <c r="AQ34" s="215">
        <v>44893</v>
      </c>
      <c r="AR34" s="204">
        <v>508906</v>
      </c>
      <c r="AS34" s="204">
        <v>1298</v>
      </c>
      <c r="AT34" s="204">
        <v>510204</v>
      </c>
      <c r="AU34" s="204">
        <v>99.75</v>
      </c>
      <c r="AV34" s="246">
        <f t="shared" si="12"/>
        <v>0.51020399999999999</v>
      </c>
      <c r="AX34" s="215">
        <v>44893</v>
      </c>
      <c r="AY34" s="204">
        <v>508906</v>
      </c>
      <c r="AZ34" s="204">
        <v>1298</v>
      </c>
      <c r="BA34" s="204">
        <v>510204</v>
      </c>
      <c r="BB34" s="204">
        <v>99.75</v>
      </c>
      <c r="BC34" s="246">
        <f t="shared" si="13"/>
        <v>0.51020399999999999</v>
      </c>
      <c r="BE34" s="215">
        <v>44893</v>
      </c>
      <c r="BF34" s="204">
        <v>508906</v>
      </c>
      <c r="BG34" s="204">
        <v>1298</v>
      </c>
      <c r="BH34" s="204">
        <v>510204</v>
      </c>
      <c r="BI34" s="204">
        <v>99.75</v>
      </c>
      <c r="BJ34" s="71">
        <f t="shared" si="14"/>
        <v>0.51020399999999999</v>
      </c>
      <c r="BL34" s="1"/>
      <c r="BM34" s="1"/>
      <c r="BN34" s="1"/>
      <c r="BO34" s="1"/>
      <c r="BP34" s="1"/>
      <c r="BQ34" s="247"/>
      <c r="BS34" s="48"/>
      <c r="BT34" s="48"/>
      <c r="BU34" s="48"/>
      <c r="BV34" s="48"/>
      <c r="BW34" s="48"/>
      <c r="BZ34" s="1"/>
      <c r="CA34" s="1"/>
      <c r="CB34" s="1"/>
      <c r="CC34" s="1"/>
      <c r="CE34" s="215">
        <v>44893</v>
      </c>
      <c r="CF34" s="1">
        <v>11388700</v>
      </c>
      <c r="CG34" s="1">
        <v>80038</v>
      </c>
      <c r="CH34" s="1">
        <v>11468738</v>
      </c>
      <c r="CI34" s="46">
        <f t="shared" si="9"/>
        <v>99.302120250719824</v>
      </c>
      <c r="CJ34" s="46">
        <f t="shared" si="17"/>
        <v>11.468738</v>
      </c>
      <c r="CL34" s="140">
        <v>44920</v>
      </c>
      <c r="CM34" t="s">
        <v>237</v>
      </c>
      <c r="CN34">
        <v>3867</v>
      </c>
    </row>
    <row r="35" spans="1:92" hidden="1" x14ac:dyDescent="0.25">
      <c r="A35" s="215">
        <v>44894</v>
      </c>
      <c r="B35" s="204">
        <v>5864054</v>
      </c>
      <c r="C35" s="204">
        <v>92812</v>
      </c>
      <c r="D35" s="204">
        <v>5956866</v>
      </c>
      <c r="E35" s="204">
        <v>98.44</v>
      </c>
      <c r="F35" s="71">
        <f t="shared" si="15"/>
        <v>5.9568659999999998</v>
      </c>
      <c r="H35" s="215">
        <v>44894</v>
      </c>
      <c r="I35" s="204">
        <v>2895918</v>
      </c>
      <c r="J35" s="204">
        <v>5192</v>
      </c>
      <c r="K35" s="204">
        <v>2901110</v>
      </c>
      <c r="L35" s="204">
        <v>99.82</v>
      </c>
      <c r="M35" s="71">
        <f t="shared" si="1"/>
        <v>2.9011100000000001</v>
      </c>
      <c r="O35" s="215">
        <v>44894</v>
      </c>
      <c r="P35" s="204">
        <v>679978</v>
      </c>
      <c r="Q35" s="204">
        <v>626</v>
      </c>
      <c r="R35" s="204">
        <v>680604</v>
      </c>
      <c r="S35" s="204">
        <v>99.91</v>
      </c>
      <c r="T35" s="71">
        <f t="shared" si="16"/>
        <v>0.68060399999999999</v>
      </c>
      <c r="V35" s="215">
        <v>44894</v>
      </c>
      <c r="W35" s="204">
        <v>895026</v>
      </c>
      <c r="X35" s="204">
        <v>16898</v>
      </c>
      <c r="Y35" s="204">
        <v>911924</v>
      </c>
      <c r="Z35" s="204">
        <v>98.15</v>
      </c>
      <c r="AA35" s="71">
        <f t="shared" si="3"/>
        <v>0.91192399999999996</v>
      </c>
      <c r="AC35" s="215">
        <v>44894</v>
      </c>
      <c r="AD35" s="204">
        <v>551878</v>
      </c>
      <c r="AE35" s="204">
        <v>1118</v>
      </c>
      <c r="AF35" s="204">
        <v>552996</v>
      </c>
      <c r="AG35" s="204">
        <v>99.8</v>
      </c>
      <c r="AH35" s="71">
        <f t="shared" si="4"/>
        <v>0.55299600000000004</v>
      </c>
      <c r="AJ35" s="215">
        <v>44894</v>
      </c>
      <c r="AK35" s="204">
        <v>551878</v>
      </c>
      <c r="AL35" s="204">
        <v>1118</v>
      </c>
      <c r="AM35" s="204">
        <v>552996</v>
      </c>
      <c r="AN35" s="204">
        <v>99.8</v>
      </c>
      <c r="AO35" s="246">
        <f t="shared" si="11"/>
        <v>0.55299600000000004</v>
      </c>
      <c r="AQ35" s="215">
        <v>44894</v>
      </c>
      <c r="AR35" s="204">
        <v>551878</v>
      </c>
      <c r="AS35" s="204">
        <v>1118</v>
      </c>
      <c r="AT35" s="204">
        <v>552996</v>
      </c>
      <c r="AU35" s="204">
        <v>99.8</v>
      </c>
      <c r="AV35" s="246">
        <f t="shared" si="12"/>
        <v>0.55299600000000004</v>
      </c>
      <c r="AX35" s="215">
        <v>44894</v>
      </c>
      <c r="AY35" s="204">
        <v>551878</v>
      </c>
      <c r="AZ35" s="204">
        <v>1118</v>
      </c>
      <c r="BA35" s="204">
        <v>552996</v>
      </c>
      <c r="BB35" s="204">
        <v>99.8</v>
      </c>
      <c r="BC35" s="246">
        <f t="shared" si="13"/>
        <v>0.55299600000000004</v>
      </c>
      <c r="BE35" s="215">
        <v>44894</v>
      </c>
      <c r="BF35" s="204">
        <v>551878</v>
      </c>
      <c r="BG35" s="204">
        <v>1118</v>
      </c>
      <c r="BH35" s="204">
        <v>552996</v>
      </c>
      <c r="BI35" s="204">
        <v>99.8</v>
      </c>
      <c r="BJ35" s="71">
        <f t="shared" si="14"/>
        <v>0.55299600000000004</v>
      </c>
      <c r="BL35" s="1"/>
      <c r="BM35" s="1"/>
      <c r="BN35" s="1"/>
      <c r="BO35" s="1"/>
      <c r="BP35" s="1"/>
      <c r="BQ35" s="247"/>
      <c r="BS35" s="48"/>
      <c r="BT35" s="48"/>
      <c r="BU35" s="48"/>
      <c r="BV35" s="48"/>
      <c r="BW35" s="48"/>
      <c r="BZ35" s="1"/>
      <c r="CA35" s="1"/>
      <c r="CB35" s="1"/>
      <c r="CC35" s="1"/>
      <c r="CE35" s="215">
        <v>44894</v>
      </c>
      <c r="CF35" s="1">
        <v>12187968</v>
      </c>
      <c r="CG35" s="1">
        <v>129198</v>
      </c>
      <c r="CH35" s="1">
        <v>12317166</v>
      </c>
      <c r="CI35" s="46">
        <f t="shared" si="9"/>
        <v>98.951073647947908</v>
      </c>
      <c r="CJ35" s="46">
        <f t="shared" si="17"/>
        <v>12.317166</v>
      </c>
      <c r="CL35" s="140">
        <v>44920</v>
      </c>
      <c r="CM35" t="s">
        <v>238</v>
      </c>
      <c r="CN35">
        <v>3298</v>
      </c>
    </row>
    <row r="36" spans="1:92" hidden="1" x14ac:dyDescent="0.25">
      <c r="A36" s="215">
        <v>44895</v>
      </c>
      <c r="B36" s="204">
        <v>5347996</v>
      </c>
      <c r="C36" s="204">
        <v>28644</v>
      </c>
      <c r="D36" s="204">
        <v>5376640</v>
      </c>
      <c r="E36" s="204">
        <v>99.47</v>
      </c>
      <c r="F36" s="71">
        <f t="shared" si="15"/>
        <v>5.3766400000000001</v>
      </c>
      <c r="H36" s="215">
        <v>44895</v>
      </c>
      <c r="I36" s="204">
        <v>2670426</v>
      </c>
      <c r="J36" s="204">
        <v>8696</v>
      </c>
      <c r="K36" s="204">
        <v>2679122</v>
      </c>
      <c r="L36" s="204">
        <v>99.68</v>
      </c>
      <c r="M36" s="71">
        <f t="shared" si="1"/>
        <v>2.679122</v>
      </c>
      <c r="O36" s="215">
        <v>44895</v>
      </c>
      <c r="P36" s="204">
        <v>672122</v>
      </c>
      <c r="Q36" s="204">
        <v>1798</v>
      </c>
      <c r="R36" s="204">
        <v>673920</v>
      </c>
      <c r="S36" s="204">
        <v>99.73</v>
      </c>
      <c r="T36" s="71">
        <f t="shared" si="16"/>
        <v>0.67391999999999996</v>
      </c>
      <c r="V36" s="215">
        <v>44895</v>
      </c>
      <c r="W36" s="204">
        <v>866698</v>
      </c>
      <c r="X36" s="204">
        <v>2410</v>
      </c>
      <c r="Y36" s="204">
        <v>869108</v>
      </c>
      <c r="Z36" s="204">
        <v>99.72</v>
      </c>
      <c r="AA36" s="71">
        <f t="shared" si="3"/>
        <v>0.86910799999999999</v>
      </c>
      <c r="AC36" s="215">
        <v>44895</v>
      </c>
      <c r="AD36" s="204">
        <v>548594</v>
      </c>
      <c r="AE36" s="204">
        <v>1052</v>
      </c>
      <c r="AF36" s="204">
        <v>549646</v>
      </c>
      <c r="AG36" s="204">
        <v>99.81</v>
      </c>
      <c r="AH36" s="71">
        <f t="shared" si="4"/>
        <v>0.54964599999999997</v>
      </c>
      <c r="AJ36" s="215">
        <v>44895</v>
      </c>
      <c r="AK36" s="204">
        <v>548594</v>
      </c>
      <c r="AL36" s="204">
        <v>1052</v>
      </c>
      <c r="AM36" s="204">
        <v>549646</v>
      </c>
      <c r="AN36" s="204">
        <v>99.81</v>
      </c>
      <c r="AO36" s="246">
        <f t="shared" si="11"/>
        <v>0.54964599999999997</v>
      </c>
      <c r="AQ36" s="215">
        <v>44895</v>
      </c>
      <c r="AR36" s="204">
        <v>548594</v>
      </c>
      <c r="AS36" s="204">
        <v>1052</v>
      </c>
      <c r="AT36" s="204">
        <v>549646</v>
      </c>
      <c r="AU36" s="204">
        <v>99.81</v>
      </c>
      <c r="AV36" s="246">
        <f t="shared" si="12"/>
        <v>0.54964599999999997</v>
      </c>
      <c r="AX36" s="215">
        <v>44895</v>
      </c>
      <c r="AY36" s="204">
        <v>548594</v>
      </c>
      <c r="AZ36" s="204">
        <v>1052</v>
      </c>
      <c r="BA36" s="204">
        <v>549646</v>
      </c>
      <c r="BB36" s="204">
        <v>99.81</v>
      </c>
      <c r="BC36" s="246">
        <f t="shared" si="13"/>
        <v>0.54964599999999997</v>
      </c>
      <c r="BE36" s="215">
        <v>44895</v>
      </c>
      <c r="BF36" s="204">
        <v>548594</v>
      </c>
      <c r="BG36" s="204">
        <v>1052</v>
      </c>
      <c r="BH36" s="204">
        <v>549646</v>
      </c>
      <c r="BI36" s="204">
        <v>99.81</v>
      </c>
      <c r="BJ36" s="71">
        <f t="shared" si="14"/>
        <v>0.54964599999999997</v>
      </c>
      <c r="BL36" s="1"/>
      <c r="BM36" s="1"/>
      <c r="BN36" s="1"/>
      <c r="BO36" s="1"/>
      <c r="BP36" s="1"/>
      <c r="BQ36" s="247"/>
      <c r="BS36" s="48"/>
      <c r="BT36" s="48"/>
      <c r="BU36" s="48"/>
      <c r="BV36" s="48"/>
      <c r="BW36" s="48"/>
      <c r="BZ36" s="1"/>
      <c r="CA36" s="1"/>
      <c r="CB36" s="1"/>
      <c r="CC36" s="1"/>
      <c r="CE36" s="215">
        <v>44895</v>
      </c>
      <c r="CF36" s="1">
        <v>11530662</v>
      </c>
      <c r="CG36" s="1">
        <v>58768</v>
      </c>
      <c r="CH36" s="1">
        <v>11589430</v>
      </c>
      <c r="CI36" s="46">
        <f t="shared" si="9"/>
        <v>99.492917253048674</v>
      </c>
      <c r="CJ36" s="46">
        <f t="shared" si="17"/>
        <v>11.58943</v>
      </c>
      <c r="CL36" s="140">
        <v>44920</v>
      </c>
      <c r="CM36" t="s">
        <v>240</v>
      </c>
      <c r="CN36">
        <v>1634</v>
      </c>
    </row>
    <row r="37" spans="1:92" hidden="1" x14ac:dyDescent="0.25">
      <c r="A37" s="215">
        <v>44896</v>
      </c>
      <c r="B37" s="204">
        <v>5547696</v>
      </c>
      <c r="C37" s="204">
        <v>68438</v>
      </c>
      <c r="D37" s="204">
        <v>5616134</v>
      </c>
      <c r="E37" s="204">
        <v>98.78</v>
      </c>
      <c r="F37" s="71">
        <f t="shared" si="15"/>
        <v>5.6161339999999997</v>
      </c>
      <c r="H37" s="215">
        <v>44896</v>
      </c>
      <c r="I37" s="204">
        <v>2897514</v>
      </c>
      <c r="J37" s="204">
        <v>14710</v>
      </c>
      <c r="K37" s="204">
        <v>2912224</v>
      </c>
      <c r="L37" s="204">
        <v>99.49</v>
      </c>
      <c r="M37" s="71">
        <f t="shared" si="1"/>
        <v>2.9122240000000001</v>
      </c>
      <c r="O37" s="215">
        <v>44896</v>
      </c>
      <c r="P37" s="204">
        <v>682446</v>
      </c>
      <c r="Q37" s="204">
        <v>562</v>
      </c>
      <c r="R37" s="204">
        <v>683008</v>
      </c>
      <c r="S37" s="204">
        <v>99.92</v>
      </c>
      <c r="T37" s="71">
        <f t="shared" si="16"/>
        <v>0.68300799999999995</v>
      </c>
      <c r="V37" s="215">
        <v>44896</v>
      </c>
      <c r="W37" s="204">
        <v>559456</v>
      </c>
      <c r="X37" s="204">
        <v>500</v>
      </c>
      <c r="Y37" s="204">
        <v>559956</v>
      </c>
      <c r="Z37" s="204">
        <v>99.91</v>
      </c>
      <c r="AA37" s="71">
        <f t="shared" si="3"/>
        <v>0.55995600000000001</v>
      </c>
      <c r="AC37" s="215">
        <v>44896</v>
      </c>
      <c r="AD37" s="204">
        <v>559456</v>
      </c>
      <c r="AE37" s="204">
        <v>500</v>
      </c>
      <c r="AF37" s="204">
        <v>559956</v>
      </c>
      <c r="AG37" s="204">
        <v>99.91</v>
      </c>
      <c r="AH37" s="71">
        <f t="shared" si="4"/>
        <v>0.55995600000000001</v>
      </c>
      <c r="AJ37" s="215">
        <v>44896</v>
      </c>
      <c r="AK37" s="204">
        <v>559456</v>
      </c>
      <c r="AL37" s="204">
        <v>500</v>
      </c>
      <c r="AM37" s="204">
        <v>559956</v>
      </c>
      <c r="AN37" s="204">
        <v>99.91</v>
      </c>
      <c r="AO37" s="246">
        <f t="shared" si="11"/>
        <v>0.55995600000000001</v>
      </c>
      <c r="AQ37" s="215">
        <v>44896</v>
      </c>
      <c r="AR37" s="204">
        <v>559456</v>
      </c>
      <c r="AS37" s="204">
        <v>500</v>
      </c>
      <c r="AT37" s="204">
        <v>559956</v>
      </c>
      <c r="AU37" s="204">
        <v>99.91</v>
      </c>
      <c r="AV37" s="246">
        <f t="shared" si="12"/>
        <v>0.55995600000000001</v>
      </c>
      <c r="AX37" s="215">
        <v>44896</v>
      </c>
      <c r="AY37" s="204">
        <v>559456</v>
      </c>
      <c r="AZ37" s="204">
        <v>500</v>
      </c>
      <c r="BA37" s="204">
        <v>559956</v>
      </c>
      <c r="BB37" s="204">
        <v>99.91</v>
      </c>
      <c r="BC37" s="246">
        <f t="shared" si="13"/>
        <v>0.55995600000000001</v>
      </c>
      <c r="BE37" s="215">
        <v>44896</v>
      </c>
      <c r="BF37" s="204">
        <v>559456</v>
      </c>
      <c r="BG37" s="204">
        <v>500</v>
      </c>
      <c r="BH37" s="204">
        <v>559956</v>
      </c>
      <c r="BI37" s="204">
        <v>99.91</v>
      </c>
      <c r="BJ37" s="71">
        <f t="shared" si="14"/>
        <v>0.55995600000000001</v>
      </c>
      <c r="BL37" s="1"/>
      <c r="BM37" s="1"/>
      <c r="BN37" s="1"/>
      <c r="BO37" s="1"/>
      <c r="BP37" s="1"/>
      <c r="BQ37" s="247"/>
      <c r="BS37" s="48"/>
      <c r="BT37" s="48"/>
      <c r="BU37" s="48"/>
      <c r="BV37" s="48"/>
      <c r="BW37" s="48"/>
      <c r="BZ37" s="1"/>
      <c r="CA37" s="1"/>
      <c r="CB37" s="1"/>
      <c r="CC37" s="1"/>
      <c r="CE37" s="215">
        <v>44896</v>
      </c>
      <c r="CF37" s="1">
        <v>12095398</v>
      </c>
      <c r="CG37" s="1">
        <v>110426</v>
      </c>
      <c r="CH37" s="1">
        <v>12205824</v>
      </c>
      <c r="CI37" s="46">
        <f t="shared" si="9"/>
        <v>99.095300735124468</v>
      </c>
      <c r="CJ37" s="46">
        <f t="shared" si="17"/>
        <v>12.205824</v>
      </c>
      <c r="CL37" s="140">
        <v>44920</v>
      </c>
      <c r="CM37" t="s">
        <v>241</v>
      </c>
      <c r="CN37">
        <v>697</v>
      </c>
    </row>
    <row r="38" spans="1:92" hidden="1" x14ac:dyDescent="0.25">
      <c r="A38" s="215">
        <v>44897</v>
      </c>
      <c r="B38" s="204">
        <v>5495806</v>
      </c>
      <c r="C38" s="204">
        <v>51738</v>
      </c>
      <c r="D38" s="204">
        <v>5547544</v>
      </c>
      <c r="E38" s="204">
        <v>99.07</v>
      </c>
      <c r="F38" s="71">
        <f t="shared" si="15"/>
        <v>5.5475440000000003</v>
      </c>
      <c r="H38" s="215">
        <v>44897</v>
      </c>
      <c r="I38" s="204">
        <v>2880120</v>
      </c>
      <c r="J38" s="204">
        <v>2476</v>
      </c>
      <c r="K38" s="204">
        <v>2882596</v>
      </c>
      <c r="L38" s="204">
        <v>99.91</v>
      </c>
      <c r="M38" s="71">
        <f t="shared" si="1"/>
        <v>2.8825959999999999</v>
      </c>
      <c r="O38" s="215">
        <v>44897</v>
      </c>
      <c r="P38" s="204">
        <v>681540</v>
      </c>
      <c r="Q38" s="204">
        <v>570</v>
      </c>
      <c r="R38" s="204">
        <v>682110</v>
      </c>
      <c r="S38" s="204">
        <v>99.92</v>
      </c>
      <c r="T38" s="71">
        <f t="shared" si="16"/>
        <v>0.68210999999999999</v>
      </c>
      <c r="V38" s="215">
        <v>44897</v>
      </c>
      <c r="W38" s="204">
        <v>953978</v>
      </c>
      <c r="X38" s="204">
        <v>1182</v>
      </c>
      <c r="Y38" s="204">
        <v>955160</v>
      </c>
      <c r="Z38" s="204">
        <v>99.88</v>
      </c>
      <c r="AA38" s="71">
        <f t="shared" si="3"/>
        <v>0.95516000000000001</v>
      </c>
      <c r="AC38" s="215">
        <v>44897</v>
      </c>
      <c r="AD38" s="204">
        <v>592154</v>
      </c>
      <c r="AE38" s="204">
        <v>718</v>
      </c>
      <c r="AF38" s="204">
        <v>592872</v>
      </c>
      <c r="AG38" s="204">
        <v>99.88</v>
      </c>
      <c r="AH38" s="71">
        <f t="shared" si="4"/>
        <v>0.59287199999999995</v>
      </c>
      <c r="AJ38" s="215">
        <v>44897</v>
      </c>
      <c r="AK38" s="204">
        <v>592154</v>
      </c>
      <c r="AL38" s="204">
        <v>718</v>
      </c>
      <c r="AM38" s="204">
        <v>592872</v>
      </c>
      <c r="AN38" s="204">
        <v>99.88</v>
      </c>
      <c r="AO38" s="246">
        <f t="shared" si="11"/>
        <v>0.59287199999999995</v>
      </c>
      <c r="AQ38" s="215">
        <v>44897</v>
      </c>
      <c r="AR38" s="204">
        <v>592154</v>
      </c>
      <c r="AS38" s="204">
        <v>718</v>
      </c>
      <c r="AT38" s="204">
        <v>592872</v>
      </c>
      <c r="AU38" s="204">
        <v>99.88</v>
      </c>
      <c r="AV38" s="246">
        <f t="shared" si="12"/>
        <v>0.59287199999999995</v>
      </c>
      <c r="AX38" s="215">
        <v>44897</v>
      </c>
      <c r="AY38" s="204">
        <v>592154</v>
      </c>
      <c r="AZ38" s="204">
        <v>718</v>
      </c>
      <c r="BA38" s="204">
        <v>592872</v>
      </c>
      <c r="BB38" s="204">
        <v>99.88</v>
      </c>
      <c r="BC38" s="246">
        <f t="shared" si="13"/>
        <v>0.59287199999999995</v>
      </c>
      <c r="BE38" s="215">
        <v>44897</v>
      </c>
      <c r="BF38" s="204">
        <v>592154</v>
      </c>
      <c r="BG38" s="204">
        <v>718</v>
      </c>
      <c r="BH38" s="204">
        <v>592872</v>
      </c>
      <c r="BI38" s="204">
        <v>99.88</v>
      </c>
      <c r="BJ38" s="71">
        <f t="shared" si="14"/>
        <v>0.59287199999999995</v>
      </c>
      <c r="BL38" s="1"/>
      <c r="BM38" s="1"/>
      <c r="BN38" s="1"/>
      <c r="BO38" s="1"/>
      <c r="BP38" s="1"/>
      <c r="BQ38" s="247"/>
      <c r="BS38" s="48"/>
      <c r="BT38" s="48"/>
      <c r="BU38" s="48"/>
      <c r="BV38" s="48"/>
      <c r="BW38" s="48"/>
      <c r="BZ38" s="1"/>
      <c r="CA38" s="1"/>
      <c r="CB38" s="1"/>
      <c r="CC38" s="1"/>
      <c r="CE38" s="215">
        <v>44897</v>
      </c>
      <c r="CF38" s="1">
        <v>12073940</v>
      </c>
      <c r="CG38" s="1">
        <v>65080</v>
      </c>
      <c r="CH38" s="1">
        <v>12139020</v>
      </c>
      <c r="CI38" s="46">
        <f t="shared" si="9"/>
        <v>99.463877644159084</v>
      </c>
      <c r="CJ38" s="46">
        <f t="shared" si="17"/>
        <v>12.13902</v>
      </c>
      <c r="CL38" s="140">
        <v>44921</v>
      </c>
      <c r="CM38" t="s">
        <v>239</v>
      </c>
      <c r="CN38">
        <v>16758</v>
      </c>
    </row>
    <row r="39" spans="1:92" hidden="1" x14ac:dyDescent="0.25">
      <c r="A39" s="215">
        <v>44898</v>
      </c>
      <c r="B39" s="204">
        <v>5389730</v>
      </c>
      <c r="C39" s="204">
        <v>4850</v>
      </c>
      <c r="D39" s="204">
        <v>5394580</v>
      </c>
      <c r="E39" s="204">
        <v>99.91</v>
      </c>
      <c r="F39" s="71">
        <f t="shared" si="15"/>
        <v>5.3945800000000004</v>
      </c>
      <c r="H39" s="215">
        <v>44898</v>
      </c>
      <c r="I39" s="204">
        <v>2928474</v>
      </c>
      <c r="J39" s="204">
        <v>2534</v>
      </c>
      <c r="K39" s="204">
        <v>2931008</v>
      </c>
      <c r="L39" s="204">
        <v>99.91</v>
      </c>
      <c r="M39" s="71">
        <f t="shared" si="1"/>
        <v>2.9310079999999998</v>
      </c>
      <c r="O39" s="215">
        <v>44898</v>
      </c>
      <c r="P39" s="204">
        <v>700006</v>
      </c>
      <c r="Q39" s="204">
        <v>596</v>
      </c>
      <c r="R39" s="204">
        <v>700602</v>
      </c>
      <c r="S39" s="204">
        <v>99.91</v>
      </c>
      <c r="T39" s="71">
        <f t="shared" si="16"/>
        <v>0.70060199999999995</v>
      </c>
      <c r="V39" s="215">
        <v>44898</v>
      </c>
      <c r="W39" s="204">
        <v>958520</v>
      </c>
      <c r="X39" s="204">
        <v>552</v>
      </c>
      <c r="Y39" s="204">
        <v>959072</v>
      </c>
      <c r="Z39" s="204">
        <v>99.94</v>
      </c>
      <c r="AA39" s="71">
        <f t="shared" si="3"/>
        <v>0.95907200000000004</v>
      </c>
      <c r="AC39" s="215">
        <v>44898</v>
      </c>
      <c r="AD39" s="204">
        <v>566378</v>
      </c>
      <c r="AE39" s="204">
        <v>246</v>
      </c>
      <c r="AF39" s="204">
        <v>566624</v>
      </c>
      <c r="AG39" s="204">
        <v>99.96</v>
      </c>
      <c r="AH39" s="71">
        <f t="shared" si="4"/>
        <v>0.56662400000000002</v>
      </c>
      <c r="AJ39" s="215">
        <v>44898</v>
      </c>
      <c r="AK39" s="204">
        <v>566378</v>
      </c>
      <c r="AL39" s="204">
        <v>246</v>
      </c>
      <c r="AM39" s="204">
        <v>566624</v>
      </c>
      <c r="AN39" s="204">
        <v>99.96</v>
      </c>
      <c r="AO39" s="246">
        <f t="shared" si="11"/>
        <v>0.56662400000000002</v>
      </c>
      <c r="AQ39" s="215">
        <v>44898</v>
      </c>
      <c r="AR39" s="204">
        <v>566378</v>
      </c>
      <c r="AS39" s="204">
        <v>246</v>
      </c>
      <c r="AT39" s="204">
        <v>566624</v>
      </c>
      <c r="AU39" s="204">
        <v>99.96</v>
      </c>
      <c r="AV39" s="246">
        <f t="shared" si="12"/>
        <v>0.56662400000000002</v>
      </c>
      <c r="AX39" s="215">
        <v>44898</v>
      </c>
      <c r="AY39" s="204">
        <v>566378</v>
      </c>
      <c r="AZ39" s="204">
        <v>246</v>
      </c>
      <c r="BA39" s="204">
        <v>566624</v>
      </c>
      <c r="BB39" s="204">
        <v>99.96</v>
      </c>
      <c r="BC39" s="246">
        <f t="shared" si="13"/>
        <v>0.56662400000000002</v>
      </c>
      <c r="BE39" s="215">
        <v>44898</v>
      </c>
      <c r="BF39" s="204">
        <v>566378</v>
      </c>
      <c r="BG39" s="204">
        <v>246</v>
      </c>
      <c r="BH39" s="204">
        <v>566624</v>
      </c>
      <c r="BI39" s="204">
        <v>99.96</v>
      </c>
      <c r="BJ39" s="71">
        <f t="shared" si="14"/>
        <v>0.56662400000000002</v>
      </c>
      <c r="BL39" s="1"/>
      <c r="BM39" s="1"/>
      <c r="BN39" s="1"/>
      <c r="BO39" s="1"/>
      <c r="BP39" s="1"/>
      <c r="BQ39" s="247"/>
      <c r="BS39" s="48"/>
      <c r="BT39" s="48"/>
      <c r="BU39" s="48"/>
      <c r="BV39" s="48"/>
      <c r="BW39" s="48"/>
      <c r="BZ39" s="1"/>
      <c r="CA39" s="1"/>
      <c r="CB39" s="1"/>
      <c r="CC39" s="1"/>
      <c r="CE39" s="215">
        <v>44898</v>
      </c>
      <c r="CF39" s="1">
        <v>11989560</v>
      </c>
      <c r="CG39" s="1">
        <v>17560</v>
      </c>
      <c r="CH39" s="1">
        <v>12007120</v>
      </c>
      <c r="CI39" s="46">
        <f t="shared" si="9"/>
        <v>99.85375343962582</v>
      </c>
      <c r="CJ39" s="46">
        <f t="shared" si="17"/>
        <v>12.00712</v>
      </c>
      <c r="CL39" s="140">
        <v>44921</v>
      </c>
      <c r="CM39" t="s">
        <v>237</v>
      </c>
      <c r="CN39">
        <v>4532</v>
      </c>
    </row>
    <row r="40" spans="1:92" hidden="1" x14ac:dyDescent="0.25">
      <c r="A40" s="215">
        <v>44899</v>
      </c>
      <c r="B40" s="48">
        <v>4509512</v>
      </c>
      <c r="C40" s="48">
        <v>1901</v>
      </c>
      <c r="D40" s="48">
        <v>4511413</v>
      </c>
      <c r="E40" s="71">
        <f>B40/D40*100</f>
        <v>99.957862425807605</v>
      </c>
      <c r="F40" s="71">
        <f t="shared" si="15"/>
        <v>4.5114130000000001</v>
      </c>
      <c r="H40" s="215">
        <v>44899</v>
      </c>
      <c r="I40" s="1">
        <v>2755141</v>
      </c>
      <c r="J40" s="1">
        <v>2317</v>
      </c>
      <c r="K40" s="1">
        <v>2757458</v>
      </c>
      <c r="L40" s="46">
        <f>I40/K40*100</f>
        <v>99.915973334861306</v>
      </c>
      <c r="M40" s="71">
        <f t="shared" si="1"/>
        <v>2.7574580000000002</v>
      </c>
      <c r="O40" s="215">
        <v>44899</v>
      </c>
      <c r="P40" s="1">
        <v>688679</v>
      </c>
      <c r="Q40" s="1">
        <v>534</v>
      </c>
      <c r="R40" s="1">
        <v>689213</v>
      </c>
      <c r="S40" s="46">
        <f>P40/R40*100</f>
        <v>99.922520323905673</v>
      </c>
      <c r="T40" s="71">
        <f t="shared" si="16"/>
        <v>0.68921299999999996</v>
      </c>
      <c r="V40" s="215">
        <v>44899</v>
      </c>
      <c r="W40" s="1">
        <v>866547</v>
      </c>
      <c r="X40" s="204">
        <v>156</v>
      </c>
      <c r="Y40" s="1">
        <v>866703</v>
      </c>
      <c r="Z40" s="46">
        <f>W40/Y40*100</f>
        <v>99.982000754583751</v>
      </c>
      <c r="AA40" s="71">
        <f t="shared" si="3"/>
        <v>0.866703</v>
      </c>
      <c r="AC40" s="215">
        <v>44899</v>
      </c>
      <c r="AD40" s="1">
        <v>532199</v>
      </c>
      <c r="AE40" s="1">
        <v>307</v>
      </c>
      <c r="AF40" s="1">
        <v>532506</v>
      </c>
      <c r="AG40" s="46">
        <f>AD40/AF40*100</f>
        <v>99.94234806743961</v>
      </c>
      <c r="AH40" s="71">
        <f t="shared" si="4"/>
        <v>0.53250600000000003</v>
      </c>
      <c r="AJ40" s="215">
        <v>44899</v>
      </c>
      <c r="AK40" s="48">
        <v>532199</v>
      </c>
      <c r="AL40" s="48">
        <v>307</v>
      </c>
      <c r="AM40" s="48">
        <v>532506</v>
      </c>
      <c r="AN40" s="71">
        <f>AK40/AM40*100</f>
        <v>99.94234806743961</v>
      </c>
      <c r="AO40" s="246">
        <f t="shared" si="11"/>
        <v>0.53250600000000003</v>
      </c>
      <c r="AQ40" s="215">
        <v>44899</v>
      </c>
      <c r="AR40" s="48">
        <v>532199</v>
      </c>
      <c r="AS40" s="48">
        <v>307</v>
      </c>
      <c r="AT40" s="48">
        <v>532506</v>
      </c>
      <c r="AU40" s="71">
        <f>AR40/AT40*100</f>
        <v>99.94234806743961</v>
      </c>
      <c r="AV40" s="246">
        <f t="shared" si="12"/>
        <v>0.53250600000000003</v>
      </c>
      <c r="AX40" s="215">
        <v>44899</v>
      </c>
      <c r="AY40" s="48">
        <v>532199</v>
      </c>
      <c r="AZ40" s="48">
        <v>307</v>
      </c>
      <c r="BA40" s="48">
        <v>532506</v>
      </c>
      <c r="BB40" s="71">
        <f>AY40/BA40*100</f>
        <v>99.94234806743961</v>
      </c>
      <c r="BC40" s="246">
        <f t="shared" si="13"/>
        <v>0.53250600000000003</v>
      </c>
      <c r="BE40" s="215">
        <v>44899</v>
      </c>
      <c r="BF40" s="1">
        <v>532199</v>
      </c>
      <c r="BG40" s="1">
        <v>307</v>
      </c>
      <c r="BH40" s="1">
        <v>532506</v>
      </c>
      <c r="BI40" s="46">
        <f>BF40/BH40*100</f>
        <v>99.94234806743961</v>
      </c>
      <c r="BJ40" s="71">
        <f t="shared" si="14"/>
        <v>0.53250600000000003</v>
      </c>
      <c r="BL40" s="1"/>
      <c r="BM40" s="1"/>
      <c r="BN40" s="1"/>
      <c r="BO40" s="1"/>
      <c r="BP40" s="1"/>
      <c r="BQ40" s="247"/>
      <c r="BS40" s="48"/>
      <c r="BT40" s="48"/>
      <c r="BU40" s="48"/>
      <c r="BV40" s="48"/>
      <c r="BW40" s="48"/>
      <c r="BZ40" s="1"/>
      <c r="CA40" s="1"/>
      <c r="CB40" s="1"/>
      <c r="CC40" s="1"/>
      <c r="CE40" s="215">
        <v>44899</v>
      </c>
      <c r="CF40" s="1">
        <v>10698328</v>
      </c>
      <c r="CG40" s="1">
        <v>13227</v>
      </c>
      <c r="CH40" s="1">
        <v>10711555</v>
      </c>
      <c r="CI40" s="46">
        <f t="shared" si="9"/>
        <v>99.876516528179152</v>
      </c>
      <c r="CJ40" s="46">
        <f t="shared" si="17"/>
        <v>10.711555000000001</v>
      </c>
      <c r="CL40" s="140">
        <v>44921</v>
      </c>
      <c r="CM40" t="s">
        <v>238</v>
      </c>
      <c r="CN40">
        <v>6076</v>
      </c>
    </row>
    <row r="41" spans="1:92" hidden="1" x14ac:dyDescent="0.25">
      <c r="A41" s="215">
        <v>44900</v>
      </c>
      <c r="B41" s="204">
        <v>6054038</v>
      </c>
      <c r="C41" s="204">
        <v>2402</v>
      </c>
      <c r="D41" s="204">
        <v>6056440</v>
      </c>
      <c r="E41" s="71">
        <f>B41/D41*100</f>
        <v>99.960339737535591</v>
      </c>
      <c r="F41" s="71">
        <f t="shared" si="15"/>
        <v>6.0564400000000003</v>
      </c>
      <c r="H41" s="215">
        <v>44900</v>
      </c>
      <c r="I41" s="204">
        <v>2778322</v>
      </c>
      <c r="J41" s="204">
        <v>4433</v>
      </c>
      <c r="K41" s="204">
        <v>2782755</v>
      </c>
      <c r="L41" s="46">
        <f>I41/K41*100</f>
        <v>99.840697438329997</v>
      </c>
      <c r="M41" s="71">
        <f t="shared" si="1"/>
        <v>2.7827549999999999</v>
      </c>
      <c r="O41" s="215">
        <v>44900</v>
      </c>
      <c r="P41" s="204">
        <v>677225</v>
      </c>
      <c r="Q41" s="204">
        <v>525</v>
      </c>
      <c r="R41" s="204">
        <v>677750</v>
      </c>
      <c r="S41" s="46">
        <f>P41/R41*100</f>
        <v>99.922537808926592</v>
      </c>
      <c r="T41" s="71">
        <f t="shared" si="16"/>
        <v>0.67774999999999996</v>
      </c>
      <c r="V41" s="215">
        <v>44900</v>
      </c>
      <c r="W41" s="204">
        <v>939831</v>
      </c>
      <c r="X41" s="204">
        <v>169</v>
      </c>
      <c r="Y41" s="204">
        <v>940000</v>
      </c>
      <c r="Z41" s="46">
        <f>W41/Y41*100</f>
        <v>99.982021276595745</v>
      </c>
      <c r="AA41" s="71">
        <f t="shared" si="3"/>
        <v>0.94</v>
      </c>
      <c r="AC41" s="215">
        <v>44900</v>
      </c>
      <c r="AD41" s="204">
        <v>515832</v>
      </c>
      <c r="AE41" s="204">
        <v>239</v>
      </c>
      <c r="AF41" s="204">
        <v>516071</v>
      </c>
      <c r="AG41" s="46">
        <f>AD41/AF41*100</f>
        <v>99.953688542855531</v>
      </c>
      <c r="AH41" s="71">
        <f t="shared" si="4"/>
        <v>0.51607099999999995</v>
      </c>
      <c r="AJ41" s="215">
        <v>44900</v>
      </c>
      <c r="AK41" s="204">
        <v>515832</v>
      </c>
      <c r="AL41" s="204">
        <v>239</v>
      </c>
      <c r="AM41" s="204">
        <v>516071</v>
      </c>
      <c r="AN41" s="71">
        <f>AK41/AM41*100</f>
        <v>99.953688542855531</v>
      </c>
      <c r="AO41" s="246">
        <f t="shared" si="11"/>
        <v>0.51607099999999995</v>
      </c>
      <c r="AQ41" s="215">
        <v>44900</v>
      </c>
      <c r="AR41" s="204">
        <v>515832</v>
      </c>
      <c r="AS41" s="204">
        <v>239</v>
      </c>
      <c r="AT41" s="204">
        <v>516071</v>
      </c>
      <c r="AU41" s="71">
        <f>AR41/AT41*100</f>
        <v>99.953688542855531</v>
      </c>
      <c r="AV41" s="246">
        <f t="shared" si="12"/>
        <v>0.51607099999999995</v>
      </c>
      <c r="AX41" s="215">
        <v>44900</v>
      </c>
      <c r="AY41" s="204">
        <v>515832</v>
      </c>
      <c r="AZ41" s="204">
        <v>239</v>
      </c>
      <c r="BA41" s="204">
        <v>516071</v>
      </c>
      <c r="BB41" s="71">
        <f>AY41/BA41*100</f>
        <v>99.953688542855531</v>
      </c>
      <c r="BC41" s="246">
        <f t="shared" si="13"/>
        <v>0.51607099999999995</v>
      </c>
      <c r="BE41" s="215">
        <v>44900</v>
      </c>
      <c r="BF41" s="204">
        <v>515832</v>
      </c>
      <c r="BG41" s="204">
        <v>239</v>
      </c>
      <c r="BH41" s="204">
        <v>516071</v>
      </c>
      <c r="BI41" s="46">
        <f>BF41/BH41*100</f>
        <v>99.953688542855531</v>
      </c>
      <c r="BJ41" s="71">
        <f t="shared" si="14"/>
        <v>0.51607099999999995</v>
      </c>
      <c r="BL41" s="1"/>
      <c r="BM41" s="1"/>
      <c r="BN41" s="1"/>
      <c r="BO41" s="1"/>
      <c r="BP41" s="1"/>
      <c r="BQ41" s="247"/>
      <c r="BS41" s="48"/>
      <c r="BT41" s="48"/>
      <c r="BU41" s="48"/>
      <c r="BV41" s="48"/>
      <c r="BW41" s="48"/>
      <c r="BZ41" s="1"/>
      <c r="CA41" s="1"/>
      <c r="CB41" s="1"/>
      <c r="CC41" s="1"/>
      <c r="CE41" s="215">
        <v>44900</v>
      </c>
      <c r="CF41" s="1">
        <v>12389720</v>
      </c>
      <c r="CG41" s="1">
        <v>17288</v>
      </c>
      <c r="CH41" s="1">
        <v>12407008</v>
      </c>
      <c r="CI41" s="46">
        <f t="shared" si="9"/>
        <v>99.860659395077363</v>
      </c>
      <c r="CJ41" s="46">
        <f t="shared" si="17"/>
        <v>12.407007999999999</v>
      </c>
      <c r="CL41" s="140">
        <v>44921</v>
      </c>
      <c r="CM41" t="s">
        <v>240</v>
      </c>
      <c r="CN41">
        <v>3082</v>
      </c>
    </row>
    <row r="42" spans="1:92" hidden="1" x14ac:dyDescent="0.25">
      <c r="A42" s="215">
        <v>44901</v>
      </c>
      <c r="B42" s="48">
        <v>5749982</v>
      </c>
      <c r="C42" s="48">
        <v>2478</v>
      </c>
      <c r="D42" s="48">
        <v>5752460</v>
      </c>
      <c r="E42" s="71">
        <f>B42/D42*100</f>
        <v>99.956922777385671</v>
      </c>
      <c r="F42" s="71">
        <f t="shared" si="15"/>
        <v>5.7524600000000001</v>
      </c>
      <c r="H42" s="215">
        <v>44901</v>
      </c>
      <c r="I42" s="1">
        <v>3147584</v>
      </c>
      <c r="J42" s="1">
        <v>5238</v>
      </c>
      <c r="K42" s="1">
        <v>3152822</v>
      </c>
      <c r="L42" s="46">
        <f>I42/K42*100</f>
        <v>99.833863123259107</v>
      </c>
      <c r="M42" s="71">
        <f t="shared" si="1"/>
        <v>3.152822</v>
      </c>
      <c r="O42" s="215">
        <v>44901</v>
      </c>
      <c r="P42" s="1">
        <v>679406</v>
      </c>
      <c r="Q42" s="1">
        <v>596</v>
      </c>
      <c r="R42" s="1">
        <v>680002</v>
      </c>
      <c r="S42" s="46">
        <f>P42/R42*100</f>
        <v>99.912353198961185</v>
      </c>
      <c r="T42" s="71">
        <f t="shared" si="16"/>
        <v>0.680002</v>
      </c>
      <c r="V42" s="215">
        <v>44901</v>
      </c>
      <c r="W42" s="1">
        <v>922854</v>
      </c>
      <c r="X42" s="1">
        <v>138</v>
      </c>
      <c r="Y42" s="1">
        <v>922992</v>
      </c>
      <c r="Z42" s="46">
        <f>W42/Y42*100</f>
        <v>99.98504862447345</v>
      </c>
      <c r="AA42" s="71">
        <f t="shared" si="3"/>
        <v>0.92299200000000003</v>
      </c>
      <c r="AC42" s="215">
        <v>44901</v>
      </c>
      <c r="AD42" s="1">
        <v>584294</v>
      </c>
      <c r="AE42" s="1">
        <v>574</v>
      </c>
      <c r="AF42" s="1">
        <v>584868</v>
      </c>
      <c r="AG42" s="46">
        <f>AD42/AF42*100</f>
        <v>99.901858197063262</v>
      </c>
      <c r="AH42" s="71">
        <f t="shared" si="4"/>
        <v>0.58486800000000005</v>
      </c>
      <c r="AJ42" s="215">
        <v>44901</v>
      </c>
      <c r="AK42" s="48">
        <v>584294</v>
      </c>
      <c r="AL42" s="48">
        <v>574</v>
      </c>
      <c r="AM42" s="48">
        <v>584868</v>
      </c>
      <c r="AN42" s="71">
        <f>AK42/AM42*100</f>
        <v>99.901858197063262</v>
      </c>
      <c r="AO42" s="246">
        <f t="shared" si="11"/>
        <v>0.58486800000000005</v>
      </c>
      <c r="AQ42" s="215">
        <v>44901</v>
      </c>
      <c r="AR42" s="48">
        <v>584294</v>
      </c>
      <c r="AS42" s="48">
        <v>574</v>
      </c>
      <c r="AT42" s="48">
        <v>584868</v>
      </c>
      <c r="AU42" s="71">
        <f>AR42/AT42*100</f>
        <v>99.901858197063262</v>
      </c>
      <c r="AV42" s="246">
        <f t="shared" si="12"/>
        <v>0.58486800000000005</v>
      </c>
      <c r="AX42" s="215">
        <v>44901</v>
      </c>
      <c r="AY42" s="48">
        <v>584294</v>
      </c>
      <c r="AZ42" s="48">
        <v>574</v>
      </c>
      <c r="BA42" s="48">
        <v>584868</v>
      </c>
      <c r="BB42" s="71">
        <f>AY42/BA42*100</f>
        <v>99.901858197063262</v>
      </c>
      <c r="BC42" s="246">
        <f t="shared" si="13"/>
        <v>0.58486800000000005</v>
      </c>
      <c r="BE42" s="215">
        <v>44901</v>
      </c>
      <c r="BF42" s="1">
        <v>584294</v>
      </c>
      <c r="BG42" s="1">
        <v>574</v>
      </c>
      <c r="BH42" s="1">
        <v>584868</v>
      </c>
      <c r="BI42" s="46">
        <f>BF42/BH42*100</f>
        <v>99.901858197063262</v>
      </c>
      <c r="BJ42" s="71">
        <f t="shared" si="14"/>
        <v>0.58486800000000005</v>
      </c>
      <c r="BL42" s="1"/>
      <c r="BM42" s="1"/>
      <c r="BN42" s="1"/>
      <c r="BO42" s="1"/>
      <c r="BP42" s="1"/>
      <c r="BQ42" s="247"/>
      <c r="BS42" s="48"/>
      <c r="BT42" s="48"/>
      <c r="BU42" s="48"/>
      <c r="BV42" s="48"/>
      <c r="BW42" s="48"/>
      <c r="BZ42" s="1"/>
      <c r="CA42" s="1"/>
      <c r="CB42" s="1"/>
      <c r="CC42" s="1"/>
      <c r="CE42" s="215">
        <v>44901</v>
      </c>
      <c r="CF42" s="1">
        <v>12549076</v>
      </c>
      <c r="CG42" s="1">
        <v>18910</v>
      </c>
      <c r="CH42" s="1">
        <v>12567986</v>
      </c>
      <c r="CI42" s="46">
        <f t="shared" si="9"/>
        <v>99.849538342897574</v>
      </c>
      <c r="CJ42" s="46">
        <f t="shared" si="17"/>
        <v>12.567985999999999</v>
      </c>
      <c r="CL42" s="140">
        <v>44921</v>
      </c>
      <c r="CM42" t="s">
        <v>241</v>
      </c>
      <c r="CN42">
        <v>732</v>
      </c>
    </row>
    <row r="43" spans="1:92" hidden="1" x14ac:dyDescent="0.25">
      <c r="A43" s="215">
        <v>44902</v>
      </c>
      <c r="B43" s="48">
        <v>6028772</v>
      </c>
      <c r="C43" s="48">
        <v>21652</v>
      </c>
      <c r="D43" s="48">
        <v>6050424</v>
      </c>
      <c r="E43" s="71">
        <f>B43/D43*100</f>
        <v>99.642140782199732</v>
      </c>
      <c r="F43" s="71">
        <f t="shared" si="15"/>
        <v>6.0504239999999996</v>
      </c>
      <c r="H43" s="215">
        <v>44902</v>
      </c>
      <c r="I43" s="1">
        <v>2850260</v>
      </c>
      <c r="J43" s="1">
        <v>77634</v>
      </c>
      <c r="K43" s="1">
        <v>2927894</v>
      </c>
      <c r="L43" s="46">
        <f>I43/K43*100</f>
        <v>97.348469582573685</v>
      </c>
      <c r="M43" s="71">
        <f t="shared" si="1"/>
        <v>2.9278940000000002</v>
      </c>
      <c r="O43" s="215">
        <v>44902</v>
      </c>
      <c r="P43" s="1">
        <v>670706</v>
      </c>
      <c r="Q43" s="1">
        <v>1552</v>
      </c>
      <c r="R43" s="1">
        <v>672258</v>
      </c>
      <c r="S43" s="46">
        <f>P43/R43*100</f>
        <v>99.769136254235718</v>
      </c>
      <c r="T43" s="71">
        <f t="shared" si="16"/>
        <v>0.67225800000000002</v>
      </c>
      <c r="V43" s="215">
        <v>44902</v>
      </c>
      <c r="W43" s="1">
        <v>902236</v>
      </c>
      <c r="X43" s="1">
        <v>2330</v>
      </c>
      <c r="Y43" s="1">
        <v>904566</v>
      </c>
      <c r="Z43" s="46">
        <f>W43/Y43*100</f>
        <v>99.742417910909765</v>
      </c>
      <c r="AA43" s="71">
        <f t="shared" si="3"/>
        <v>0.90456599999999998</v>
      </c>
      <c r="AC43" s="215">
        <v>44902</v>
      </c>
      <c r="AD43" s="1">
        <v>580156</v>
      </c>
      <c r="AE43" s="204">
        <v>760</v>
      </c>
      <c r="AF43" s="1">
        <v>580916</v>
      </c>
      <c r="AG43" s="46">
        <f>AD43/AF43*100</f>
        <v>99.869172135041893</v>
      </c>
      <c r="AH43" s="71">
        <f t="shared" si="4"/>
        <v>0.58091599999999999</v>
      </c>
      <c r="AJ43" s="215">
        <v>44902</v>
      </c>
      <c r="AK43" s="48">
        <v>580156</v>
      </c>
      <c r="AL43" s="204">
        <v>760</v>
      </c>
      <c r="AM43" s="48">
        <v>580916</v>
      </c>
      <c r="AN43" s="71">
        <f>AK43/AM43*100</f>
        <v>99.869172135041893</v>
      </c>
      <c r="AO43" s="246">
        <f t="shared" si="11"/>
        <v>0.58091599999999999</v>
      </c>
      <c r="AQ43" s="215">
        <v>44902</v>
      </c>
      <c r="AR43" s="48">
        <v>580156</v>
      </c>
      <c r="AS43" s="204">
        <v>760</v>
      </c>
      <c r="AT43" s="48">
        <v>580916</v>
      </c>
      <c r="AU43" s="71">
        <f>AR43/AT43*100</f>
        <v>99.869172135041893</v>
      </c>
      <c r="AV43" s="246">
        <f t="shared" si="12"/>
        <v>0.58091599999999999</v>
      </c>
      <c r="AX43" s="215">
        <v>44902</v>
      </c>
      <c r="AY43" s="48">
        <v>580156</v>
      </c>
      <c r="AZ43" s="204">
        <v>760</v>
      </c>
      <c r="BA43" s="48">
        <v>580916</v>
      </c>
      <c r="BB43" s="71">
        <f>AY43/BA43*100</f>
        <v>99.869172135041893</v>
      </c>
      <c r="BC43" s="246">
        <f t="shared" si="13"/>
        <v>0.58091599999999999</v>
      </c>
      <c r="BE43" s="215">
        <v>44902</v>
      </c>
      <c r="BF43" s="1">
        <v>580156</v>
      </c>
      <c r="BG43" s="204">
        <v>760</v>
      </c>
      <c r="BH43" s="1">
        <v>580916</v>
      </c>
      <c r="BI43" s="46">
        <f>BF43/BH43*100</f>
        <v>99.869172135041893</v>
      </c>
      <c r="BJ43" s="71">
        <f t="shared" si="14"/>
        <v>0.58091599999999999</v>
      </c>
      <c r="BL43" s="1"/>
      <c r="BM43" s="1"/>
      <c r="BN43" s="1"/>
      <c r="BO43" s="1"/>
      <c r="BP43" s="1"/>
      <c r="BQ43" s="247"/>
      <c r="BS43" s="48"/>
      <c r="BT43" s="48"/>
      <c r="BU43" s="48"/>
      <c r="BV43" s="48"/>
      <c r="BW43" s="48"/>
      <c r="BZ43" s="1"/>
      <c r="CA43" s="1"/>
      <c r="CB43" s="1"/>
      <c r="CC43" s="1"/>
      <c r="CE43" s="215">
        <v>44902</v>
      </c>
      <c r="CF43" s="1">
        <v>12569010</v>
      </c>
      <c r="CG43" s="1">
        <v>135178</v>
      </c>
      <c r="CH43" s="1">
        <v>12704188</v>
      </c>
      <c r="CI43" s="46">
        <f t="shared" si="9"/>
        <v>98.935957181993842</v>
      </c>
      <c r="CJ43" s="46">
        <f t="shared" si="17"/>
        <v>12.704188</v>
      </c>
      <c r="CL43" s="140">
        <v>44922</v>
      </c>
      <c r="CM43" t="s">
        <v>239</v>
      </c>
      <c r="CN43" s="250">
        <v>728338</v>
      </c>
    </row>
    <row r="44" spans="1:92" hidden="1" x14ac:dyDescent="0.25">
      <c r="A44" s="215">
        <v>44903</v>
      </c>
      <c r="B44" s="204">
        <v>5645842</v>
      </c>
      <c r="C44" s="204">
        <v>2562</v>
      </c>
      <c r="D44" s="204">
        <v>5648404</v>
      </c>
      <c r="E44" s="204">
        <v>99.95</v>
      </c>
      <c r="F44" s="71">
        <f t="shared" si="15"/>
        <v>5.6484040000000002</v>
      </c>
      <c r="H44" s="215">
        <v>44903</v>
      </c>
      <c r="I44" s="204">
        <v>3135498</v>
      </c>
      <c r="J44" s="204">
        <v>15450</v>
      </c>
      <c r="K44" s="204">
        <v>3150948</v>
      </c>
      <c r="L44" s="204">
        <v>99.51</v>
      </c>
      <c r="M44" s="71">
        <f t="shared" si="1"/>
        <v>3.1509480000000001</v>
      </c>
      <c r="O44" s="215">
        <v>44903</v>
      </c>
      <c r="P44" s="204">
        <v>698402</v>
      </c>
      <c r="Q44" s="204">
        <v>570</v>
      </c>
      <c r="R44" s="204">
        <v>698972</v>
      </c>
      <c r="S44" s="204">
        <v>99.92</v>
      </c>
      <c r="T44" s="71">
        <f t="shared" si="16"/>
        <v>0.69897200000000004</v>
      </c>
      <c r="V44" s="215">
        <v>44903</v>
      </c>
      <c r="W44" s="204">
        <v>905390</v>
      </c>
      <c r="X44" s="204">
        <v>150</v>
      </c>
      <c r="Y44" s="204">
        <v>905540</v>
      </c>
      <c r="Z44" s="204">
        <v>99.98</v>
      </c>
      <c r="AA44" s="71">
        <f t="shared" si="3"/>
        <v>0.90554000000000001</v>
      </c>
      <c r="AC44" s="215">
        <v>44903</v>
      </c>
      <c r="AD44" s="204">
        <v>630568</v>
      </c>
      <c r="AE44" s="204">
        <v>2340</v>
      </c>
      <c r="AF44" s="204">
        <v>632908</v>
      </c>
      <c r="AG44" s="204">
        <v>99.63</v>
      </c>
      <c r="AH44" s="71">
        <f t="shared" si="4"/>
        <v>0.63290800000000003</v>
      </c>
      <c r="AJ44" s="215">
        <v>44903</v>
      </c>
      <c r="AK44" s="204">
        <v>630568</v>
      </c>
      <c r="AL44" s="204">
        <v>2340</v>
      </c>
      <c r="AM44" s="204">
        <v>632908</v>
      </c>
      <c r="AN44" s="204">
        <v>99.63</v>
      </c>
      <c r="AO44" s="246">
        <f t="shared" si="11"/>
        <v>0.63290800000000003</v>
      </c>
      <c r="AQ44" s="215">
        <v>44903</v>
      </c>
      <c r="AR44" s="204">
        <v>630568</v>
      </c>
      <c r="AS44" s="204">
        <v>2340</v>
      </c>
      <c r="AT44" s="204">
        <v>632908</v>
      </c>
      <c r="AU44" s="204">
        <v>99.63</v>
      </c>
      <c r="AV44" s="246">
        <f t="shared" si="12"/>
        <v>0.63290800000000003</v>
      </c>
      <c r="AX44" s="215">
        <v>44903</v>
      </c>
      <c r="AY44" s="204">
        <v>630568</v>
      </c>
      <c r="AZ44" s="204">
        <v>2340</v>
      </c>
      <c r="BA44" s="204">
        <v>632908</v>
      </c>
      <c r="BB44" s="204">
        <v>99.63</v>
      </c>
      <c r="BC44" s="246">
        <f t="shared" si="13"/>
        <v>0.63290800000000003</v>
      </c>
      <c r="BE44" s="215">
        <v>44903</v>
      </c>
      <c r="BF44" s="204">
        <v>630568</v>
      </c>
      <c r="BG44" s="204">
        <v>2340</v>
      </c>
      <c r="BH44" s="204">
        <v>632908</v>
      </c>
      <c r="BI44" s="204">
        <v>99.63</v>
      </c>
      <c r="BJ44" s="71">
        <f t="shared" si="14"/>
        <v>0.63290800000000003</v>
      </c>
      <c r="BL44" s="1"/>
      <c r="BM44" s="1"/>
      <c r="BN44" s="1"/>
      <c r="BO44" s="1"/>
      <c r="BP44" s="1"/>
      <c r="BQ44" s="247"/>
      <c r="BS44" s="48"/>
      <c r="BT44" s="48"/>
      <c r="BU44" s="48"/>
      <c r="BV44" s="48"/>
      <c r="BW44" s="48"/>
      <c r="BZ44" s="1"/>
      <c r="CA44" s="1"/>
      <c r="CB44" s="1"/>
      <c r="CC44" s="1"/>
      <c r="CE44" s="215">
        <v>44903</v>
      </c>
      <c r="CF44" s="1">
        <v>12550888</v>
      </c>
      <c r="CG44" s="1">
        <v>34838</v>
      </c>
      <c r="CH44" s="1">
        <v>12585726</v>
      </c>
      <c r="CI44" s="46">
        <f t="shared" si="9"/>
        <v>99.723194355256112</v>
      </c>
      <c r="CJ44" s="46">
        <f t="shared" si="17"/>
        <v>12.585725999999999</v>
      </c>
      <c r="CL44" s="140">
        <v>44922</v>
      </c>
      <c r="CM44" t="s">
        <v>240</v>
      </c>
      <c r="CN44">
        <v>7990</v>
      </c>
    </row>
    <row r="45" spans="1:92" hidden="1" x14ac:dyDescent="0.25">
      <c r="A45" s="215">
        <v>44904</v>
      </c>
      <c r="B45" s="204">
        <v>5397568</v>
      </c>
      <c r="C45" s="204">
        <v>39744</v>
      </c>
      <c r="D45" s="204">
        <v>5437312</v>
      </c>
      <c r="E45" s="204">
        <v>99.27</v>
      </c>
      <c r="F45" s="71">
        <f t="shared" si="15"/>
        <v>5.4373120000000004</v>
      </c>
      <c r="H45" s="215">
        <v>44904</v>
      </c>
      <c r="I45" s="204">
        <v>2872850</v>
      </c>
      <c r="J45" s="204">
        <v>2424</v>
      </c>
      <c r="K45" s="204">
        <v>2875274</v>
      </c>
      <c r="L45" s="204">
        <v>99.92</v>
      </c>
      <c r="M45" s="71">
        <f t="shared" si="1"/>
        <v>2.8752740000000001</v>
      </c>
      <c r="O45" s="215">
        <v>44904</v>
      </c>
      <c r="P45" s="204">
        <v>629589</v>
      </c>
      <c r="Q45" s="204">
        <v>452</v>
      </c>
      <c r="R45" s="204">
        <v>630041</v>
      </c>
      <c r="S45" s="204">
        <v>99.93</v>
      </c>
      <c r="T45" s="71">
        <f t="shared" si="16"/>
        <v>0.63004099999999996</v>
      </c>
      <c r="V45" s="215">
        <v>44904</v>
      </c>
      <c r="W45" s="204">
        <v>909940</v>
      </c>
      <c r="X45" s="204">
        <v>2614</v>
      </c>
      <c r="Y45" s="204">
        <v>912554</v>
      </c>
      <c r="Z45" s="204">
        <v>99.71</v>
      </c>
      <c r="AA45" s="71">
        <f t="shared" si="3"/>
        <v>0.91255399999999998</v>
      </c>
      <c r="AC45" s="215">
        <v>44904</v>
      </c>
      <c r="AD45" s="204">
        <v>564364</v>
      </c>
      <c r="AE45" s="204">
        <v>432</v>
      </c>
      <c r="AF45" s="204">
        <v>564796</v>
      </c>
      <c r="AG45" s="204">
        <v>99.92</v>
      </c>
      <c r="AH45" s="71">
        <f t="shared" si="4"/>
        <v>0.56479599999999996</v>
      </c>
      <c r="AJ45" s="215">
        <v>44904</v>
      </c>
      <c r="AK45" s="204">
        <v>564364</v>
      </c>
      <c r="AL45" s="204">
        <v>432</v>
      </c>
      <c r="AM45" s="204">
        <v>564796</v>
      </c>
      <c r="AN45" s="204">
        <v>99.92</v>
      </c>
      <c r="AO45" s="246">
        <f t="shared" si="11"/>
        <v>0.56479599999999996</v>
      </c>
      <c r="AQ45" s="215">
        <v>44904</v>
      </c>
      <c r="AR45" s="204">
        <v>564364</v>
      </c>
      <c r="AS45" s="204">
        <v>432</v>
      </c>
      <c r="AT45" s="204">
        <v>564796</v>
      </c>
      <c r="AU45" s="204">
        <v>99.92</v>
      </c>
      <c r="AV45" s="246">
        <f t="shared" si="12"/>
        <v>0.56479599999999996</v>
      </c>
      <c r="AX45" s="215">
        <v>44904</v>
      </c>
      <c r="AY45" s="204">
        <v>564364</v>
      </c>
      <c r="AZ45" s="204">
        <v>432</v>
      </c>
      <c r="BA45" s="204">
        <v>564796</v>
      </c>
      <c r="BB45" s="204">
        <v>99.92</v>
      </c>
      <c r="BC45" s="246">
        <f t="shared" si="13"/>
        <v>0.56479599999999996</v>
      </c>
      <c r="BE45" s="215">
        <v>44904</v>
      </c>
      <c r="BF45" s="204">
        <v>564364</v>
      </c>
      <c r="BG45" s="204">
        <v>432</v>
      </c>
      <c r="BH45" s="204">
        <v>564796</v>
      </c>
      <c r="BI45" s="204">
        <v>99.92</v>
      </c>
      <c r="BJ45" s="71">
        <f t="shared" si="14"/>
        <v>0.56479599999999996</v>
      </c>
      <c r="BL45" s="1"/>
      <c r="BM45" s="1"/>
      <c r="BN45" s="1"/>
      <c r="BO45" s="1"/>
      <c r="BP45" s="1"/>
      <c r="BQ45" s="247"/>
      <c r="BS45" s="48"/>
      <c r="BT45" s="48"/>
      <c r="BU45" s="48"/>
      <c r="BV45" s="48"/>
      <c r="BW45" s="48"/>
      <c r="BZ45" s="1"/>
      <c r="CA45" s="1"/>
      <c r="CB45" s="1"/>
      <c r="CC45" s="1"/>
      <c r="CE45" s="215">
        <v>44904</v>
      </c>
      <c r="CF45" s="1">
        <v>11905477</v>
      </c>
      <c r="CG45" s="1">
        <v>59565</v>
      </c>
      <c r="CH45" s="1">
        <v>11965042</v>
      </c>
      <c r="CI45" s="46">
        <f t="shared" si="9"/>
        <v>99.502174752081942</v>
      </c>
      <c r="CJ45" s="46">
        <f t="shared" si="17"/>
        <v>11.965042</v>
      </c>
      <c r="CL45" s="140">
        <v>44922</v>
      </c>
      <c r="CM45" t="s">
        <v>238</v>
      </c>
      <c r="CN45">
        <v>6932</v>
      </c>
    </row>
    <row r="46" spans="1:92" hidden="1" x14ac:dyDescent="0.25">
      <c r="A46" s="215">
        <v>44905</v>
      </c>
      <c r="B46" s="204">
        <v>5281026</v>
      </c>
      <c r="C46" s="204">
        <v>2334</v>
      </c>
      <c r="D46" s="204">
        <v>5283360</v>
      </c>
      <c r="E46" s="204">
        <v>99.96</v>
      </c>
      <c r="F46" s="71">
        <f t="shared" si="15"/>
        <v>5.2833600000000001</v>
      </c>
      <c r="H46" s="215">
        <v>44905</v>
      </c>
      <c r="I46" s="204">
        <v>2897818</v>
      </c>
      <c r="J46" s="204">
        <v>2454</v>
      </c>
      <c r="K46" s="204">
        <v>2900272</v>
      </c>
      <c r="L46" s="204">
        <v>99.92</v>
      </c>
      <c r="M46" s="71">
        <f t="shared" si="1"/>
        <v>2.9002720000000002</v>
      </c>
      <c r="O46" s="215">
        <v>44905</v>
      </c>
      <c r="P46" s="204">
        <v>637006</v>
      </c>
      <c r="Q46" s="204">
        <v>500</v>
      </c>
      <c r="R46" s="204">
        <v>637506</v>
      </c>
      <c r="S46" s="204">
        <v>99.92</v>
      </c>
      <c r="T46" s="71">
        <f t="shared" si="16"/>
        <v>0.63750600000000002</v>
      </c>
      <c r="V46" s="215">
        <v>44905</v>
      </c>
      <c r="W46" s="204">
        <v>901638</v>
      </c>
      <c r="X46" s="204">
        <v>162</v>
      </c>
      <c r="Y46" s="204">
        <v>901800</v>
      </c>
      <c r="Z46" s="204">
        <v>99.98</v>
      </c>
      <c r="AA46" s="71">
        <f t="shared" si="3"/>
        <v>0.90180000000000005</v>
      </c>
      <c r="AC46" s="215">
        <v>44905</v>
      </c>
      <c r="AD46" s="204">
        <v>526224</v>
      </c>
      <c r="AE46" s="204">
        <v>208</v>
      </c>
      <c r="AF46" s="204">
        <v>526432</v>
      </c>
      <c r="AG46" s="204">
        <v>99.96</v>
      </c>
      <c r="AH46" s="71">
        <f t="shared" si="4"/>
        <v>0.52643200000000001</v>
      </c>
      <c r="AJ46" s="215">
        <v>44905</v>
      </c>
      <c r="AK46" s="204">
        <v>526224</v>
      </c>
      <c r="AL46" s="204">
        <v>208</v>
      </c>
      <c r="AM46" s="204">
        <v>526432</v>
      </c>
      <c r="AN46" s="204">
        <v>99.96</v>
      </c>
      <c r="AO46" s="246">
        <f t="shared" si="11"/>
        <v>0.52643200000000001</v>
      </c>
      <c r="AQ46" s="215">
        <v>44905</v>
      </c>
      <c r="AR46" s="204">
        <v>526224</v>
      </c>
      <c r="AS46" s="204">
        <v>208</v>
      </c>
      <c r="AT46" s="204">
        <v>526432</v>
      </c>
      <c r="AU46" s="204">
        <v>99.96</v>
      </c>
      <c r="AV46" s="246">
        <f t="shared" si="12"/>
        <v>0.52643200000000001</v>
      </c>
      <c r="AX46" s="215">
        <v>44905</v>
      </c>
      <c r="AY46" s="204">
        <v>526224</v>
      </c>
      <c r="AZ46" s="204">
        <v>208</v>
      </c>
      <c r="BA46" s="204">
        <v>526432</v>
      </c>
      <c r="BB46" s="204">
        <v>99.96</v>
      </c>
      <c r="BC46" s="246">
        <f t="shared" si="13"/>
        <v>0.52643200000000001</v>
      </c>
      <c r="BE46" s="215">
        <v>44905</v>
      </c>
      <c r="BF46" s="204">
        <v>526224</v>
      </c>
      <c r="BG46" s="204">
        <v>208</v>
      </c>
      <c r="BH46" s="204">
        <v>526432</v>
      </c>
      <c r="BI46" s="204">
        <v>99.96</v>
      </c>
      <c r="BJ46" s="71">
        <f t="shared" si="14"/>
        <v>0.52643200000000001</v>
      </c>
      <c r="BL46" s="1"/>
      <c r="BM46" s="1"/>
      <c r="BN46" s="1"/>
      <c r="BO46" s="1"/>
      <c r="BP46" s="1"/>
      <c r="BQ46" s="247"/>
      <c r="BS46" s="48"/>
      <c r="BT46" s="48"/>
      <c r="BU46" s="48"/>
      <c r="BV46" s="48"/>
      <c r="BW46" s="48"/>
      <c r="BZ46" s="1"/>
      <c r="CA46" s="1"/>
      <c r="CB46" s="1"/>
      <c r="CC46" s="1"/>
      <c r="CE46" s="215">
        <v>44905</v>
      </c>
      <c r="CF46" s="1">
        <v>11675820</v>
      </c>
      <c r="CG46" s="1">
        <v>15744</v>
      </c>
      <c r="CH46" s="1">
        <v>11691564</v>
      </c>
      <c r="CI46" s="46">
        <f t="shared" si="9"/>
        <v>99.865338803260201</v>
      </c>
      <c r="CJ46" s="46">
        <f t="shared" si="17"/>
        <v>11.691564</v>
      </c>
      <c r="CL46" s="140">
        <v>44922</v>
      </c>
      <c r="CM46" t="s">
        <v>237</v>
      </c>
      <c r="CN46">
        <v>4930</v>
      </c>
    </row>
    <row r="47" spans="1:92" hidden="1" x14ac:dyDescent="0.25">
      <c r="A47" s="215">
        <v>44906</v>
      </c>
      <c r="B47" s="204">
        <v>4521968</v>
      </c>
      <c r="C47" s="204">
        <v>4406</v>
      </c>
      <c r="D47" s="204">
        <v>4526374</v>
      </c>
      <c r="E47" s="204">
        <v>99.9</v>
      </c>
      <c r="F47" s="71">
        <f t="shared" si="15"/>
        <v>4.5263739999999997</v>
      </c>
      <c r="H47" s="215">
        <v>44906</v>
      </c>
      <c r="I47" s="204">
        <v>2732132</v>
      </c>
      <c r="J47" s="204">
        <v>2366</v>
      </c>
      <c r="K47" s="204">
        <v>2734498</v>
      </c>
      <c r="L47" s="204">
        <v>99.91</v>
      </c>
      <c r="M47" s="71">
        <f t="shared" si="1"/>
        <v>2.7344979999999999</v>
      </c>
      <c r="O47" s="215">
        <v>44906</v>
      </c>
      <c r="P47" s="204">
        <v>631196</v>
      </c>
      <c r="Q47" s="204">
        <v>516</v>
      </c>
      <c r="R47" s="204">
        <v>631712</v>
      </c>
      <c r="S47" s="204">
        <v>99.92</v>
      </c>
      <c r="T47" s="71">
        <f t="shared" si="16"/>
        <v>0.63171200000000005</v>
      </c>
      <c r="V47" s="215">
        <v>44906</v>
      </c>
      <c r="W47" s="204">
        <v>851926</v>
      </c>
      <c r="X47" s="204">
        <v>1042</v>
      </c>
      <c r="Y47" s="204">
        <v>852968</v>
      </c>
      <c r="Z47" s="204">
        <v>99.88</v>
      </c>
      <c r="AA47" s="71">
        <f t="shared" si="3"/>
        <v>0.85296799999999995</v>
      </c>
      <c r="AC47" s="215">
        <v>44906</v>
      </c>
      <c r="AD47" s="204">
        <v>498614</v>
      </c>
      <c r="AE47" s="204">
        <v>174</v>
      </c>
      <c r="AF47" s="204">
        <v>498788</v>
      </c>
      <c r="AG47" s="204">
        <v>99.97</v>
      </c>
      <c r="AH47" s="71">
        <f t="shared" si="4"/>
        <v>0.49878800000000001</v>
      </c>
      <c r="AJ47" s="215">
        <v>44906</v>
      </c>
      <c r="AK47" s="204">
        <v>498614</v>
      </c>
      <c r="AL47" s="204">
        <v>174</v>
      </c>
      <c r="AM47" s="204">
        <v>498788</v>
      </c>
      <c r="AN47" s="204">
        <v>99.97</v>
      </c>
      <c r="AO47" s="246">
        <f t="shared" si="11"/>
        <v>0.49878800000000001</v>
      </c>
      <c r="AQ47" s="215">
        <v>44906</v>
      </c>
      <c r="AR47" s="204">
        <v>498614</v>
      </c>
      <c r="AS47" s="204">
        <v>174</v>
      </c>
      <c r="AT47" s="204">
        <v>498788</v>
      </c>
      <c r="AU47" s="204">
        <v>99.97</v>
      </c>
      <c r="AV47" s="246">
        <f t="shared" si="12"/>
        <v>0.49878800000000001</v>
      </c>
      <c r="AX47" s="215">
        <v>44906</v>
      </c>
      <c r="AY47" s="204">
        <v>498614</v>
      </c>
      <c r="AZ47" s="204">
        <v>174</v>
      </c>
      <c r="BA47" s="204">
        <v>498788</v>
      </c>
      <c r="BB47" s="204">
        <v>99.97</v>
      </c>
      <c r="BC47" s="246">
        <f t="shared" si="13"/>
        <v>0.49878800000000001</v>
      </c>
      <c r="BE47" s="215">
        <v>44906</v>
      </c>
      <c r="BF47" s="204">
        <v>498614</v>
      </c>
      <c r="BG47" s="204">
        <v>174</v>
      </c>
      <c r="BH47" s="204">
        <v>498788</v>
      </c>
      <c r="BI47" s="204">
        <v>99.97</v>
      </c>
      <c r="BJ47" s="71">
        <f t="shared" si="14"/>
        <v>0.49878800000000001</v>
      </c>
      <c r="BL47" s="1"/>
      <c r="BM47" s="1"/>
      <c r="BN47" s="1"/>
      <c r="BO47" s="1"/>
      <c r="BP47" s="1"/>
      <c r="BQ47" s="247"/>
      <c r="BS47" s="48"/>
      <c r="BT47" s="48"/>
      <c r="BU47" s="48"/>
      <c r="BV47" s="48"/>
      <c r="BW47" s="48"/>
      <c r="BZ47" s="1"/>
      <c r="CA47" s="1"/>
      <c r="CB47" s="1"/>
      <c r="CC47" s="1"/>
      <c r="CE47" s="215">
        <v>44906</v>
      </c>
      <c r="CF47" s="1">
        <v>10623850</v>
      </c>
      <c r="CG47" s="1">
        <v>18640</v>
      </c>
      <c r="CH47" s="1">
        <v>10642490</v>
      </c>
      <c r="CI47" s="46">
        <f t="shared" si="9"/>
        <v>99.82485301841956</v>
      </c>
      <c r="CJ47" s="46">
        <f t="shared" si="17"/>
        <v>10.64249</v>
      </c>
      <c r="CL47" s="140">
        <v>44922</v>
      </c>
      <c r="CM47" t="s">
        <v>243</v>
      </c>
      <c r="CN47">
        <v>2990</v>
      </c>
    </row>
    <row r="48" spans="1:92" hidden="1" x14ac:dyDescent="0.25">
      <c r="A48" s="215">
        <v>44907</v>
      </c>
      <c r="B48" s="204">
        <v>5658782</v>
      </c>
      <c r="C48" s="204">
        <v>18356</v>
      </c>
      <c r="D48" s="204">
        <v>5677138</v>
      </c>
      <c r="E48" s="204">
        <v>99.68</v>
      </c>
      <c r="F48" s="71">
        <f t="shared" si="15"/>
        <v>5.6771380000000002</v>
      </c>
      <c r="H48" s="215">
        <v>44907</v>
      </c>
      <c r="I48" s="204">
        <v>2832458</v>
      </c>
      <c r="J48" s="204">
        <v>5088</v>
      </c>
      <c r="K48" s="204">
        <v>2837546</v>
      </c>
      <c r="L48" s="204">
        <v>99.82</v>
      </c>
      <c r="M48" s="71">
        <f t="shared" si="1"/>
        <v>2.8375460000000001</v>
      </c>
      <c r="O48" s="215">
        <v>44907</v>
      </c>
      <c r="P48" s="204">
        <v>657126</v>
      </c>
      <c r="Q48" s="204">
        <v>522</v>
      </c>
      <c r="R48" s="204">
        <v>657648</v>
      </c>
      <c r="S48" s="204">
        <v>99.92</v>
      </c>
      <c r="T48" s="71">
        <f t="shared" si="16"/>
        <v>0.65764800000000001</v>
      </c>
      <c r="V48" s="215">
        <v>44907</v>
      </c>
      <c r="W48" s="204">
        <v>929498</v>
      </c>
      <c r="X48" s="204">
        <v>354</v>
      </c>
      <c r="Y48" s="204">
        <v>929852</v>
      </c>
      <c r="Z48" s="204">
        <v>99.96</v>
      </c>
      <c r="AA48" s="71">
        <f t="shared" si="3"/>
        <v>0.92985200000000001</v>
      </c>
      <c r="AC48" s="215">
        <v>44907</v>
      </c>
      <c r="AD48" s="204">
        <v>571534</v>
      </c>
      <c r="AE48" s="204">
        <v>436</v>
      </c>
      <c r="AF48" s="204">
        <v>571970</v>
      </c>
      <c r="AG48" s="204">
        <v>99.92</v>
      </c>
      <c r="AH48" s="71">
        <f t="shared" si="4"/>
        <v>0.57196999999999998</v>
      </c>
      <c r="AJ48" s="215">
        <v>44907</v>
      </c>
      <c r="AK48" s="204">
        <v>571534</v>
      </c>
      <c r="AL48" s="204">
        <v>436</v>
      </c>
      <c r="AM48" s="204">
        <v>571970</v>
      </c>
      <c r="AN48" s="204">
        <v>99.92</v>
      </c>
      <c r="AO48" s="246">
        <f t="shared" si="11"/>
        <v>0.57196999999999998</v>
      </c>
      <c r="AQ48" s="215">
        <v>44907</v>
      </c>
      <c r="AR48" s="204">
        <v>571534</v>
      </c>
      <c r="AS48" s="204">
        <v>436</v>
      </c>
      <c r="AT48" s="204">
        <v>571970</v>
      </c>
      <c r="AU48" s="204">
        <v>99.92</v>
      </c>
      <c r="AV48" s="246">
        <f t="shared" si="12"/>
        <v>0.57196999999999998</v>
      </c>
      <c r="AX48" s="215">
        <v>44907</v>
      </c>
      <c r="AY48" s="204">
        <v>571534</v>
      </c>
      <c r="AZ48" s="204">
        <v>436</v>
      </c>
      <c r="BA48" s="204">
        <v>571970</v>
      </c>
      <c r="BB48" s="204">
        <v>99.92</v>
      </c>
      <c r="BC48" s="246">
        <f t="shared" si="13"/>
        <v>0.57196999999999998</v>
      </c>
      <c r="BE48" s="215">
        <v>44907</v>
      </c>
      <c r="BF48" s="204">
        <v>571534</v>
      </c>
      <c r="BG48" s="204">
        <v>436</v>
      </c>
      <c r="BH48" s="204">
        <v>571970</v>
      </c>
      <c r="BI48" s="204">
        <v>99.92</v>
      </c>
      <c r="BJ48" s="71">
        <f t="shared" si="14"/>
        <v>0.57196999999999998</v>
      </c>
      <c r="BL48" s="1"/>
      <c r="BM48" s="1"/>
      <c r="BN48" s="1"/>
      <c r="BO48" s="1"/>
      <c r="BP48" s="1"/>
      <c r="BQ48" s="247"/>
      <c r="BS48" s="48"/>
      <c r="BT48" s="48"/>
      <c r="BU48" s="48"/>
      <c r="BV48" s="48"/>
      <c r="BW48" s="48"/>
      <c r="BZ48" s="1"/>
      <c r="CA48" s="1"/>
      <c r="CB48" s="1"/>
      <c r="CC48" s="1"/>
      <c r="CE48" s="215">
        <v>44907</v>
      </c>
      <c r="CF48" s="1">
        <v>12128630</v>
      </c>
      <c r="CG48" s="1">
        <v>40926</v>
      </c>
      <c r="CH48" s="1">
        <v>12169556</v>
      </c>
      <c r="CI48" s="46">
        <f t="shared" si="9"/>
        <v>99.663701781724825</v>
      </c>
      <c r="CJ48" s="46">
        <f t="shared" si="17"/>
        <v>12.169556</v>
      </c>
      <c r="CL48" s="140">
        <v>44923</v>
      </c>
      <c r="CM48" t="s">
        <v>239</v>
      </c>
      <c r="CN48">
        <v>20228</v>
      </c>
    </row>
    <row r="49" spans="1:92" hidden="1" x14ac:dyDescent="0.25">
      <c r="A49" s="215">
        <v>44908</v>
      </c>
      <c r="B49" s="204">
        <v>5454524</v>
      </c>
      <c r="C49" s="204">
        <v>3568</v>
      </c>
      <c r="D49" s="204">
        <v>5458092</v>
      </c>
      <c r="E49" s="204">
        <v>99.93</v>
      </c>
      <c r="F49" s="71">
        <f t="shared" si="15"/>
        <v>5.4580919999999997</v>
      </c>
      <c r="H49" s="215">
        <v>44908</v>
      </c>
      <c r="I49" s="204">
        <v>2826320</v>
      </c>
      <c r="J49" s="204">
        <v>5104</v>
      </c>
      <c r="K49" s="204">
        <v>2831424</v>
      </c>
      <c r="L49" s="204">
        <v>99.82</v>
      </c>
      <c r="M49" s="71">
        <f t="shared" si="1"/>
        <v>2.8314240000000002</v>
      </c>
      <c r="O49" s="215">
        <v>44908</v>
      </c>
      <c r="P49" s="204">
        <v>642622</v>
      </c>
      <c r="Q49" s="204">
        <v>480</v>
      </c>
      <c r="R49" s="204">
        <v>643102</v>
      </c>
      <c r="S49" s="204">
        <v>99.93</v>
      </c>
      <c r="T49" s="71">
        <f t="shared" si="16"/>
        <v>0.64310199999999995</v>
      </c>
      <c r="V49" s="215">
        <v>44908</v>
      </c>
      <c r="W49" s="204">
        <v>892582</v>
      </c>
      <c r="X49" s="204">
        <v>156</v>
      </c>
      <c r="Y49" s="204">
        <v>892738</v>
      </c>
      <c r="Z49" s="204">
        <v>99.98</v>
      </c>
      <c r="AA49" s="71">
        <f t="shared" si="3"/>
        <v>0.89273800000000003</v>
      </c>
      <c r="AC49" s="215">
        <v>44908</v>
      </c>
      <c r="AD49" s="204">
        <v>548504</v>
      </c>
      <c r="AE49" s="204">
        <v>176</v>
      </c>
      <c r="AF49" s="204">
        <v>548680</v>
      </c>
      <c r="AG49" s="204">
        <v>99.97</v>
      </c>
      <c r="AH49" s="71">
        <f t="shared" si="4"/>
        <v>0.54867999999999995</v>
      </c>
      <c r="AJ49" s="215">
        <v>44908</v>
      </c>
      <c r="AK49" s="204">
        <v>548504</v>
      </c>
      <c r="AL49" s="204">
        <v>176</v>
      </c>
      <c r="AM49" s="204">
        <v>548680</v>
      </c>
      <c r="AN49" s="204">
        <v>99.97</v>
      </c>
      <c r="AO49" s="246">
        <f t="shared" si="11"/>
        <v>0.54867999999999995</v>
      </c>
      <c r="AQ49" s="215">
        <v>44908</v>
      </c>
      <c r="AR49" s="204">
        <v>548504</v>
      </c>
      <c r="AS49" s="204">
        <v>176</v>
      </c>
      <c r="AT49" s="204">
        <v>548680</v>
      </c>
      <c r="AU49" s="204">
        <v>99.97</v>
      </c>
      <c r="AV49" s="246">
        <f t="shared" si="12"/>
        <v>0.54867999999999995</v>
      </c>
      <c r="AX49" s="215">
        <v>44908</v>
      </c>
      <c r="AY49" s="204">
        <v>548504</v>
      </c>
      <c r="AZ49" s="204">
        <v>176</v>
      </c>
      <c r="BA49" s="204">
        <v>548680</v>
      </c>
      <c r="BB49" s="204">
        <v>99.97</v>
      </c>
      <c r="BC49" s="246">
        <f t="shared" si="13"/>
        <v>0.54867999999999995</v>
      </c>
      <c r="BE49" s="215">
        <v>44908</v>
      </c>
      <c r="BF49" s="204">
        <v>548504</v>
      </c>
      <c r="BG49" s="204">
        <v>176</v>
      </c>
      <c r="BH49" s="204">
        <v>548680</v>
      </c>
      <c r="BI49" s="204">
        <v>99.97</v>
      </c>
      <c r="BJ49" s="71">
        <f t="shared" si="14"/>
        <v>0.54867999999999995</v>
      </c>
      <c r="BL49" s="1"/>
      <c r="BM49" s="1"/>
      <c r="BN49" s="1"/>
      <c r="BO49" s="1"/>
      <c r="BP49" s="1"/>
      <c r="BQ49" s="247"/>
      <c r="BS49" s="48"/>
      <c r="BT49" s="48"/>
      <c r="BU49" s="48"/>
      <c r="BV49" s="48"/>
      <c r="BW49" s="48"/>
      <c r="BZ49" s="1"/>
      <c r="CA49" s="1"/>
      <c r="CB49" s="1"/>
      <c r="CC49" s="1"/>
      <c r="CE49" s="215">
        <v>44908</v>
      </c>
      <c r="CF49" s="1">
        <v>11811032</v>
      </c>
      <c r="CG49" s="1">
        <v>18950</v>
      </c>
      <c r="CH49" s="1">
        <v>11829982</v>
      </c>
      <c r="CI49" s="46">
        <f t="shared" si="9"/>
        <v>99.839813788389534</v>
      </c>
      <c r="CJ49" s="46">
        <f t="shared" si="17"/>
        <v>11.829981999999999</v>
      </c>
      <c r="CL49" s="140">
        <v>44923</v>
      </c>
      <c r="CM49" t="s">
        <v>240</v>
      </c>
      <c r="CN49">
        <v>685746</v>
      </c>
    </row>
    <row r="50" spans="1:92" hidden="1" x14ac:dyDescent="0.25">
      <c r="A50" s="215">
        <v>44909</v>
      </c>
      <c r="B50" s="204">
        <v>5458822</v>
      </c>
      <c r="C50" s="204">
        <v>3994</v>
      </c>
      <c r="D50" s="204">
        <v>5462816</v>
      </c>
      <c r="E50" s="204">
        <v>99.93</v>
      </c>
      <c r="F50" s="71">
        <f t="shared" si="15"/>
        <v>5.4628160000000001</v>
      </c>
      <c r="H50" s="215">
        <v>44909</v>
      </c>
      <c r="I50" s="204">
        <v>2623490</v>
      </c>
      <c r="J50" s="204">
        <v>10230</v>
      </c>
      <c r="K50" s="204">
        <v>2633720</v>
      </c>
      <c r="L50" s="204">
        <v>99.61</v>
      </c>
      <c r="M50" s="71">
        <f t="shared" si="1"/>
        <v>2.6337199999999998</v>
      </c>
      <c r="O50" s="215">
        <v>44909</v>
      </c>
      <c r="P50" s="204">
        <v>673216</v>
      </c>
      <c r="Q50" s="204">
        <v>656</v>
      </c>
      <c r="R50" s="204">
        <v>673872</v>
      </c>
      <c r="S50" s="204">
        <v>99.9</v>
      </c>
      <c r="T50" s="71">
        <f t="shared" si="16"/>
        <v>0.67387200000000003</v>
      </c>
      <c r="V50" s="215">
        <v>44909</v>
      </c>
      <c r="W50" s="204">
        <v>2623490</v>
      </c>
      <c r="X50" s="204">
        <v>10230</v>
      </c>
      <c r="Y50" s="204">
        <v>2633720</v>
      </c>
      <c r="Z50" s="204">
        <v>99.61</v>
      </c>
      <c r="AA50" s="71">
        <f t="shared" si="3"/>
        <v>2.6337199999999998</v>
      </c>
      <c r="AC50" s="215">
        <v>44909</v>
      </c>
      <c r="AD50" s="204">
        <v>516762</v>
      </c>
      <c r="AE50" s="204">
        <v>148</v>
      </c>
      <c r="AF50" s="204">
        <v>516910</v>
      </c>
      <c r="AG50" s="204">
        <v>99.97</v>
      </c>
      <c r="AH50" s="71">
        <f t="shared" si="4"/>
        <v>0.51690999999999998</v>
      </c>
      <c r="AJ50" s="215">
        <v>44909</v>
      </c>
      <c r="AK50" s="204">
        <v>516762</v>
      </c>
      <c r="AL50" s="204">
        <v>148</v>
      </c>
      <c r="AM50" s="204">
        <v>516910</v>
      </c>
      <c r="AN50" s="204">
        <v>99.97</v>
      </c>
      <c r="AO50" s="246">
        <f t="shared" si="11"/>
        <v>0.51690999999999998</v>
      </c>
      <c r="AQ50" s="215">
        <v>44909</v>
      </c>
      <c r="AR50" s="204">
        <v>516762</v>
      </c>
      <c r="AS50" s="204">
        <v>148</v>
      </c>
      <c r="AT50" s="204">
        <v>516910</v>
      </c>
      <c r="AU50" s="204">
        <v>99.97</v>
      </c>
      <c r="AV50" s="246">
        <f t="shared" si="12"/>
        <v>0.51690999999999998</v>
      </c>
      <c r="AX50" s="215">
        <v>44909</v>
      </c>
      <c r="AY50" s="204">
        <v>516762</v>
      </c>
      <c r="AZ50" s="204">
        <v>148</v>
      </c>
      <c r="BA50" s="204">
        <v>516910</v>
      </c>
      <c r="BB50" s="204">
        <v>99.97</v>
      </c>
      <c r="BC50" s="246">
        <f t="shared" si="13"/>
        <v>0.51690999999999998</v>
      </c>
      <c r="BE50" s="215">
        <v>44909</v>
      </c>
      <c r="BF50" s="204">
        <v>516762</v>
      </c>
      <c r="BG50" s="204">
        <v>148</v>
      </c>
      <c r="BH50" s="204">
        <v>516910</v>
      </c>
      <c r="BI50" s="204">
        <v>99.97</v>
      </c>
      <c r="BJ50" s="71">
        <f t="shared" si="14"/>
        <v>0.51690999999999998</v>
      </c>
      <c r="BL50" s="1"/>
      <c r="BM50" s="1"/>
      <c r="BN50" s="1"/>
      <c r="BO50" s="1"/>
      <c r="BP50" s="1"/>
      <c r="BQ50" s="247"/>
      <c r="BS50" s="48"/>
      <c r="BT50" s="48"/>
      <c r="BU50" s="48"/>
      <c r="BV50" s="48"/>
      <c r="BW50" s="48"/>
      <c r="BZ50" s="1"/>
      <c r="CA50" s="1"/>
      <c r="CB50" s="1"/>
      <c r="CC50" s="1"/>
      <c r="CE50" s="215">
        <v>44909</v>
      </c>
      <c r="CF50" s="1">
        <v>11629266</v>
      </c>
      <c r="CG50" s="1">
        <v>24800</v>
      </c>
      <c r="CH50" s="1">
        <v>11654066</v>
      </c>
      <c r="CI50" s="46">
        <f t="shared" si="9"/>
        <v>99.787198733901107</v>
      </c>
      <c r="CJ50" s="46">
        <f t="shared" si="17"/>
        <v>11.654066</v>
      </c>
      <c r="CL50" s="140">
        <v>44923</v>
      </c>
      <c r="CM50" t="s">
        <v>238</v>
      </c>
      <c r="CN50">
        <v>5280</v>
      </c>
    </row>
    <row r="51" spans="1:92" hidden="1" x14ac:dyDescent="0.25">
      <c r="A51" s="215">
        <v>44910</v>
      </c>
      <c r="B51" s="204">
        <v>5309216</v>
      </c>
      <c r="C51" s="204">
        <v>2260</v>
      </c>
      <c r="D51" s="204">
        <v>5311476</v>
      </c>
      <c r="E51" s="204">
        <v>99.96</v>
      </c>
      <c r="F51" s="71">
        <f t="shared" si="15"/>
        <v>5.3114759999999999</v>
      </c>
      <c r="H51" s="215">
        <v>44910</v>
      </c>
      <c r="I51" s="204">
        <v>2698840</v>
      </c>
      <c r="J51" s="204">
        <v>13260</v>
      </c>
      <c r="K51" s="204">
        <v>2712100</v>
      </c>
      <c r="L51" s="204">
        <v>99.51</v>
      </c>
      <c r="M51" s="71">
        <f t="shared" si="1"/>
        <v>2.7121</v>
      </c>
      <c r="O51" s="215">
        <v>44910</v>
      </c>
      <c r="P51" s="204">
        <v>699216</v>
      </c>
      <c r="Q51" s="204">
        <v>572</v>
      </c>
      <c r="R51" s="204">
        <v>699788</v>
      </c>
      <c r="S51" s="204">
        <v>99.92</v>
      </c>
      <c r="T51" s="71">
        <f t="shared" si="16"/>
        <v>0.69978799999999997</v>
      </c>
      <c r="V51" s="215">
        <v>44910</v>
      </c>
      <c r="W51" s="204">
        <v>947352</v>
      </c>
      <c r="X51" s="204">
        <v>140</v>
      </c>
      <c r="Y51" s="204">
        <v>947492</v>
      </c>
      <c r="Z51" s="204">
        <v>99.99</v>
      </c>
      <c r="AA51" s="71">
        <f t="shared" si="3"/>
        <v>0.947492</v>
      </c>
      <c r="AC51" s="215">
        <v>44910</v>
      </c>
      <c r="AD51" s="204">
        <v>534654</v>
      </c>
      <c r="AE51" s="204">
        <v>350</v>
      </c>
      <c r="AF51" s="204">
        <v>535004</v>
      </c>
      <c r="AG51" s="204">
        <v>99.93</v>
      </c>
      <c r="AH51" s="71">
        <f t="shared" si="4"/>
        <v>0.53500400000000004</v>
      </c>
      <c r="AJ51" s="215">
        <v>44910</v>
      </c>
      <c r="AK51" s="204">
        <v>534654</v>
      </c>
      <c r="AL51" s="204">
        <v>350</v>
      </c>
      <c r="AM51" s="204">
        <v>535004</v>
      </c>
      <c r="AN51" s="204">
        <v>99.93</v>
      </c>
      <c r="AO51" s="246">
        <f t="shared" si="11"/>
        <v>0.53500400000000004</v>
      </c>
      <c r="AQ51" s="215">
        <v>44910</v>
      </c>
      <c r="AR51" s="204">
        <v>534654</v>
      </c>
      <c r="AS51" s="204">
        <v>350</v>
      </c>
      <c r="AT51" s="204">
        <v>535004</v>
      </c>
      <c r="AU51" s="204">
        <v>99.93</v>
      </c>
      <c r="AV51" s="246">
        <f t="shared" si="12"/>
        <v>0.53500400000000004</v>
      </c>
      <c r="AX51" s="215">
        <v>44910</v>
      </c>
      <c r="AY51" s="204">
        <v>534654</v>
      </c>
      <c r="AZ51" s="204">
        <v>350</v>
      </c>
      <c r="BA51" s="204">
        <v>535004</v>
      </c>
      <c r="BB51" s="204">
        <v>99.93</v>
      </c>
      <c r="BC51" s="246">
        <f t="shared" si="13"/>
        <v>0.53500400000000004</v>
      </c>
      <c r="BE51" s="215">
        <v>44910</v>
      </c>
      <c r="BF51" s="204">
        <v>534654</v>
      </c>
      <c r="BG51" s="204">
        <v>350</v>
      </c>
      <c r="BH51" s="204">
        <v>535004</v>
      </c>
      <c r="BI51" s="204">
        <v>99.93</v>
      </c>
      <c r="BJ51" s="71">
        <f t="shared" si="14"/>
        <v>0.53500400000000004</v>
      </c>
      <c r="BL51" s="1"/>
      <c r="BM51" s="1"/>
      <c r="BN51" s="1"/>
      <c r="BO51" s="1"/>
      <c r="BP51" s="1"/>
      <c r="BQ51" s="247"/>
      <c r="BS51" s="48"/>
      <c r="BT51" s="48"/>
      <c r="BU51" s="48"/>
      <c r="BV51" s="48"/>
      <c r="BW51" s="48"/>
      <c r="BZ51" s="1"/>
      <c r="CA51" s="1"/>
      <c r="CB51" s="1"/>
      <c r="CC51" s="1"/>
      <c r="CE51" s="215">
        <v>44910</v>
      </c>
      <c r="CF51" s="48">
        <v>11670188</v>
      </c>
      <c r="CG51" s="48">
        <v>23984</v>
      </c>
      <c r="CH51" s="48">
        <v>11694172</v>
      </c>
      <c r="CI51" s="71">
        <f t="shared" si="9"/>
        <v>99.794906385847582</v>
      </c>
      <c r="CJ51" s="71">
        <f t="shared" si="17"/>
        <v>11.694172</v>
      </c>
      <c r="CL51" s="140">
        <v>44923</v>
      </c>
      <c r="CM51" t="s">
        <v>237</v>
      </c>
      <c r="CN51">
        <v>5538</v>
      </c>
    </row>
    <row r="52" spans="1:92" hidden="1" x14ac:dyDescent="0.25">
      <c r="A52" s="215">
        <v>44911</v>
      </c>
      <c r="B52" s="204">
        <v>5658426</v>
      </c>
      <c r="C52" s="204">
        <v>2346</v>
      </c>
      <c r="D52" s="204">
        <v>5660772</v>
      </c>
      <c r="E52" s="204">
        <v>99.96</v>
      </c>
      <c r="F52" s="71">
        <f t="shared" si="15"/>
        <v>5.6607719999999997</v>
      </c>
      <c r="H52" s="215">
        <v>44911</v>
      </c>
      <c r="I52" s="204">
        <v>2861930</v>
      </c>
      <c r="J52" s="204">
        <v>5220</v>
      </c>
      <c r="K52" s="204">
        <v>2867150</v>
      </c>
      <c r="L52" s="204">
        <v>99.82</v>
      </c>
      <c r="M52" s="71">
        <f t="shared" si="1"/>
        <v>2.8671500000000001</v>
      </c>
      <c r="O52" s="215">
        <v>44911</v>
      </c>
      <c r="P52" s="204">
        <v>704344</v>
      </c>
      <c r="Q52" s="204">
        <v>618</v>
      </c>
      <c r="R52" s="204">
        <v>704962</v>
      </c>
      <c r="S52" s="204">
        <v>99.91</v>
      </c>
      <c r="T52" s="71">
        <f t="shared" si="16"/>
        <v>0.70496199999999998</v>
      </c>
      <c r="V52" s="215">
        <v>44911</v>
      </c>
      <c r="W52" s="204">
        <v>981354</v>
      </c>
      <c r="X52" s="204">
        <v>170</v>
      </c>
      <c r="Y52" s="204">
        <v>981524</v>
      </c>
      <c r="Z52" s="204">
        <v>99.98</v>
      </c>
      <c r="AA52" s="71">
        <f t="shared" si="3"/>
        <v>0.98152399999999995</v>
      </c>
      <c r="AC52" s="215">
        <v>44911</v>
      </c>
      <c r="AD52" s="204">
        <v>520638</v>
      </c>
      <c r="AE52" s="204">
        <v>662</v>
      </c>
      <c r="AF52" s="204">
        <v>521300</v>
      </c>
      <c r="AG52" s="204">
        <v>99.87</v>
      </c>
      <c r="AH52" s="71">
        <f t="shared" si="4"/>
        <v>0.52129999999999999</v>
      </c>
      <c r="AJ52" s="215">
        <v>44911</v>
      </c>
      <c r="AK52" s="204">
        <v>520638</v>
      </c>
      <c r="AL52" s="204">
        <v>662</v>
      </c>
      <c r="AM52" s="204">
        <v>521300</v>
      </c>
      <c r="AN52" s="204">
        <v>99.87</v>
      </c>
      <c r="AO52" s="246">
        <f t="shared" si="11"/>
        <v>0.52129999999999999</v>
      </c>
      <c r="AQ52" s="215">
        <v>44911</v>
      </c>
      <c r="AR52" s="204">
        <v>520638</v>
      </c>
      <c r="AS52" s="204">
        <v>662</v>
      </c>
      <c r="AT52" s="204">
        <v>521300</v>
      </c>
      <c r="AU52" s="204">
        <v>99.87</v>
      </c>
      <c r="AV52" s="246">
        <f t="shared" si="12"/>
        <v>0.52129999999999999</v>
      </c>
      <c r="AX52" s="215">
        <v>44911</v>
      </c>
      <c r="AY52" s="204">
        <v>520638</v>
      </c>
      <c r="AZ52" s="204">
        <v>662</v>
      </c>
      <c r="BA52" s="204">
        <v>521300</v>
      </c>
      <c r="BB52" s="204">
        <v>99.87</v>
      </c>
      <c r="BC52" s="246">
        <f t="shared" si="13"/>
        <v>0.52129999999999999</v>
      </c>
      <c r="BE52" s="215">
        <v>44911</v>
      </c>
      <c r="BF52" s="204">
        <v>520638</v>
      </c>
      <c r="BG52" s="204">
        <v>662</v>
      </c>
      <c r="BH52" s="204">
        <v>521300</v>
      </c>
      <c r="BI52" s="204">
        <v>99.87</v>
      </c>
      <c r="BJ52" s="71">
        <f t="shared" si="14"/>
        <v>0.52129999999999999</v>
      </c>
      <c r="BL52" s="1"/>
      <c r="BM52" s="1"/>
      <c r="BN52" s="1"/>
      <c r="BO52" s="1"/>
      <c r="BP52" s="1"/>
      <c r="BQ52" s="247"/>
      <c r="BS52" s="48"/>
      <c r="BT52" s="48"/>
      <c r="BU52" s="48"/>
      <c r="BV52" s="48"/>
      <c r="BW52" s="48"/>
      <c r="BZ52" s="1"/>
      <c r="CA52" s="1"/>
      <c r="CB52" s="1"/>
      <c r="CC52" s="1"/>
      <c r="CE52" s="215">
        <v>44911</v>
      </c>
      <c r="CF52" s="48">
        <v>12304504</v>
      </c>
      <c r="CG52" s="48">
        <v>18942</v>
      </c>
      <c r="CH52" s="48">
        <v>12323446</v>
      </c>
      <c r="CI52" s="71">
        <f t="shared" si="9"/>
        <v>99.846292993047555</v>
      </c>
      <c r="CJ52" s="71">
        <f t="shared" si="17"/>
        <v>12.323446000000001</v>
      </c>
      <c r="CL52" s="140">
        <v>44923</v>
      </c>
      <c r="CM52" t="s">
        <v>241</v>
      </c>
      <c r="CN52">
        <v>774</v>
      </c>
    </row>
    <row r="53" spans="1:92" hidden="1" x14ac:dyDescent="0.25">
      <c r="A53" s="215">
        <v>44912</v>
      </c>
      <c r="B53" s="204">
        <v>5632064</v>
      </c>
      <c r="C53" s="204">
        <v>26052</v>
      </c>
      <c r="D53" s="204">
        <v>5658116</v>
      </c>
      <c r="E53" s="204">
        <v>99.54</v>
      </c>
      <c r="F53" s="71">
        <f t="shared" si="15"/>
        <v>5.6581159999999997</v>
      </c>
      <c r="H53" s="215">
        <v>44912</v>
      </c>
      <c r="I53" s="204">
        <v>2834574</v>
      </c>
      <c r="J53" s="204">
        <v>5234</v>
      </c>
      <c r="K53" s="204">
        <v>2839808</v>
      </c>
      <c r="L53" s="204">
        <v>99.82</v>
      </c>
      <c r="M53" s="71">
        <f t="shared" si="1"/>
        <v>2.8398080000000001</v>
      </c>
      <c r="O53" s="215">
        <v>44912</v>
      </c>
      <c r="P53" s="204">
        <v>685600</v>
      </c>
      <c r="Q53" s="204">
        <v>580</v>
      </c>
      <c r="R53" s="204">
        <v>686180</v>
      </c>
      <c r="S53" s="204">
        <v>99.92</v>
      </c>
      <c r="T53" s="71">
        <f t="shared" si="16"/>
        <v>0.68618000000000001</v>
      </c>
      <c r="V53" s="215">
        <v>44912</v>
      </c>
      <c r="W53" s="204">
        <v>1033810</v>
      </c>
      <c r="X53" s="204">
        <v>4812</v>
      </c>
      <c r="Y53" s="204">
        <v>1038622</v>
      </c>
      <c r="Z53" s="204">
        <v>99.54</v>
      </c>
      <c r="AA53" s="71">
        <f t="shared" si="3"/>
        <v>1.0386219999999999</v>
      </c>
      <c r="AC53" s="215">
        <v>44912</v>
      </c>
      <c r="AD53" s="204">
        <v>517190</v>
      </c>
      <c r="AE53" s="204">
        <v>162</v>
      </c>
      <c r="AF53" s="204">
        <v>517352</v>
      </c>
      <c r="AG53" s="204">
        <v>99.97</v>
      </c>
      <c r="AH53" s="71">
        <f t="shared" si="4"/>
        <v>0.51735200000000003</v>
      </c>
      <c r="AJ53" s="215">
        <v>44912</v>
      </c>
      <c r="AK53" s="204">
        <v>517190</v>
      </c>
      <c r="AL53" s="204">
        <v>162</v>
      </c>
      <c r="AM53" s="204">
        <v>517352</v>
      </c>
      <c r="AN53" s="204">
        <v>99.97</v>
      </c>
      <c r="AO53" s="246">
        <f t="shared" si="11"/>
        <v>0.51735200000000003</v>
      </c>
      <c r="AQ53" s="215">
        <v>44912</v>
      </c>
      <c r="AR53" s="204">
        <v>517190</v>
      </c>
      <c r="AS53" s="204">
        <v>162</v>
      </c>
      <c r="AT53" s="204">
        <v>517352</v>
      </c>
      <c r="AU53" s="204">
        <v>99.97</v>
      </c>
      <c r="AV53" s="246">
        <f t="shared" si="12"/>
        <v>0.51735200000000003</v>
      </c>
      <c r="AX53" s="215">
        <v>44912</v>
      </c>
      <c r="AY53" s="204">
        <v>517190</v>
      </c>
      <c r="AZ53" s="204">
        <v>162</v>
      </c>
      <c r="BA53" s="204">
        <v>517352</v>
      </c>
      <c r="BB53" s="204">
        <v>99.97</v>
      </c>
      <c r="BC53" s="246">
        <f t="shared" si="13"/>
        <v>0.51735200000000003</v>
      </c>
      <c r="BE53" s="215">
        <v>44912</v>
      </c>
      <c r="BF53" s="204">
        <v>517190</v>
      </c>
      <c r="BG53" s="204">
        <v>162</v>
      </c>
      <c r="BH53" s="204">
        <v>517352</v>
      </c>
      <c r="BI53" s="204">
        <v>99.97</v>
      </c>
      <c r="BJ53" s="71">
        <f t="shared" si="14"/>
        <v>0.51735200000000003</v>
      </c>
      <c r="BL53" s="1"/>
      <c r="BM53" s="1"/>
      <c r="BN53" s="1"/>
      <c r="BO53" s="1"/>
      <c r="BP53" s="1"/>
      <c r="BQ53" s="247"/>
      <c r="BS53" s="48"/>
      <c r="BT53" s="48"/>
      <c r="BU53" s="48"/>
      <c r="BV53" s="48"/>
      <c r="BW53" s="48"/>
      <c r="BZ53" s="1"/>
      <c r="CA53" s="1"/>
      <c r="CB53" s="1"/>
      <c r="CC53" s="1"/>
      <c r="CE53" s="215">
        <v>44912</v>
      </c>
      <c r="CF53" s="48">
        <v>12244222</v>
      </c>
      <c r="CG53" s="48">
        <v>49740</v>
      </c>
      <c r="CH53" s="48">
        <v>12293962</v>
      </c>
      <c r="CI53" s="71">
        <f t="shared" si="9"/>
        <v>99.595411145731546</v>
      </c>
      <c r="CJ53" s="71">
        <f t="shared" si="17"/>
        <v>12.293962000000001</v>
      </c>
      <c r="CL53" s="140">
        <v>44924</v>
      </c>
      <c r="CM53" t="s">
        <v>238</v>
      </c>
      <c r="CN53">
        <v>10378</v>
      </c>
    </row>
    <row r="54" spans="1:92" hidden="1" x14ac:dyDescent="0.25">
      <c r="A54" s="215">
        <v>44913</v>
      </c>
      <c r="B54" s="48">
        <v>4390341</v>
      </c>
      <c r="C54" s="48">
        <v>2070</v>
      </c>
      <c r="D54" s="48">
        <v>4392411</v>
      </c>
      <c r="E54" s="71">
        <f>B54/D54*100</f>
        <v>99.952873262543051</v>
      </c>
      <c r="F54" s="210">
        <v>5.65</v>
      </c>
      <c r="H54" s="215">
        <v>44913</v>
      </c>
      <c r="I54" s="48">
        <v>2738968</v>
      </c>
      <c r="J54" s="48">
        <v>4444</v>
      </c>
      <c r="K54" s="48">
        <v>2743412</v>
      </c>
      <c r="L54" s="71">
        <f>I54/K54*100</f>
        <v>99.838011935502209</v>
      </c>
      <c r="M54" s="210">
        <v>2.83</v>
      </c>
      <c r="O54" s="215">
        <v>44913</v>
      </c>
      <c r="P54" s="48">
        <v>697980</v>
      </c>
      <c r="Q54" s="48">
        <v>602</v>
      </c>
      <c r="R54" s="48">
        <v>698582</v>
      </c>
      <c r="S54" s="71">
        <f>P54/R54*100</f>
        <v>99.913825434952514</v>
      </c>
      <c r="T54" s="210">
        <v>0.68</v>
      </c>
      <c r="V54" s="215">
        <v>44913</v>
      </c>
      <c r="W54" s="48">
        <v>891588</v>
      </c>
      <c r="X54" s="48">
        <v>171</v>
      </c>
      <c r="Y54" s="48">
        <v>891759</v>
      </c>
      <c r="Z54" s="71">
        <f>W54/Y54*100</f>
        <v>99.980824415565195</v>
      </c>
      <c r="AA54" s="210">
        <v>1.04</v>
      </c>
      <c r="AC54" s="215">
        <v>44913</v>
      </c>
      <c r="AD54" s="48">
        <v>462255</v>
      </c>
      <c r="AE54" s="48">
        <v>148</v>
      </c>
      <c r="AF54" s="48">
        <v>462403</v>
      </c>
      <c r="AG54" s="71">
        <f>AD54/AF54*100</f>
        <v>99.967993287240787</v>
      </c>
      <c r="AH54" s="210">
        <v>0.51</v>
      </c>
      <c r="AJ54" s="215">
        <v>44913</v>
      </c>
      <c r="AK54" s="48">
        <v>462255</v>
      </c>
      <c r="AL54" s="48">
        <v>148</v>
      </c>
      <c r="AM54" s="48">
        <v>462403</v>
      </c>
      <c r="AN54" s="71">
        <f>AK54/AM54*100</f>
        <v>99.967993287240787</v>
      </c>
      <c r="AO54" s="248">
        <v>0.51</v>
      </c>
      <c r="AQ54" s="215">
        <v>44913</v>
      </c>
      <c r="AR54" s="48">
        <v>462255</v>
      </c>
      <c r="AS54" s="48">
        <v>148</v>
      </c>
      <c r="AT54" s="48">
        <v>462403</v>
      </c>
      <c r="AU54" s="71">
        <f>AR54/AT54*100</f>
        <v>99.967993287240787</v>
      </c>
      <c r="AV54" s="248">
        <v>0.51</v>
      </c>
      <c r="AX54" s="215">
        <v>44913</v>
      </c>
      <c r="AY54" s="48">
        <v>462255</v>
      </c>
      <c r="AZ54" s="48">
        <v>148</v>
      </c>
      <c r="BA54" s="48">
        <v>462403</v>
      </c>
      <c r="BB54" s="71">
        <f>AY54/BA54*100</f>
        <v>99.967993287240787</v>
      </c>
      <c r="BC54" s="248">
        <v>0.51</v>
      </c>
      <c r="BE54" s="215">
        <v>44913</v>
      </c>
      <c r="BF54" s="48">
        <v>462255</v>
      </c>
      <c r="BG54" s="48">
        <v>148</v>
      </c>
      <c r="BH54" s="48">
        <v>462403</v>
      </c>
      <c r="BI54" s="71">
        <f>BF54/BH54*100</f>
        <v>99.967993287240787</v>
      </c>
      <c r="BJ54" s="210">
        <v>0.51</v>
      </c>
      <c r="BL54" s="1"/>
      <c r="BM54" s="1"/>
      <c r="BN54" s="1"/>
      <c r="BO54" s="1"/>
      <c r="BP54" s="1"/>
      <c r="BQ54" s="247"/>
      <c r="BS54" s="48"/>
      <c r="BT54" s="48"/>
      <c r="BU54" s="48"/>
      <c r="BV54" s="48"/>
      <c r="BW54" s="48"/>
      <c r="BZ54" s="1"/>
      <c r="CA54" s="1"/>
      <c r="CB54" s="1"/>
      <c r="CC54" s="1"/>
      <c r="CE54" s="215">
        <v>44913</v>
      </c>
      <c r="CF54" s="48">
        <v>10580457</v>
      </c>
      <c r="CG54" s="48">
        <v>17074</v>
      </c>
      <c r="CH54" s="48">
        <v>10597531</v>
      </c>
      <c r="CI54" s="71">
        <f t="shared" ref="CI54:CI59" si="18">CF54/CH54*100</f>
        <v>99.838887001132619</v>
      </c>
      <c r="CJ54" s="48">
        <v>12.29</v>
      </c>
      <c r="CL54" s="140">
        <v>44924</v>
      </c>
      <c r="CM54" t="s">
        <v>239</v>
      </c>
      <c r="CN54">
        <v>9314</v>
      </c>
    </row>
    <row r="55" spans="1:92" hidden="1" x14ac:dyDescent="0.25">
      <c r="A55" s="215">
        <v>44914</v>
      </c>
      <c r="B55" s="48">
        <v>5718670</v>
      </c>
      <c r="C55" s="48">
        <v>4558</v>
      </c>
      <c r="D55" s="48">
        <v>5723228</v>
      </c>
      <c r="E55" s="71">
        <f>B55/D55*100</f>
        <v>99.920359629216236</v>
      </c>
      <c r="F55" s="210">
        <v>5.65</v>
      </c>
      <c r="H55" s="215">
        <v>44914</v>
      </c>
      <c r="I55" s="48">
        <v>2882064</v>
      </c>
      <c r="J55" s="48">
        <v>7140</v>
      </c>
      <c r="K55" s="48">
        <v>2889204</v>
      </c>
      <c r="L55" s="71">
        <f>I55/K55*100</f>
        <v>99.752873109686959</v>
      </c>
      <c r="M55" s="210">
        <v>2.83</v>
      </c>
      <c r="O55" s="215">
        <v>44914</v>
      </c>
      <c r="P55" s="48">
        <v>686698</v>
      </c>
      <c r="Q55" s="48">
        <v>676</v>
      </c>
      <c r="R55" s="48">
        <v>687374</v>
      </c>
      <c r="S55" s="71">
        <f>P55/R55*100</f>
        <v>99.901654703261983</v>
      </c>
      <c r="T55" s="210">
        <v>0.68</v>
      </c>
      <c r="V55" s="215">
        <v>44914</v>
      </c>
      <c r="W55" s="48">
        <v>1033886</v>
      </c>
      <c r="X55" s="48">
        <v>172</v>
      </c>
      <c r="Y55" s="48">
        <v>1034058</v>
      </c>
      <c r="Z55" s="71">
        <f>W55/Y55*100</f>
        <v>99.98336650361972</v>
      </c>
      <c r="AA55" s="210">
        <v>1.04</v>
      </c>
      <c r="AC55" s="215">
        <v>44914</v>
      </c>
      <c r="AD55" s="48">
        <v>508222</v>
      </c>
      <c r="AE55" s="48">
        <v>434</v>
      </c>
      <c r="AF55" s="48">
        <v>508656</v>
      </c>
      <c r="AG55" s="71">
        <f>AD55/AF55*100</f>
        <v>99.914677109873864</v>
      </c>
      <c r="AH55" s="210">
        <v>0.51</v>
      </c>
      <c r="AJ55" s="215">
        <v>44914</v>
      </c>
      <c r="AK55" s="48">
        <v>508222</v>
      </c>
      <c r="AL55" s="48">
        <v>434</v>
      </c>
      <c r="AM55" s="48">
        <v>508656</v>
      </c>
      <c r="AN55" s="71">
        <f>AK55/AM55*100</f>
        <v>99.914677109873864</v>
      </c>
      <c r="AO55" s="248">
        <v>0.51</v>
      </c>
      <c r="AQ55" s="215">
        <v>44914</v>
      </c>
      <c r="AR55" s="48">
        <v>508222</v>
      </c>
      <c r="AS55" s="48">
        <v>434</v>
      </c>
      <c r="AT55" s="48">
        <v>508656</v>
      </c>
      <c r="AU55" s="71">
        <f>AR55/AT55*100</f>
        <v>99.914677109873864</v>
      </c>
      <c r="AV55" s="248">
        <v>0.51</v>
      </c>
      <c r="AX55" s="215">
        <v>44914</v>
      </c>
      <c r="AY55" s="48">
        <v>508222</v>
      </c>
      <c r="AZ55" s="48">
        <v>434</v>
      </c>
      <c r="BA55" s="48">
        <v>508656</v>
      </c>
      <c r="BB55" s="71">
        <f>AY55/BA55*100</f>
        <v>99.914677109873864</v>
      </c>
      <c r="BC55" s="248">
        <v>0.51</v>
      </c>
      <c r="BE55" s="215">
        <v>44914</v>
      </c>
      <c r="BF55" s="48">
        <v>508222</v>
      </c>
      <c r="BG55" s="48">
        <v>434</v>
      </c>
      <c r="BH55" s="48">
        <v>508656</v>
      </c>
      <c r="BI55" s="71">
        <f>BF55/BH55*100</f>
        <v>99.914677109873864</v>
      </c>
      <c r="BJ55" s="210">
        <v>0.51</v>
      </c>
      <c r="BL55" s="1"/>
      <c r="BM55" s="1"/>
      <c r="BN55" s="1"/>
      <c r="BO55" s="1"/>
      <c r="BP55" s="1"/>
      <c r="BQ55" s="247"/>
      <c r="BS55" s="48"/>
      <c r="BT55" s="48"/>
      <c r="BU55" s="48"/>
      <c r="BV55" s="48"/>
      <c r="BW55" s="48"/>
      <c r="BZ55" s="1"/>
      <c r="CA55" s="1"/>
      <c r="CB55" s="1"/>
      <c r="CC55" s="1"/>
      <c r="CE55" s="215">
        <v>44914</v>
      </c>
      <c r="CF55" s="48">
        <v>12319252</v>
      </c>
      <c r="CG55" s="48">
        <v>22706</v>
      </c>
      <c r="CH55" s="48">
        <v>12341958</v>
      </c>
      <c r="CI55" s="71">
        <f t="shared" si="18"/>
        <v>99.816025949853341</v>
      </c>
      <c r="CJ55" s="48">
        <v>12.29</v>
      </c>
      <c r="CL55" s="140">
        <v>44924</v>
      </c>
      <c r="CM55" t="s">
        <v>237</v>
      </c>
      <c r="CN55">
        <v>5404</v>
      </c>
    </row>
    <row r="56" spans="1:92" hidden="1" x14ac:dyDescent="0.25">
      <c r="A56" s="215">
        <v>44915</v>
      </c>
      <c r="B56" s="48">
        <v>6850130</v>
      </c>
      <c r="C56" s="48">
        <v>6400</v>
      </c>
      <c r="D56" s="48">
        <v>6856530</v>
      </c>
      <c r="E56" s="71">
        <f>B56/D56*100</f>
        <v>99.906658324254394</v>
      </c>
      <c r="F56" s="71">
        <f>D56/1000000</f>
        <v>6.8565300000000002</v>
      </c>
      <c r="H56" s="215">
        <v>44915</v>
      </c>
      <c r="I56" s="48">
        <v>2884386</v>
      </c>
      <c r="J56" s="48">
        <v>7728</v>
      </c>
      <c r="K56" s="48">
        <v>2892114</v>
      </c>
      <c r="L56" s="71">
        <f>I56/K56*100</f>
        <v>99.732790616137535</v>
      </c>
      <c r="M56" s="71">
        <f>K56/1000000</f>
        <v>2.8921139999999999</v>
      </c>
      <c r="O56" s="215">
        <v>44915</v>
      </c>
      <c r="P56" s="48">
        <v>684510</v>
      </c>
      <c r="Q56" s="48">
        <v>604</v>
      </c>
      <c r="R56" s="48">
        <v>685114</v>
      </c>
      <c r="S56" s="71">
        <f>P56/R56*100</f>
        <v>99.911839489486425</v>
      </c>
      <c r="T56" s="71">
        <f>R56/1000000</f>
        <v>0.685114</v>
      </c>
      <c r="V56" s="215">
        <v>44915</v>
      </c>
      <c r="W56" s="48">
        <v>981864</v>
      </c>
      <c r="X56" s="48">
        <v>198</v>
      </c>
      <c r="Y56" s="48">
        <v>982062</v>
      </c>
      <c r="Z56" s="71">
        <f>W56/Y56*100</f>
        <v>99.979838340145534</v>
      </c>
      <c r="AA56" s="71">
        <f>Y56/1000000</f>
        <v>0.98206199999999999</v>
      </c>
      <c r="AC56" s="215">
        <v>44915</v>
      </c>
      <c r="AD56" s="48">
        <v>561384</v>
      </c>
      <c r="AE56" s="48">
        <v>258</v>
      </c>
      <c r="AF56" s="48">
        <v>561642</v>
      </c>
      <c r="AG56" s="71">
        <f>AD56/AF56*100</f>
        <v>99.954063264499453</v>
      </c>
      <c r="AH56" s="71">
        <f>AF56/1000000</f>
        <v>0.56164199999999997</v>
      </c>
      <c r="AJ56" s="215">
        <v>44915</v>
      </c>
      <c r="AK56" s="48">
        <v>561384</v>
      </c>
      <c r="AL56" s="48">
        <v>258</v>
      </c>
      <c r="AM56" s="48">
        <v>561642</v>
      </c>
      <c r="AN56" s="71">
        <f>AK56/AM56*100</f>
        <v>99.954063264499453</v>
      </c>
      <c r="AO56" s="246">
        <f>AM56/1000000</f>
        <v>0.56164199999999997</v>
      </c>
      <c r="AQ56" s="215">
        <v>44915</v>
      </c>
      <c r="AR56" s="48">
        <v>561384</v>
      </c>
      <c r="AS56" s="48">
        <v>258</v>
      </c>
      <c r="AT56" s="48">
        <v>561642</v>
      </c>
      <c r="AU56" s="71">
        <f>AR56/AT56*100</f>
        <v>99.954063264499453</v>
      </c>
      <c r="AV56" s="246">
        <f>AT56/1000000</f>
        <v>0.56164199999999997</v>
      </c>
      <c r="AX56" s="215">
        <v>44915</v>
      </c>
      <c r="AY56" s="48">
        <v>561384</v>
      </c>
      <c r="AZ56" s="48">
        <v>258</v>
      </c>
      <c r="BA56" s="48">
        <v>561642</v>
      </c>
      <c r="BB56" s="71">
        <f>AY56/BA56*100</f>
        <v>99.954063264499453</v>
      </c>
      <c r="BC56" s="246">
        <f>BA56/1000000</f>
        <v>0.56164199999999997</v>
      </c>
      <c r="BE56" s="215">
        <v>44915</v>
      </c>
      <c r="BF56" s="48">
        <v>561384</v>
      </c>
      <c r="BG56" s="48">
        <v>258</v>
      </c>
      <c r="BH56" s="48">
        <v>561642</v>
      </c>
      <c r="BI56" s="71">
        <f>BF56/BH56*100</f>
        <v>99.954063264499453</v>
      </c>
      <c r="BJ56" s="71">
        <f>BH56/1000000</f>
        <v>0.56164199999999997</v>
      </c>
      <c r="BL56" s="1"/>
      <c r="BM56" s="1"/>
      <c r="BN56" s="1"/>
      <c r="BO56" s="1"/>
      <c r="BP56" s="1"/>
      <c r="BQ56" s="247"/>
      <c r="BS56" s="48"/>
      <c r="BT56" s="48"/>
      <c r="BU56" s="48"/>
      <c r="BV56" s="48"/>
      <c r="BW56" s="48"/>
      <c r="BZ56" s="1"/>
      <c r="CA56" s="1"/>
      <c r="CB56" s="1"/>
      <c r="CC56" s="1"/>
      <c r="CE56" s="215">
        <v>44915</v>
      </c>
      <c r="CF56" s="48">
        <v>12073372</v>
      </c>
      <c r="CG56" s="48">
        <v>21926</v>
      </c>
      <c r="CH56" s="48">
        <v>12095298</v>
      </c>
      <c r="CI56" s="71">
        <f t="shared" si="18"/>
        <v>99.81872294506509</v>
      </c>
      <c r="CJ56" s="71">
        <f>CH56/1000000</f>
        <v>12.095298</v>
      </c>
      <c r="CL56" s="140">
        <v>44924</v>
      </c>
      <c r="CM56" t="s">
        <v>240</v>
      </c>
      <c r="CN56">
        <v>2440</v>
      </c>
    </row>
    <row r="57" spans="1:92" hidden="1" x14ac:dyDescent="0.25">
      <c r="A57" s="215">
        <v>44916</v>
      </c>
      <c r="B57" s="204">
        <v>5605576</v>
      </c>
      <c r="C57" s="204">
        <v>6716</v>
      </c>
      <c r="D57" s="204">
        <v>5612292</v>
      </c>
      <c r="E57" s="204">
        <v>99.88</v>
      </c>
      <c r="F57" s="71">
        <f>D57/1000000</f>
        <v>5.6122920000000001</v>
      </c>
      <c r="H57" s="215">
        <v>44916</v>
      </c>
      <c r="I57" s="204">
        <v>2605982</v>
      </c>
      <c r="J57" s="204">
        <v>8800</v>
      </c>
      <c r="K57" s="204">
        <v>2614782</v>
      </c>
      <c r="L57" s="204">
        <v>99.66</v>
      </c>
      <c r="M57" s="71">
        <f>K57/1000000</f>
        <v>2.6147819999999999</v>
      </c>
      <c r="O57" s="215">
        <v>44916</v>
      </c>
      <c r="P57" s="204">
        <v>635902</v>
      </c>
      <c r="Q57" s="204">
        <v>618</v>
      </c>
      <c r="R57" s="204">
        <v>636520</v>
      </c>
      <c r="S57" s="204">
        <v>99.9</v>
      </c>
      <c r="T57" s="71">
        <f>R57/1000000</f>
        <v>0.63651999999999997</v>
      </c>
      <c r="V57" s="215">
        <v>44916</v>
      </c>
      <c r="W57" s="204">
        <v>955374</v>
      </c>
      <c r="X57" s="204">
        <v>628</v>
      </c>
      <c r="Y57" s="204">
        <v>956002</v>
      </c>
      <c r="Z57" s="204">
        <v>99.93</v>
      </c>
      <c r="AA57" s="71">
        <f>Y57/1000000</f>
        <v>0.95600200000000002</v>
      </c>
      <c r="AC57" s="215">
        <v>44916</v>
      </c>
      <c r="AD57" s="204">
        <v>543152</v>
      </c>
      <c r="AE57" s="204">
        <v>1776</v>
      </c>
      <c r="AF57" s="204">
        <v>544928</v>
      </c>
      <c r="AG57" s="204">
        <v>99.67</v>
      </c>
      <c r="AH57" s="71">
        <f>AF57/1000000</f>
        <v>0.54492799999999997</v>
      </c>
      <c r="AJ57" s="215">
        <v>44916</v>
      </c>
      <c r="AK57" s="204">
        <v>543152</v>
      </c>
      <c r="AL57" s="204">
        <v>1776</v>
      </c>
      <c r="AM57" s="204">
        <v>544928</v>
      </c>
      <c r="AN57" s="204">
        <v>99.67</v>
      </c>
      <c r="AO57" s="246">
        <f>AM57/1000000</f>
        <v>0.54492799999999997</v>
      </c>
      <c r="AQ57" s="215">
        <v>44916</v>
      </c>
      <c r="AR57" s="204">
        <v>543152</v>
      </c>
      <c r="AS57" s="204">
        <v>1776</v>
      </c>
      <c r="AT57" s="204">
        <v>544928</v>
      </c>
      <c r="AU57" s="204">
        <v>99.67</v>
      </c>
      <c r="AV57" s="246">
        <f>AT57/1000000</f>
        <v>0.54492799999999997</v>
      </c>
      <c r="AX57" s="215">
        <v>44916</v>
      </c>
      <c r="AY57" s="204">
        <v>543152</v>
      </c>
      <c r="AZ57" s="204">
        <v>1776</v>
      </c>
      <c r="BA57" s="204">
        <v>544928</v>
      </c>
      <c r="BB57" s="204">
        <v>99.67</v>
      </c>
      <c r="BC57" s="246">
        <f>BA57/1000000</f>
        <v>0.54492799999999997</v>
      </c>
      <c r="BE57" s="215">
        <v>44916</v>
      </c>
      <c r="BF57" s="204">
        <v>543152</v>
      </c>
      <c r="BG57" s="204">
        <v>1776</v>
      </c>
      <c r="BH57" s="204">
        <v>544928</v>
      </c>
      <c r="BI57" s="204">
        <v>99.67</v>
      </c>
      <c r="BJ57" s="71">
        <f>BH57/1000000</f>
        <v>0.54492799999999997</v>
      </c>
      <c r="BL57" s="1"/>
      <c r="BM57" s="1"/>
      <c r="BN57" s="1"/>
      <c r="BO57" s="1"/>
      <c r="BP57" s="1"/>
      <c r="BQ57" s="247"/>
      <c r="BS57" s="48"/>
      <c r="BT57" s="48"/>
      <c r="BU57" s="48"/>
      <c r="BV57" s="48"/>
      <c r="BW57" s="48"/>
      <c r="BZ57" s="1"/>
      <c r="CA57" s="1"/>
      <c r="CB57" s="1"/>
      <c r="CC57" s="1"/>
      <c r="CE57" s="215">
        <v>44916</v>
      </c>
      <c r="CF57" s="48">
        <v>11786166</v>
      </c>
      <c r="CG57" s="48">
        <v>28144</v>
      </c>
      <c r="CH57" s="48">
        <v>11814310</v>
      </c>
      <c r="CI57" s="71">
        <f t="shared" si="18"/>
        <v>99.761780417138198</v>
      </c>
      <c r="CJ57" s="71">
        <f>CH57/1000000</f>
        <v>11.814310000000001</v>
      </c>
      <c r="CL57" s="140">
        <v>44924</v>
      </c>
      <c r="CM57" t="s">
        <v>241</v>
      </c>
      <c r="CN57">
        <v>788</v>
      </c>
    </row>
    <row r="58" spans="1:92" hidden="1" x14ac:dyDescent="0.25">
      <c r="A58" s="215">
        <v>44917</v>
      </c>
      <c r="B58" s="48">
        <v>5653404</v>
      </c>
      <c r="C58" s="48">
        <v>2762</v>
      </c>
      <c r="D58" s="48">
        <v>5656166</v>
      </c>
      <c r="E58" s="48">
        <v>99.95</v>
      </c>
      <c r="F58" s="71">
        <f>D58/1000000</f>
        <v>5.6561659999999998</v>
      </c>
      <c r="H58" s="215">
        <v>44917</v>
      </c>
      <c r="I58" s="48">
        <v>2664664</v>
      </c>
      <c r="J58" s="48">
        <v>12970</v>
      </c>
      <c r="K58" s="48">
        <v>2677634</v>
      </c>
      <c r="L58" s="48">
        <v>99.53</v>
      </c>
      <c r="M58" s="48">
        <v>2.67</v>
      </c>
      <c r="O58" s="215">
        <v>44917</v>
      </c>
      <c r="P58" s="48">
        <v>644184</v>
      </c>
      <c r="Q58" s="48">
        <v>554</v>
      </c>
      <c r="R58" s="48">
        <v>644738</v>
      </c>
      <c r="S58" s="48">
        <v>99.91</v>
      </c>
      <c r="T58" s="48">
        <v>0.64</v>
      </c>
      <c r="V58" s="215">
        <v>44917</v>
      </c>
      <c r="W58" s="48">
        <v>961504</v>
      </c>
      <c r="X58" s="48">
        <v>368</v>
      </c>
      <c r="Y58" s="48">
        <v>961872</v>
      </c>
      <c r="Z58" s="48">
        <v>99.96</v>
      </c>
      <c r="AA58" s="48">
        <v>0.96</v>
      </c>
      <c r="AC58" s="215">
        <v>44917</v>
      </c>
      <c r="AD58" s="48">
        <v>534654</v>
      </c>
      <c r="AE58" s="48">
        <v>642</v>
      </c>
      <c r="AF58" s="48">
        <v>535296</v>
      </c>
      <c r="AG58" s="48">
        <v>99.88</v>
      </c>
      <c r="AH58" s="48">
        <v>0.53</v>
      </c>
      <c r="AJ58" s="215">
        <v>44917</v>
      </c>
      <c r="AK58" s="48">
        <v>534654</v>
      </c>
      <c r="AL58" s="48">
        <v>642</v>
      </c>
      <c r="AM58" s="48">
        <v>535296</v>
      </c>
      <c r="AN58" s="48">
        <v>99.88</v>
      </c>
      <c r="AO58" s="251">
        <v>0.53</v>
      </c>
      <c r="AQ58" s="215">
        <v>44917</v>
      </c>
      <c r="AR58" s="48">
        <v>534654</v>
      </c>
      <c r="AS58" s="48">
        <v>642</v>
      </c>
      <c r="AT58" s="48">
        <v>535296</v>
      </c>
      <c r="AU58" s="48">
        <v>99.88</v>
      </c>
      <c r="AV58" s="251">
        <v>0.53</v>
      </c>
      <c r="AX58" s="215">
        <v>44917</v>
      </c>
      <c r="AY58" s="48">
        <v>534654</v>
      </c>
      <c r="AZ58" s="48">
        <v>642</v>
      </c>
      <c r="BA58" s="48">
        <v>535296</v>
      </c>
      <c r="BB58" s="48">
        <v>99.88</v>
      </c>
      <c r="BC58" s="251">
        <v>0.53</v>
      </c>
      <c r="BE58" s="215">
        <v>44917</v>
      </c>
      <c r="BF58" s="48">
        <v>534654</v>
      </c>
      <c r="BG58" s="48">
        <v>642</v>
      </c>
      <c r="BH58" s="48">
        <v>535296</v>
      </c>
      <c r="BI58" s="48">
        <v>99.88</v>
      </c>
      <c r="BJ58" s="48">
        <v>0.53</v>
      </c>
      <c r="BL58" s="1"/>
      <c r="BM58" s="1"/>
      <c r="BN58" s="1"/>
      <c r="BO58" s="1"/>
      <c r="BP58" s="1"/>
      <c r="BQ58" s="247"/>
      <c r="BS58" s="48"/>
      <c r="BT58" s="48"/>
      <c r="BU58" s="48"/>
      <c r="BV58" s="48"/>
      <c r="BW58" s="48"/>
      <c r="BZ58" s="1"/>
      <c r="CA58" s="1"/>
      <c r="CB58" s="1"/>
      <c r="CC58" s="1"/>
      <c r="CE58" s="215">
        <v>44917</v>
      </c>
      <c r="CF58" s="48">
        <v>11968698</v>
      </c>
      <c r="CG58" s="48">
        <v>27632</v>
      </c>
      <c r="CH58" s="48">
        <v>11996330</v>
      </c>
      <c r="CI58" s="71">
        <f t="shared" si="18"/>
        <v>99.769662888566756</v>
      </c>
      <c r="CJ58" s="71">
        <f>CH58/1000000</f>
        <v>11.99633</v>
      </c>
      <c r="CL58" s="140">
        <v>44925</v>
      </c>
      <c r="CM58" t="s">
        <v>239</v>
      </c>
      <c r="CN58">
        <v>15978</v>
      </c>
    </row>
    <row r="59" spans="1:92" hidden="1" x14ac:dyDescent="0.25">
      <c r="A59" s="215">
        <v>44918</v>
      </c>
      <c r="B59" s="48">
        <v>6189994</v>
      </c>
      <c r="C59" s="48">
        <v>8070</v>
      </c>
      <c r="D59" s="48">
        <v>6198064</v>
      </c>
      <c r="E59" s="48">
        <v>99.87</v>
      </c>
      <c r="F59" s="71">
        <f>D59/1000000</f>
        <v>6.1980639999999996</v>
      </c>
      <c r="H59" s="215">
        <v>44918</v>
      </c>
      <c r="I59" s="48">
        <v>2792472</v>
      </c>
      <c r="J59" s="48">
        <v>7004</v>
      </c>
      <c r="K59" s="48">
        <v>2799476</v>
      </c>
      <c r="L59" s="48">
        <v>99.75</v>
      </c>
      <c r="M59" s="48">
        <v>2.67</v>
      </c>
      <c r="O59" s="215">
        <v>44918</v>
      </c>
      <c r="P59" s="48">
        <v>655078</v>
      </c>
      <c r="Q59" s="48">
        <v>562</v>
      </c>
      <c r="R59" s="48">
        <v>655640</v>
      </c>
      <c r="S59" s="48">
        <v>99.91</v>
      </c>
      <c r="T59" s="48">
        <v>0.64</v>
      </c>
      <c r="V59" s="215">
        <v>44918</v>
      </c>
      <c r="W59" s="48">
        <v>1058286</v>
      </c>
      <c r="X59" s="48">
        <v>1440</v>
      </c>
      <c r="Y59" s="48">
        <v>1059726</v>
      </c>
      <c r="Z59" s="48">
        <v>99.86</v>
      </c>
      <c r="AA59" s="48">
        <v>1.05</v>
      </c>
      <c r="AC59" s="215">
        <v>44918</v>
      </c>
      <c r="AD59" s="48">
        <v>578684</v>
      </c>
      <c r="AE59" s="48">
        <v>2182</v>
      </c>
      <c r="AF59" s="48">
        <v>580866</v>
      </c>
      <c r="AG59" s="48">
        <v>99.62</v>
      </c>
      <c r="AH59" s="48">
        <v>0.57999999999999996</v>
      </c>
      <c r="AJ59" s="215">
        <v>44918</v>
      </c>
      <c r="AK59" s="48">
        <v>578684</v>
      </c>
      <c r="AL59" s="48">
        <v>2182</v>
      </c>
      <c r="AM59" s="48">
        <v>580866</v>
      </c>
      <c r="AN59" s="48">
        <v>99.62</v>
      </c>
      <c r="AO59" s="251">
        <v>0.57999999999999996</v>
      </c>
      <c r="AQ59" s="215">
        <v>44918</v>
      </c>
      <c r="AR59" s="48">
        <v>578684</v>
      </c>
      <c r="AS59" s="48">
        <v>2182</v>
      </c>
      <c r="AT59" s="48">
        <v>580866</v>
      </c>
      <c r="AU59" s="48">
        <v>99.62</v>
      </c>
      <c r="AV59" s="251">
        <v>0.57999999999999996</v>
      </c>
      <c r="AX59" s="215">
        <v>44918</v>
      </c>
      <c r="AY59" s="48">
        <v>578684</v>
      </c>
      <c r="AZ59" s="48">
        <v>2182</v>
      </c>
      <c r="BA59" s="48">
        <v>580866</v>
      </c>
      <c r="BB59" s="48">
        <v>99.62</v>
      </c>
      <c r="BC59" s="251">
        <v>0.57999999999999996</v>
      </c>
      <c r="BE59" s="215">
        <v>44918</v>
      </c>
      <c r="BF59" s="48">
        <v>578684</v>
      </c>
      <c r="BG59" s="48">
        <v>2182</v>
      </c>
      <c r="BH59" s="48">
        <v>580866</v>
      </c>
      <c r="BI59" s="48">
        <v>99.62</v>
      </c>
      <c r="BJ59" s="48">
        <v>0.57999999999999996</v>
      </c>
      <c r="BL59" s="1"/>
      <c r="BM59" s="1"/>
      <c r="BN59" s="1"/>
      <c r="BO59" s="1"/>
      <c r="BP59" s="1"/>
      <c r="BQ59" s="247"/>
      <c r="BS59" s="48"/>
      <c r="BT59" s="48"/>
      <c r="BU59" s="48"/>
      <c r="BV59" s="48"/>
      <c r="BW59" s="48"/>
      <c r="BZ59" s="1"/>
      <c r="CA59" s="1"/>
      <c r="CB59" s="1"/>
      <c r="CC59" s="1"/>
      <c r="CE59" s="215">
        <v>44918</v>
      </c>
      <c r="CF59" s="48">
        <v>12923024</v>
      </c>
      <c r="CG59" s="48">
        <v>31946</v>
      </c>
      <c r="CH59" s="48">
        <v>12954970</v>
      </c>
      <c r="CI59" s="71">
        <f t="shared" si="18"/>
        <v>99.753407379561665</v>
      </c>
      <c r="CJ59" s="71">
        <f>CH59/1000000</f>
        <v>12.954969999999999</v>
      </c>
      <c r="CL59" s="140">
        <v>44925</v>
      </c>
      <c r="CM59" t="s">
        <v>237</v>
      </c>
      <c r="CN59">
        <v>6258</v>
      </c>
    </row>
    <row r="60" spans="1:92" hidden="1" x14ac:dyDescent="0.25">
      <c r="A60" s="215">
        <v>44919</v>
      </c>
      <c r="B60" s="48">
        <v>8881972</v>
      </c>
      <c r="C60" s="48">
        <v>6086</v>
      </c>
      <c r="D60" s="48">
        <v>8888058</v>
      </c>
      <c r="E60" s="48">
        <v>99.93</v>
      </c>
      <c r="F60" s="48">
        <v>8.8800000000000008</v>
      </c>
      <c r="H60" s="215">
        <v>44919</v>
      </c>
      <c r="I60" s="48">
        <v>3677754</v>
      </c>
      <c r="J60" s="48">
        <v>8879</v>
      </c>
      <c r="K60" s="48">
        <v>3686633</v>
      </c>
      <c r="L60" s="48">
        <v>99.76</v>
      </c>
      <c r="M60" s="48">
        <v>3.68</v>
      </c>
      <c r="O60" s="215">
        <v>44919</v>
      </c>
      <c r="P60" s="48">
        <v>925795</v>
      </c>
      <c r="Q60" s="48">
        <v>780</v>
      </c>
      <c r="R60" s="48">
        <v>926575</v>
      </c>
      <c r="S60" s="48">
        <v>99.91</v>
      </c>
      <c r="T60" s="48">
        <v>0.92</v>
      </c>
      <c r="V60" s="215">
        <v>44919</v>
      </c>
      <c r="W60" s="48">
        <v>1417851</v>
      </c>
      <c r="X60" s="48">
        <v>647</v>
      </c>
      <c r="Y60" s="48">
        <v>1418498</v>
      </c>
      <c r="Z60" s="48">
        <v>99.95</v>
      </c>
      <c r="AA60" s="48">
        <v>1.41</v>
      </c>
      <c r="AC60" s="215">
        <v>44919</v>
      </c>
      <c r="AD60" s="48">
        <v>719755</v>
      </c>
      <c r="AE60" s="48">
        <v>250</v>
      </c>
      <c r="AF60" s="48">
        <v>720005</v>
      </c>
      <c r="AG60" s="48">
        <v>99.96</v>
      </c>
      <c r="AH60" s="48">
        <v>0.72</v>
      </c>
      <c r="AJ60" s="215">
        <v>44919</v>
      </c>
      <c r="AK60" s="48">
        <v>719755</v>
      </c>
      <c r="AL60" s="48">
        <v>250</v>
      </c>
      <c r="AM60" s="48">
        <v>720005</v>
      </c>
      <c r="AN60" s="48">
        <v>99.96</v>
      </c>
      <c r="AO60" s="251">
        <v>0.72</v>
      </c>
      <c r="AQ60" s="215">
        <v>44919</v>
      </c>
      <c r="AR60" s="48">
        <v>719755</v>
      </c>
      <c r="AS60" s="48">
        <v>250</v>
      </c>
      <c r="AT60" s="48">
        <v>720005</v>
      </c>
      <c r="AU60" s="48">
        <v>99.96</v>
      </c>
      <c r="AV60" s="251">
        <v>0.72</v>
      </c>
      <c r="AX60" s="215">
        <v>44919</v>
      </c>
      <c r="AY60" s="48">
        <v>719755</v>
      </c>
      <c r="AZ60" s="48">
        <v>250</v>
      </c>
      <c r="BA60" s="48">
        <v>720005</v>
      </c>
      <c r="BB60" s="48">
        <v>99.96</v>
      </c>
      <c r="BC60" s="251">
        <v>0.72</v>
      </c>
      <c r="BE60" s="215">
        <v>44919</v>
      </c>
      <c r="BF60" s="48">
        <v>719755</v>
      </c>
      <c r="BG60" s="48">
        <v>250</v>
      </c>
      <c r="BH60" s="48">
        <v>720005</v>
      </c>
      <c r="BI60" s="48">
        <v>99.96</v>
      </c>
      <c r="BJ60" s="48">
        <v>0.72</v>
      </c>
      <c r="BL60" s="1"/>
      <c r="BM60" s="1"/>
      <c r="BN60" s="1"/>
      <c r="BO60" s="1"/>
      <c r="BP60" s="1"/>
      <c r="BQ60" s="247"/>
      <c r="BS60" s="48"/>
      <c r="BT60" s="48"/>
      <c r="BU60" s="48"/>
      <c r="BV60" s="48"/>
      <c r="BW60" s="48"/>
      <c r="BZ60" s="1"/>
      <c r="CA60" s="1"/>
      <c r="CB60" s="1"/>
      <c r="CC60" s="1"/>
      <c r="CE60" s="215">
        <v>44919</v>
      </c>
      <c r="CF60" s="48">
        <v>17688510</v>
      </c>
      <c r="CG60" s="48">
        <v>29057</v>
      </c>
      <c r="CH60" s="48">
        <v>17717567</v>
      </c>
      <c r="CI60" s="48">
        <v>99.83</v>
      </c>
      <c r="CJ60" s="48">
        <v>17.71</v>
      </c>
      <c r="CL60" s="140">
        <v>44925</v>
      </c>
      <c r="CM60" t="s">
        <v>238</v>
      </c>
      <c r="CN60">
        <v>5064</v>
      </c>
    </row>
    <row r="61" spans="1:92" hidden="1" x14ac:dyDescent="0.25">
      <c r="A61" s="215">
        <v>44920</v>
      </c>
      <c r="B61" s="48">
        <v>5923942</v>
      </c>
      <c r="C61" s="48">
        <v>3322</v>
      </c>
      <c r="D61" s="48">
        <v>5927264</v>
      </c>
      <c r="E61" s="48">
        <v>99.94</v>
      </c>
      <c r="F61" s="48">
        <v>5.92</v>
      </c>
      <c r="H61" s="215">
        <v>44920</v>
      </c>
      <c r="I61" s="48">
        <v>2792491</v>
      </c>
      <c r="J61" s="48">
        <v>7351</v>
      </c>
      <c r="K61" s="48">
        <v>2799842</v>
      </c>
      <c r="L61" s="48">
        <v>99.74</v>
      </c>
      <c r="M61" s="48">
        <v>2.79</v>
      </c>
      <c r="O61" s="215">
        <v>44920</v>
      </c>
      <c r="P61" s="48">
        <v>694169</v>
      </c>
      <c r="Q61" s="48">
        <v>612</v>
      </c>
      <c r="R61" s="48">
        <v>694781</v>
      </c>
      <c r="S61" s="48">
        <v>99.91</v>
      </c>
      <c r="T61" s="48">
        <v>0.6</v>
      </c>
      <c r="V61" s="215">
        <v>44920</v>
      </c>
      <c r="W61" s="48">
        <v>1002491</v>
      </c>
      <c r="X61" s="48">
        <v>183</v>
      </c>
      <c r="Y61" s="48">
        <v>1002674</v>
      </c>
      <c r="Z61" s="48">
        <v>99.98</v>
      </c>
      <c r="AA61" s="48">
        <v>10.02</v>
      </c>
      <c r="AC61" s="215">
        <v>44920</v>
      </c>
      <c r="AD61" s="1">
        <v>582665</v>
      </c>
      <c r="AE61" s="48">
        <v>170</v>
      </c>
      <c r="AF61" s="48">
        <v>582835</v>
      </c>
      <c r="AG61" s="48">
        <v>99.97</v>
      </c>
      <c r="AH61" s="48">
        <v>0.57999999999999996</v>
      </c>
      <c r="AJ61" s="215">
        <v>44920</v>
      </c>
      <c r="AK61" s="48">
        <v>582665</v>
      </c>
      <c r="AL61" s="48">
        <v>170</v>
      </c>
      <c r="AM61" s="48">
        <v>582835</v>
      </c>
      <c r="AN61" s="48">
        <v>99.97</v>
      </c>
      <c r="AO61" s="251">
        <v>0.57999999999999996</v>
      </c>
      <c r="AQ61" s="215">
        <v>44920</v>
      </c>
      <c r="AR61" s="48">
        <v>582665</v>
      </c>
      <c r="AS61" s="48">
        <v>170</v>
      </c>
      <c r="AT61" s="48">
        <v>582835</v>
      </c>
      <c r="AU61" s="48">
        <v>99.97</v>
      </c>
      <c r="AV61" s="251">
        <v>0.57999999999999996</v>
      </c>
      <c r="AX61" s="215">
        <v>44920</v>
      </c>
      <c r="AY61" s="48">
        <v>582665</v>
      </c>
      <c r="AZ61" s="48">
        <v>170</v>
      </c>
      <c r="BA61" s="48">
        <v>582835</v>
      </c>
      <c r="BB61" s="48">
        <v>99.97</v>
      </c>
      <c r="BC61" s="251">
        <v>0.57999999999999996</v>
      </c>
      <c r="BE61" s="215">
        <v>44920</v>
      </c>
      <c r="BF61" s="1">
        <v>582665</v>
      </c>
      <c r="BG61" s="48">
        <v>170</v>
      </c>
      <c r="BH61" s="48">
        <v>582835</v>
      </c>
      <c r="BI61" s="48">
        <v>99.97</v>
      </c>
      <c r="BJ61" s="48">
        <v>0.57999999999999996</v>
      </c>
      <c r="BL61" s="1"/>
      <c r="BM61" s="1"/>
      <c r="BN61" s="1"/>
      <c r="BO61" s="1"/>
      <c r="BP61" s="1"/>
      <c r="BQ61" s="247"/>
      <c r="BS61" s="48"/>
      <c r="BT61" s="48"/>
      <c r="BU61" s="48"/>
      <c r="BV61" s="48"/>
      <c r="BW61" s="48"/>
      <c r="BZ61" s="1"/>
      <c r="CA61" s="1"/>
      <c r="CB61" s="1"/>
      <c r="CC61" s="1"/>
      <c r="CE61" s="215">
        <v>44920</v>
      </c>
      <c r="CF61" s="48">
        <v>11123985</v>
      </c>
      <c r="CG61" s="48">
        <v>18388</v>
      </c>
      <c r="CH61" s="48">
        <v>11142373</v>
      </c>
      <c r="CI61" s="48">
        <v>99.83</v>
      </c>
      <c r="CJ61" s="48">
        <v>11.12</v>
      </c>
      <c r="CL61" s="140">
        <v>44925</v>
      </c>
      <c r="CM61" t="s">
        <v>240</v>
      </c>
      <c r="CN61">
        <v>3698</v>
      </c>
    </row>
    <row r="62" spans="1:92" hidden="1" x14ac:dyDescent="0.25">
      <c r="A62" s="215">
        <v>44921</v>
      </c>
      <c r="B62" s="48">
        <v>6533876</v>
      </c>
      <c r="C62" s="48">
        <v>13288</v>
      </c>
      <c r="D62" s="48">
        <v>6547164</v>
      </c>
      <c r="E62" s="71">
        <f>B62/D62*100</f>
        <v>99.797041894780705</v>
      </c>
      <c r="F62" s="71">
        <f t="shared" ref="F62:F71" si="19">D62/1000000</f>
        <v>6.5471640000000004</v>
      </c>
      <c r="H62" s="215">
        <v>44921</v>
      </c>
      <c r="I62" s="48">
        <v>2675004</v>
      </c>
      <c r="J62" s="48">
        <v>9730</v>
      </c>
      <c r="K62" s="48">
        <v>2684734</v>
      </c>
      <c r="L62" s="71">
        <f>I62/K62*100</f>
        <v>99.63758048283367</v>
      </c>
      <c r="M62" s="71">
        <f>K62/1000000</f>
        <v>2.6847340000000002</v>
      </c>
      <c r="O62" s="215">
        <v>44921</v>
      </c>
      <c r="P62" s="48">
        <v>683630</v>
      </c>
      <c r="Q62" s="48">
        <v>620</v>
      </c>
      <c r="R62" s="48">
        <v>684250</v>
      </c>
      <c r="S62" s="71">
        <f>P62/R62*100</f>
        <v>99.909389842893688</v>
      </c>
      <c r="T62" s="71">
        <f t="shared" ref="T62:T124" si="20">R62/1000000</f>
        <v>0.68425000000000002</v>
      </c>
      <c r="V62" s="215">
        <v>44921</v>
      </c>
      <c r="W62" s="48">
        <v>989296</v>
      </c>
      <c r="X62" s="48">
        <v>1442</v>
      </c>
      <c r="Y62" s="48">
        <v>990738</v>
      </c>
      <c r="Z62" s="71">
        <f>W62/Y62*100</f>
        <v>99.854451933810964</v>
      </c>
      <c r="AA62" s="71">
        <f t="shared" ref="AA62:AA125" si="21">Y62/1000000</f>
        <v>0.99073800000000001</v>
      </c>
      <c r="AC62" s="215">
        <v>44921</v>
      </c>
      <c r="AD62" s="48">
        <v>556452</v>
      </c>
      <c r="AE62" s="48">
        <v>1132</v>
      </c>
      <c r="AF62" s="48">
        <v>557584</v>
      </c>
      <c r="AG62" s="71">
        <f>AD62/AF62*100</f>
        <v>99.796981262016132</v>
      </c>
      <c r="AH62" s="71">
        <f t="shared" ref="AH62:AH124" si="22">AF62/1000000</f>
        <v>0.55758399999999997</v>
      </c>
      <c r="AJ62" s="215">
        <v>44921</v>
      </c>
      <c r="AK62" s="48">
        <v>556452</v>
      </c>
      <c r="AL62" s="48">
        <v>1132</v>
      </c>
      <c r="AM62" s="48">
        <v>557584</v>
      </c>
      <c r="AN62" s="71">
        <f>AK62/AM62*100</f>
        <v>99.796981262016132</v>
      </c>
      <c r="AO62" s="246">
        <f t="shared" ref="AO62:AO125" si="23">AM62/1000000</f>
        <v>0.55758399999999997</v>
      </c>
      <c r="AQ62" s="215">
        <v>44921</v>
      </c>
      <c r="AR62" s="48">
        <v>556452</v>
      </c>
      <c r="AS62" s="48">
        <v>1132</v>
      </c>
      <c r="AT62" s="48">
        <v>557584</v>
      </c>
      <c r="AU62" s="71">
        <f>AR62/AT62*100</f>
        <v>99.796981262016132</v>
      </c>
      <c r="AV62" s="246">
        <f t="shared" ref="AV62:AV125" si="24">AT62/1000000</f>
        <v>0.55758399999999997</v>
      </c>
      <c r="AX62" s="215">
        <v>44921</v>
      </c>
      <c r="AY62" s="48">
        <v>556452</v>
      </c>
      <c r="AZ62" s="48">
        <v>1132</v>
      </c>
      <c r="BA62" s="48">
        <v>557584</v>
      </c>
      <c r="BB62" s="71">
        <f>AY62/BA62*100</f>
        <v>99.796981262016132</v>
      </c>
      <c r="BC62" s="246">
        <f t="shared" ref="BC62:BC125" si="25">BA62/1000000</f>
        <v>0.55758399999999997</v>
      </c>
      <c r="BE62" s="215">
        <v>44921</v>
      </c>
      <c r="BF62" s="48">
        <v>556452</v>
      </c>
      <c r="BG62" s="48">
        <v>1132</v>
      </c>
      <c r="BH62" s="48">
        <v>557584</v>
      </c>
      <c r="BI62" s="71">
        <f>BF62/BH62*100</f>
        <v>99.796981262016132</v>
      </c>
      <c r="BJ62" s="71">
        <f t="shared" ref="BJ62:BJ125" si="26">BH62/1000000</f>
        <v>0.55758399999999997</v>
      </c>
      <c r="BL62" s="1"/>
      <c r="BM62" s="1"/>
      <c r="BN62" s="1"/>
      <c r="BO62" s="1"/>
      <c r="BP62" s="1"/>
      <c r="BQ62" s="247"/>
      <c r="BS62" s="48"/>
      <c r="BT62" s="48"/>
      <c r="BU62" s="48"/>
      <c r="BV62" s="48"/>
      <c r="BW62" s="48"/>
      <c r="BZ62" s="1"/>
      <c r="CA62" s="1"/>
      <c r="CB62" s="1"/>
      <c r="CC62" s="1"/>
      <c r="CE62" s="215">
        <v>44921</v>
      </c>
      <c r="CF62" s="48">
        <v>11556234</v>
      </c>
      <c r="CG62" s="48">
        <v>31962</v>
      </c>
      <c r="CH62" s="48">
        <v>11588196</v>
      </c>
      <c r="CI62" s="71">
        <f t="shared" ref="CI62:CI92" si="27">CF62/CH62*100</f>
        <v>99.724184851550675</v>
      </c>
      <c r="CJ62" s="71">
        <f t="shared" ref="CJ62:CJ125" si="28">CH62/1000000</f>
        <v>11.588196</v>
      </c>
      <c r="CL62" s="140">
        <v>44925</v>
      </c>
      <c r="CM62" t="s">
        <v>241</v>
      </c>
      <c r="CN62">
        <v>732</v>
      </c>
    </row>
    <row r="63" spans="1:92" hidden="1" x14ac:dyDescent="0.25">
      <c r="A63" s="215">
        <v>44922</v>
      </c>
      <c r="B63" s="204">
        <v>5939636</v>
      </c>
      <c r="C63" s="204">
        <v>4242</v>
      </c>
      <c r="D63" s="204">
        <v>5943878</v>
      </c>
      <c r="E63" s="204">
        <v>99.93</v>
      </c>
      <c r="F63" s="71">
        <f t="shared" si="19"/>
        <v>5.9438779999999998</v>
      </c>
      <c r="H63" s="215">
        <v>44922</v>
      </c>
      <c r="I63" s="204">
        <v>3295316</v>
      </c>
      <c r="J63" s="204">
        <v>596992</v>
      </c>
      <c r="K63" s="204">
        <v>3892308</v>
      </c>
      <c r="L63" s="204">
        <v>84.66</v>
      </c>
      <c r="M63" s="71">
        <f>K63/1000000</f>
        <v>3.8923079999999999</v>
      </c>
      <c r="O63" s="215">
        <v>44922</v>
      </c>
      <c r="P63" s="204">
        <v>660234</v>
      </c>
      <c r="Q63" s="204">
        <v>528</v>
      </c>
      <c r="R63" s="204">
        <v>660762</v>
      </c>
      <c r="S63" s="204">
        <v>99.92</v>
      </c>
      <c r="T63" s="71">
        <f t="shared" si="20"/>
        <v>0.66076199999999996</v>
      </c>
      <c r="V63" s="215">
        <v>44922</v>
      </c>
      <c r="W63" s="204">
        <v>1028562</v>
      </c>
      <c r="X63" s="204">
        <v>578</v>
      </c>
      <c r="Y63" s="204">
        <v>1029140</v>
      </c>
      <c r="Z63" s="204">
        <v>99.94</v>
      </c>
      <c r="AA63" s="71">
        <f t="shared" si="21"/>
        <v>1.0291399999999999</v>
      </c>
      <c r="AC63" s="215">
        <v>44922</v>
      </c>
      <c r="AD63" s="204">
        <v>601006</v>
      </c>
      <c r="AE63" s="204">
        <v>544</v>
      </c>
      <c r="AF63" s="204">
        <v>601550</v>
      </c>
      <c r="AG63" s="204">
        <v>99.91</v>
      </c>
      <c r="AH63" s="71">
        <f t="shared" si="22"/>
        <v>0.60155000000000003</v>
      </c>
      <c r="AJ63" s="215">
        <v>44922</v>
      </c>
      <c r="AK63" s="204">
        <v>601006</v>
      </c>
      <c r="AL63" s="204">
        <v>544</v>
      </c>
      <c r="AM63" s="204">
        <v>601550</v>
      </c>
      <c r="AN63" s="204">
        <v>99.91</v>
      </c>
      <c r="AO63" s="246">
        <f t="shared" si="23"/>
        <v>0.60155000000000003</v>
      </c>
      <c r="AQ63" s="215">
        <v>44922</v>
      </c>
      <c r="AR63" s="204">
        <v>601006</v>
      </c>
      <c r="AS63" s="204">
        <v>544</v>
      </c>
      <c r="AT63" s="204">
        <v>601550</v>
      </c>
      <c r="AU63" s="204">
        <v>99.91</v>
      </c>
      <c r="AV63" s="246">
        <f t="shared" si="24"/>
        <v>0.60155000000000003</v>
      </c>
      <c r="AX63" s="215">
        <v>44922</v>
      </c>
      <c r="AY63" s="204">
        <v>601006</v>
      </c>
      <c r="AZ63" s="204">
        <v>544</v>
      </c>
      <c r="BA63" s="204">
        <v>601550</v>
      </c>
      <c r="BB63" s="204">
        <v>99.91</v>
      </c>
      <c r="BC63" s="246">
        <f t="shared" si="25"/>
        <v>0.60155000000000003</v>
      </c>
      <c r="BE63" s="215">
        <v>44922</v>
      </c>
      <c r="BF63" s="204">
        <v>601006</v>
      </c>
      <c r="BG63" s="204">
        <v>544</v>
      </c>
      <c r="BH63" s="204">
        <v>601550</v>
      </c>
      <c r="BI63" s="204">
        <v>99.91</v>
      </c>
      <c r="BJ63" s="71">
        <f t="shared" si="26"/>
        <v>0.60155000000000003</v>
      </c>
      <c r="BL63" s="1"/>
      <c r="BM63" s="1"/>
      <c r="BN63" s="1"/>
      <c r="BO63" s="1"/>
      <c r="BP63" s="1"/>
      <c r="BQ63" s="247"/>
      <c r="BS63" s="48"/>
      <c r="BT63" s="48"/>
      <c r="BU63" s="48"/>
      <c r="BV63" s="48"/>
      <c r="BW63" s="48"/>
      <c r="BZ63" s="1"/>
      <c r="CA63" s="1"/>
      <c r="CB63" s="1"/>
      <c r="CC63" s="1"/>
      <c r="CE63" s="215">
        <v>44922</v>
      </c>
      <c r="CF63" s="1">
        <v>13034872</v>
      </c>
      <c r="CG63" s="1">
        <v>754102</v>
      </c>
      <c r="CH63" s="1">
        <v>13788974</v>
      </c>
      <c r="CI63" s="71">
        <f t="shared" si="27"/>
        <v>94.531123200319328</v>
      </c>
      <c r="CJ63" s="71">
        <f t="shared" si="28"/>
        <v>13.788974</v>
      </c>
      <c r="CL63" s="140">
        <v>44926</v>
      </c>
      <c r="CM63" t="s">
        <v>239</v>
      </c>
      <c r="CN63">
        <v>6846</v>
      </c>
    </row>
    <row r="64" spans="1:92" hidden="1" x14ac:dyDescent="0.25">
      <c r="A64" s="215">
        <v>44923</v>
      </c>
      <c r="B64" s="48">
        <v>6504284</v>
      </c>
      <c r="C64" s="48">
        <v>531030</v>
      </c>
      <c r="D64" s="48">
        <v>7035314</v>
      </c>
      <c r="E64" s="71">
        <f t="shared" ref="E64:E80" si="29">B64/D64*100</f>
        <v>92.451936047204157</v>
      </c>
      <c r="F64" s="71">
        <f t="shared" si="19"/>
        <v>7.0353139999999996</v>
      </c>
      <c r="H64" s="215">
        <v>44923</v>
      </c>
      <c r="I64" s="48">
        <v>2751046</v>
      </c>
      <c r="J64" s="48">
        <v>141272</v>
      </c>
      <c r="K64" s="48">
        <v>2892318</v>
      </c>
      <c r="L64" s="71">
        <f>I64/K64*100</f>
        <v>95.115613151804183</v>
      </c>
      <c r="M64" s="71">
        <f>K64/1000000</f>
        <v>2.8923179999999999</v>
      </c>
      <c r="O64" s="215">
        <v>44923</v>
      </c>
      <c r="P64" s="48">
        <v>655846</v>
      </c>
      <c r="Q64" s="48">
        <v>560</v>
      </c>
      <c r="R64" s="48">
        <v>656406</v>
      </c>
      <c r="S64" s="71">
        <f t="shared" ref="S64:S72" si="30">P64/R64*100</f>
        <v>99.91468694679817</v>
      </c>
      <c r="T64" s="71">
        <f t="shared" si="20"/>
        <v>0.65640600000000004</v>
      </c>
      <c r="V64" s="215">
        <v>44923</v>
      </c>
      <c r="W64" s="48">
        <v>896632</v>
      </c>
      <c r="X64" s="48">
        <v>55158</v>
      </c>
      <c r="Y64" s="48">
        <v>951790</v>
      </c>
      <c r="Z64" s="71">
        <f t="shared" ref="Z64:Z72" si="31">W64/Y64*100</f>
        <v>94.204814087141074</v>
      </c>
      <c r="AA64" s="71">
        <f t="shared" si="21"/>
        <v>0.95179000000000002</v>
      </c>
      <c r="AC64" s="215">
        <v>44923</v>
      </c>
      <c r="AD64" s="48">
        <v>619018</v>
      </c>
      <c r="AE64" s="48">
        <v>532</v>
      </c>
      <c r="AF64" s="48">
        <v>619550</v>
      </c>
      <c r="AG64" s="71">
        <f t="shared" ref="AG64:AG72" si="32">AD64/AF64*100</f>
        <v>99.914131224275678</v>
      </c>
      <c r="AH64" s="71">
        <f t="shared" si="22"/>
        <v>0.61955000000000005</v>
      </c>
      <c r="AJ64" s="215">
        <v>44923</v>
      </c>
      <c r="AK64" s="48">
        <v>619018</v>
      </c>
      <c r="AL64" s="48">
        <v>532</v>
      </c>
      <c r="AM64" s="48">
        <v>619550</v>
      </c>
      <c r="AN64" s="71">
        <f t="shared" ref="AN64:AN72" si="33">AK64/AM64*100</f>
        <v>99.914131224275678</v>
      </c>
      <c r="AO64" s="246">
        <f t="shared" si="23"/>
        <v>0.61955000000000005</v>
      </c>
      <c r="AQ64" s="215">
        <v>44923</v>
      </c>
      <c r="AR64" s="48">
        <v>619018</v>
      </c>
      <c r="AS64" s="48">
        <v>532</v>
      </c>
      <c r="AT64" s="48">
        <v>619550</v>
      </c>
      <c r="AU64" s="71">
        <f t="shared" ref="AU64:AU72" si="34">AR64/AT64*100</f>
        <v>99.914131224275678</v>
      </c>
      <c r="AV64" s="246">
        <f t="shared" si="24"/>
        <v>0.61955000000000005</v>
      </c>
      <c r="AX64" s="215">
        <v>44923</v>
      </c>
      <c r="AY64" s="48">
        <v>619018</v>
      </c>
      <c r="AZ64" s="48">
        <v>532</v>
      </c>
      <c r="BA64" s="48">
        <v>619550</v>
      </c>
      <c r="BB64" s="71">
        <f t="shared" ref="BB64:BB72" si="35">AY64/BA64*100</f>
        <v>99.914131224275678</v>
      </c>
      <c r="BC64" s="246">
        <f t="shared" si="25"/>
        <v>0.61955000000000005</v>
      </c>
      <c r="BE64" s="215">
        <v>44923</v>
      </c>
      <c r="BF64" s="48">
        <v>619018</v>
      </c>
      <c r="BG64" s="48">
        <v>532</v>
      </c>
      <c r="BH64" s="48">
        <v>619550</v>
      </c>
      <c r="BI64" s="71">
        <f t="shared" ref="BI64:BI72" si="36">BF64/BH64*100</f>
        <v>99.914131224275678</v>
      </c>
      <c r="BJ64" s="71">
        <f t="shared" si="26"/>
        <v>0.61955000000000005</v>
      </c>
      <c r="BL64" s="1"/>
      <c r="BM64" s="1"/>
      <c r="BN64" s="1"/>
      <c r="BO64" s="1"/>
      <c r="BP64" s="1"/>
      <c r="BQ64" s="247"/>
      <c r="BS64" s="48"/>
      <c r="BT64" s="48"/>
      <c r="BU64" s="48"/>
      <c r="BV64" s="48"/>
      <c r="BW64" s="48"/>
      <c r="BZ64" s="1"/>
      <c r="CA64" s="1"/>
      <c r="CB64" s="1"/>
      <c r="CC64" s="1"/>
      <c r="CE64" s="215">
        <v>44923</v>
      </c>
      <c r="CF64" s="1">
        <v>11739446</v>
      </c>
      <c r="CG64" s="1">
        <v>718936</v>
      </c>
      <c r="CH64" s="1">
        <v>12458382</v>
      </c>
      <c r="CI64" s="71">
        <f t="shared" si="27"/>
        <v>94.229298796585297</v>
      </c>
      <c r="CJ64" s="71">
        <f t="shared" si="28"/>
        <v>12.458382</v>
      </c>
      <c r="CL64" s="140">
        <v>44926</v>
      </c>
      <c r="CM64" t="s">
        <v>237</v>
      </c>
      <c r="CN64">
        <v>5362</v>
      </c>
    </row>
    <row r="65" spans="1:92" hidden="1" x14ac:dyDescent="0.25">
      <c r="A65" s="215">
        <v>44924</v>
      </c>
      <c r="B65" s="48">
        <v>8192038</v>
      </c>
      <c r="C65" s="48">
        <v>5256</v>
      </c>
      <c r="D65" s="48">
        <v>8197294</v>
      </c>
      <c r="E65" s="71">
        <f t="shared" si="29"/>
        <v>99.93588127984674</v>
      </c>
      <c r="F65" s="71">
        <f t="shared" si="19"/>
        <v>8.1972939999999994</v>
      </c>
      <c r="H65" s="215">
        <v>44924</v>
      </c>
      <c r="I65" s="48">
        <v>2752990</v>
      </c>
      <c r="J65" s="48">
        <v>14760</v>
      </c>
      <c r="K65" s="48">
        <v>2767750</v>
      </c>
      <c r="L65" s="71">
        <f t="shared" ref="L65:L80" si="37">I65/K65*100</f>
        <v>99.466714840574483</v>
      </c>
      <c r="M65" s="71">
        <f t="shared" ref="M65:M71" si="38">K65/1000000</f>
        <v>2.7677499999999999</v>
      </c>
      <c r="O65" s="215">
        <v>44924</v>
      </c>
      <c r="P65" s="48">
        <v>675634</v>
      </c>
      <c r="Q65" s="48">
        <v>522</v>
      </c>
      <c r="R65" s="48">
        <v>676156</v>
      </c>
      <c r="S65" s="71">
        <f t="shared" si="30"/>
        <v>99.922798880731662</v>
      </c>
      <c r="T65" s="71">
        <f t="shared" si="20"/>
        <v>0.67615599999999998</v>
      </c>
      <c r="V65" s="215">
        <v>44924</v>
      </c>
      <c r="W65" s="48">
        <v>983214</v>
      </c>
      <c r="X65" s="48">
        <v>204</v>
      </c>
      <c r="Y65" s="48">
        <v>983418</v>
      </c>
      <c r="Z65" s="71">
        <f t="shared" si="31"/>
        <v>99.979256023379676</v>
      </c>
      <c r="AA65" s="71">
        <f t="shared" si="21"/>
        <v>0.98341800000000001</v>
      </c>
      <c r="AC65" s="215">
        <v>44924</v>
      </c>
      <c r="AD65" s="48">
        <v>616172</v>
      </c>
      <c r="AE65" s="48">
        <v>292</v>
      </c>
      <c r="AF65" s="48">
        <v>616464</v>
      </c>
      <c r="AG65" s="71">
        <f t="shared" si="32"/>
        <v>99.952633081574916</v>
      </c>
      <c r="AH65" s="71">
        <f>AF65/1000000</f>
        <v>0.61646400000000001</v>
      </c>
      <c r="AJ65" s="215">
        <v>44924</v>
      </c>
      <c r="AK65" s="48">
        <v>616172</v>
      </c>
      <c r="AL65" s="48">
        <v>292</v>
      </c>
      <c r="AM65" s="48">
        <v>616464</v>
      </c>
      <c r="AN65" s="71">
        <f t="shared" si="33"/>
        <v>99.952633081574916</v>
      </c>
      <c r="AO65" s="246">
        <f t="shared" si="23"/>
        <v>0.61646400000000001</v>
      </c>
      <c r="AQ65" s="215">
        <v>44924</v>
      </c>
      <c r="AR65" s="48">
        <v>616172</v>
      </c>
      <c r="AS65" s="48">
        <v>292</v>
      </c>
      <c r="AT65" s="48">
        <v>616464</v>
      </c>
      <c r="AU65" s="71">
        <f t="shared" si="34"/>
        <v>99.952633081574916</v>
      </c>
      <c r="AV65" s="246">
        <f t="shared" si="24"/>
        <v>0.61646400000000001</v>
      </c>
      <c r="AX65" s="215">
        <v>44924</v>
      </c>
      <c r="AY65" s="48">
        <v>616172</v>
      </c>
      <c r="AZ65" s="48">
        <v>292</v>
      </c>
      <c r="BA65" s="48">
        <v>616464</v>
      </c>
      <c r="BB65" s="71">
        <f t="shared" si="35"/>
        <v>99.952633081574916</v>
      </c>
      <c r="BC65" s="246">
        <f t="shared" si="25"/>
        <v>0.61646400000000001</v>
      </c>
      <c r="BE65" s="215">
        <v>44924</v>
      </c>
      <c r="BF65" s="48">
        <v>616172</v>
      </c>
      <c r="BG65" s="48">
        <v>292</v>
      </c>
      <c r="BH65" s="48">
        <v>616464</v>
      </c>
      <c r="BI65" s="71">
        <f t="shared" si="36"/>
        <v>99.952633081574916</v>
      </c>
      <c r="BJ65" s="71">
        <f t="shared" si="26"/>
        <v>0.61646400000000001</v>
      </c>
      <c r="BL65" s="1"/>
      <c r="BM65" s="1"/>
      <c r="BN65" s="1"/>
      <c r="BO65" s="1"/>
      <c r="BP65" s="1"/>
      <c r="BQ65" s="247"/>
      <c r="BS65" s="48"/>
      <c r="BT65" s="48"/>
      <c r="BU65" s="48"/>
      <c r="BV65" s="48"/>
      <c r="BW65" s="48"/>
      <c r="BZ65" s="1"/>
      <c r="CA65" s="1"/>
      <c r="CB65" s="1"/>
      <c r="CC65" s="1"/>
      <c r="CE65" s="215">
        <v>44924</v>
      </c>
      <c r="CF65" s="48">
        <v>13501834</v>
      </c>
      <c r="CG65" s="1">
        <v>29230</v>
      </c>
      <c r="CH65" s="1">
        <v>13531064</v>
      </c>
      <c r="CI65" s="71">
        <f t="shared" si="27"/>
        <v>99.783978554827613</v>
      </c>
      <c r="CJ65" s="71">
        <f t="shared" si="28"/>
        <v>13.531064000000001</v>
      </c>
      <c r="CL65" s="140">
        <v>44926</v>
      </c>
      <c r="CM65" t="s">
        <v>238</v>
      </c>
      <c r="CN65">
        <v>3540</v>
      </c>
    </row>
    <row r="66" spans="1:92" hidden="1" x14ac:dyDescent="0.25">
      <c r="A66" s="215">
        <v>44925</v>
      </c>
      <c r="B66" s="48">
        <v>8153812</v>
      </c>
      <c r="C66" s="48">
        <v>6096</v>
      </c>
      <c r="D66" s="48">
        <v>8159908</v>
      </c>
      <c r="E66" s="71">
        <f t="shared" si="29"/>
        <v>99.925293275365362</v>
      </c>
      <c r="F66" s="71">
        <f t="shared" si="19"/>
        <v>8.1599079999999997</v>
      </c>
      <c r="H66" s="215">
        <v>44925</v>
      </c>
      <c r="I66" s="48">
        <v>2703674</v>
      </c>
      <c r="J66" s="48">
        <v>6882</v>
      </c>
      <c r="K66" s="48">
        <v>2710556</v>
      </c>
      <c r="L66" s="71">
        <f t="shared" si="37"/>
        <v>99.74610375140746</v>
      </c>
      <c r="M66" s="71">
        <f t="shared" si="38"/>
        <v>2.710556</v>
      </c>
      <c r="O66" s="215">
        <v>44925</v>
      </c>
      <c r="P66" s="48">
        <v>632876</v>
      </c>
      <c r="Q66" s="48">
        <v>578</v>
      </c>
      <c r="R66" s="48">
        <v>633454</v>
      </c>
      <c r="S66" s="71">
        <f t="shared" si="30"/>
        <v>99.908754226826261</v>
      </c>
      <c r="T66" s="71">
        <f>R66/1000000</f>
        <v>0.63345399999999996</v>
      </c>
      <c r="V66" s="215">
        <v>44925</v>
      </c>
      <c r="W66" s="48">
        <v>1037398</v>
      </c>
      <c r="X66" s="48">
        <v>152</v>
      </c>
      <c r="Y66" s="48">
        <v>1037550</v>
      </c>
      <c r="Z66" s="71">
        <f t="shared" si="31"/>
        <v>99.985350103609463</v>
      </c>
      <c r="AA66" s="71">
        <f t="shared" si="21"/>
        <v>1.03755</v>
      </c>
      <c r="AC66" s="215">
        <v>44925</v>
      </c>
      <c r="AD66" s="48">
        <v>628018</v>
      </c>
      <c r="AE66" s="48">
        <v>8608</v>
      </c>
      <c r="AF66" s="48">
        <v>636626</v>
      </c>
      <c r="AG66" s="71">
        <f t="shared" si="32"/>
        <v>98.647871748876099</v>
      </c>
      <c r="AH66" s="71">
        <f t="shared" si="22"/>
        <v>0.63662600000000003</v>
      </c>
      <c r="AJ66" s="215">
        <v>44925</v>
      </c>
      <c r="AK66" s="48">
        <v>628018</v>
      </c>
      <c r="AL66" s="48">
        <v>8608</v>
      </c>
      <c r="AM66" s="48">
        <v>636626</v>
      </c>
      <c r="AN66" s="71">
        <f t="shared" si="33"/>
        <v>98.647871748876099</v>
      </c>
      <c r="AO66" s="246">
        <f t="shared" si="23"/>
        <v>0.63662600000000003</v>
      </c>
      <c r="AQ66" s="215">
        <v>44925</v>
      </c>
      <c r="AR66" s="48">
        <v>628018</v>
      </c>
      <c r="AS66" s="48">
        <v>8608</v>
      </c>
      <c r="AT66" s="48">
        <v>636626</v>
      </c>
      <c r="AU66" s="71">
        <f t="shared" si="34"/>
        <v>98.647871748876099</v>
      </c>
      <c r="AV66" s="246">
        <f t="shared" si="24"/>
        <v>0.63662600000000003</v>
      </c>
      <c r="AX66" s="215">
        <v>44925</v>
      </c>
      <c r="AY66" s="48">
        <v>628018</v>
      </c>
      <c r="AZ66" s="48">
        <v>8608</v>
      </c>
      <c r="BA66" s="48">
        <v>636626</v>
      </c>
      <c r="BB66" s="71">
        <f t="shared" si="35"/>
        <v>98.647871748876099</v>
      </c>
      <c r="BC66" s="246">
        <f t="shared" si="25"/>
        <v>0.63662600000000003</v>
      </c>
      <c r="BE66" s="215">
        <v>44925</v>
      </c>
      <c r="BF66" s="48">
        <v>628018</v>
      </c>
      <c r="BG66" s="48">
        <v>8608</v>
      </c>
      <c r="BH66" s="48">
        <v>636626</v>
      </c>
      <c r="BI66" s="71">
        <f t="shared" si="36"/>
        <v>98.647871748876099</v>
      </c>
      <c r="BJ66" s="71">
        <f t="shared" si="26"/>
        <v>0.63662600000000003</v>
      </c>
      <c r="BL66" s="1"/>
      <c r="BM66" s="1"/>
      <c r="BN66" s="1"/>
      <c r="BO66" s="1"/>
      <c r="BP66" s="1"/>
      <c r="BQ66" s="247"/>
      <c r="BS66" s="48"/>
      <c r="BT66" s="48"/>
      <c r="BU66" s="48"/>
      <c r="BV66" s="48"/>
      <c r="BW66" s="48"/>
      <c r="BZ66" s="1"/>
      <c r="CA66" s="1"/>
      <c r="CB66" s="1"/>
      <c r="CC66" s="1"/>
      <c r="CE66" s="215">
        <v>44925</v>
      </c>
      <c r="CF66" s="1">
        <v>13312090</v>
      </c>
      <c r="CG66" s="1">
        <v>32514</v>
      </c>
      <c r="CH66" s="1">
        <v>13344604</v>
      </c>
      <c r="CI66" s="71">
        <f t="shared" si="27"/>
        <v>99.756350956536437</v>
      </c>
      <c r="CJ66" s="71">
        <f t="shared" si="28"/>
        <v>13.344604</v>
      </c>
      <c r="CL66" s="140">
        <v>44926</v>
      </c>
      <c r="CM66" t="s">
        <v>240</v>
      </c>
      <c r="CN66">
        <v>1994</v>
      </c>
    </row>
    <row r="67" spans="1:92" hidden="1" x14ac:dyDescent="0.25">
      <c r="A67" s="215">
        <v>44926</v>
      </c>
      <c r="B67" s="48">
        <v>7142476</v>
      </c>
      <c r="C67" s="48">
        <v>3148</v>
      </c>
      <c r="D67" s="48">
        <v>7145624</v>
      </c>
      <c r="E67" s="71">
        <f t="shared" si="29"/>
        <v>99.955945065119579</v>
      </c>
      <c r="F67" s="71">
        <f t="shared" si="19"/>
        <v>7.1456239999999998</v>
      </c>
      <c r="H67" s="215">
        <v>44926</v>
      </c>
      <c r="I67" s="48">
        <v>2880426</v>
      </c>
      <c r="J67" s="48">
        <v>6740</v>
      </c>
      <c r="K67" s="48">
        <v>2887166</v>
      </c>
      <c r="L67" s="71">
        <f t="shared" si="37"/>
        <v>99.766553083542817</v>
      </c>
      <c r="M67" s="71">
        <f t="shared" si="38"/>
        <v>2.8871660000000001</v>
      </c>
      <c r="O67" s="215">
        <v>44926</v>
      </c>
      <c r="P67" s="48">
        <v>638338</v>
      </c>
      <c r="Q67" s="48">
        <v>638</v>
      </c>
      <c r="R67" s="48">
        <v>638976</v>
      </c>
      <c r="S67" s="71">
        <f t="shared" si="30"/>
        <v>99.900152744391022</v>
      </c>
      <c r="T67" s="71">
        <f t="shared" si="20"/>
        <v>0.63897599999999999</v>
      </c>
      <c r="V67" s="215">
        <v>44926</v>
      </c>
      <c r="W67" s="48">
        <v>1197240</v>
      </c>
      <c r="X67" s="48">
        <v>170</v>
      </c>
      <c r="Y67" s="48">
        <v>1197410</v>
      </c>
      <c r="Z67" s="71">
        <f t="shared" si="31"/>
        <v>99.98580269080766</v>
      </c>
      <c r="AA67" s="71">
        <f t="shared" si="21"/>
        <v>1.1974100000000001</v>
      </c>
      <c r="AC67" s="215">
        <v>44926</v>
      </c>
      <c r="AD67" s="48">
        <v>655588</v>
      </c>
      <c r="AE67" s="48">
        <v>198</v>
      </c>
      <c r="AF67" s="48">
        <v>655786</v>
      </c>
      <c r="AG67" s="71">
        <f t="shared" si="32"/>
        <v>99.96980722369797</v>
      </c>
      <c r="AH67" s="71">
        <f t="shared" si="22"/>
        <v>0.65578599999999998</v>
      </c>
      <c r="AJ67" s="215">
        <v>44926</v>
      </c>
      <c r="AK67" s="48">
        <v>655588</v>
      </c>
      <c r="AL67" s="48">
        <v>198</v>
      </c>
      <c r="AM67" s="48">
        <v>655786</v>
      </c>
      <c r="AN67" s="71">
        <f t="shared" si="33"/>
        <v>99.96980722369797</v>
      </c>
      <c r="AO67" s="246">
        <f t="shared" si="23"/>
        <v>0.65578599999999998</v>
      </c>
      <c r="AQ67" s="215">
        <v>44926</v>
      </c>
      <c r="AR67" s="48">
        <v>655588</v>
      </c>
      <c r="AS67" s="48">
        <v>198</v>
      </c>
      <c r="AT67" s="48">
        <v>655786</v>
      </c>
      <c r="AU67" s="71">
        <f t="shared" si="34"/>
        <v>99.96980722369797</v>
      </c>
      <c r="AV67" s="246">
        <f t="shared" si="24"/>
        <v>0.65578599999999998</v>
      </c>
      <c r="AX67" s="215">
        <v>44926</v>
      </c>
      <c r="AY67" s="48">
        <v>655588</v>
      </c>
      <c r="AZ67" s="48">
        <v>198</v>
      </c>
      <c r="BA67" s="48">
        <v>655786</v>
      </c>
      <c r="BB67" s="71">
        <f t="shared" si="35"/>
        <v>99.96980722369797</v>
      </c>
      <c r="BC67" s="246">
        <f t="shared" si="25"/>
        <v>0.65578599999999998</v>
      </c>
      <c r="BE67" s="215">
        <v>44926</v>
      </c>
      <c r="BF67" s="48">
        <v>655588</v>
      </c>
      <c r="BG67" s="48">
        <v>198</v>
      </c>
      <c r="BH67" s="48">
        <v>655786</v>
      </c>
      <c r="BI67" s="71">
        <f t="shared" si="36"/>
        <v>99.96980722369797</v>
      </c>
      <c r="BJ67" s="71">
        <f t="shared" si="26"/>
        <v>0.65578599999999998</v>
      </c>
      <c r="BL67" s="1"/>
      <c r="BM67" s="1"/>
      <c r="BN67" s="1"/>
      <c r="BO67" s="1"/>
      <c r="BP67" s="1"/>
      <c r="BQ67" s="247"/>
      <c r="BS67" s="48"/>
      <c r="BT67" s="48"/>
      <c r="BU67" s="48"/>
      <c r="BV67" s="48"/>
      <c r="BW67" s="48"/>
      <c r="BZ67" s="1"/>
      <c r="CA67" s="1"/>
      <c r="CB67" s="1"/>
      <c r="CC67" s="1"/>
      <c r="CE67" s="215">
        <v>44926</v>
      </c>
      <c r="CF67" s="1">
        <v>14069912</v>
      </c>
      <c r="CG67" s="1">
        <v>19234</v>
      </c>
      <c r="CH67" s="1">
        <v>14089146</v>
      </c>
      <c r="CI67" s="71">
        <f t="shared" si="27"/>
        <v>99.863483563872506</v>
      </c>
      <c r="CJ67" s="71">
        <f t="shared" si="28"/>
        <v>14.089146</v>
      </c>
      <c r="CL67" s="140">
        <v>44926</v>
      </c>
      <c r="CM67" t="s">
        <v>241</v>
      </c>
      <c r="CN67">
        <v>782</v>
      </c>
    </row>
    <row r="68" spans="1:92" hidden="1" x14ac:dyDescent="0.25">
      <c r="A68" s="215">
        <v>44927</v>
      </c>
      <c r="B68" s="48">
        <v>3959885</v>
      </c>
      <c r="C68" s="48">
        <v>1500</v>
      </c>
      <c r="D68" s="48">
        <v>3961385</v>
      </c>
      <c r="E68" s="71">
        <f t="shared" si="29"/>
        <v>99.962134455499779</v>
      </c>
      <c r="F68" s="71">
        <f>D68/1000000</f>
        <v>3.9613849999999999</v>
      </c>
      <c r="H68" s="215">
        <v>44927</v>
      </c>
      <c r="I68" s="48">
        <v>2775658</v>
      </c>
      <c r="J68" s="48">
        <v>10941</v>
      </c>
      <c r="K68" s="48">
        <v>2786599</v>
      </c>
      <c r="L68" s="71">
        <f t="shared" si="37"/>
        <v>99.60737084883759</v>
      </c>
      <c r="M68" s="71">
        <f t="shared" si="38"/>
        <v>2.7865989999999998</v>
      </c>
      <c r="O68" s="215">
        <v>44927</v>
      </c>
      <c r="P68" s="48">
        <v>644968</v>
      </c>
      <c r="Q68" s="48">
        <v>608</v>
      </c>
      <c r="R68" s="48">
        <v>645576</v>
      </c>
      <c r="S68" s="71">
        <f t="shared" si="30"/>
        <v>99.905820538557805</v>
      </c>
      <c r="T68" s="71">
        <f t="shared" si="20"/>
        <v>0.64557600000000004</v>
      </c>
      <c r="V68" s="215">
        <v>44927</v>
      </c>
      <c r="W68" s="48">
        <v>952783</v>
      </c>
      <c r="X68" s="48">
        <v>178</v>
      </c>
      <c r="Y68" s="48">
        <v>952961</v>
      </c>
      <c r="Z68" s="71">
        <f t="shared" si="31"/>
        <v>99.981321376215817</v>
      </c>
      <c r="AA68" s="71">
        <f t="shared" si="21"/>
        <v>0.95296099999999995</v>
      </c>
      <c r="AC68" s="215">
        <v>44927</v>
      </c>
      <c r="AD68" s="48">
        <v>539792</v>
      </c>
      <c r="AE68" s="48">
        <v>101</v>
      </c>
      <c r="AF68" s="48">
        <v>539893</v>
      </c>
      <c r="AG68" s="71">
        <f t="shared" si="32"/>
        <v>99.981292589457539</v>
      </c>
      <c r="AH68" s="71">
        <f t="shared" si="22"/>
        <v>0.53989299999999996</v>
      </c>
      <c r="AJ68" s="215">
        <v>44927</v>
      </c>
      <c r="AK68" s="48">
        <v>539792</v>
      </c>
      <c r="AL68" s="48">
        <v>101</v>
      </c>
      <c r="AM68" s="48">
        <v>539893</v>
      </c>
      <c r="AN68" s="71">
        <f t="shared" si="33"/>
        <v>99.981292589457539</v>
      </c>
      <c r="AO68" s="246">
        <f t="shared" si="23"/>
        <v>0.53989299999999996</v>
      </c>
      <c r="AQ68" s="215">
        <v>44927</v>
      </c>
      <c r="AR68" s="48">
        <v>539792</v>
      </c>
      <c r="AS68" s="48">
        <v>101</v>
      </c>
      <c r="AT68" s="48">
        <v>539893</v>
      </c>
      <c r="AU68" s="71">
        <f t="shared" si="34"/>
        <v>99.981292589457539</v>
      </c>
      <c r="AV68" s="246">
        <f t="shared" si="24"/>
        <v>0.53989299999999996</v>
      </c>
      <c r="AX68" s="215">
        <v>44927</v>
      </c>
      <c r="AY68" s="48">
        <v>539792</v>
      </c>
      <c r="AZ68" s="48">
        <v>101</v>
      </c>
      <c r="BA68" s="48">
        <v>539893</v>
      </c>
      <c r="BB68" s="71">
        <f t="shared" si="35"/>
        <v>99.981292589457539</v>
      </c>
      <c r="BC68" s="246">
        <f t="shared" si="25"/>
        <v>0.53989299999999996</v>
      </c>
      <c r="BE68" s="215">
        <v>44927</v>
      </c>
      <c r="BF68" s="48">
        <v>539792</v>
      </c>
      <c r="BG68" s="48">
        <v>101</v>
      </c>
      <c r="BH68" s="48">
        <v>539893</v>
      </c>
      <c r="BI68" s="71">
        <f t="shared" si="36"/>
        <v>99.981292589457539</v>
      </c>
      <c r="BJ68" s="71">
        <f t="shared" si="26"/>
        <v>0.53989299999999996</v>
      </c>
      <c r="BL68" s="1"/>
      <c r="BM68" s="1"/>
      <c r="BN68" s="1"/>
      <c r="BO68" s="1"/>
      <c r="BP68" s="1"/>
      <c r="BQ68" s="247"/>
      <c r="BS68" s="48"/>
      <c r="BT68" s="48"/>
      <c r="BU68" s="48"/>
      <c r="BV68" s="48"/>
      <c r="BW68" s="48"/>
      <c r="BZ68" s="1"/>
      <c r="CA68" s="1"/>
      <c r="CB68" s="1"/>
      <c r="CC68" s="1"/>
      <c r="CE68" s="215">
        <v>44927</v>
      </c>
      <c r="CF68" s="1">
        <v>10221958</v>
      </c>
      <c r="CG68" s="1">
        <v>20813</v>
      </c>
      <c r="CH68" s="1">
        <v>10242771</v>
      </c>
      <c r="CI68" s="71">
        <f t="shared" si="27"/>
        <v>99.796803033085482</v>
      </c>
      <c r="CJ68" s="71">
        <f t="shared" si="28"/>
        <v>10.242770999999999</v>
      </c>
      <c r="CL68" s="140">
        <v>44927</v>
      </c>
      <c r="CM68" t="s">
        <v>239</v>
      </c>
      <c r="CN68">
        <v>11997</v>
      </c>
    </row>
    <row r="69" spans="1:92" hidden="1" x14ac:dyDescent="0.25">
      <c r="A69" s="215">
        <v>44928</v>
      </c>
      <c r="B69" s="48">
        <v>5676698</v>
      </c>
      <c r="C69" s="48">
        <v>30782</v>
      </c>
      <c r="D69" s="48">
        <v>5707480</v>
      </c>
      <c r="E69" s="71">
        <f t="shared" si="29"/>
        <v>99.460672661139412</v>
      </c>
      <c r="F69" s="71">
        <f t="shared" si="19"/>
        <v>5.7074800000000003</v>
      </c>
      <c r="H69" s="215">
        <v>44928</v>
      </c>
      <c r="I69" s="1">
        <v>2605726</v>
      </c>
      <c r="J69" s="1">
        <v>12090</v>
      </c>
      <c r="K69" s="1">
        <v>2617816</v>
      </c>
      <c r="L69" s="71">
        <f t="shared" si="37"/>
        <v>99.538164638003593</v>
      </c>
      <c r="M69" s="71">
        <f>K69/1000000</f>
        <v>2.6178159999999999</v>
      </c>
      <c r="O69" s="215">
        <v>44928</v>
      </c>
      <c r="P69" s="1">
        <v>628018</v>
      </c>
      <c r="Q69" s="1">
        <v>524</v>
      </c>
      <c r="R69" s="1">
        <v>628542</v>
      </c>
      <c r="S69" s="71">
        <f t="shared" si="30"/>
        <v>99.916632460519736</v>
      </c>
      <c r="T69" s="71">
        <f t="shared" si="20"/>
        <v>0.62854200000000005</v>
      </c>
      <c r="V69" s="215">
        <v>44928</v>
      </c>
      <c r="W69" s="1">
        <v>953642</v>
      </c>
      <c r="X69" s="1">
        <v>4862</v>
      </c>
      <c r="Y69" s="1">
        <v>958504</v>
      </c>
      <c r="Z69" s="71">
        <f t="shared" si="31"/>
        <v>99.4927512039595</v>
      </c>
      <c r="AA69" s="71">
        <f t="shared" si="21"/>
        <v>0.95850400000000002</v>
      </c>
      <c r="AC69" s="215">
        <v>44928</v>
      </c>
      <c r="AD69" s="1">
        <v>506606</v>
      </c>
      <c r="AE69" s="1">
        <v>448</v>
      </c>
      <c r="AF69" s="1">
        <v>507054</v>
      </c>
      <c r="AG69" s="71">
        <f t="shared" si="32"/>
        <v>99.911646491300729</v>
      </c>
      <c r="AH69" s="71">
        <f t="shared" si="22"/>
        <v>0.507054</v>
      </c>
      <c r="AJ69" s="215">
        <v>44928</v>
      </c>
      <c r="AK69" s="48">
        <v>506606</v>
      </c>
      <c r="AL69" s="48">
        <v>448</v>
      </c>
      <c r="AM69" s="48">
        <v>507054</v>
      </c>
      <c r="AN69" s="71">
        <f t="shared" si="33"/>
        <v>99.911646491300729</v>
      </c>
      <c r="AO69" s="246">
        <f t="shared" si="23"/>
        <v>0.507054</v>
      </c>
      <c r="AQ69" s="215">
        <v>44928</v>
      </c>
      <c r="AR69" s="48">
        <v>506606</v>
      </c>
      <c r="AS69" s="48">
        <v>448</v>
      </c>
      <c r="AT69" s="48">
        <v>507054</v>
      </c>
      <c r="AU69" s="71">
        <f t="shared" si="34"/>
        <v>99.911646491300729</v>
      </c>
      <c r="AV69" s="246">
        <f t="shared" si="24"/>
        <v>0.507054</v>
      </c>
      <c r="AX69" s="215">
        <v>44928</v>
      </c>
      <c r="AY69" s="48">
        <v>506606</v>
      </c>
      <c r="AZ69" s="48">
        <v>448</v>
      </c>
      <c r="BA69" s="48">
        <v>507054</v>
      </c>
      <c r="BB69" s="71">
        <f t="shared" si="35"/>
        <v>99.911646491300729</v>
      </c>
      <c r="BC69" s="246">
        <f t="shared" si="25"/>
        <v>0.507054</v>
      </c>
      <c r="BE69" s="215">
        <v>44928</v>
      </c>
      <c r="BF69" s="1">
        <v>506606</v>
      </c>
      <c r="BG69" s="1">
        <v>448</v>
      </c>
      <c r="BH69" s="1">
        <v>507054</v>
      </c>
      <c r="BI69" s="71">
        <f t="shared" si="36"/>
        <v>99.911646491300729</v>
      </c>
      <c r="BJ69" s="71">
        <f t="shared" si="26"/>
        <v>0.507054</v>
      </c>
      <c r="BL69" s="1"/>
      <c r="BM69" s="1"/>
      <c r="BN69" s="1"/>
      <c r="BO69" s="1"/>
      <c r="BP69" s="1"/>
      <c r="BQ69" s="247"/>
      <c r="BS69" s="48"/>
      <c r="BT69" s="48"/>
      <c r="BU69" s="48"/>
      <c r="BV69" s="48"/>
      <c r="BW69" s="48"/>
      <c r="BZ69" s="1"/>
      <c r="CA69" s="1"/>
      <c r="CB69" s="1"/>
      <c r="CC69" s="1"/>
      <c r="CE69" s="215">
        <v>44928</v>
      </c>
      <c r="CF69" s="1">
        <v>10475120</v>
      </c>
      <c r="CG69" s="1">
        <v>52610</v>
      </c>
      <c r="CH69" s="1">
        <v>10527730</v>
      </c>
      <c r="CI69" s="71">
        <f t="shared" si="27"/>
        <v>99.500272138438206</v>
      </c>
      <c r="CJ69" s="71">
        <f t="shared" si="28"/>
        <v>10.52773</v>
      </c>
      <c r="CL69" s="140">
        <v>44927</v>
      </c>
      <c r="CM69" t="s">
        <v>238</v>
      </c>
      <c r="CN69">
        <v>3238</v>
      </c>
    </row>
    <row r="70" spans="1:92" hidden="1" x14ac:dyDescent="0.25">
      <c r="A70" s="215">
        <v>44929</v>
      </c>
      <c r="B70" s="48">
        <v>6342442</v>
      </c>
      <c r="C70" s="48">
        <v>5390</v>
      </c>
      <c r="D70" s="48">
        <v>6347832</v>
      </c>
      <c r="E70" s="71">
        <f t="shared" si="29"/>
        <v>99.915089120190956</v>
      </c>
      <c r="F70" s="71">
        <f t="shared" si="19"/>
        <v>6.3478320000000004</v>
      </c>
      <c r="H70" s="215">
        <v>44929</v>
      </c>
      <c r="I70" s="1">
        <v>2886734</v>
      </c>
      <c r="J70" s="1">
        <v>5736</v>
      </c>
      <c r="K70" s="1">
        <v>2892470</v>
      </c>
      <c r="L70" s="71">
        <f t="shared" si="37"/>
        <v>99.801691979519234</v>
      </c>
      <c r="M70" s="71">
        <f t="shared" si="38"/>
        <v>2.8924699999999999</v>
      </c>
      <c r="O70" s="215">
        <v>44929</v>
      </c>
      <c r="P70" s="1">
        <v>644172</v>
      </c>
      <c r="Q70" s="1">
        <v>620</v>
      </c>
      <c r="R70" s="1">
        <v>644792</v>
      </c>
      <c r="S70" s="71">
        <f t="shared" si="30"/>
        <v>99.903844960855594</v>
      </c>
      <c r="T70" s="71">
        <f t="shared" si="20"/>
        <v>0.64479200000000003</v>
      </c>
      <c r="V70" s="215">
        <v>44929</v>
      </c>
      <c r="W70" s="1">
        <v>970964</v>
      </c>
      <c r="X70" s="1">
        <v>150</v>
      </c>
      <c r="Y70" s="1">
        <v>971114</v>
      </c>
      <c r="Z70" s="71">
        <f t="shared" si="31"/>
        <v>99.984553821693439</v>
      </c>
      <c r="AA70" s="71">
        <f t="shared" si="21"/>
        <v>0.97111400000000003</v>
      </c>
      <c r="AC70" s="215">
        <v>44929</v>
      </c>
      <c r="AD70" s="1">
        <v>526232</v>
      </c>
      <c r="AE70" s="1">
        <v>164</v>
      </c>
      <c r="AF70" s="1">
        <v>526396</v>
      </c>
      <c r="AG70" s="71">
        <f t="shared" si="32"/>
        <v>99.968844748060391</v>
      </c>
      <c r="AH70" s="71">
        <f>AF70/1000000</f>
        <v>0.52639599999999998</v>
      </c>
      <c r="AJ70" s="215">
        <v>44929</v>
      </c>
      <c r="AK70" s="48">
        <v>526232</v>
      </c>
      <c r="AL70" s="48">
        <v>164</v>
      </c>
      <c r="AM70" s="48">
        <v>526396</v>
      </c>
      <c r="AN70" s="71">
        <f t="shared" si="33"/>
        <v>99.968844748060391</v>
      </c>
      <c r="AO70" s="246">
        <f t="shared" si="23"/>
        <v>0.52639599999999998</v>
      </c>
      <c r="AQ70" s="215">
        <v>44929</v>
      </c>
      <c r="AR70" s="48">
        <v>526232</v>
      </c>
      <c r="AS70" s="48">
        <v>164</v>
      </c>
      <c r="AT70" s="48">
        <v>526396</v>
      </c>
      <c r="AU70" s="71">
        <f t="shared" si="34"/>
        <v>99.968844748060391</v>
      </c>
      <c r="AV70" s="246">
        <f t="shared" si="24"/>
        <v>0.52639599999999998</v>
      </c>
      <c r="AX70" s="215">
        <v>44929</v>
      </c>
      <c r="AY70" s="48">
        <v>526232</v>
      </c>
      <c r="AZ70" s="48">
        <v>164</v>
      </c>
      <c r="BA70" s="48">
        <v>526396</v>
      </c>
      <c r="BB70" s="71">
        <f t="shared" si="35"/>
        <v>99.968844748060391</v>
      </c>
      <c r="BC70" s="246">
        <f t="shared" si="25"/>
        <v>0.52639599999999998</v>
      </c>
      <c r="BE70" s="215">
        <v>44929</v>
      </c>
      <c r="BF70" s="1">
        <v>526232</v>
      </c>
      <c r="BG70" s="1">
        <v>164</v>
      </c>
      <c r="BH70" s="1">
        <v>526396</v>
      </c>
      <c r="BI70" s="71">
        <f t="shared" si="36"/>
        <v>99.968844748060391</v>
      </c>
      <c r="BJ70" s="71">
        <f t="shared" si="26"/>
        <v>0.52639599999999998</v>
      </c>
      <c r="BL70" s="1"/>
      <c r="BM70" s="1"/>
      <c r="BN70" s="1"/>
      <c r="BO70" s="1"/>
      <c r="BP70" s="1"/>
      <c r="BQ70" s="247"/>
      <c r="BS70" s="48"/>
      <c r="BT70" s="48"/>
      <c r="BU70" s="48"/>
      <c r="BV70" s="48"/>
      <c r="BW70" s="48"/>
      <c r="BZ70" s="1"/>
      <c r="CA70" s="1"/>
      <c r="CB70" s="1"/>
      <c r="CC70" s="1"/>
      <c r="CE70" s="215">
        <v>44929</v>
      </c>
      <c r="CF70" s="1">
        <v>11517930</v>
      </c>
      <c r="CG70" s="1">
        <v>17340</v>
      </c>
      <c r="CH70" s="1">
        <v>11535270</v>
      </c>
      <c r="CI70" s="71">
        <f t="shared" si="27"/>
        <v>99.849678421051252</v>
      </c>
      <c r="CJ70" s="71">
        <f t="shared" si="28"/>
        <v>11.535270000000001</v>
      </c>
      <c r="CL70" s="140">
        <v>44927</v>
      </c>
      <c r="CM70" t="s">
        <v>237</v>
      </c>
      <c r="CN70">
        <v>2763</v>
      </c>
    </row>
    <row r="71" spans="1:92" hidden="1" x14ac:dyDescent="0.25">
      <c r="A71" s="215">
        <v>44930</v>
      </c>
      <c r="B71" s="48">
        <v>6436764</v>
      </c>
      <c r="C71" s="48">
        <v>49264</v>
      </c>
      <c r="D71" s="48">
        <v>6486028</v>
      </c>
      <c r="E71" s="71">
        <f t="shared" si="29"/>
        <v>99.240459646489342</v>
      </c>
      <c r="F71" s="71">
        <f t="shared" si="19"/>
        <v>6.4860280000000001</v>
      </c>
      <c r="H71" s="215">
        <v>44930</v>
      </c>
      <c r="I71" s="1">
        <v>2608626</v>
      </c>
      <c r="J71" s="1">
        <v>3582</v>
      </c>
      <c r="K71" s="1">
        <v>2612208</v>
      </c>
      <c r="L71" s="71">
        <f t="shared" si="37"/>
        <v>99.862874625604078</v>
      </c>
      <c r="M71" s="71">
        <f t="shared" si="38"/>
        <v>2.6122079999999999</v>
      </c>
      <c r="O71" s="215">
        <v>44930</v>
      </c>
      <c r="P71" s="1">
        <v>647216</v>
      </c>
      <c r="Q71" s="1">
        <v>624</v>
      </c>
      <c r="R71" s="1">
        <v>647840</v>
      </c>
      <c r="S71" s="71">
        <f t="shared" si="30"/>
        <v>99.903679920968131</v>
      </c>
      <c r="T71" s="71">
        <f>R71/1000000</f>
        <v>0.64783999999999997</v>
      </c>
      <c r="V71" s="215">
        <v>44930</v>
      </c>
      <c r="W71" s="1">
        <v>935344</v>
      </c>
      <c r="X71" s="1">
        <v>8454</v>
      </c>
      <c r="Y71" s="1">
        <v>943798</v>
      </c>
      <c r="Z71" s="71">
        <f t="shared" si="31"/>
        <v>99.10425747882492</v>
      </c>
      <c r="AA71" s="71">
        <f t="shared" si="21"/>
        <v>0.94379800000000003</v>
      </c>
      <c r="AC71" s="215">
        <v>44930</v>
      </c>
      <c r="AD71" s="1">
        <v>550698</v>
      </c>
      <c r="AE71" s="1">
        <v>132</v>
      </c>
      <c r="AF71" s="1">
        <v>550830</v>
      </c>
      <c r="AG71" s="71">
        <f t="shared" si="32"/>
        <v>99.976036163607645</v>
      </c>
      <c r="AH71" s="71">
        <f t="shared" si="22"/>
        <v>0.55083000000000004</v>
      </c>
      <c r="AJ71" s="215">
        <v>44930</v>
      </c>
      <c r="AK71" s="48">
        <v>550698</v>
      </c>
      <c r="AL71" s="48">
        <v>132</v>
      </c>
      <c r="AM71" s="48">
        <v>550830</v>
      </c>
      <c r="AN71" s="71">
        <f t="shared" si="33"/>
        <v>99.976036163607645</v>
      </c>
      <c r="AO71" s="246">
        <f t="shared" si="23"/>
        <v>0.55083000000000004</v>
      </c>
      <c r="AQ71" s="215">
        <v>44930</v>
      </c>
      <c r="AR71" s="48">
        <v>550698</v>
      </c>
      <c r="AS71" s="48">
        <v>132</v>
      </c>
      <c r="AT71" s="48">
        <v>550830</v>
      </c>
      <c r="AU71" s="71">
        <f t="shared" si="34"/>
        <v>99.976036163607645</v>
      </c>
      <c r="AV71" s="246">
        <f t="shared" si="24"/>
        <v>0.55083000000000004</v>
      </c>
      <c r="AX71" s="215">
        <v>44930</v>
      </c>
      <c r="AY71" s="48">
        <v>550698</v>
      </c>
      <c r="AZ71" s="48">
        <v>132</v>
      </c>
      <c r="BA71" s="48">
        <v>550830</v>
      </c>
      <c r="BB71" s="71">
        <f t="shared" si="35"/>
        <v>99.976036163607645</v>
      </c>
      <c r="BC71" s="246">
        <f t="shared" si="25"/>
        <v>0.55083000000000004</v>
      </c>
      <c r="BE71" s="215">
        <v>44930</v>
      </c>
      <c r="BF71" s="1">
        <v>550698</v>
      </c>
      <c r="BG71" s="1">
        <v>132</v>
      </c>
      <c r="BH71" s="1">
        <v>550830</v>
      </c>
      <c r="BI71" s="71">
        <f t="shared" si="36"/>
        <v>99.976036163607645</v>
      </c>
      <c r="BJ71" s="71">
        <f t="shared" si="26"/>
        <v>0.55083000000000004</v>
      </c>
      <c r="BL71" s="1"/>
      <c r="BM71" s="1"/>
      <c r="BN71" s="1"/>
      <c r="BO71" s="1"/>
      <c r="BP71" s="1"/>
      <c r="BQ71" s="247"/>
      <c r="BS71" s="48"/>
      <c r="BT71" s="48"/>
      <c r="BU71" s="48"/>
      <c r="BV71" s="48"/>
      <c r="BW71" s="48"/>
      <c r="BZ71" s="1"/>
      <c r="CA71" s="1"/>
      <c r="CB71" s="1"/>
      <c r="CC71" s="1"/>
      <c r="CE71" s="215">
        <v>44930</v>
      </c>
      <c r="CF71" s="1">
        <v>11533232</v>
      </c>
      <c r="CG71" s="1">
        <v>62062</v>
      </c>
      <c r="CH71" s="1">
        <v>11595294</v>
      </c>
      <c r="CI71" s="71">
        <f t="shared" si="27"/>
        <v>99.464765619569462</v>
      </c>
      <c r="CJ71" s="71">
        <f t="shared" si="28"/>
        <v>11.595294000000001</v>
      </c>
      <c r="CL71" s="140">
        <v>44927</v>
      </c>
      <c r="CM71" t="s">
        <v>240</v>
      </c>
      <c r="CN71">
        <v>1453</v>
      </c>
    </row>
    <row r="72" spans="1:92" hidden="1" x14ac:dyDescent="0.25">
      <c r="A72" s="215">
        <v>44931</v>
      </c>
      <c r="B72" s="48">
        <v>6335576</v>
      </c>
      <c r="C72" s="48">
        <v>3994</v>
      </c>
      <c r="D72" s="48">
        <v>6339570</v>
      </c>
      <c r="E72" s="71">
        <f t="shared" si="29"/>
        <v>99.936998881627616</v>
      </c>
      <c r="F72" s="71">
        <f>D72/1000000</f>
        <v>6.3395700000000001</v>
      </c>
      <c r="H72" s="215">
        <v>44931</v>
      </c>
      <c r="I72" s="1">
        <v>2698750</v>
      </c>
      <c r="J72" s="1">
        <v>8274</v>
      </c>
      <c r="K72" s="1">
        <v>2707024</v>
      </c>
      <c r="L72" s="71">
        <f t="shared" si="37"/>
        <v>99.694350696558288</v>
      </c>
      <c r="M72" s="71">
        <f>K72/1000000</f>
        <v>2.7070240000000001</v>
      </c>
      <c r="O72" s="215">
        <v>44931</v>
      </c>
      <c r="P72" s="1">
        <v>661364</v>
      </c>
      <c r="Q72" s="1">
        <v>582</v>
      </c>
      <c r="R72" s="1">
        <v>661946</v>
      </c>
      <c r="S72" s="71">
        <f t="shared" si="30"/>
        <v>99.912077420212526</v>
      </c>
      <c r="T72" s="71">
        <f t="shared" si="20"/>
        <v>0.66194600000000003</v>
      </c>
      <c r="V72" s="215">
        <v>44931</v>
      </c>
      <c r="W72" s="1">
        <v>949620</v>
      </c>
      <c r="X72" s="1">
        <v>166</v>
      </c>
      <c r="Y72" s="1">
        <v>949786</v>
      </c>
      <c r="Z72" s="71">
        <f t="shared" si="31"/>
        <v>99.982522378725321</v>
      </c>
      <c r="AA72" s="71">
        <f t="shared" si="21"/>
        <v>0.94978600000000002</v>
      </c>
      <c r="AC72" s="215">
        <v>44931</v>
      </c>
      <c r="AD72" s="1">
        <v>572358</v>
      </c>
      <c r="AE72" s="1">
        <v>334</v>
      </c>
      <c r="AF72" s="1">
        <v>572692</v>
      </c>
      <c r="AG72" s="71">
        <f t="shared" si="32"/>
        <v>99.941678947846313</v>
      </c>
      <c r="AH72" s="71">
        <f t="shared" si="22"/>
        <v>0.57269199999999998</v>
      </c>
      <c r="AJ72" s="215">
        <v>44931</v>
      </c>
      <c r="AK72" s="48">
        <v>572358</v>
      </c>
      <c r="AL72" s="48">
        <v>334</v>
      </c>
      <c r="AM72" s="48">
        <v>572692</v>
      </c>
      <c r="AN72" s="71">
        <f t="shared" si="33"/>
        <v>99.941678947846313</v>
      </c>
      <c r="AO72" s="246">
        <f t="shared" si="23"/>
        <v>0.57269199999999998</v>
      </c>
      <c r="AQ72" s="215">
        <v>44931</v>
      </c>
      <c r="AR72" s="48">
        <v>572358</v>
      </c>
      <c r="AS72" s="48">
        <v>334</v>
      </c>
      <c r="AT72" s="48">
        <v>572692</v>
      </c>
      <c r="AU72" s="71">
        <f t="shared" si="34"/>
        <v>99.941678947846313</v>
      </c>
      <c r="AV72" s="246">
        <f t="shared" si="24"/>
        <v>0.57269199999999998</v>
      </c>
      <c r="AX72" s="215">
        <v>44931</v>
      </c>
      <c r="AY72" s="48">
        <v>572358</v>
      </c>
      <c r="AZ72" s="48">
        <v>334</v>
      </c>
      <c r="BA72" s="48">
        <v>572692</v>
      </c>
      <c r="BB72" s="71">
        <f t="shared" si="35"/>
        <v>99.941678947846313</v>
      </c>
      <c r="BC72" s="246">
        <f t="shared" si="25"/>
        <v>0.57269199999999998</v>
      </c>
      <c r="BE72" s="215">
        <v>44931</v>
      </c>
      <c r="BF72" s="1">
        <v>572358</v>
      </c>
      <c r="BG72" s="1">
        <v>334</v>
      </c>
      <c r="BH72" s="1">
        <v>572692</v>
      </c>
      <c r="BI72" s="71">
        <f t="shared" si="36"/>
        <v>99.941678947846313</v>
      </c>
      <c r="BJ72" s="71">
        <f t="shared" si="26"/>
        <v>0.57269199999999998</v>
      </c>
      <c r="BL72" s="1"/>
      <c r="BM72" s="1"/>
      <c r="BN72" s="1"/>
      <c r="BO72" s="1"/>
      <c r="BP72" s="1"/>
      <c r="BQ72" s="247"/>
      <c r="BS72" s="48"/>
      <c r="BT72" s="48"/>
      <c r="BU72" s="48"/>
      <c r="BV72" s="48"/>
      <c r="BW72" s="48"/>
      <c r="BZ72" s="1"/>
      <c r="CA72" s="1"/>
      <c r="CB72" s="1"/>
      <c r="CC72" s="1"/>
      <c r="CE72" s="215">
        <v>44931</v>
      </c>
      <c r="CF72" s="1">
        <v>11461162</v>
      </c>
      <c r="CG72" s="1">
        <v>23440</v>
      </c>
      <c r="CH72" s="1">
        <v>11484602</v>
      </c>
      <c r="CI72" s="71">
        <f t="shared" si="27"/>
        <v>99.795900632864772</v>
      </c>
      <c r="CJ72" s="71">
        <f t="shared" si="28"/>
        <v>11.484602000000001</v>
      </c>
      <c r="CL72" s="140">
        <v>44927</v>
      </c>
      <c r="CM72" t="s">
        <v>241</v>
      </c>
      <c r="CN72">
        <v>685</v>
      </c>
    </row>
    <row r="73" spans="1:92" hidden="1" x14ac:dyDescent="0.25">
      <c r="A73" s="215">
        <v>44932</v>
      </c>
      <c r="B73" s="48">
        <v>5221824</v>
      </c>
      <c r="C73" s="48">
        <v>10914</v>
      </c>
      <c r="D73" s="48">
        <v>5232738</v>
      </c>
      <c r="E73" s="71">
        <f t="shared" si="29"/>
        <v>99.791428502630936</v>
      </c>
      <c r="F73" s="71">
        <f t="shared" ref="F73:F137" si="39">D73/1000000</f>
        <v>5.2327380000000003</v>
      </c>
      <c r="H73" s="215">
        <v>44932</v>
      </c>
      <c r="I73" s="1">
        <v>2701988</v>
      </c>
      <c r="J73" s="1">
        <v>2612</v>
      </c>
      <c r="K73" s="1">
        <v>2704600</v>
      </c>
      <c r="L73" s="1">
        <v>99.9</v>
      </c>
      <c r="M73" s="71">
        <f>K73/1000000</f>
        <v>2.7046000000000001</v>
      </c>
      <c r="O73" s="215">
        <v>44932</v>
      </c>
      <c r="P73" s="1">
        <v>644936</v>
      </c>
      <c r="Q73" s="1">
        <v>508</v>
      </c>
      <c r="R73" s="1">
        <v>645444</v>
      </c>
      <c r="S73" s="1">
        <v>99.92</v>
      </c>
      <c r="T73" s="71">
        <f t="shared" si="20"/>
        <v>0.64544400000000002</v>
      </c>
      <c r="V73" s="215">
        <v>44932</v>
      </c>
      <c r="W73" s="1">
        <v>997722</v>
      </c>
      <c r="X73" s="1">
        <v>2218</v>
      </c>
      <c r="Y73" s="1">
        <v>999940</v>
      </c>
      <c r="Z73" s="1">
        <v>99.78</v>
      </c>
      <c r="AA73" s="71">
        <f t="shared" si="21"/>
        <v>0.99994000000000005</v>
      </c>
      <c r="AC73" s="215">
        <v>44932</v>
      </c>
      <c r="AD73" s="1">
        <v>572518</v>
      </c>
      <c r="AE73" s="1">
        <v>362</v>
      </c>
      <c r="AF73" s="1">
        <v>572880</v>
      </c>
      <c r="AG73" s="1">
        <v>99.94</v>
      </c>
      <c r="AH73" s="71">
        <f t="shared" si="22"/>
        <v>0.57287999999999994</v>
      </c>
      <c r="AJ73" s="215">
        <v>44932</v>
      </c>
      <c r="AK73" s="48">
        <v>572518</v>
      </c>
      <c r="AL73" s="48">
        <v>362</v>
      </c>
      <c r="AM73" s="48">
        <v>572880</v>
      </c>
      <c r="AN73" s="48">
        <v>99.94</v>
      </c>
      <c r="AO73" s="246">
        <f t="shared" si="23"/>
        <v>0.57287999999999994</v>
      </c>
      <c r="AQ73" s="215">
        <v>44932</v>
      </c>
      <c r="AR73" s="48">
        <v>572518</v>
      </c>
      <c r="AS73" s="48">
        <v>362</v>
      </c>
      <c r="AT73" s="48">
        <v>572880</v>
      </c>
      <c r="AU73" s="48">
        <v>99.94</v>
      </c>
      <c r="AV73" s="246">
        <f t="shared" si="24"/>
        <v>0.57287999999999994</v>
      </c>
      <c r="AX73" s="215">
        <v>44932</v>
      </c>
      <c r="AY73" s="48">
        <v>572518</v>
      </c>
      <c r="AZ73" s="48">
        <v>362</v>
      </c>
      <c r="BA73" s="48">
        <v>572880</v>
      </c>
      <c r="BB73" s="48">
        <v>99.94</v>
      </c>
      <c r="BC73" s="246">
        <f t="shared" si="25"/>
        <v>0.57287999999999994</v>
      </c>
      <c r="BE73" s="215">
        <v>44932</v>
      </c>
      <c r="BF73" s="1">
        <v>572518</v>
      </c>
      <c r="BG73" s="1">
        <v>362</v>
      </c>
      <c r="BH73" s="1">
        <v>572880</v>
      </c>
      <c r="BI73" s="1">
        <v>99.94</v>
      </c>
      <c r="BJ73" s="71">
        <f t="shared" si="26"/>
        <v>0.57287999999999994</v>
      </c>
      <c r="BL73" s="1"/>
      <c r="BM73" s="1"/>
      <c r="BN73" s="1"/>
      <c r="BO73" s="1"/>
      <c r="BP73" s="1"/>
      <c r="BQ73" s="247"/>
      <c r="BS73" s="48"/>
      <c r="BT73" s="48"/>
      <c r="BU73" s="48"/>
      <c r="BV73" s="48"/>
      <c r="BW73" s="48"/>
      <c r="BZ73" s="1"/>
      <c r="CA73" s="1"/>
      <c r="CB73" s="1"/>
      <c r="CC73" s="1"/>
      <c r="CE73" s="215">
        <v>44932</v>
      </c>
      <c r="CF73" s="1">
        <v>11727342</v>
      </c>
      <c r="CG73" s="1">
        <v>31232</v>
      </c>
      <c r="CH73" s="1">
        <v>11758574</v>
      </c>
      <c r="CI73" s="71">
        <f t="shared" si="27"/>
        <v>99.734389561183178</v>
      </c>
      <c r="CJ73" s="71">
        <f t="shared" si="28"/>
        <v>11.758573999999999</v>
      </c>
      <c r="CL73" s="140">
        <v>44928</v>
      </c>
      <c r="CM73" t="s">
        <v>239</v>
      </c>
      <c r="CN73">
        <v>39340</v>
      </c>
    </row>
    <row r="74" spans="1:92" hidden="1" x14ac:dyDescent="0.25">
      <c r="A74" s="215">
        <v>44933</v>
      </c>
      <c r="B74" s="48">
        <v>6362258</v>
      </c>
      <c r="C74" s="48">
        <v>4562</v>
      </c>
      <c r="D74" s="48">
        <v>6366820</v>
      </c>
      <c r="E74" s="71">
        <f t="shared" si="29"/>
        <v>99.92834727540594</v>
      </c>
      <c r="F74" s="71">
        <f t="shared" si="39"/>
        <v>6.3668199999999997</v>
      </c>
      <c r="H74" s="215">
        <v>44933</v>
      </c>
      <c r="I74" s="1">
        <v>2654230</v>
      </c>
      <c r="J74" s="1">
        <v>2560</v>
      </c>
      <c r="K74" s="1">
        <v>2656790</v>
      </c>
      <c r="L74" s="71">
        <f t="shared" si="37"/>
        <v>99.903643118199028</v>
      </c>
      <c r="M74" s="71">
        <f t="shared" ref="M74:M137" si="40">K74/1000000</f>
        <v>2.65679</v>
      </c>
      <c r="O74" s="215">
        <v>44933</v>
      </c>
      <c r="P74" s="1">
        <v>652344</v>
      </c>
      <c r="Q74" s="1">
        <v>604</v>
      </c>
      <c r="R74" s="1">
        <v>652948</v>
      </c>
      <c r="S74" s="71">
        <f>P74/R74*100</f>
        <v>99.907496462199134</v>
      </c>
      <c r="T74" s="71">
        <f t="shared" si="20"/>
        <v>0.65294799999999997</v>
      </c>
      <c r="V74" s="215">
        <v>44933</v>
      </c>
      <c r="W74" s="1">
        <v>998864</v>
      </c>
      <c r="X74" s="1">
        <v>168</v>
      </c>
      <c r="Y74" s="1">
        <v>999032</v>
      </c>
      <c r="Z74" s="71">
        <f>W74/Y74*100</f>
        <v>99.983183721842735</v>
      </c>
      <c r="AA74" s="71">
        <f t="shared" si="21"/>
        <v>0.99903200000000003</v>
      </c>
      <c r="AC74" s="215">
        <v>44933</v>
      </c>
      <c r="AD74" s="1">
        <v>574136</v>
      </c>
      <c r="AE74" s="1">
        <v>374</v>
      </c>
      <c r="AF74" s="1">
        <v>574510</v>
      </c>
      <c r="AG74" s="71">
        <f>AD74/AF74*100</f>
        <v>99.934901046108862</v>
      </c>
      <c r="AH74" s="71">
        <f>AF74/1000000</f>
        <v>0.57450999999999997</v>
      </c>
      <c r="AJ74" s="215">
        <v>44933</v>
      </c>
      <c r="AK74" s="48">
        <v>574136</v>
      </c>
      <c r="AL74" s="48">
        <v>374</v>
      </c>
      <c r="AM74" s="48">
        <v>574510</v>
      </c>
      <c r="AN74" s="71">
        <f>AK74/AM74*100</f>
        <v>99.934901046108862</v>
      </c>
      <c r="AO74" s="246">
        <f t="shared" si="23"/>
        <v>0.57450999999999997</v>
      </c>
      <c r="AQ74" s="215">
        <v>44933</v>
      </c>
      <c r="AR74" s="48">
        <v>574136</v>
      </c>
      <c r="AS74" s="48">
        <v>374</v>
      </c>
      <c r="AT74" s="48">
        <v>574510</v>
      </c>
      <c r="AU74" s="71">
        <f>AR74/AT74*100</f>
        <v>99.934901046108862</v>
      </c>
      <c r="AV74" s="246">
        <f t="shared" si="24"/>
        <v>0.57450999999999997</v>
      </c>
      <c r="AX74" s="215">
        <v>44933</v>
      </c>
      <c r="AY74" s="48">
        <v>574136</v>
      </c>
      <c r="AZ74" s="48">
        <v>374</v>
      </c>
      <c r="BA74" s="48">
        <v>574510</v>
      </c>
      <c r="BB74" s="71">
        <f>AY74/BA74*100</f>
        <v>99.934901046108862</v>
      </c>
      <c r="BC74" s="246">
        <f t="shared" si="25"/>
        <v>0.57450999999999997</v>
      </c>
      <c r="BE74" s="215">
        <v>44933</v>
      </c>
      <c r="BF74" s="1">
        <v>574136</v>
      </c>
      <c r="BG74" s="1">
        <v>374</v>
      </c>
      <c r="BH74" s="1">
        <v>574510</v>
      </c>
      <c r="BI74" s="71">
        <f>BF74/BH74*100</f>
        <v>99.934901046108862</v>
      </c>
      <c r="BJ74" s="71">
        <f t="shared" si="26"/>
        <v>0.57450999999999997</v>
      </c>
      <c r="BL74" s="1"/>
      <c r="BM74" s="1"/>
      <c r="BN74" s="1"/>
      <c r="BO74" s="1"/>
      <c r="BP74" s="1"/>
      <c r="BQ74" s="247"/>
      <c r="BS74" s="48"/>
      <c r="BT74" s="48"/>
      <c r="BU74" s="48"/>
      <c r="BV74" s="48"/>
      <c r="BW74" s="48"/>
      <c r="BZ74" s="1"/>
      <c r="CA74" s="1"/>
      <c r="CB74" s="1"/>
      <c r="CC74" s="1"/>
      <c r="CE74" s="215">
        <v>44933</v>
      </c>
      <c r="CF74" s="1">
        <v>11483164</v>
      </c>
      <c r="CG74" s="1">
        <v>22070</v>
      </c>
      <c r="CH74" s="1">
        <v>11505234</v>
      </c>
      <c r="CI74" s="71">
        <f t="shared" si="27"/>
        <v>99.808174262253161</v>
      </c>
      <c r="CJ74" s="71">
        <f t="shared" si="28"/>
        <v>11.505234</v>
      </c>
      <c r="CL74" s="140">
        <v>44928</v>
      </c>
      <c r="CM74" t="s">
        <v>238</v>
      </c>
      <c r="CN74">
        <v>6256</v>
      </c>
    </row>
    <row r="75" spans="1:92" hidden="1" x14ac:dyDescent="0.25">
      <c r="A75" s="215">
        <v>44934</v>
      </c>
      <c r="B75" s="48">
        <v>5606064</v>
      </c>
      <c r="C75" s="48">
        <v>32316</v>
      </c>
      <c r="D75" s="48">
        <v>5638380</v>
      </c>
      <c r="E75" s="71">
        <f t="shared" si="29"/>
        <v>99.426856650314448</v>
      </c>
      <c r="F75" s="71">
        <f t="shared" si="39"/>
        <v>5.6383799999999997</v>
      </c>
      <c r="H75" s="215">
        <v>44934</v>
      </c>
      <c r="I75" s="1">
        <v>2700399</v>
      </c>
      <c r="J75" s="1">
        <v>2248</v>
      </c>
      <c r="K75" s="1">
        <v>2702647</v>
      </c>
      <c r="L75" s="71">
        <f t="shared" si="37"/>
        <v>99.916822285707312</v>
      </c>
      <c r="M75" s="71">
        <f t="shared" si="40"/>
        <v>2.7026469999999998</v>
      </c>
      <c r="O75" s="215">
        <v>44934</v>
      </c>
      <c r="P75" s="1">
        <v>684532</v>
      </c>
      <c r="Q75" s="1">
        <v>570</v>
      </c>
      <c r="R75" s="1">
        <v>685102</v>
      </c>
      <c r="S75" s="71">
        <f t="shared" ref="S75:S80" si="41">P75/R75*100</f>
        <v>99.916800709967276</v>
      </c>
      <c r="T75" s="71">
        <f t="shared" si="20"/>
        <v>0.68510199999999999</v>
      </c>
      <c r="V75" s="215">
        <v>44934</v>
      </c>
      <c r="W75" s="1">
        <v>959366</v>
      </c>
      <c r="X75" s="1">
        <v>6001</v>
      </c>
      <c r="Y75" s="1">
        <v>965367</v>
      </c>
      <c r="Z75" s="71">
        <f t="shared" ref="Z75:Z80" si="42">W75/Y75*100</f>
        <v>99.378371127250048</v>
      </c>
      <c r="AA75" s="71">
        <f t="shared" si="21"/>
        <v>0.96536699999999998</v>
      </c>
      <c r="AC75" s="215">
        <v>44934</v>
      </c>
      <c r="AD75" s="1">
        <v>561843</v>
      </c>
      <c r="AE75" s="1">
        <v>104</v>
      </c>
      <c r="AF75" s="1">
        <v>561947</v>
      </c>
      <c r="AG75" s="71">
        <f t="shared" ref="AG75:AG80" si="43">AD75/AF75*100</f>
        <v>99.981492916591776</v>
      </c>
      <c r="AH75" s="71">
        <f t="shared" si="22"/>
        <v>0.56194699999999997</v>
      </c>
      <c r="AJ75" s="215">
        <v>44934</v>
      </c>
      <c r="AK75" s="48">
        <v>561843</v>
      </c>
      <c r="AL75" s="48">
        <v>104</v>
      </c>
      <c r="AM75" s="48">
        <v>561947</v>
      </c>
      <c r="AN75" s="71">
        <f t="shared" ref="AN75:AN80" si="44">AK75/AM75*100</f>
        <v>99.981492916591776</v>
      </c>
      <c r="AO75" s="246">
        <f t="shared" si="23"/>
        <v>0.56194699999999997</v>
      </c>
      <c r="AQ75" s="215">
        <v>44934</v>
      </c>
      <c r="AR75" s="48">
        <v>561843</v>
      </c>
      <c r="AS75" s="48">
        <v>104</v>
      </c>
      <c r="AT75" s="48">
        <v>561947</v>
      </c>
      <c r="AU75" s="71">
        <f t="shared" ref="AU75:AU80" si="45">AR75/AT75*100</f>
        <v>99.981492916591776</v>
      </c>
      <c r="AV75" s="246">
        <f t="shared" si="24"/>
        <v>0.56194699999999997</v>
      </c>
      <c r="AX75" s="215">
        <v>44934</v>
      </c>
      <c r="AY75" s="48">
        <v>561843</v>
      </c>
      <c r="AZ75" s="48">
        <v>104</v>
      </c>
      <c r="BA75" s="48">
        <v>561947</v>
      </c>
      <c r="BB75" s="71">
        <f t="shared" ref="BB75:BB80" si="46">AY75/BA75*100</f>
        <v>99.981492916591776</v>
      </c>
      <c r="BC75" s="246">
        <f t="shared" si="25"/>
        <v>0.56194699999999997</v>
      </c>
      <c r="BE75" s="215">
        <v>44934</v>
      </c>
      <c r="BF75" s="1">
        <v>561843</v>
      </c>
      <c r="BG75" s="1">
        <v>104</v>
      </c>
      <c r="BH75" s="1">
        <v>561947</v>
      </c>
      <c r="BI75" s="71">
        <f t="shared" ref="BI75:BI80" si="47">BF75/BH75*100</f>
        <v>99.981492916591776</v>
      </c>
      <c r="BJ75" s="71">
        <f t="shared" si="26"/>
        <v>0.56194699999999997</v>
      </c>
      <c r="BL75" s="1"/>
      <c r="BM75" s="1"/>
      <c r="BN75" s="1"/>
      <c r="BO75" s="1"/>
      <c r="BP75" s="1"/>
      <c r="BQ75" s="247"/>
      <c r="BS75" s="48"/>
      <c r="BT75" s="48"/>
      <c r="BU75" s="48"/>
      <c r="BV75" s="48"/>
      <c r="BW75" s="48"/>
      <c r="BZ75" s="1"/>
      <c r="CA75" s="1"/>
      <c r="CB75" s="1"/>
      <c r="CC75" s="1"/>
      <c r="CE75" s="215">
        <v>44934</v>
      </c>
      <c r="CF75" s="1">
        <v>10762897</v>
      </c>
      <c r="CG75" s="1">
        <v>47604</v>
      </c>
      <c r="CH75" s="1">
        <v>10810501</v>
      </c>
      <c r="CI75" s="71">
        <f t="shared" si="27"/>
        <v>99.559650380680793</v>
      </c>
      <c r="CJ75" s="71">
        <f t="shared" si="28"/>
        <v>10.810501</v>
      </c>
      <c r="CL75" s="140">
        <v>44928</v>
      </c>
      <c r="CM75" t="s">
        <v>237</v>
      </c>
      <c r="CN75">
        <v>3690</v>
      </c>
    </row>
    <row r="76" spans="1:92" hidden="1" x14ac:dyDescent="0.25">
      <c r="A76" s="215">
        <v>44935</v>
      </c>
      <c r="B76" s="204">
        <v>5410152</v>
      </c>
      <c r="C76" s="204">
        <v>2364</v>
      </c>
      <c r="D76" s="204">
        <v>5412516</v>
      </c>
      <c r="E76" s="71">
        <f t="shared" si="29"/>
        <v>99.956323454748215</v>
      </c>
      <c r="F76" s="71">
        <f t="shared" si="39"/>
        <v>5.4125160000000001</v>
      </c>
      <c r="H76" s="215">
        <v>44935</v>
      </c>
      <c r="I76" s="204">
        <v>2731540</v>
      </c>
      <c r="J76" s="204">
        <v>5268</v>
      </c>
      <c r="K76" s="204">
        <v>2736808</v>
      </c>
      <c r="L76" s="71">
        <f t="shared" si="37"/>
        <v>99.807512985931055</v>
      </c>
      <c r="M76" s="71">
        <f t="shared" si="40"/>
        <v>2.7368079999999999</v>
      </c>
      <c r="O76" s="215">
        <v>44935</v>
      </c>
      <c r="P76" s="204">
        <v>638468</v>
      </c>
      <c r="Q76" s="204">
        <v>932</v>
      </c>
      <c r="R76" s="204">
        <v>639400</v>
      </c>
      <c r="S76" s="71">
        <f t="shared" si="41"/>
        <v>99.854238348451673</v>
      </c>
      <c r="T76" s="71">
        <f t="shared" si="20"/>
        <v>0.63939999999999997</v>
      </c>
      <c r="V76" s="215">
        <v>44935</v>
      </c>
      <c r="W76" s="204">
        <v>1024676</v>
      </c>
      <c r="X76" s="204">
        <v>134</v>
      </c>
      <c r="Y76" s="204">
        <v>1024810</v>
      </c>
      <c r="Z76" s="71">
        <f t="shared" si="42"/>
        <v>99.986924405499551</v>
      </c>
      <c r="AA76" s="71">
        <f t="shared" si="21"/>
        <v>1.02481</v>
      </c>
      <c r="AC76" s="215">
        <v>44935</v>
      </c>
      <c r="AD76" s="204">
        <v>527508</v>
      </c>
      <c r="AE76" s="204">
        <v>640</v>
      </c>
      <c r="AF76" s="204">
        <v>528148</v>
      </c>
      <c r="AG76" s="71">
        <f t="shared" si="43"/>
        <v>99.878821845391812</v>
      </c>
      <c r="AH76" s="71">
        <f t="shared" si="22"/>
        <v>0.52814799999999995</v>
      </c>
      <c r="AJ76" s="215">
        <v>44935</v>
      </c>
      <c r="AK76" s="204">
        <v>527508</v>
      </c>
      <c r="AL76" s="204">
        <v>640</v>
      </c>
      <c r="AM76" s="204">
        <v>528148</v>
      </c>
      <c r="AN76" s="71">
        <f t="shared" si="44"/>
        <v>99.878821845391812</v>
      </c>
      <c r="AO76" s="246">
        <f t="shared" si="23"/>
        <v>0.52814799999999995</v>
      </c>
      <c r="AQ76" s="215">
        <v>44935</v>
      </c>
      <c r="AR76" s="204">
        <v>527508</v>
      </c>
      <c r="AS76" s="204">
        <v>640</v>
      </c>
      <c r="AT76" s="204">
        <v>528148</v>
      </c>
      <c r="AU76" s="71">
        <f t="shared" si="45"/>
        <v>99.878821845391812</v>
      </c>
      <c r="AV76" s="246">
        <f t="shared" si="24"/>
        <v>0.52814799999999995</v>
      </c>
      <c r="AX76" s="215">
        <v>44935</v>
      </c>
      <c r="AY76" s="204">
        <v>527508</v>
      </c>
      <c r="AZ76" s="204">
        <v>640</v>
      </c>
      <c r="BA76" s="204">
        <v>528148</v>
      </c>
      <c r="BB76" s="71">
        <f t="shared" si="46"/>
        <v>99.878821845391812</v>
      </c>
      <c r="BC76" s="246">
        <f t="shared" si="25"/>
        <v>0.52814799999999995</v>
      </c>
      <c r="BE76" s="215">
        <v>44935</v>
      </c>
      <c r="BF76" s="204">
        <v>527508</v>
      </c>
      <c r="BG76" s="204">
        <v>640</v>
      </c>
      <c r="BH76" s="204">
        <v>528148</v>
      </c>
      <c r="BI76" s="71">
        <f t="shared" si="47"/>
        <v>99.878821845391812</v>
      </c>
      <c r="BJ76" s="71">
        <f t="shared" si="26"/>
        <v>0.52814799999999995</v>
      </c>
      <c r="BL76" s="1"/>
      <c r="BM76" s="1"/>
      <c r="BN76" s="1"/>
      <c r="BO76" s="1"/>
      <c r="BP76" s="1"/>
      <c r="BQ76" s="247"/>
      <c r="BS76" s="48"/>
      <c r="BT76" s="48"/>
      <c r="BU76" s="48"/>
      <c r="BV76" s="48"/>
      <c r="BW76" s="48"/>
      <c r="BZ76" s="1"/>
      <c r="CA76" s="1"/>
      <c r="CB76" s="1"/>
      <c r="CC76" s="1"/>
      <c r="CE76" s="215">
        <v>44935</v>
      </c>
      <c r="CF76" s="1">
        <v>11780884</v>
      </c>
      <c r="CG76" s="1">
        <v>18166</v>
      </c>
      <c r="CH76" s="1">
        <v>11799050</v>
      </c>
      <c r="CI76" s="71">
        <f t="shared" si="27"/>
        <v>99.84603845224828</v>
      </c>
      <c r="CJ76" s="71">
        <f t="shared" si="28"/>
        <v>11.799049999999999</v>
      </c>
      <c r="CL76" s="140">
        <v>44928</v>
      </c>
      <c r="CM76" t="s">
        <v>240</v>
      </c>
      <c r="CN76">
        <v>2046</v>
      </c>
    </row>
    <row r="77" spans="1:92" hidden="1" x14ac:dyDescent="0.25">
      <c r="A77" s="215">
        <v>44936</v>
      </c>
      <c r="B77" s="48">
        <v>6607852</v>
      </c>
      <c r="C77" s="48">
        <v>2292</v>
      </c>
      <c r="D77" s="48">
        <v>6610144</v>
      </c>
      <c r="E77" s="71">
        <f t="shared" si="29"/>
        <v>99.965326020129069</v>
      </c>
      <c r="F77" s="71">
        <f t="shared" si="39"/>
        <v>6.610144</v>
      </c>
      <c r="H77" s="215">
        <v>44936</v>
      </c>
      <c r="I77" s="1">
        <v>2757656</v>
      </c>
      <c r="J77" s="1">
        <v>6490</v>
      </c>
      <c r="K77" s="1">
        <v>2764146</v>
      </c>
      <c r="L77" s="71">
        <f t="shared" si="37"/>
        <v>99.765207771224823</v>
      </c>
      <c r="M77" s="71">
        <f t="shared" si="40"/>
        <v>2.7641460000000002</v>
      </c>
      <c r="O77" s="215">
        <v>44936</v>
      </c>
      <c r="P77" s="1">
        <v>650768</v>
      </c>
      <c r="Q77" s="1">
        <v>2058</v>
      </c>
      <c r="R77" s="1">
        <v>652826</v>
      </c>
      <c r="S77" s="71">
        <f t="shared" si="41"/>
        <v>99.684755202764592</v>
      </c>
      <c r="T77" s="71">
        <f t="shared" si="20"/>
        <v>0.65282600000000002</v>
      </c>
      <c r="V77" s="215">
        <v>44936</v>
      </c>
      <c r="W77" s="1">
        <v>973618</v>
      </c>
      <c r="X77" s="1">
        <v>124</v>
      </c>
      <c r="Y77" s="1">
        <v>973742</v>
      </c>
      <c r="Z77" s="71">
        <f t="shared" si="42"/>
        <v>99.987265620667486</v>
      </c>
      <c r="AA77" s="71">
        <f t="shared" si="21"/>
        <v>0.973742</v>
      </c>
      <c r="AC77" s="215">
        <v>44936</v>
      </c>
      <c r="AD77" s="1">
        <v>584790</v>
      </c>
      <c r="AE77" s="1">
        <v>256</v>
      </c>
      <c r="AF77" s="1">
        <v>585046</v>
      </c>
      <c r="AG77" s="71">
        <f t="shared" si="43"/>
        <v>99.95624275697979</v>
      </c>
      <c r="AH77" s="71">
        <f t="shared" si="22"/>
        <v>0.58504599999999995</v>
      </c>
      <c r="AJ77" s="215">
        <v>44936</v>
      </c>
      <c r="AK77" s="48">
        <v>584790</v>
      </c>
      <c r="AL77" s="48">
        <v>256</v>
      </c>
      <c r="AM77" s="48">
        <v>585046</v>
      </c>
      <c r="AN77" s="71">
        <f t="shared" si="44"/>
        <v>99.95624275697979</v>
      </c>
      <c r="AO77" s="246">
        <f t="shared" si="23"/>
        <v>0.58504599999999995</v>
      </c>
      <c r="AQ77" s="215">
        <v>44936</v>
      </c>
      <c r="AR77" s="48">
        <v>584790</v>
      </c>
      <c r="AS77" s="48">
        <v>256</v>
      </c>
      <c r="AT77" s="48">
        <v>585046</v>
      </c>
      <c r="AU77" s="71">
        <f t="shared" si="45"/>
        <v>99.95624275697979</v>
      </c>
      <c r="AV77" s="246">
        <f t="shared" si="24"/>
        <v>0.58504599999999995</v>
      </c>
      <c r="AX77" s="215">
        <v>44936</v>
      </c>
      <c r="AY77" s="48">
        <v>584790</v>
      </c>
      <c r="AZ77" s="48">
        <v>256</v>
      </c>
      <c r="BA77" s="48">
        <v>585046</v>
      </c>
      <c r="BB77" s="71">
        <f t="shared" si="46"/>
        <v>99.95624275697979</v>
      </c>
      <c r="BC77" s="246">
        <f t="shared" si="25"/>
        <v>0.58504599999999995</v>
      </c>
      <c r="BE77" s="215">
        <v>44936</v>
      </c>
      <c r="BF77" s="1">
        <v>584790</v>
      </c>
      <c r="BG77" s="1">
        <v>256</v>
      </c>
      <c r="BH77" s="1">
        <v>585046</v>
      </c>
      <c r="BI77" s="71">
        <f t="shared" si="47"/>
        <v>99.95624275697979</v>
      </c>
      <c r="BJ77" s="71">
        <f t="shared" si="26"/>
        <v>0.58504599999999995</v>
      </c>
      <c r="BL77" s="1"/>
      <c r="BM77" s="1"/>
      <c r="BN77" s="1"/>
      <c r="BO77" s="1"/>
      <c r="BP77" s="1"/>
      <c r="BQ77" s="247"/>
      <c r="BS77" s="48"/>
      <c r="BT77" s="48"/>
      <c r="BU77" s="48"/>
      <c r="BV77" s="48"/>
      <c r="BW77" s="48"/>
      <c r="BZ77" s="1"/>
      <c r="CA77" s="1"/>
      <c r="CB77" s="1"/>
      <c r="CC77" s="1"/>
      <c r="CE77" s="215">
        <v>44936</v>
      </c>
      <c r="CF77" s="1">
        <v>11757790</v>
      </c>
      <c r="CG77" s="1">
        <v>17062</v>
      </c>
      <c r="CH77" s="1">
        <v>11774852</v>
      </c>
      <c r="CI77" s="71">
        <f t="shared" si="27"/>
        <v>99.855097966411805</v>
      </c>
      <c r="CJ77" s="71">
        <f t="shared" si="28"/>
        <v>11.774851999999999</v>
      </c>
      <c r="CL77" s="140">
        <v>44928</v>
      </c>
      <c r="CM77" t="s">
        <v>241</v>
      </c>
      <c r="CN77">
        <v>616</v>
      </c>
    </row>
    <row r="78" spans="1:92" hidden="1" x14ac:dyDescent="0.25">
      <c r="A78" s="215">
        <v>44937</v>
      </c>
      <c r="B78" s="48">
        <v>6158236</v>
      </c>
      <c r="C78" s="48">
        <v>7227</v>
      </c>
      <c r="D78" s="48">
        <v>6165463</v>
      </c>
      <c r="E78" s="71">
        <f t="shared" si="29"/>
        <v>99.882782525821668</v>
      </c>
      <c r="F78" s="71">
        <f t="shared" si="39"/>
        <v>6.1654629999999999</v>
      </c>
      <c r="H78" s="215">
        <v>44937</v>
      </c>
      <c r="I78" s="1">
        <v>2378167</v>
      </c>
      <c r="J78" s="1">
        <v>3527</v>
      </c>
      <c r="K78" s="1">
        <v>2381694</v>
      </c>
      <c r="L78" s="71">
        <f t="shared" si="37"/>
        <v>99.851912126410866</v>
      </c>
      <c r="M78" s="71">
        <f t="shared" si="40"/>
        <v>2.381694</v>
      </c>
      <c r="O78" s="215">
        <v>44937</v>
      </c>
      <c r="P78" s="1">
        <v>595642</v>
      </c>
      <c r="Q78" s="1">
        <v>516</v>
      </c>
      <c r="R78" s="1">
        <v>596158</v>
      </c>
      <c r="S78" s="71">
        <f t="shared" si="41"/>
        <v>99.913445764377897</v>
      </c>
      <c r="T78" s="71">
        <f t="shared" si="20"/>
        <v>0.59615799999999997</v>
      </c>
      <c r="V78" s="215">
        <v>44937</v>
      </c>
      <c r="W78" s="1">
        <v>889241</v>
      </c>
      <c r="X78" s="1">
        <v>584</v>
      </c>
      <c r="Y78" s="1">
        <v>889825</v>
      </c>
      <c r="Z78" s="71">
        <f t="shared" si="42"/>
        <v>99.934369117523104</v>
      </c>
      <c r="AA78" s="71">
        <f t="shared" si="21"/>
        <v>0.88982499999999998</v>
      </c>
      <c r="AC78" s="215">
        <v>44937</v>
      </c>
      <c r="AD78" s="1">
        <v>536051</v>
      </c>
      <c r="AE78" s="1">
        <v>268</v>
      </c>
      <c r="AF78" s="1">
        <v>536319</v>
      </c>
      <c r="AG78" s="71">
        <f t="shared" si="43"/>
        <v>99.950029739763096</v>
      </c>
      <c r="AH78" s="71">
        <f t="shared" si="22"/>
        <v>0.53631899999999999</v>
      </c>
      <c r="AJ78" s="215">
        <v>44937</v>
      </c>
      <c r="AK78" s="48">
        <v>536051</v>
      </c>
      <c r="AL78" s="48">
        <v>268</v>
      </c>
      <c r="AM78" s="48">
        <v>536319</v>
      </c>
      <c r="AN78" s="71">
        <f t="shared" si="44"/>
        <v>99.950029739763096</v>
      </c>
      <c r="AO78" s="246">
        <f t="shared" si="23"/>
        <v>0.53631899999999999</v>
      </c>
      <c r="AQ78" s="215">
        <v>44937</v>
      </c>
      <c r="AR78" s="48">
        <v>536051</v>
      </c>
      <c r="AS78" s="48">
        <v>268</v>
      </c>
      <c r="AT78" s="48">
        <v>536319</v>
      </c>
      <c r="AU78" s="71">
        <f t="shared" si="45"/>
        <v>99.950029739763096</v>
      </c>
      <c r="AV78" s="246">
        <f t="shared" si="24"/>
        <v>0.53631899999999999</v>
      </c>
      <c r="AX78" s="215">
        <v>44937</v>
      </c>
      <c r="AY78" s="48">
        <v>536051</v>
      </c>
      <c r="AZ78" s="48">
        <v>268</v>
      </c>
      <c r="BA78" s="48">
        <v>536319</v>
      </c>
      <c r="BB78" s="71">
        <f t="shared" si="46"/>
        <v>99.950029739763096</v>
      </c>
      <c r="BC78" s="246">
        <f t="shared" si="25"/>
        <v>0.53631899999999999</v>
      </c>
      <c r="BE78" s="215">
        <v>44937</v>
      </c>
      <c r="BF78" s="1">
        <v>536051</v>
      </c>
      <c r="BG78" s="1">
        <v>268</v>
      </c>
      <c r="BH78" s="1">
        <v>536319</v>
      </c>
      <c r="BI78" s="71">
        <f t="shared" si="47"/>
        <v>99.950029739763096</v>
      </c>
      <c r="BJ78" s="71">
        <f t="shared" si="26"/>
        <v>0.53631899999999999</v>
      </c>
      <c r="BL78" s="1"/>
      <c r="BM78" s="1"/>
      <c r="BN78" s="1"/>
      <c r="BO78" s="1"/>
      <c r="BP78" s="1"/>
      <c r="BQ78" s="247"/>
      <c r="BS78" s="48"/>
      <c r="BT78" s="48"/>
      <c r="BU78" s="48"/>
      <c r="BV78" s="48"/>
      <c r="BW78" s="48"/>
      <c r="BZ78" s="1"/>
      <c r="CA78" s="1"/>
      <c r="CB78" s="1"/>
      <c r="CC78" s="1"/>
      <c r="CE78" s="215">
        <v>44937</v>
      </c>
      <c r="CF78" s="1">
        <v>10862699</v>
      </c>
      <c r="CG78" s="1">
        <v>18158</v>
      </c>
      <c r="CH78" s="1">
        <v>10880857</v>
      </c>
      <c r="CI78" s="71">
        <f t="shared" si="27"/>
        <v>99.8331197625334</v>
      </c>
      <c r="CJ78" s="71">
        <f t="shared" si="28"/>
        <v>10.880857000000001</v>
      </c>
      <c r="CL78" s="140">
        <v>44929</v>
      </c>
      <c r="CM78" t="s">
        <v>238</v>
      </c>
      <c r="CN78">
        <v>6830</v>
      </c>
    </row>
    <row r="79" spans="1:92" hidden="1" x14ac:dyDescent="0.25">
      <c r="A79" s="215">
        <v>44938</v>
      </c>
      <c r="B79" s="48">
        <v>5158798</v>
      </c>
      <c r="C79" s="48">
        <v>6416</v>
      </c>
      <c r="D79" s="48">
        <v>5165214</v>
      </c>
      <c r="E79" s="71">
        <f t="shared" si="29"/>
        <v>99.875784430228833</v>
      </c>
      <c r="F79" s="71">
        <f t="shared" si="39"/>
        <v>5.1652139999999997</v>
      </c>
      <c r="H79" s="215">
        <v>44938</v>
      </c>
      <c r="I79" s="1">
        <v>2553568</v>
      </c>
      <c r="J79" s="1">
        <v>7586</v>
      </c>
      <c r="K79" s="1">
        <v>2561154</v>
      </c>
      <c r="L79" s="71">
        <f t="shared" si="37"/>
        <v>99.703805393974747</v>
      </c>
      <c r="M79" s="71">
        <f t="shared" si="40"/>
        <v>2.5611540000000002</v>
      </c>
      <c r="O79" s="215">
        <v>44938</v>
      </c>
      <c r="P79" s="1">
        <v>628404</v>
      </c>
      <c r="Q79" s="1">
        <v>520</v>
      </c>
      <c r="R79" s="1">
        <v>628924</v>
      </c>
      <c r="S79" s="71">
        <f t="shared" si="41"/>
        <v>99.917319103739089</v>
      </c>
      <c r="T79" s="71">
        <f t="shared" si="20"/>
        <v>0.62892400000000004</v>
      </c>
      <c r="V79" s="215">
        <v>44938</v>
      </c>
      <c r="W79" s="1">
        <v>958556</v>
      </c>
      <c r="X79" s="1">
        <v>832</v>
      </c>
      <c r="Y79" s="1">
        <v>959388</v>
      </c>
      <c r="Z79" s="71">
        <f t="shared" si="42"/>
        <v>99.913278048088998</v>
      </c>
      <c r="AA79" s="71">
        <f t="shared" si="21"/>
        <v>0.95938800000000002</v>
      </c>
      <c r="AC79" s="215">
        <v>44938</v>
      </c>
      <c r="AD79" s="1">
        <v>566294</v>
      </c>
      <c r="AE79" s="1">
        <v>700</v>
      </c>
      <c r="AF79" s="1">
        <v>566994</v>
      </c>
      <c r="AG79" s="71">
        <f t="shared" si="43"/>
        <v>99.876541903441662</v>
      </c>
      <c r="AH79" s="71">
        <f t="shared" si="22"/>
        <v>0.566994</v>
      </c>
      <c r="AJ79" s="215">
        <v>44938</v>
      </c>
      <c r="AK79" s="48">
        <v>566294</v>
      </c>
      <c r="AL79" s="48">
        <v>700</v>
      </c>
      <c r="AM79" s="48">
        <v>566994</v>
      </c>
      <c r="AN79" s="71">
        <f t="shared" si="44"/>
        <v>99.876541903441662</v>
      </c>
      <c r="AO79" s="246">
        <f t="shared" si="23"/>
        <v>0.566994</v>
      </c>
      <c r="AQ79" s="215">
        <v>44938</v>
      </c>
      <c r="AR79" s="48">
        <v>566294</v>
      </c>
      <c r="AS79" s="48">
        <v>700</v>
      </c>
      <c r="AT79" s="48">
        <v>566994</v>
      </c>
      <c r="AU79" s="71">
        <f t="shared" si="45"/>
        <v>99.876541903441662</v>
      </c>
      <c r="AV79" s="246">
        <f t="shared" si="24"/>
        <v>0.566994</v>
      </c>
      <c r="AX79" s="215">
        <v>44938</v>
      </c>
      <c r="AY79" s="48">
        <v>566294</v>
      </c>
      <c r="AZ79" s="48">
        <v>700</v>
      </c>
      <c r="BA79" s="48">
        <v>566994</v>
      </c>
      <c r="BB79" s="71">
        <f t="shared" si="46"/>
        <v>99.876541903441662</v>
      </c>
      <c r="BC79" s="246">
        <f t="shared" si="25"/>
        <v>0.566994</v>
      </c>
      <c r="BE79" s="215">
        <v>44938</v>
      </c>
      <c r="BF79" s="1">
        <v>566294</v>
      </c>
      <c r="BG79" s="1">
        <v>700</v>
      </c>
      <c r="BH79" s="1">
        <v>566994</v>
      </c>
      <c r="BI79" s="71">
        <f t="shared" si="47"/>
        <v>99.876541903441662</v>
      </c>
      <c r="BJ79" s="71">
        <f t="shared" si="26"/>
        <v>0.566994</v>
      </c>
      <c r="BL79" s="1"/>
      <c r="BM79" s="1"/>
      <c r="BN79" s="1"/>
      <c r="BO79" s="1"/>
      <c r="BP79" s="1"/>
      <c r="BQ79" s="247"/>
      <c r="BS79" s="48"/>
      <c r="BT79" s="48"/>
      <c r="BU79" s="48"/>
      <c r="BV79" s="48"/>
      <c r="BW79" s="48"/>
      <c r="BZ79" s="1"/>
      <c r="CA79" s="1"/>
      <c r="CB79" s="1"/>
      <c r="CC79" s="1"/>
      <c r="CE79" s="215">
        <v>44938</v>
      </c>
      <c r="CF79" s="1">
        <v>11394032</v>
      </c>
      <c r="CG79" s="1">
        <v>23378</v>
      </c>
      <c r="CH79" s="1">
        <v>11417410</v>
      </c>
      <c r="CI79" s="71">
        <f t="shared" si="27"/>
        <v>99.795242528734633</v>
      </c>
      <c r="CJ79" s="71">
        <f t="shared" si="28"/>
        <v>11.41741</v>
      </c>
      <c r="CL79" s="140">
        <v>44929</v>
      </c>
      <c r="CM79" t="s">
        <v>237</v>
      </c>
      <c r="CN79">
        <v>6322</v>
      </c>
    </row>
    <row r="80" spans="1:92" hidden="1" x14ac:dyDescent="0.25">
      <c r="A80" s="215">
        <v>44939</v>
      </c>
      <c r="B80" s="48">
        <v>6327458</v>
      </c>
      <c r="C80" s="48">
        <v>6718</v>
      </c>
      <c r="D80" s="48">
        <v>6334176</v>
      </c>
      <c r="E80" s="71">
        <f t="shared" si="29"/>
        <v>99.893940427294723</v>
      </c>
      <c r="F80" s="71">
        <f t="shared" si="39"/>
        <v>6.3341760000000003</v>
      </c>
      <c r="H80" s="215">
        <v>44939</v>
      </c>
      <c r="I80" s="1">
        <v>2666619</v>
      </c>
      <c r="J80" s="1">
        <v>2381</v>
      </c>
      <c r="K80" s="1">
        <v>2669000</v>
      </c>
      <c r="L80" s="71">
        <f t="shared" si="37"/>
        <v>99.910790558261525</v>
      </c>
      <c r="M80" s="71">
        <f t="shared" si="40"/>
        <v>2.669</v>
      </c>
      <c r="O80" s="215">
        <v>44939</v>
      </c>
      <c r="P80" s="1">
        <v>638648</v>
      </c>
      <c r="Q80" s="1">
        <v>531</v>
      </c>
      <c r="R80" s="1">
        <v>639179</v>
      </c>
      <c r="S80" s="71">
        <f t="shared" si="41"/>
        <v>99.91692467994099</v>
      </c>
      <c r="T80" s="71">
        <f t="shared" si="20"/>
        <v>0.63917900000000005</v>
      </c>
      <c r="V80" s="215">
        <v>44939</v>
      </c>
      <c r="W80" s="1">
        <v>962369</v>
      </c>
      <c r="X80" s="1">
        <v>804</v>
      </c>
      <c r="Y80" s="1">
        <v>963173</v>
      </c>
      <c r="Z80" s="71">
        <f t="shared" si="42"/>
        <v>99.916525899293276</v>
      </c>
      <c r="AA80" s="71">
        <f t="shared" si="21"/>
        <v>0.96317299999999995</v>
      </c>
      <c r="AC80" s="215">
        <v>44939</v>
      </c>
      <c r="AD80" s="1">
        <v>557537</v>
      </c>
      <c r="AE80" s="1">
        <v>846</v>
      </c>
      <c r="AF80" s="1">
        <v>558383</v>
      </c>
      <c r="AG80" s="71">
        <f t="shared" si="43"/>
        <v>99.848491089449354</v>
      </c>
      <c r="AH80" s="71">
        <f t="shared" si="22"/>
        <v>0.55838299999999996</v>
      </c>
      <c r="AJ80" s="215">
        <v>44939</v>
      </c>
      <c r="AK80" s="48">
        <v>557537</v>
      </c>
      <c r="AL80" s="48">
        <v>846</v>
      </c>
      <c r="AM80" s="48">
        <v>558383</v>
      </c>
      <c r="AN80" s="71">
        <f t="shared" si="44"/>
        <v>99.848491089449354</v>
      </c>
      <c r="AO80" s="246">
        <f t="shared" si="23"/>
        <v>0.55838299999999996</v>
      </c>
      <c r="AQ80" s="215">
        <v>44939</v>
      </c>
      <c r="AR80" s="48">
        <v>557537</v>
      </c>
      <c r="AS80" s="48">
        <v>846</v>
      </c>
      <c r="AT80" s="48">
        <v>558383</v>
      </c>
      <c r="AU80" s="71">
        <f t="shared" si="45"/>
        <v>99.848491089449354</v>
      </c>
      <c r="AV80" s="246">
        <f t="shared" si="24"/>
        <v>0.55838299999999996</v>
      </c>
      <c r="AX80" s="215">
        <v>44939</v>
      </c>
      <c r="AY80" s="48">
        <v>557537</v>
      </c>
      <c r="AZ80" s="48">
        <v>846</v>
      </c>
      <c r="BA80" s="48">
        <v>558383</v>
      </c>
      <c r="BB80" s="71">
        <f t="shared" si="46"/>
        <v>99.848491089449354</v>
      </c>
      <c r="BC80" s="246">
        <f t="shared" si="25"/>
        <v>0.55838299999999996</v>
      </c>
      <c r="BE80" s="215">
        <v>44939</v>
      </c>
      <c r="BF80" s="1">
        <v>557537</v>
      </c>
      <c r="BG80" s="1">
        <v>846</v>
      </c>
      <c r="BH80" s="1">
        <v>558383</v>
      </c>
      <c r="BI80" s="71">
        <f t="shared" si="47"/>
        <v>99.848491089449354</v>
      </c>
      <c r="BJ80" s="71">
        <f t="shared" si="26"/>
        <v>0.55838299999999996</v>
      </c>
      <c r="BL80" s="1"/>
      <c r="BM80" s="1"/>
      <c r="BN80" s="1"/>
      <c r="BO80" s="1"/>
      <c r="BP80" s="1"/>
      <c r="BQ80" s="247"/>
      <c r="BS80" s="48"/>
      <c r="BT80" s="48"/>
      <c r="BU80" s="48"/>
      <c r="BV80" s="48"/>
      <c r="BW80" s="48"/>
      <c r="BZ80" s="1"/>
      <c r="CA80" s="1"/>
      <c r="CB80" s="1"/>
      <c r="CC80" s="1"/>
      <c r="CE80" s="215">
        <v>44939</v>
      </c>
      <c r="CF80" s="1">
        <v>11402498</v>
      </c>
      <c r="CG80" s="1">
        <v>18506</v>
      </c>
      <c r="CH80" s="1">
        <v>11421004</v>
      </c>
      <c r="CI80" s="71">
        <f t="shared" si="27"/>
        <v>99.837965208662922</v>
      </c>
      <c r="CJ80" s="71">
        <f t="shared" si="28"/>
        <v>11.421004</v>
      </c>
      <c r="CL80" s="140">
        <v>44929</v>
      </c>
      <c r="CM80" t="s">
        <v>240</v>
      </c>
      <c r="CN80">
        <v>1902</v>
      </c>
    </row>
    <row r="81" spans="1:92" hidden="1" x14ac:dyDescent="0.25">
      <c r="A81" s="215">
        <v>44940</v>
      </c>
      <c r="B81" s="48">
        <v>5124260</v>
      </c>
      <c r="C81" s="48">
        <v>1844</v>
      </c>
      <c r="D81" s="48">
        <v>5126104</v>
      </c>
      <c r="E81" s="48">
        <v>99.96</v>
      </c>
      <c r="F81" s="71">
        <f t="shared" si="39"/>
        <v>5.1261039999999998</v>
      </c>
      <c r="H81" s="215">
        <v>44940</v>
      </c>
      <c r="I81" s="1">
        <v>2642938</v>
      </c>
      <c r="J81" s="1">
        <v>2284</v>
      </c>
      <c r="K81" s="1">
        <v>2645222</v>
      </c>
      <c r="L81" s="1">
        <v>99.91</v>
      </c>
      <c r="M81" s="71">
        <f t="shared" si="40"/>
        <v>2.645222</v>
      </c>
      <c r="O81" s="215">
        <v>44940</v>
      </c>
      <c r="P81" s="1">
        <v>636774</v>
      </c>
      <c r="Q81" s="1">
        <v>540</v>
      </c>
      <c r="R81" s="1">
        <v>637314</v>
      </c>
      <c r="S81" s="1">
        <v>99.92</v>
      </c>
      <c r="T81" s="71">
        <f t="shared" si="20"/>
        <v>0.63731400000000005</v>
      </c>
      <c r="V81" s="215">
        <v>44940</v>
      </c>
      <c r="W81" s="1">
        <v>997036</v>
      </c>
      <c r="X81" s="1">
        <v>182</v>
      </c>
      <c r="Y81" s="1">
        <v>997218</v>
      </c>
      <c r="Z81" s="1">
        <v>99.98</v>
      </c>
      <c r="AA81" s="71">
        <f>Y81/1000000</f>
        <v>0.99721800000000005</v>
      </c>
      <c r="AC81" s="215">
        <v>44940</v>
      </c>
      <c r="AD81" s="1">
        <v>578238</v>
      </c>
      <c r="AE81" s="1">
        <v>360</v>
      </c>
      <c r="AF81" s="1">
        <v>578598</v>
      </c>
      <c r="AG81" s="1">
        <v>99.94</v>
      </c>
      <c r="AH81" s="71">
        <f t="shared" si="22"/>
        <v>0.57859799999999995</v>
      </c>
      <c r="AJ81" s="215">
        <v>44940</v>
      </c>
      <c r="AK81" s="48">
        <v>578238</v>
      </c>
      <c r="AL81" s="48">
        <v>360</v>
      </c>
      <c r="AM81" s="48">
        <v>578598</v>
      </c>
      <c r="AN81" s="48">
        <v>99.94</v>
      </c>
      <c r="AO81" s="246">
        <f t="shared" si="23"/>
        <v>0.57859799999999995</v>
      </c>
      <c r="AQ81" s="215">
        <v>44940</v>
      </c>
      <c r="AR81" s="48">
        <v>578238</v>
      </c>
      <c r="AS81" s="48">
        <v>360</v>
      </c>
      <c r="AT81" s="48">
        <v>578598</v>
      </c>
      <c r="AU81" s="48">
        <v>99.94</v>
      </c>
      <c r="AV81" s="246">
        <f t="shared" si="24"/>
        <v>0.57859799999999995</v>
      </c>
      <c r="AX81" s="215">
        <v>44940</v>
      </c>
      <c r="AY81" s="48">
        <v>578238</v>
      </c>
      <c r="AZ81" s="48">
        <v>360</v>
      </c>
      <c r="BA81" s="48">
        <v>578598</v>
      </c>
      <c r="BB81" s="48">
        <v>99.94</v>
      </c>
      <c r="BC81" s="246">
        <f t="shared" si="25"/>
        <v>0.57859799999999995</v>
      </c>
      <c r="BE81" s="215">
        <v>44940</v>
      </c>
      <c r="BF81" s="1">
        <v>578238</v>
      </c>
      <c r="BG81" s="1">
        <v>360</v>
      </c>
      <c r="BH81" s="1">
        <v>578598</v>
      </c>
      <c r="BI81" s="1">
        <v>99.94</v>
      </c>
      <c r="BJ81" s="71">
        <f t="shared" si="26"/>
        <v>0.57859799999999995</v>
      </c>
      <c r="BL81" s="1"/>
      <c r="BM81" s="1"/>
      <c r="BN81" s="1"/>
      <c r="BO81" s="1"/>
      <c r="BP81" s="1"/>
      <c r="BQ81" s="247"/>
      <c r="BS81" s="48"/>
      <c r="BT81" s="48"/>
      <c r="BU81" s="48"/>
      <c r="BV81" s="48"/>
      <c r="BW81" s="48"/>
      <c r="BZ81" s="1"/>
      <c r="CA81" s="1"/>
      <c r="CB81" s="1"/>
      <c r="CC81" s="1"/>
      <c r="CE81" s="215">
        <v>44940</v>
      </c>
      <c r="CF81" s="1">
        <v>11466096</v>
      </c>
      <c r="CG81" s="1">
        <v>15564</v>
      </c>
      <c r="CH81" s="1">
        <v>11481660</v>
      </c>
      <c r="CI81" s="71">
        <f t="shared" si="27"/>
        <v>99.864444688311622</v>
      </c>
      <c r="CJ81" s="71">
        <f t="shared" si="28"/>
        <v>11.48166</v>
      </c>
      <c r="CL81" s="140">
        <v>44929</v>
      </c>
      <c r="CM81" t="s">
        <v>241</v>
      </c>
      <c r="CN81">
        <v>738</v>
      </c>
    </row>
    <row r="82" spans="1:92" hidden="1" x14ac:dyDescent="0.25">
      <c r="A82" s="215">
        <v>44941</v>
      </c>
      <c r="B82" s="204">
        <v>4236954</v>
      </c>
      <c r="C82" s="204">
        <v>1374</v>
      </c>
      <c r="D82" s="204">
        <v>4238328</v>
      </c>
      <c r="E82" s="204">
        <v>99.97</v>
      </c>
      <c r="F82" s="71">
        <f t="shared" si="39"/>
        <v>4.2383280000000001</v>
      </c>
      <c r="H82" s="215">
        <v>44941</v>
      </c>
      <c r="I82" s="204">
        <v>2533730</v>
      </c>
      <c r="J82" s="204">
        <v>2088</v>
      </c>
      <c r="K82" s="204">
        <v>2535818</v>
      </c>
      <c r="L82" s="204">
        <v>99.92</v>
      </c>
      <c r="M82" s="71">
        <f t="shared" si="40"/>
        <v>2.5358179999999999</v>
      </c>
      <c r="O82" s="215">
        <v>44941</v>
      </c>
      <c r="P82" s="204">
        <v>635814</v>
      </c>
      <c r="Q82" s="204">
        <v>450</v>
      </c>
      <c r="R82" s="204">
        <v>636264</v>
      </c>
      <c r="S82" s="204">
        <v>99.93</v>
      </c>
      <c r="T82" s="71">
        <f t="shared" si="20"/>
        <v>0.63626400000000005</v>
      </c>
      <c r="V82" s="215">
        <v>44941</v>
      </c>
      <c r="W82" s="204">
        <v>917084</v>
      </c>
      <c r="X82" s="204">
        <v>178</v>
      </c>
      <c r="Y82" s="204">
        <v>917262</v>
      </c>
      <c r="Z82" s="204">
        <v>99.98</v>
      </c>
      <c r="AA82" s="71">
        <f t="shared" si="21"/>
        <v>0.91726200000000002</v>
      </c>
      <c r="AC82" s="215">
        <v>44941</v>
      </c>
      <c r="AD82" s="204">
        <v>495476</v>
      </c>
      <c r="AE82" s="204">
        <v>224</v>
      </c>
      <c r="AF82" s="204">
        <v>495700</v>
      </c>
      <c r="AG82" s="204">
        <v>99.95</v>
      </c>
      <c r="AH82" s="71">
        <f t="shared" si="22"/>
        <v>0.49569999999999997</v>
      </c>
      <c r="AJ82" s="215">
        <v>44941</v>
      </c>
      <c r="AK82" s="204">
        <v>495476</v>
      </c>
      <c r="AL82" s="204">
        <v>224</v>
      </c>
      <c r="AM82" s="204">
        <v>495700</v>
      </c>
      <c r="AN82" s="204">
        <v>99.95</v>
      </c>
      <c r="AO82" s="246">
        <f t="shared" si="23"/>
        <v>0.49569999999999997</v>
      </c>
      <c r="AQ82" s="215">
        <v>44941</v>
      </c>
      <c r="AR82" s="204">
        <v>495476</v>
      </c>
      <c r="AS82" s="204">
        <v>224</v>
      </c>
      <c r="AT82" s="204">
        <v>495700</v>
      </c>
      <c r="AU82" s="204">
        <v>99.95</v>
      </c>
      <c r="AV82" s="246">
        <f t="shared" si="24"/>
        <v>0.49569999999999997</v>
      </c>
      <c r="AX82" s="215">
        <v>44941</v>
      </c>
      <c r="AY82" s="204">
        <v>495476</v>
      </c>
      <c r="AZ82" s="204">
        <v>224</v>
      </c>
      <c r="BA82" s="204">
        <v>495700</v>
      </c>
      <c r="BB82" s="204">
        <v>99.95</v>
      </c>
      <c r="BC82" s="246">
        <f t="shared" si="25"/>
        <v>0.49569999999999997</v>
      </c>
      <c r="BE82" s="215">
        <v>44941</v>
      </c>
      <c r="BF82" s="204">
        <v>495476</v>
      </c>
      <c r="BG82" s="204">
        <v>224</v>
      </c>
      <c r="BH82" s="204">
        <v>495700</v>
      </c>
      <c r="BI82" s="204">
        <v>99.95</v>
      </c>
      <c r="BJ82" s="71">
        <f t="shared" si="26"/>
        <v>0.49569999999999997</v>
      </c>
      <c r="BL82" s="1"/>
      <c r="BM82" s="1"/>
      <c r="BN82" s="1"/>
      <c r="BO82" s="1"/>
      <c r="BP82" s="1"/>
      <c r="BQ82" s="247"/>
      <c r="BS82" s="48"/>
      <c r="BT82" s="48"/>
      <c r="BU82" s="48"/>
      <c r="BV82" s="48"/>
      <c r="BW82" s="48"/>
      <c r="BZ82" s="1"/>
      <c r="CA82" s="1"/>
      <c r="CB82" s="1"/>
      <c r="CC82" s="1"/>
      <c r="CE82" s="215">
        <v>44941</v>
      </c>
      <c r="CF82" s="1">
        <v>10214332</v>
      </c>
      <c r="CG82" s="1">
        <v>11852</v>
      </c>
      <c r="CH82" s="1">
        <v>10226184</v>
      </c>
      <c r="CI82" s="71">
        <f t="shared" si="27"/>
        <v>99.884101439989735</v>
      </c>
      <c r="CJ82" s="71">
        <f t="shared" si="28"/>
        <v>10.226184</v>
      </c>
      <c r="CL82" s="140">
        <v>44929</v>
      </c>
      <c r="CM82" t="s">
        <v>239</v>
      </c>
      <c r="CN82">
        <v>710</v>
      </c>
    </row>
    <row r="83" spans="1:92" hidden="1" x14ac:dyDescent="0.25">
      <c r="A83" s="215">
        <v>44942</v>
      </c>
      <c r="B83" s="48">
        <v>6464476</v>
      </c>
      <c r="C83" s="48">
        <v>4732</v>
      </c>
      <c r="D83" s="48">
        <v>6469208</v>
      </c>
      <c r="E83" s="71">
        <f>B83/D83*100</f>
        <v>99.926853488093144</v>
      </c>
      <c r="F83" s="71">
        <f t="shared" si="39"/>
        <v>6.4692080000000001</v>
      </c>
      <c r="H83" s="215">
        <v>44942</v>
      </c>
      <c r="I83" s="1">
        <v>2613432</v>
      </c>
      <c r="J83" s="1">
        <v>5180</v>
      </c>
      <c r="K83" s="1">
        <v>2618612</v>
      </c>
      <c r="L83" s="71">
        <f t="shared" ref="L83:L89" si="48">I83/K83*100</f>
        <v>99.802185279835271</v>
      </c>
      <c r="M83" s="71">
        <f t="shared" si="40"/>
        <v>2.6186120000000002</v>
      </c>
      <c r="O83" s="215">
        <v>44942</v>
      </c>
      <c r="P83" s="1">
        <v>638526</v>
      </c>
      <c r="Q83" s="1">
        <v>888</v>
      </c>
      <c r="R83" s="1">
        <v>639414</v>
      </c>
      <c r="S83" s="71">
        <f t="shared" ref="S83:S89" si="49">P83/R83*100</f>
        <v>99.861122840600927</v>
      </c>
      <c r="T83" s="71">
        <f t="shared" si="20"/>
        <v>0.63941400000000004</v>
      </c>
      <c r="V83" s="215">
        <v>44942</v>
      </c>
      <c r="W83" s="1">
        <v>996326</v>
      </c>
      <c r="X83" s="1">
        <v>660</v>
      </c>
      <c r="Y83" s="1">
        <v>996986</v>
      </c>
      <c r="Z83" s="71">
        <f>W83/Y83*100</f>
        <v>99.933800474630544</v>
      </c>
      <c r="AA83" s="71">
        <f>Y83/1000000</f>
        <v>0.99698600000000004</v>
      </c>
      <c r="AC83" s="215">
        <v>44942</v>
      </c>
      <c r="AD83" s="1">
        <v>519882</v>
      </c>
      <c r="AE83" s="1">
        <v>126</v>
      </c>
      <c r="AF83" s="1">
        <v>520008</v>
      </c>
      <c r="AG83" s="71">
        <f>AD83/AF83*100</f>
        <v>99.975769603544563</v>
      </c>
      <c r="AH83" s="71">
        <f t="shared" si="22"/>
        <v>0.52000800000000003</v>
      </c>
      <c r="AJ83" s="215">
        <v>44942</v>
      </c>
      <c r="AK83" s="48">
        <v>519882</v>
      </c>
      <c r="AL83" s="48">
        <v>126</v>
      </c>
      <c r="AM83" s="48">
        <v>520008</v>
      </c>
      <c r="AN83" s="71">
        <f>AK83/AM83*100</f>
        <v>99.975769603544563</v>
      </c>
      <c r="AO83" s="246">
        <f t="shared" si="23"/>
        <v>0.52000800000000003</v>
      </c>
      <c r="AQ83" s="215">
        <v>44942</v>
      </c>
      <c r="AR83" s="48">
        <v>519882</v>
      </c>
      <c r="AS83" s="48">
        <v>126</v>
      </c>
      <c r="AT83" s="48">
        <v>520008</v>
      </c>
      <c r="AU83" s="71">
        <f>AR83/AT83*100</f>
        <v>99.975769603544563</v>
      </c>
      <c r="AV83" s="246">
        <f t="shared" si="24"/>
        <v>0.52000800000000003</v>
      </c>
      <c r="AX83" s="215">
        <v>44942</v>
      </c>
      <c r="AY83" s="48">
        <v>519882</v>
      </c>
      <c r="AZ83" s="48">
        <v>126</v>
      </c>
      <c r="BA83" s="48">
        <v>520008</v>
      </c>
      <c r="BB83" s="71">
        <f>AY83/BA83*100</f>
        <v>99.975769603544563</v>
      </c>
      <c r="BC83" s="246">
        <f t="shared" si="25"/>
        <v>0.52000800000000003</v>
      </c>
      <c r="BE83" s="215">
        <v>44942</v>
      </c>
      <c r="BF83" s="1">
        <v>519882</v>
      </c>
      <c r="BG83" s="1">
        <v>126</v>
      </c>
      <c r="BH83" s="1">
        <v>520008</v>
      </c>
      <c r="BI83" s="71">
        <f>BF83/BH83*100</f>
        <v>99.975769603544563</v>
      </c>
      <c r="BJ83" s="71">
        <f t="shared" si="26"/>
        <v>0.52000800000000003</v>
      </c>
      <c r="BL83" s="1"/>
      <c r="BM83" s="1"/>
      <c r="BN83" s="1"/>
      <c r="BO83" s="1"/>
      <c r="BP83" s="1"/>
      <c r="BQ83" s="247"/>
      <c r="BS83" s="48"/>
      <c r="BT83" s="48"/>
      <c r="BU83" s="48"/>
      <c r="BV83" s="48"/>
      <c r="BW83" s="48"/>
      <c r="BZ83" s="1"/>
      <c r="CA83" s="1"/>
      <c r="CB83" s="1"/>
      <c r="CC83" s="1"/>
      <c r="CE83" s="215">
        <v>44942</v>
      </c>
      <c r="CF83" s="1">
        <v>11372482</v>
      </c>
      <c r="CG83" s="1">
        <v>17584</v>
      </c>
      <c r="CH83" s="1">
        <v>11390066</v>
      </c>
      <c r="CI83" s="71">
        <f t="shared" si="27"/>
        <v>99.845619858567986</v>
      </c>
      <c r="CJ83" s="71">
        <f t="shared" si="28"/>
        <v>11.390065999999999</v>
      </c>
      <c r="CL83" s="140">
        <v>44930</v>
      </c>
      <c r="CM83" t="s">
        <v>239</v>
      </c>
      <c r="CN83">
        <v>48616</v>
      </c>
    </row>
    <row r="84" spans="1:92" hidden="1" x14ac:dyDescent="0.25">
      <c r="A84" s="215">
        <v>44943</v>
      </c>
      <c r="B84" s="48">
        <v>6009000</v>
      </c>
      <c r="C84" s="48">
        <v>2490</v>
      </c>
      <c r="D84" s="48">
        <v>6011490</v>
      </c>
      <c r="E84" s="71">
        <f>B84/D84*100</f>
        <v>99.958579320601046</v>
      </c>
      <c r="F84" s="71">
        <f t="shared" si="39"/>
        <v>6.0114900000000002</v>
      </c>
      <c r="H84" s="215">
        <v>44943</v>
      </c>
      <c r="I84" s="1">
        <v>2501885</v>
      </c>
      <c r="J84" s="1">
        <v>6002</v>
      </c>
      <c r="K84" s="1">
        <v>2507887</v>
      </c>
      <c r="L84" s="71">
        <f t="shared" si="48"/>
        <v>99.760675022439202</v>
      </c>
      <c r="M84" s="71">
        <f t="shared" si="40"/>
        <v>2.5078870000000002</v>
      </c>
      <c r="O84" s="215">
        <v>44943</v>
      </c>
      <c r="P84" s="1">
        <v>596237</v>
      </c>
      <c r="Q84" s="1">
        <v>589</v>
      </c>
      <c r="R84" s="1">
        <v>596826</v>
      </c>
      <c r="S84" s="71">
        <f>P84/R84*100</f>
        <v>99.901311269951378</v>
      </c>
      <c r="T84" s="71">
        <f t="shared" si="20"/>
        <v>0.59682599999999997</v>
      </c>
      <c r="V84" s="215">
        <v>44943</v>
      </c>
      <c r="W84" s="1">
        <v>899778</v>
      </c>
      <c r="X84" s="1">
        <v>155</v>
      </c>
      <c r="Y84" s="1">
        <v>899933</v>
      </c>
      <c r="Z84" s="71">
        <f>W84/Y84*100</f>
        <v>99.982776495583565</v>
      </c>
      <c r="AA84" s="71">
        <f t="shared" si="21"/>
        <v>0.89993299999999998</v>
      </c>
      <c r="AC84" s="215">
        <v>44943</v>
      </c>
      <c r="AD84" s="1">
        <v>557286</v>
      </c>
      <c r="AE84" s="1">
        <v>81</v>
      </c>
      <c r="AF84" s="1">
        <v>557367</v>
      </c>
      <c r="AG84" s="71">
        <f>AD84/AF84*100</f>
        <v>99.985467385044331</v>
      </c>
      <c r="AH84" s="71">
        <f t="shared" si="22"/>
        <v>0.55736699999999995</v>
      </c>
      <c r="AJ84" s="215">
        <v>44943</v>
      </c>
      <c r="AK84" s="48">
        <v>557286</v>
      </c>
      <c r="AL84" s="48">
        <v>81</v>
      </c>
      <c r="AM84" s="48">
        <v>557367</v>
      </c>
      <c r="AN84" s="71">
        <f>AK84/AM84*100</f>
        <v>99.985467385044331</v>
      </c>
      <c r="AO84" s="246">
        <f t="shared" si="23"/>
        <v>0.55736699999999995</v>
      </c>
      <c r="AQ84" s="215">
        <v>44943</v>
      </c>
      <c r="AR84" s="48">
        <v>557286</v>
      </c>
      <c r="AS84" s="48">
        <v>81</v>
      </c>
      <c r="AT84" s="48">
        <v>557367</v>
      </c>
      <c r="AU84" s="71">
        <f>AR84/AT84*100</f>
        <v>99.985467385044331</v>
      </c>
      <c r="AV84" s="246">
        <f t="shared" si="24"/>
        <v>0.55736699999999995</v>
      </c>
      <c r="AX84" s="215">
        <v>44943</v>
      </c>
      <c r="AY84" s="48">
        <v>557286</v>
      </c>
      <c r="AZ84" s="48">
        <v>81</v>
      </c>
      <c r="BA84" s="48">
        <v>557367</v>
      </c>
      <c r="BB84" s="71">
        <f>AY84/BA84*100</f>
        <v>99.985467385044331</v>
      </c>
      <c r="BC84" s="246">
        <f t="shared" si="25"/>
        <v>0.55736699999999995</v>
      </c>
      <c r="BE84" s="215">
        <v>44943</v>
      </c>
      <c r="BF84" s="1">
        <v>557286</v>
      </c>
      <c r="BG84" s="1">
        <v>81</v>
      </c>
      <c r="BH84" s="1">
        <v>557367</v>
      </c>
      <c r="BI84" s="71">
        <f>BF84/BH84*100</f>
        <v>99.985467385044331</v>
      </c>
      <c r="BJ84" s="71">
        <f t="shared" si="26"/>
        <v>0.55736699999999995</v>
      </c>
      <c r="BL84" s="1"/>
      <c r="BM84" s="1"/>
      <c r="BN84" s="1"/>
      <c r="BO84" s="1"/>
      <c r="BP84" s="1"/>
      <c r="BQ84" s="247"/>
      <c r="BS84" s="48"/>
      <c r="BT84" s="48"/>
      <c r="BU84" s="48"/>
      <c r="BV84" s="48"/>
      <c r="BW84" s="48"/>
      <c r="BZ84" s="1"/>
      <c r="CA84" s="1"/>
      <c r="CB84" s="1"/>
      <c r="CC84" s="1"/>
      <c r="CE84" s="215">
        <v>44943</v>
      </c>
      <c r="CF84" s="1">
        <v>10697419</v>
      </c>
      <c r="CG84" s="1">
        <v>14815</v>
      </c>
      <c r="CH84" s="1">
        <v>10712234</v>
      </c>
      <c r="CI84" s="71">
        <f t="shared" si="27"/>
        <v>99.861700183173738</v>
      </c>
      <c r="CJ84" s="71">
        <f t="shared" si="28"/>
        <v>10.712234</v>
      </c>
      <c r="CL84" s="140">
        <v>44930</v>
      </c>
      <c r="CM84" t="s">
        <v>238</v>
      </c>
      <c r="CN84">
        <v>4792</v>
      </c>
    </row>
    <row r="85" spans="1:92" hidden="1" x14ac:dyDescent="0.25">
      <c r="A85" s="215">
        <v>44944</v>
      </c>
      <c r="B85" s="48">
        <v>6051806</v>
      </c>
      <c r="C85" s="48">
        <v>2873</v>
      </c>
      <c r="D85" s="48">
        <v>6054679</v>
      </c>
      <c r="E85" s="71">
        <f>B85/D85*100</f>
        <v>99.952549094675362</v>
      </c>
      <c r="F85" s="71">
        <f t="shared" si="39"/>
        <v>6.0546790000000001</v>
      </c>
      <c r="H85" s="215">
        <v>44944</v>
      </c>
      <c r="I85" s="1">
        <v>2290311</v>
      </c>
      <c r="J85" s="1">
        <v>3507</v>
      </c>
      <c r="K85" s="1">
        <v>2293818</v>
      </c>
      <c r="L85" s="71">
        <f t="shared" si="48"/>
        <v>99.847110799549043</v>
      </c>
      <c r="M85" s="71">
        <f t="shared" si="40"/>
        <v>2.2938179999999999</v>
      </c>
      <c r="O85" s="215">
        <v>44944</v>
      </c>
      <c r="P85" s="1">
        <v>597089</v>
      </c>
      <c r="Q85" s="1">
        <v>570</v>
      </c>
      <c r="R85" s="1">
        <v>597659</v>
      </c>
      <c r="S85" s="71">
        <f t="shared" si="49"/>
        <v>99.904627889816766</v>
      </c>
      <c r="T85" s="71">
        <f t="shared" si="20"/>
        <v>0.59765900000000005</v>
      </c>
      <c r="V85" s="215">
        <v>44944</v>
      </c>
      <c r="W85" s="1">
        <v>887258</v>
      </c>
      <c r="X85" s="1">
        <v>173</v>
      </c>
      <c r="Y85" s="1">
        <v>887431</v>
      </c>
      <c r="Z85" s="71">
        <f>W85/Y85*100</f>
        <v>99.980505526626857</v>
      </c>
      <c r="AA85" s="71">
        <f t="shared" si="21"/>
        <v>0.88743099999999997</v>
      </c>
      <c r="AC85" s="215">
        <v>44944</v>
      </c>
      <c r="AD85" s="1">
        <v>574961</v>
      </c>
      <c r="AE85" s="1">
        <v>567</v>
      </c>
      <c r="AF85" s="1">
        <v>575528</v>
      </c>
      <c r="AG85" s="71">
        <f>AD85/AF85*100</f>
        <v>99.901481769783572</v>
      </c>
      <c r="AH85" s="71">
        <f t="shared" si="22"/>
        <v>0.57552800000000004</v>
      </c>
      <c r="AJ85" s="215">
        <v>44944</v>
      </c>
      <c r="AK85" s="48">
        <v>574961</v>
      </c>
      <c r="AL85" s="48">
        <v>567</v>
      </c>
      <c r="AM85" s="48">
        <v>575528</v>
      </c>
      <c r="AN85" s="71">
        <f>AK85/AM85*100</f>
        <v>99.901481769783572</v>
      </c>
      <c r="AO85" s="246">
        <f t="shared" si="23"/>
        <v>0.57552800000000004</v>
      </c>
      <c r="AQ85" s="215">
        <v>44944</v>
      </c>
      <c r="AR85" s="48">
        <v>574961</v>
      </c>
      <c r="AS85" s="48">
        <v>567</v>
      </c>
      <c r="AT85" s="48">
        <v>575528</v>
      </c>
      <c r="AU85" s="71">
        <f>AR85/AT85*100</f>
        <v>99.901481769783572</v>
      </c>
      <c r="AV85" s="246">
        <f t="shared" si="24"/>
        <v>0.57552800000000004</v>
      </c>
      <c r="AX85" s="215">
        <v>44944</v>
      </c>
      <c r="AY85" s="48">
        <v>574961</v>
      </c>
      <c r="AZ85" s="48">
        <v>567</v>
      </c>
      <c r="BA85" s="48">
        <v>575528</v>
      </c>
      <c r="BB85" s="71">
        <f>AY85/BA85*100</f>
        <v>99.901481769783572</v>
      </c>
      <c r="BC85" s="246">
        <f t="shared" si="25"/>
        <v>0.57552800000000004</v>
      </c>
      <c r="BE85" s="215">
        <v>44944</v>
      </c>
      <c r="BF85" s="1">
        <v>574961</v>
      </c>
      <c r="BG85" s="1">
        <v>567</v>
      </c>
      <c r="BH85" s="1">
        <v>575528</v>
      </c>
      <c r="BI85" s="71">
        <f>BF85/BH85*100</f>
        <v>99.901481769783572</v>
      </c>
      <c r="BJ85" s="71">
        <f t="shared" si="26"/>
        <v>0.57552800000000004</v>
      </c>
      <c r="BL85" s="1"/>
      <c r="BM85" s="1"/>
      <c r="BN85" s="1"/>
      <c r="BO85" s="1"/>
      <c r="BP85" s="1"/>
      <c r="BQ85" s="247"/>
      <c r="BS85" s="48"/>
      <c r="BT85" s="48"/>
      <c r="BU85" s="48"/>
      <c r="BV85" s="48"/>
      <c r="BW85" s="48"/>
      <c r="BZ85" s="1"/>
      <c r="CA85" s="1"/>
      <c r="CB85" s="1"/>
      <c r="CC85" s="1"/>
      <c r="CE85" s="215">
        <v>44944</v>
      </c>
      <c r="CF85" s="1">
        <v>10634374</v>
      </c>
      <c r="CG85" s="1">
        <v>15342</v>
      </c>
      <c r="CH85" s="1">
        <v>10649716</v>
      </c>
      <c r="CI85" s="71">
        <f t="shared" si="27"/>
        <v>99.855939820367041</v>
      </c>
      <c r="CJ85" s="71">
        <f t="shared" si="28"/>
        <v>10.649716</v>
      </c>
      <c r="CL85" s="140">
        <v>44930</v>
      </c>
      <c r="CM85" t="s">
        <v>237</v>
      </c>
      <c r="CN85">
        <v>3946</v>
      </c>
    </row>
    <row r="86" spans="1:92" hidden="1" x14ac:dyDescent="0.25">
      <c r="A86" s="215">
        <v>44945</v>
      </c>
      <c r="B86" s="48">
        <v>6325302</v>
      </c>
      <c r="C86" s="48">
        <v>10602</v>
      </c>
      <c r="D86" s="48">
        <v>6335904</v>
      </c>
      <c r="E86" s="71">
        <f>B86/D86*100</f>
        <v>99.832667919210891</v>
      </c>
      <c r="F86" s="71">
        <f t="shared" si="39"/>
        <v>6.3359040000000002</v>
      </c>
      <c r="H86" s="215">
        <v>44945</v>
      </c>
      <c r="I86" s="48">
        <v>2496216</v>
      </c>
      <c r="J86" s="48">
        <v>7602</v>
      </c>
      <c r="K86" s="48">
        <v>2503818</v>
      </c>
      <c r="L86" s="71">
        <f t="shared" si="48"/>
        <v>99.696383682839567</v>
      </c>
      <c r="M86" s="71">
        <f t="shared" si="40"/>
        <v>2.5038179999999999</v>
      </c>
      <c r="O86" s="215">
        <v>44945</v>
      </c>
      <c r="P86" s="1">
        <v>652154</v>
      </c>
      <c r="Q86" s="48">
        <v>576</v>
      </c>
      <c r="R86" s="48">
        <v>652730</v>
      </c>
      <c r="S86" s="71">
        <f t="shared" si="49"/>
        <v>99.911755243362492</v>
      </c>
      <c r="T86" s="71">
        <f t="shared" si="20"/>
        <v>0.65273000000000003</v>
      </c>
      <c r="V86" s="215">
        <v>44945</v>
      </c>
      <c r="W86" s="48">
        <v>950928</v>
      </c>
      <c r="X86" s="48">
        <v>154</v>
      </c>
      <c r="Y86" s="48">
        <v>951082</v>
      </c>
      <c r="Z86" s="71">
        <f>W86/Y86*100</f>
        <v>99.983807915616111</v>
      </c>
      <c r="AA86" s="71">
        <f t="shared" si="21"/>
        <v>0.95108199999999998</v>
      </c>
      <c r="AC86" s="215">
        <v>44945</v>
      </c>
      <c r="AD86" s="48">
        <v>550916</v>
      </c>
      <c r="AE86" s="48">
        <v>168</v>
      </c>
      <c r="AF86" s="48">
        <v>551084</v>
      </c>
      <c r="AG86" s="71">
        <f>AD86/AF86*100</f>
        <v>99.969514629348694</v>
      </c>
      <c r="AH86" s="71">
        <f t="shared" si="22"/>
        <v>0.55108400000000002</v>
      </c>
      <c r="AJ86" s="215">
        <v>44945</v>
      </c>
      <c r="AK86" s="48">
        <v>550916</v>
      </c>
      <c r="AL86" s="48">
        <v>168</v>
      </c>
      <c r="AM86" s="48">
        <v>551084</v>
      </c>
      <c r="AN86" s="71">
        <f>AK86/AM86*100</f>
        <v>99.969514629348694</v>
      </c>
      <c r="AO86" s="246">
        <f t="shared" si="23"/>
        <v>0.55108400000000002</v>
      </c>
      <c r="AQ86" s="215">
        <v>44945</v>
      </c>
      <c r="AR86" s="48">
        <v>550916</v>
      </c>
      <c r="AS86" s="48">
        <v>168</v>
      </c>
      <c r="AT86" s="48">
        <v>551084</v>
      </c>
      <c r="AU86" s="71">
        <f>AR86/AT86*100</f>
        <v>99.969514629348694</v>
      </c>
      <c r="AV86" s="246">
        <f t="shared" si="24"/>
        <v>0.55108400000000002</v>
      </c>
      <c r="AX86" s="215">
        <v>44945</v>
      </c>
      <c r="AY86" s="48">
        <v>550916</v>
      </c>
      <c r="AZ86" s="48">
        <v>168</v>
      </c>
      <c r="BA86" s="48">
        <v>551084</v>
      </c>
      <c r="BB86" s="71">
        <f>AY86/BA86*100</f>
        <v>99.969514629348694</v>
      </c>
      <c r="BC86" s="246">
        <f t="shared" si="25"/>
        <v>0.55108400000000002</v>
      </c>
      <c r="BE86" s="215">
        <v>44945</v>
      </c>
      <c r="BF86" s="48">
        <v>550916</v>
      </c>
      <c r="BG86" s="48">
        <v>168</v>
      </c>
      <c r="BH86" s="48">
        <v>551084</v>
      </c>
      <c r="BI86" s="71">
        <f>BF86/BH86*100</f>
        <v>99.969514629348694</v>
      </c>
      <c r="BJ86" s="71">
        <f t="shared" si="26"/>
        <v>0.55108400000000002</v>
      </c>
      <c r="BL86" s="1"/>
      <c r="BM86" s="1"/>
      <c r="BN86" s="1"/>
      <c r="BO86" s="1"/>
      <c r="BP86" s="1"/>
      <c r="BQ86" s="247"/>
      <c r="BS86" s="48"/>
      <c r="BT86" s="48"/>
      <c r="BU86" s="48"/>
      <c r="BV86" s="48"/>
      <c r="BW86" s="48"/>
      <c r="BZ86" s="1"/>
      <c r="CA86" s="1"/>
      <c r="CB86" s="1"/>
      <c r="CC86" s="1"/>
      <c r="CE86" s="215">
        <v>44945</v>
      </c>
      <c r="CF86" s="1">
        <v>11154308</v>
      </c>
      <c r="CG86" s="1">
        <v>25570</v>
      </c>
      <c r="CH86" s="1">
        <v>11179878</v>
      </c>
      <c r="CI86" s="71">
        <f t="shared" si="27"/>
        <v>99.771285518500292</v>
      </c>
      <c r="CJ86" s="71">
        <f t="shared" si="28"/>
        <v>11.179878</v>
      </c>
      <c r="CL86" s="140">
        <v>44934</v>
      </c>
      <c r="CM86" t="s">
        <v>239</v>
      </c>
      <c r="CN86">
        <v>36042</v>
      </c>
    </row>
    <row r="87" spans="1:92" hidden="1" x14ac:dyDescent="0.25">
      <c r="A87" s="215">
        <v>44946</v>
      </c>
      <c r="B87" s="48">
        <v>6593822</v>
      </c>
      <c r="C87" s="48">
        <v>14084</v>
      </c>
      <c r="D87" s="48">
        <v>6607906</v>
      </c>
      <c r="E87" s="71">
        <f>B87/D87*100</f>
        <v>99.786861374844023</v>
      </c>
      <c r="F87" s="71">
        <f t="shared" si="39"/>
        <v>6.6079059999999998</v>
      </c>
      <c r="H87" s="215">
        <v>44946</v>
      </c>
      <c r="I87" s="48">
        <v>2633532</v>
      </c>
      <c r="J87" s="48">
        <v>2214</v>
      </c>
      <c r="K87" s="48">
        <v>2635746</v>
      </c>
      <c r="L87" s="71">
        <f t="shared" si="48"/>
        <v>99.91600101071954</v>
      </c>
      <c r="M87" s="71">
        <f t="shared" si="40"/>
        <v>2.6357460000000001</v>
      </c>
      <c r="O87" s="215">
        <v>44946</v>
      </c>
      <c r="P87" s="1">
        <v>664720</v>
      </c>
      <c r="Q87" s="48">
        <v>600</v>
      </c>
      <c r="R87" s="48">
        <v>665320</v>
      </c>
      <c r="S87" s="71">
        <f t="shared" si="49"/>
        <v>99.909817832020693</v>
      </c>
      <c r="T87" s="71">
        <f t="shared" si="20"/>
        <v>0.66532000000000002</v>
      </c>
      <c r="V87" s="215">
        <v>44946</v>
      </c>
      <c r="W87" s="48">
        <v>1009300</v>
      </c>
      <c r="X87" s="48">
        <v>156</v>
      </c>
      <c r="Y87" s="48">
        <v>1009456</v>
      </c>
      <c r="Z87" s="71">
        <f>W87/Y87*100</f>
        <v>99.984546131777904</v>
      </c>
      <c r="AA87" s="71">
        <f t="shared" si="21"/>
        <v>1.0094559999999999</v>
      </c>
      <c r="AC87" s="215">
        <v>44946</v>
      </c>
      <c r="AD87" s="48">
        <v>584092</v>
      </c>
      <c r="AE87" s="48">
        <v>166</v>
      </c>
      <c r="AF87" s="48">
        <v>584258</v>
      </c>
      <c r="AG87" s="71">
        <f>AD87/AF87*100</f>
        <v>99.971587894389131</v>
      </c>
      <c r="AH87" s="71">
        <f t="shared" si="22"/>
        <v>0.58425800000000006</v>
      </c>
      <c r="AJ87" s="215">
        <v>44946</v>
      </c>
      <c r="AK87" s="48">
        <v>584092</v>
      </c>
      <c r="AL87" s="48">
        <v>166</v>
      </c>
      <c r="AM87" s="48">
        <v>584258</v>
      </c>
      <c r="AN87" s="71">
        <f>AK87/AM87*100</f>
        <v>99.971587894389131</v>
      </c>
      <c r="AO87" s="246">
        <f t="shared" si="23"/>
        <v>0.58425800000000006</v>
      </c>
      <c r="AQ87" s="215">
        <v>44946</v>
      </c>
      <c r="AR87" s="48">
        <v>584092</v>
      </c>
      <c r="AS87" s="48">
        <v>166</v>
      </c>
      <c r="AT87" s="48">
        <v>584258</v>
      </c>
      <c r="AU87" s="71">
        <f>AR87/AT87*100</f>
        <v>99.971587894389131</v>
      </c>
      <c r="AV87" s="246">
        <f t="shared" si="24"/>
        <v>0.58425800000000006</v>
      </c>
      <c r="AX87" s="215">
        <v>44946</v>
      </c>
      <c r="AY87" s="48">
        <v>584092</v>
      </c>
      <c r="AZ87" s="48">
        <v>166</v>
      </c>
      <c r="BA87" s="48">
        <v>584258</v>
      </c>
      <c r="BB87" s="71">
        <f>AY87/BA87*100</f>
        <v>99.971587894389131</v>
      </c>
      <c r="BC87" s="246">
        <f t="shared" si="25"/>
        <v>0.58425800000000006</v>
      </c>
      <c r="BE87" s="215">
        <v>44946</v>
      </c>
      <c r="BF87" s="48">
        <v>584092</v>
      </c>
      <c r="BG87" s="48">
        <v>166</v>
      </c>
      <c r="BH87" s="48">
        <v>584258</v>
      </c>
      <c r="BI87" s="71">
        <f>BF87/BH87*100</f>
        <v>99.971587894389131</v>
      </c>
      <c r="BJ87" s="71">
        <f t="shared" si="26"/>
        <v>0.58425800000000006</v>
      </c>
      <c r="BL87" s="1"/>
      <c r="BM87" s="1"/>
      <c r="BN87" s="1"/>
      <c r="BO87" s="1"/>
      <c r="BP87" s="1"/>
      <c r="BQ87" s="247"/>
      <c r="BS87" s="48"/>
      <c r="BT87" s="48"/>
      <c r="BU87" s="48"/>
      <c r="BV87" s="48"/>
      <c r="BW87" s="48"/>
      <c r="BZ87" s="1"/>
      <c r="CA87" s="1"/>
      <c r="CB87" s="1"/>
      <c r="CC87" s="1"/>
      <c r="CE87" s="215">
        <v>44946</v>
      </c>
      <c r="CF87" s="1">
        <v>11653820</v>
      </c>
      <c r="CG87" s="1">
        <v>27136</v>
      </c>
      <c r="CH87" s="1">
        <v>11680956</v>
      </c>
      <c r="CI87" s="71">
        <f t="shared" si="27"/>
        <v>99.767690247270863</v>
      </c>
      <c r="CJ87" s="71">
        <f t="shared" si="28"/>
        <v>11.680956</v>
      </c>
      <c r="CL87" s="140">
        <v>44934</v>
      </c>
      <c r="CM87" t="s">
        <v>238</v>
      </c>
      <c r="CN87">
        <v>5326</v>
      </c>
    </row>
    <row r="88" spans="1:92" hidden="1" x14ac:dyDescent="0.25">
      <c r="A88" s="215">
        <v>44947</v>
      </c>
      <c r="B88" s="48">
        <v>5209140</v>
      </c>
      <c r="C88" s="48">
        <v>13284</v>
      </c>
      <c r="D88" s="48">
        <v>5222424</v>
      </c>
      <c r="E88" s="48">
        <v>99.75</v>
      </c>
      <c r="F88" s="71">
        <f t="shared" si="39"/>
        <v>5.2224240000000002</v>
      </c>
      <c r="H88" s="215">
        <v>44947</v>
      </c>
      <c r="I88" s="48">
        <v>2610354</v>
      </c>
      <c r="J88" s="48">
        <v>2012</v>
      </c>
      <c r="K88" s="48">
        <v>2612366</v>
      </c>
      <c r="L88" s="48">
        <v>99.92</v>
      </c>
      <c r="M88" s="71">
        <f t="shared" si="40"/>
        <v>2.6123660000000002</v>
      </c>
      <c r="O88" s="215">
        <v>44947</v>
      </c>
      <c r="P88" s="1">
        <v>693320</v>
      </c>
      <c r="Q88" s="48">
        <v>524</v>
      </c>
      <c r="R88" s="48">
        <v>693844</v>
      </c>
      <c r="S88" s="48">
        <v>99.92</v>
      </c>
      <c r="T88" s="71">
        <f t="shared" si="20"/>
        <v>0.69384400000000002</v>
      </c>
      <c r="V88" s="215">
        <v>44947</v>
      </c>
      <c r="W88" s="48">
        <v>1032414</v>
      </c>
      <c r="X88" s="48">
        <v>696</v>
      </c>
      <c r="Y88" s="48">
        <v>1033110</v>
      </c>
      <c r="Z88" s="48">
        <v>99.93</v>
      </c>
      <c r="AA88" s="71">
        <f t="shared" si="21"/>
        <v>1.03311</v>
      </c>
      <c r="AC88" s="215">
        <v>44947</v>
      </c>
      <c r="AD88" s="48">
        <v>558152</v>
      </c>
      <c r="AE88" s="48">
        <v>198</v>
      </c>
      <c r="AF88" s="48">
        <v>558350</v>
      </c>
      <c r="AG88" s="48">
        <v>99.96</v>
      </c>
      <c r="AH88" s="71">
        <f t="shared" si="22"/>
        <v>0.55835000000000001</v>
      </c>
      <c r="AJ88" s="215">
        <v>44947</v>
      </c>
      <c r="AK88" s="48">
        <v>558152</v>
      </c>
      <c r="AL88" s="48">
        <v>198</v>
      </c>
      <c r="AM88" s="48">
        <v>558350</v>
      </c>
      <c r="AN88" s="48">
        <v>99.96</v>
      </c>
      <c r="AO88" s="246">
        <f t="shared" si="23"/>
        <v>0.55835000000000001</v>
      </c>
      <c r="AQ88" s="215">
        <v>44947</v>
      </c>
      <c r="AR88" s="48">
        <v>558152</v>
      </c>
      <c r="AS88" s="48">
        <v>198</v>
      </c>
      <c r="AT88" s="48">
        <v>558350</v>
      </c>
      <c r="AU88" s="48">
        <v>99.96</v>
      </c>
      <c r="AV88" s="246">
        <f t="shared" si="24"/>
        <v>0.55835000000000001</v>
      </c>
      <c r="AX88" s="215">
        <v>44947</v>
      </c>
      <c r="AY88" s="48">
        <v>558152</v>
      </c>
      <c r="AZ88" s="48">
        <v>198</v>
      </c>
      <c r="BA88" s="48">
        <v>558350</v>
      </c>
      <c r="BB88" s="48">
        <v>99.96</v>
      </c>
      <c r="BC88" s="246">
        <f t="shared" si="25"/>
        <v>0.55835000000000001</v>
      </c>
      <c r="BE88" s="215">
        <v>44947</v>
      </c>
      <c r="BF88" s="48">
        <v>558152</v>
      </c>
      <c r="BG88" s="48">
        <v>198</v>
      </c>
      <c r="BH88" s="48">
        <v>558350</v>
      </c>
      <c r="BI88" s="48">
        <v>99.96</v>
      </c>
      <c r="BJ88" s="71">
        <f t="shared" si="26"/>
        <v>0.55835000000000001</v>
      </c>
      <c r="BL88" s="1"/>
      <c r="BM88" s="1"/>
      <c r="BN88" s="1"/>
      <c r="BO88" s="1"/>
      <c r="BP88" s="1"/>
      <c r="BQ88" s="247"/>
      <c r="BS88" s="48"/>
      <c r="BT88" s="48"/>
      <c r="BU88" s="48"/>
      <c r="BV88" s="48"/>
      <c r="BW88" s="48"/>
      <c r="BZ88" s="1"/>
      <c r="CA88" s="1"/>
      <c r="CB88" s="1"/>
      <c r="CC88" s="1"/>
      <c r="CE88" s="215">
        <v>44947</v>
      </c>
      <c r="CF88" s="1">
        <v>11617502</v>
      </c>
      <c r="CG88" s="1">
        <v>30726</v>
      </c>
      <c r="CH88" s="1">
        <v>11648228</v>
      </c>
      <c r="CI88" s="71">
        <f t="shared" si="27"/>
        <v>99.736217388601943</v>
      </c>
      <c r="CJ88" s="71">
        <f t="shared" si="28"/>
        <v>11.648228</v>
      </c>
      <c r="CL88" s="140">
        <v>44934</v>
      </c>
      <c r="CM88" t="s">
        <v>237</v>
      </c>
      <c r="CN88">
        <v>2982</v>
      </c>
    </row>
    <row r="89" spans="1:92" hidden="1" x14ac:dyDescent="0.25">
      <c r="A89" s="215">
        <v>44948</v>
      </c>
      <c r="B89" s="48">
        <v>5538038</v>
      </c>
      <c r="C89" s="48">
        <v>17296</v>
      </c>
      <c r="D89" s="48">
        <v>5555334</v>
      </c>
      <c r="E89" s="71">
        <f>B89/D89*100</f>
        <v>99.688659583744197</v>
      </c>
      <c r="F89" s="71">
        <f t="shared" si="39"/>
        <v>5.5553340000000002</v>
      </c>
      <c r="H89" s="215">
        <v>44948</v>
      </c>
      <c r="I89" s="48">
        <v>2499505</v>
      </c>
      <c r="J89" s="48">
        <v>2322</v>
      </c>
      <c r="K89" s="48">
        <v>2501827</v>
      </c>
      <c r="L89" s="71">
        <f t="shared" si="48"/>
        <v>99.907187827135928</v>
      </c>
      <c r="M89" s="71">
        <f t="shared" si="40"/>
        <v>2.501827</v>
      </c>
      <c r="O89" s="215">
        <v>44948</v>
      </c>
      <c r="P89" s="1">
        <v>650845</v>
      </c>
      <c r="Q89" s="48">
        <v>556</v>
      </c>
      <c r="R89" s="48">
        <v>651401</v>
      </c>
      <c r="S89" s="71">
        <f t="shared" si="49"/>
        <v>99.914645510215678</v>
      </c>
      <c r="T89" s="71">
        <f t="shared" si="20"/>
        <v>0.65140100000000001</v>
      </c>
      <c r="V89" s="215">
        <v>44948</v>
      </c>
      <c r="W89" s="48">
        <v>921625</v>
      </c>
      <c r="X89" s="48">
        <v>164</v>
      </c>
      <c r="Y89" s="48">
        <v>921789</v>
      </c>
      <c r="Z89" s="71">
        <f>W89/Y89*100</f>
        <v>99.982208509756575</v>
      </c>
      <c r="AA89" s="71">
        <f t="shared" si="21"/>
        <v>0.92178899999999997</v>
      </c>
      <c r="AC89" s="215">
        <v>44948</v>
      </c>
      <c r="AD89" s="48">
        <v>539829</v>
      </c>
      <c r="AE89" s="48">
        <v>616</v>
      </c>
      <c r="AF89" s="48">
        <v>540445</v>
      </c>
      <c r="AG89" s="71">
        <f>AD89/AF89*100</f>
        <v>99.886019854009206</v>
      </c>
      <c r="AH89" s="71">
        <f t="shared" si="22"/>
        <v>0.54044499999999995</v>
      </c>
      <c r="AJ89" s="215">
        <v>44948</v>
      </c>
      <c r="AK89" s="48">
        <v>539829</v>
      </c>
      <c r="AL89" s="48">
        <v>616</v>
      </c>
      <c r="AM89" s="48">
        <v>540445</v>
      </c>
      <c r="AN89" s="71">
        <f>AK89/AM89*100</f>
        <v>99.886019854009206</v>
      </c>
      <c r="AO89" s="246">
        <f t="shared" si="23"/>
        <v>0.54044499999999995</v>
      </c>
      <c r="AQ89" s="215">
        <v>44948</v>
      </c>
      <c r="AR89" s="48">
        <v>539829</v>
      </c>
      <c r="AS89" s="48">
        <v>616</v>
      </c>
      <c r="AT89" s="48">
        <v>540445</v>
      </c>
      <c r="AU89" s="71">
        <f>AR89/AT89*100</f>
        <v>99.886019854009206</v>
      </c>
      <c r="AV89" s="246">
        <f t="shared" si="24"/>
        <v>0.54044499999999995</v>
      </c>
      <c r="AX89" s="215">
        <v>44948</v>
      </c>
      <c r="AY89" s="48">
        <v>539829</v>
      </c>
      <c r="AZ89" s="48">
        <v>616</v>
      </c>
      <c r="BA89" s="48">
        <v>540445</v>
      </c>
      <c r="BB89" s="71">
        <f>AY89/BA89*100</f>
        <v>99.886019854009206</v>
      </c>
      <c r="BC89" s="246">
        <f t="shared" si="25"/>
        <v>0.54044499999999995</v>
      </c>
      <c r="BE89" s="215">
        <v>44948</v>
      </c>
      <c r="BF89" s="48">
        <v>539829</v>
      </c>
      <c r="BG89" s="48">
        <v>616</v>
      </c>
      <c r="BH89" s="48">
        <v>540445</v>
      </c>
      <c r="BI89" s="71">
        <f>BF89/BH89*100</f>
        <v>99.886019854009206</v>
      </c>
      <c r="BJ89" s="71">
        <f t="shared" si="26"/>
        <v>0.54044499999999995</v>
      </c>
      <c r="BL89" s="1"/>
      <c r="BM89" s="1"/>
      <c r="BN89" s="1"/>
      <c r="BO89" s="1"/>
      <c r="BP89" s="1"/>
      <c r="BQ89" s="247"/>
      <c r="BS89" s="48"/>
      <c r="BT89" s="48"/>
      <c r="BU89" s="48"/>
      <c r="BV89" s="48"/>
      <c r="BW89" s="48"/>
      <c r="BZ89" s="1"/>
      <c r="CA89" s="1"/>
      <c r="CB89" s="1"/>
      <c r="CC89" s="1"/>
      <c r="CE89" s="215">
        <v>44948</v>
      </c>
      <c r="CF89" s="1">
        <v>10406451</v>
      </c>
      <c r="CG89" s="1">
        <v>28528</v>
      </c>
      <c r="CH89" s="1">
        <v>10434979</v>
      </c>
      <c r="CI89" s="71">
        <f t="shared" si="27"/>
        <v>99.726611812060185</v>
      </c>
      <c r="CJ89" s="71">
        <f t="shared" si="28"/>
        <v>10.434979</v>
      </c>
      <c r="CL89" s="140">
        <v>44934</v>
      </c>
      <c r="CM89" t="s">
        <v>240</v>
      </c>
      <c r="CN89">
        <v>1711</v>
      </c>
    </row>
    <row r="90" spans="1:92" hidden="1" x14ac:dyDescent="0.25">
      <c r="A90" s="215">
        <v>44949</v>
      </c>
      <c r="B90" s="204">
        <v>5490100</v>
      </c>
      <c r="C90" s="204">
        <v>13974</v>
      </c>
      <c r="D90" s="204">
        <v>5504074</v>
      </c>
      <c r="E90" s="204">
        <v>99.75</v>
      </c>
      <c r="F90" s="71">
        <f t="shared" si="39"/>
        <v>5.5040740000000001</v>
      </c>
      <c r="G90" s="178"/>
      <c r="H90" s="215">
        <v>44949</v>
      </c>
      <c r="I90" s="204">
        <v>2618756</v>
      </c>
      <c r="J90" s="204">
        <v>5388</v>
      </c>
      <c r="K90" s="204">
        <v>2624144</v>
      </c>
      <c r="L90" s="204">
        <v>99.79</v>
      </c>
      <c r="M90" s="71">
        <f t="shared" si="40"/>
        <v>2.6241439999999998</v>
      </c>
      <c r="O90" s="215">
        <v>44949</v>
      </c>
      <c r="P90" s="204">
        <v>634748</v>
      </c>
      <c r="Q90" s="204">
        <v>552</v>
      </c>
      <c r="R90" s="204">
        <v>635300</v>
      </c>
      <c r="S90" s="204">
        <v>99.91</v>
      </c>
      <c r="T90" s="71">
        <f t="shared" si="20"/>
        <v>0.63529999999999998</v>
      </c>
      <c r="V90" s="215">
        <v>44949</v>
      </c>
      <c r="W90" s="204">
        <v>1013334</v>
      </c>
      <c r="X90" s="204">
        <v>598</v>
      </c>
      <c r="Y90" s="204">
        <v>1013932</v>
      </c>
      <c r="Z90" s="204">
        <v>99.94</v>
      </c>
      <c r="AA90" s="71">
        <f t="shared" si="21"/>
        <v>1.0139320000000001</v>
      </c>
      <c r="AC90" s="215">
        <v>44949</v>
      </c>
      <c r="AD90" s="204">
        <v>574082</v>
      </c>
      <c r="AE90" s="204">
        <v>352</v>
      </c>
      <c r="AF90" s="204">
        <v>574434</v>
      </c>
      <c r="AG90" s="204">
        <v>99.94</v>
      </c>
      <c r="AH90" s="71">
        <f t="shared" si="22"/>
        <v>0.574434</v>
      </c>
      <c r="AJ90" s="215">
        <v>44949</v>
      </c>
      <c r="AK90" s="204">
        <v>574082</v>
      </c>
      <c r="AL90" s="204">
        <v>352</v>
      </c>
      <c r="AM90" s="204">
        <v>574434</v>
      </c>
      <c r="AN90" s="204">
        <v>99.94</v>
      </c>
      <c r="AO90" s="246">
        <f t="shared" si="23"/>
        <v>0.574434</v>
      </c>
      <c r="AQ90" s="215">
        <v>44949</v>
      </c>
      <c r="AR90" s="204">
        <v>574082</v>
      </c>
      <c r="AS90" s="204">
        <v>352</v>
      </c>
      <c r="AT90" s="204">
        <v>574434</v>
      </c>
      <c r="AU90" s="204">
        <v>99.94</v>
      </c>
      <c r="AV90" s="246">
        <f t="shared" si="24"/>
        <v>0.574434</v>
      </c>
      <c r="AX90" s="215">
        <v>44949</v>
      </c>
      <c r="AY90" s="204">
        <v>574082</v>
      </c>
      <c r="AZ90" s="204">
        <v>352</v>
      </c>
      <c r="BA90" s="204">
        <v>574434</v>
      </c>
      <c r="BB90" s="204">
        <v>99.94</v>
      </c>
      <c r="BC90" s="246">
        <f t="shared" si="25"/>
        <v>0.574434</v>
      </c>
      <c r="BE90" s="215">
        <v>44949</v>
      </c>
      <c r="BF90" s="204">
        <v>574082</v>
      </c>
      <c r="BG90" s="204">
        <v>352</v>
      </c>
      <c r="BH90" s="204">
        <v>574434</v>
      </c>
      <c r="BI90" s="204">
        <v>99.94</v>
      </c>
      <c r="BJ90" s="71">
        <f t="shared" si="26"/>
        <v>0.574434</v>
      </c>
      <c r="BL90" s="1"/>
      <c r="BM90" s="1"/>
      <c r="BN90" s="1"/>
      <c r="BO90" s="1"/>
      <c r="BP90" s="1"/>
      <c r="BQ90" s="247"/>
      <c r="BS90" s="48"/>
      <c r="BT90" s="48"/>
      <c r="BU90" s="48"/>
      <c r="BV90" s="48"/>
      <c r="BW90" s="48"/>
      <c r="BZ90" s="1"/>
      <c r="CA90" s="1"/>
      <c r="CB90" s="1"/>
      <c r="CC90" s="1"/>
      <c r="CE90" s="215">
        <v>44949</v>
      </c>
      <c r="CF90" s="1">
        <v>11916960</v>
      </c>
      <c r="CG90" s="1">
        <v>32092</v>
      </c>
      <c r="CH90" s="1">
        <v>11949052</v>
      </c>
      <c r="CI90" s="71">
        <f t="shared" si="27"/>
        <v>99.731426392654413</v>
      </c>
      <c r="CJ90" s="71">
        <f t="shared" si="28"/>
        <v>11.949052</v>
      </c>
      <c r="CL90" s="140">
        <v>44934</v>
      </c>
      <c r="CM90" t="s">
        <v>241</v>
      </c>
      <c r="CN90">
        <v>765</v>
      </c>
    </row>
    <row r="91" spans="1:92" hidden="1" x14ac:dyDescent="0.25">
      <c r="A91" s="215">
        <v>44950</v>
      </c>
      <c r="B91" s="204">
        <v>5291746</v>
      </c>
      <c r="C91" s="204">
        <v>13610</v>
      </c>
      <c r="D91" s="204">
        <v>5305356</v>
      </c>
      <c r="E91" s="204">
        <v>99.74</v>
      </c>
      <c r="F91" s="71">
        <f t="shared" si="39"/>
        <v>5.3053559999999997</v>
      </c>
      <c r="H91" s="215">
        <v>44950</v>
      </c>
      <c r="I91" s="204">
        <v>2687800</v>
      </c>
      <c r="J91" s="204">
        <v>5962</v>
      </c>
      <c r="K91" s="204">
        <v>2693762</v>
      </c>
      <c r="L91" s="204">
        <v>99.78</v>
      </c>
      <c r="M91" s="71">
        <f t="shared" si="40"/>
        <v>2.693762</v>
      </c>
      <c r="O91" s="215">
        <v>44950</v>
      </c>
      <c r="P91" s="204">
        <v>2687800</v>
      </c>
      <c r="Q91" s="204">
        <v>5962</v>
      </c>
      <c r="R91" s="204">
        <v>2693762</v>
      </c>
      <c r="S91" s="204">
        <v>99.78</v>
      </c>
      <c r="T91" s="71">
        <f t="shared" si="20"/>
        <v>2.693762</v>
      </c>
      <c r="V91" s="215">
        <v>44950</v>
      </c>
      <c r="W91" s="204">
        <v>943480</v>
      </c>
      <c r="X91" s="204">
        <v>142</v>
      </c>
      <c r="Y91" s="204">
        <v>943622</v>
      </c>
      <c r="Z91" s="204">
        <v>99.98</v>
      </c>
      <c r="AA91" s="71">
        <f t="shared" si="21"/>
        <v>0.94362199999999996</v>
      </c>
      <c r="AC91" s="215">
        <v>44950</v>
      </c>
      <c r="AD91" s="204">
        <v>543228</v>
      </c>
      <c r="AE91" s="204">
        <v>438</v>
      </c>
      <c r="AF91" s="204">
        <v>543666</v>
      </c>
      <c r="AG91" s="204">
        <v>99.92</v>
      </c>
      <c r="AH91" s="71">
        <f t="shared" si="22"/>
        <v>0.54366599999999998</v>
      </c>
      <c r="AJ91" s="215">
        <v>44950</v>
      </c>
      <c r="AK91" s="204">
        <v>543228</v>
      </c>
      <c r="AL91" s="204">
        <v>438</v>
      </c>
      <c r="AM91" s="204">
        <v>543666</v>
      </c>
      <c r="AN91" s="204">
        <v>99.92</v>
      </c>
      <c r="AO91" s="246">
        <f t="shared" si="23"/>
        <v>0.54366599999999998</v>
      </c>
      <c r="AQ91" s="215">
        <v>44950</v>
      </c>
      <c r="AR91" s="204">
        <v>543228</v>
      </c>
      <c r="AS91" s="204">
        <v>438</v>
      </c>
      <c r="AT91" s="204">
        <v>543666</v>
      </c>
      <c r="AU91" s="204">
        <v>99.92</v>
      </c>
      <c r="AV91" s="246">
        <f t="shared" si="24"/>
        <v>0.54366599999999998</v>
      </c>
      <c r="AX91" s="215">
        <v>44950</v>
      </c>
      <c r="AY91" s="204">
        <v>543228</v>
      </c>
      <c r="AZ91" s="204">
        <v>438</v>
      </c>
      <c r="BA91" s="204">
        <v>543666</v>
      </c>
      <c r="BB91" s="204">
        <v>99.92</v>
      </c>
      <c r="BC91" s="246">
        <f t="shared" si="25"/>
        <v>0.54366599999999998</v>
      </c>
      <c r="BE91" s="215">
        <v>44950</v>
      </c>
      <c r="BF91" s="204">
        <v>543228</v>
      </c>
      <c r="BG91" s="204">
        <v>438</v>
      </c>
      <c r="BH91" s="204">
        <v>543666</v>
      </c>
      <c r="BI91" s="204">
        <v>99.92</v>
      </c>
      <c r="BJ91" s="71">
        <f t="shared" si="26"/>
        <v>0.54366599999999998</v>
      </c>
      <c r="BL91" s="1"/>
      <c r="BM91" s="1"/>
      <c r="BN91" s="1"/>
      <c r="BO91" s="1"/>
      <c r="BP91" s="1"/>
      <c r="BQ91" s="247"/>
      <c r="BS91" s="48"/>
      <c r="BT91" s="48"/>
      <c r="BU91" s="48"/>
      <c r="BV91" s="48"/>
      <c r="BW91" s="48"/>
      <c r="BZ91" s="1"/>
      <c r="CA91" s="1"/>
      <c r="CB91" s="1"/>
      <c r="CC91" s="1"/>
      <c r="CE91" s="215">
        <v>44950</v>
      </c>
      <c r="CF91" s="1">
        <v>11834492</v>
      </c>
      <c r="CG91" s="1">
        <v>33094</v>
      </c>
      <c r="CH91" s="1">
        <v>11867586</v>
      </c>
      <c r="CI91" s="71">
        <f t="shared" si="27"/>
        <v>99.721139581377372</v>
      </c>
      <c r="CJ91" s="71">
        <f t="shared" si="28"/>
        <v>11.867585999999999</v>
      </c>
      <c r="CL91" s="140">
        <v>44935</v>
      </c>
      <c r="CM91" t="s">
        <v>238</v>
      </c>
      <c r="CN91">
        <v>7358</v>
      </c>
    </row>
    <row r="92" spans="1:92" hidden="1" x14ac:dyDescent="0.25">
      <c r="A92" s="215">
        <v>44951</v>
      </c>
      <c r="B92" s="204">
        <v>5240947</v>
      </c>
      <c r="C92" s="204">
        <v>17616</v>
      </c>
      <c r="D92" s="204">
        <v>5258563</v>
      </c>
      <c r="E92" s="204">
        <v>99.67</v>
      </c>
      <c r="F92" s="71">
        <f t="shared" si="39"/>
        <v>5.2585629999999997</v>
      </c>
      <c r="H92" s="215">
        <v>44951</v>
      </c>
      <c r="I92" s="204">
        <v>2363510</v>
      </c>
      <c r="J92" s="204">
        <v>11053</v>
      </c>
      <c r="K92" s="204">
        <v>2374563</v>
      </c>
      <c r="L92" s="204">
        <v>99.53</v>
      </c>
      <c r="M92" s="71">
        <f t="shared" si="40"/>
        <v>2.3745630000000002</v>
      </c>
      <c r="O92" s="215">
        <v>44951</v>
      </c>
      <c r="P92" s="204">
        <v>580118</v>
      </c>
      <c r="Q92" s="204">
        <v>486</v>
      </c>
      <c r="R92" s="204">
        <v>580604</v>
      </c>
      <c r="S92" s="204">
        <v>99.92</v>
      </c>
      <c r="T92" s="71">
        <f t="shared" si="20"/>
        <v>0.58060400000000001</v>
      </c>
      <c r="V92" s="215">
        <v>44951</v>
      </c>
      <c r="W92" s="204">
        <v>882892</v>
      </c>
      <c r="X92" s="204">
        <v>109</v>
      </c>
      <c r="Y92" s="204">
        <v>883001</v>
      </c>
      <c r="Z92" s="204">
        <v>99.99</v>
      </c>
      <c r="AA92" s="71">
        <f t="shared" si="21"/>
        <v>0.88300100000000004</v>
      </c>
      <c r="AC92" s="215">
        <v>44951</v>
      </c>
      <c r="AD92" s="204">
        <v>578732</v>
      </c>
      <c r="AE92" s="204">
        <v>1302</v>
      </c>
      <c r="AF92" s="204">
        <v>580034</v>
      </c>
      <c r="AG92" s="204">
        <v>99.78</v>
      </c>
      <c r="AH92" s="71">
        <f t="shared" si="22"/>
        <v>0.58003400000000005</v>
      </c>
      <c r="AJ92" s="215">
        <v>44951</v>
      </c>
      <c r="AK92" s="204">
        <v>578732</v>
      </c>
      <c r="AL92" s="204">
        <v>1302</v>
      </c>
      <c r="AM92" s="204">
        <v>580034</v>
      </c>
      <c r="AN92" s="204">
        <v>99.78</v>
      </c>
      <c r="AO92" s="246">
        <f t="shared" si="23"/>
        <v>0.58003400000000005</v>
      </c>
      <c r="AQ92" s="215">
        <v>44951</v>
      </c>
      <c r="AR92" s="204">
        <v>578732</v>
      </c>
      <c r="AS92" s="204">
        <v>1302</v>
      </c>
      <c r="AT92" s="204">
        <v>580034</v>
      </c>
      <c r="AU92" s="204">
        <v>99.78</v>
      </c>
      <c r="AV92" s="246">
        <f t="shared" si="24"/>
        <v>0.58003400000000005</v>
      </c>
      <c r="AX92" s="215">
        <v>44951</v>
      </c>
      <c r="AY92" s="204">
        <v>578732</v>
      </c>
      <c r="AZ92" s="204">
        <v>1302</v>
      </c>
      <c r="BA92" s="204">
        <v>580034</v>
      </c>
      <c r="BB92" s="204">
        <v>99.78</v>
      </c>
      <c r="BC92" s="246">
        <f t="shared" si="25"/>
        <v>0.58003400000000005</v>
      </c>
      <c r="BE92" s="215">
        <v>44951</v>
      </c>
      <c r="BF92" s="204">
        <v>578732</v>
      </c>
      <c r="BG92" s="204">
        <v>1302</v>
      </c>
      <c r="BH92" s="204">
        <v>580034</v>
      </c>
      <c r="BI92" s="204">
        <v>99.78</v>
      </c>
      <c r="BJ92" s="71">
        <f t="shared" si="26"/>
        <v>0.58003400000000005</v>
      </c>
      <c r="BL92" s="1"/>
      <c r="BM92" s="1"/>
      <c r="BN92" s="1"/>
      <c r="BO92" s="1"/>
      <c r="BP92" s="1"/>
      <c r="BQ92" s="247"/>
      <c r="BS92" s="48"/>
      <c r="BT92" s="48"/>
      <c r="BU92" s="48"/>
      <c r="BV92" s="48"/>
      <c r="BW92" s="48"/>
      <c r="BZ92" s="1"/>
      <c r="CA92" s="1"/>
      <c r="CB92" s="1"/>
      <c r="CC92" s="1"/>
      <c r="CE92" s="215">
        <v>44951</v>
      </c>
      <c r="CF92" s="1">
        <v>11789554</v>
      </c>
      <c r="CG92" s="1">
        <v>51806</v>
      </c>
      <c r="CH92" s="1">
        <v>11841360</v>
      </c>
      <c r="CI92" s="71">
        <f t="shared" si="27"/>
        <v>99.562499577751211</v>
      </c>
      <c r="CJ92" s="71">
        <f t="shared" si="28"/>
        <v>11.84136</v>
      </c>
      <c r="CL92" s="140">
        <v>44935</v>
      </c>
      <c r="CM92" t="s">
        <v>237</v>
      </c>
      <c r="CN92">
        <v>4640</v>
      </c>
    </row>
    <row r="93" spans="1:92" hidden="1" x14ac:dyDescent="0.25">
      <c r="A93" s="215">
        <v>44978</v>
      </c>
      <c r="B93" s="204">
        <v>5380800</v>
      </c>
      <c r="C93" s="204">
        <v>1643</v>
      </c>
      <c r="D93" s="204">
        <v>5382443</v>
      </c>
      <c r="E93" s="212">
        <f t="shared" ref="E93:E99" si="50">B93/D93%</f>
        <v>99.969474827694413</v>
      </c>
      <c r="F93" s="71">
        <f t="shared" si="39"/>
        <v>5.3824430000000003</v>
      </c>
      <c r="H93" s="215">
        <v>44978</v>
      </c>
      <c r="I93" s="204">
        <v>2418569</v>
      </c>
      <c r="J93" s="204">
        <v>8096</v>
      </c>
      <c r="K93" s="204">
        <v>2426665</v>
      </c>
      <c r="L93" s="212">
        <f>I93/K93%</f>
        <v>99.666373397234466</v>
      </c>
      <c r="M93" s="71">
        <f t="shared" si="40"/>
        <v>2.4266649999999998</v>
      </c>
      <c r="O93" s="215">
        <v>44978</v>
      </c>
      <c r="P93" s="204">
        <v>943379</v>
      </c>
      <c r="Q93" s="204">
        <v>7362</v>
      </c>
      <c r="R93" s="204">
        <v>950741</v>
      </c>
      <c r="S93" s="212">
        <f>P93/R93%</f>
        <v>99.225656619415801</v>
      </c>
      <c r="T93" s="71">
        <f t="shared" si="20"/>
        <v>0.95074099999999995</v>
      </c>
      <c r="V93" s="215">
        <v>44978</v>
      </c>
      <c r="W93" s="204">
        <v>888917</v>
      </c>
      <c r="X93" s="204">
        <v>133</v>
      </c>
      <c r="Y93" s="204">
        <v>889050</v>
      </c>
      <c r="Z93" s="212">
        <f>W93/Y93%</f>
        <v>99.985040211461666</v>
      </c>
      <c r="AA93" s="71">
        <f t="shared" si="21"/>
        <v>0.88905000000000001</v>
      </c>
      <c r="AC93" s="215">
        <v>44978</v>
      </c>
      <c r="AD93" s="204">
        <v>581936</v>
      </c>
      <c r="AE93" s="204">
        <v>7735</v>
      </c>
      <c r="AF93" s="204">
        <v>589671</v>
      </c>
      <c r="AG93" s="212">
        <f>AD93/AF93%</f>
        <v>98.688251584358056</v>
      </c>
      <c r="AH93" s="71">
        <f t="shared" si="22"/>
        <v>0.58967099999999995</v>
      </c>
      <c r="AJ93" s="215">
        <v>44978</v>
      </c>
      <c r="AK93" s="204">
        <v>581936</v>
      </c>
      <c r="AL93" s="204">
        <v>7735</v>
      </c>
      <c r="AM93" s="204">
        <v>589671</v>
      </c>
      <c r="AN93" s="212">
        <f>AK93/AM93%</f>
        <v>98.688251584358056</v>
      </c>
      <c r="AO93" s="246">
        <f t="shared" si="23"/>
        <v>0.58967099999999995</v>
      </c>
      <c r="AQ93" s="215">
        <v>44978</v>
      </c>
      <c r="AR93" s="204">
        <v>581936</v>
      </c>
      <c r="AS93" s="204">
        <v>7735</v>
      </c>
      <c r="AT93" s="204">
        <v>589671</v>
      </c>
      <c r="AU93" s="212">
        <f>AR93/AT93%</f>
        <v>98.688251584358056</v>
      </c>
      <c r="AV93" s="246">
        <f t="shared" si="24"/>
        <v>0.58967099999999995</v>
      </c>
      <c r="AX93" s="215">
        <v>44978</v>
      </c>
      <c r="AY93" s="204">
        <v>581936</v>
      </c>
      <c r="AZ93" s="204">
        <v>7735</v>
      </c>
      <c r="BA93" s="204">
        <v>589671</v>
      </c>
      <c r="BB93" s="212">
        <f>AY93/BA93%</f>
        <v>98.688251584358056</v>
      </c>
      <c r="BC93" s="246">
        <f t="shared" si="25"/>
        <v>0.58967099999999995</v>
      </c>
      <c r="BE93" s="215">
        <v>44978</v>
      </c>
      <c r="BF93" s="204">
        <v>581936</v>
      </c>
      <c r="BG93" s="204">
        <v>7735</v>
      </c>
      <c r="BH93" s="204">
        <v>589671</v>
      </c>
      <c r="BI93" s="212">
        <f>BF93/BH93%</f>
        <v>98.688251584358056</v>
      </c>
      <c r="BJ93" s="71">
        <f t="shared" si="26"/>
        <v>0.58967099999999995</v>
      </c>
      <c r="BL93" s="1"/>
      <c r="BM93" s="1"/>
      <c r="BN93" s="1"/>
      <c r="BO93" s="1"/>
      <c r="BP93" s="1"/>
      <c r="BQ93" s="247"/>
      <c r="BS93" s="48"/>
      <c r="BT93" s="48"/>
      <c r="BU93" s="48"/>
      <c r="BV93" s="48"/>
      <c r="BW93" s="48"/>
      <c r="BZ93" s="1"/>
      <c r="CA93" s="1"/>
      <c r="CB93" s="1"/>
      <c r="CC93" s="1"/>
      <c r="CE93" s="215">
        <v>44978</v>
      </c>
      <c r="CF93" s="1">
        <v>11891463</v>
      </c>
      <c r="CG93" s="1">
        <v>36951</v>
      </c>
      <c r="CH93" s="1">
        <v>11928414</v>
      </c>
      <c r="CI93" s="71">
        <f>CF93/CH93%</f>
        <v>99.690227049463573</v>
      </c>
      <c r="CJ93" s="71">
        <f t="shared" si="28"/>
        <v>11.928414</v>
      </c>
      <c r="CL93" s="140">
        <v>44935</v>
      </c>
      <c r="CM93" t="s">
        <v>240</v>
      </c>
      <c r="CN93">
        <v>3382</v>
      </c>
    </row>
    <row r="94" spans="1:92" hidden="1" x14ac:dyDescent="0.25">
      <c r="A94" s="215">
        <v>44979</v>
      </c>
      <c r="B94" s="204">
        <v>5394634</v>
      </c>
      <c r="C94" s="204">
        <v>2210</v>
      </c>
      <c r="D94" s="204">
        <v>5396844</v>
      </c>
      <c r="E94" s="212">
        <f t="shared" si="50"/>
        <v>99.959050141156567</v>
      </c>
      <c r="F94" s="71">
        <f t="shared" si="39"/>
        <v>5.3968439999999998</v>
      </c>
      <c r="H94" s="215">
        <v>44979</v>
      </c>
      <c r="I94" s="204">
        <v>2215470</v>
      </c>
      <c r="J94" s="204">
        <v>8454</v>
      </c>
      <c r="K94" s="204">
        <v>2223924</v>
      </c>
      <c r="L94" s="212">
        <f t="shared" ref="L94:L99" si="51">I94/K94%</f>
        <v>99.619861110361683</v>
      </c>
      <c r="M94" s="71">
        <f t="shared" si="40"/>
        <v>2.2239239999999998</v>
      </c>
      <c r="O94" s="215">
        <v>44979</v>
      </c>
      <c r="P94" s="204">
        <v>897556</v>
      </c>
      <c r="Q94" s="204">
        <v>6068</v>
      </c>
      <c r="R94" s="204">
        <v>903624</v>
      </c>
      <c r="S94" s="212">
        <f t="shared" ref="S94:S99" si="52">P94/R94%</f>
        <v>99.328481757899311</v>
      </c>
      <c r="T94" s="71">
        <f t="shared" si="20"/>
        <v>0.90362399999999998</v>
      </c>
      <c r="V94" s="215">
        <v>44979</v>
      </c>
      <c r="W94" s="204">
        <v>918536</v>
      </c>
      <c r="X94" s="204">
        <v>162</v>
      </c>
      <c r="Y94" s="204">
        <v>918698</v>
      </c>
      <c r="Z94" s="212">
        <f t="shared" ref="Z94:Z99" si="53">W94/Y94%</f>
        <v>99.982366348898125</v>
      </c>
      <c r="AA94" s="71">
        <f t="shared" si="21"/>
        <v>0.91869800000000001</v>
      </c>
      <c r="AC94" s="215">
        <v>44979</v>
      </c>
      <c r="AD94" s="204">
        <v>589066</v>
      </c>
      <c r="AE94" s="204">
        <v>1588</v>
      </c>
      <c r="AF94" s="204">
        <v>590654</v>
      </c>
      <c r="AG94" s="212">
        <f t="shared" ref="AG94:AG99" si="54">AD94/AF94%</f>
        <v>99.731145476031656</v>
      </c>
      <c r="AH94" s="71">
        <f t="shared" si="22"/>
        <v>0.59065400000000001</v>
      </c>
      <c r="AJ94" s="215">
        <v>44979</v>
      </c>
      <c r="AK94" s="204">
        <v>589066</v>
      </c>
      <c r="AL94" s="204">
        <v>1588</v>
      </c>
      <c r="AM94" s="204">
        <v>590654</v>
      </c>
      <c r="AN94" s="212">
        <f t="shared" ref="AN94:AN99" si="55">AK94/AM94%</f>
        <v>99.731145476031656</v>
      </c>
      <c r="AO94" s="246">
        <f t="shared" si="23"/>
        <v>0.59065400000000001</v>
      </c>
      <c r="AQ94" s="215">
        <v>44979</v>
      </c>
      <c r="AR94" s="204">
        <v>589066</v>
      </c>
      <c r="AS94" s="204">
        <v>1588</v>
      </c>
      <c r="AT94" s="204">
        <v>590654</v>
      </c>
      <c r="AU94" s="212">
        <f t="shared" ref="AU94:AU99" si="56">AR94/AT94%</f>
        <v>99.731145476031656</v>
      </c>
      <c r="AV94" s="246">
        <f t="shared" si="24"/>
        <v>0.59065400000000001</v>
      </c>
      <c r="AX94" s="215">
        <v>44979</v>
      </c>
      <c r="AY94" s="204">
        <v>589066</v>
      </c>
      <c r="AZ94" s="204">
        <v>1588</v>
      </c>
      <c r="BA94" s="204">
        <v>590654</v>
      </c>
      <c r="BB94" s="212">
        <f t="shared" ref="BB94:BB99" si="57">AY94/BA94%</f>
        <v>99.731145476031656</v>
      </c>
      <c r="BC94" s="246">
        <f t="shared" si="25"/>
        <v>0.59065400000000001</v>
      </c>
      <c r="BE94" s="215">
        <v>44979</v>
      </c>
      <c r="BF94" s="204">
        <v>589066</v>
      </c>
      <c r="BG94" s="204">
        <v>1588</v>
      </c>
      <c r="BH94" s="204">
        <v>590654</v>
      </c>
      <c r="BI94" s="212">
        <f t="shared" ref="BI94:BI99" si="58">BF94/BH94%</f>
        <v>99.731145476031656</v>
      </c>
      <c r="BJ94" s="71">
        <f t="shared" si="26"/>
        <v>0.59065400000000001</v>
      </c>
      <c r="BL94" s="1"/>
      <c r="BM94" s="1"/>
      <c r="BN94" s="1"/>
      <c r="BO94" s="1"/>
      <c r="BP94" s="1"/>
      <c r="BQ94" s="247"/>
      <c r="BS94" s="48"/>
      <c r="BT94" s="48"/>
      <c r="BU94" s="48"/>
      <c r="BV94" s="48"/>
      <c r="BW94" s="48"/>
      <c r="BZ94" s="1"/>
      <c r="CA94" s="1"/>
      <c r="CB94" s="1"/>
      <c r="CC94" s="1"/>
      <c r="CE94" s="215">
        <v>44979</v>
      </c>
      <c r="CF94" s="1">
        <v>11463596</v>
      </c>
      <c r="CG94" s="1">
        <v>29526</v>
      </c>
      <c r="CH94" s="1">
        <v>11493122</v>
      </c>
      <c r="CI94" s="71">
        <f t="shared" ref="CI94:CI118" si="59">CF94/CH94%</f>
        <v>99.74309852449143</v>
      </c>
      <c r="CJ94" s="71">
        <f t="shared" si="28"/>
        <v>11.493122</v>
      </c>
      <c r="CL94" s="140">
        <v>44935</v>
      </c>
      <c r="CM94" t="s">
        <v>239</v>
      </c>
      <c r="CN94">
        <v>1080</v>
      </c>
    </row>
    <row r="95" spans="1:92" hidden="1" x14ac:dyDescent="0.25">
      <c r="A95" s="215">
        <v>44980</v>
      </c>
      <c r="B95" s="204">
        <v>5569436</v>
      </c>
      <c r="C95" s="204">
        <v>8250</v>
      </c>
      <c r="D95" s="204">
        <v>5577686</v>
      </c>
      <c r="E95" s="212">
        <f t="shared" si="50"/>
        <v>99.852089199714726</v>
      </c>
      <c r="F95" s="71">
        <f t="shared" si="39"/>
        <v>5.5776859999999999</v>
      </c>
      <c r="H95" s="215">
        <v>44980</v>
      </c>
      <c r="I95" s="204">
        <v>2306920</v>
      </c>
      <c r="J95" s="204">
        <v>11998</v>
      </c>
      <c r="K95" s="204">
        <v>2318918</v>
      </c>
      <c r="L95" s="212">
        <f t="shared" si="51"/>
        <v>99.482603524574827</v>
      </c>
      <c r="M95" s="71">
        <f t="shared" si="40"/>
        <v>2.318918</v>
      </c>
      <c r="O95" s="215">
        <v>44980</v>
      </c>
      <c r="P95" s="204">
        <v>917640</v>
      </c>
      <c r="Q95" s="204">
        <v>6054</v>
      </c>
      <c r="R95" s="204">
        <v>923694</v>
      </c>
      <c r="S95" s="212">
        <f t="shared" si="52"/>
        <v>99.34458814282651</v>
      </c>
      <c r="T95" s="71">
        <f t="shared" si="20"/>
        <v>0.92369400000000002</v>
      </c>
      <c r="V95" s="215">
        <v>44980</v>
      </c>
      <c r="W95" s="204">
        <v>919814</v>
      </c>
      <c r="X95" s="204">
        <v>1114</v>
      </c>
      <c r="Y95" s="204">
        <v>920928</v>
      </c>
      <c r="Z95" s="212">
        <f t="shared" si="53"/>
        <v>99.879035060287009</v>
      </c>
      <c r="AA95" s="71">
        <f t="shared" si="21"/>
        <v>0.92092799999999997</v>
      </c>
      <c r="AC95" s="215">
        <v>44980</v>
      </c>
      <c r="AD95" s="204">
        <v>604468</v>
      </c>
      <c r="AE95" s="204">
        <v>4770</v>
      </c>
      <c r="AF95" s="204">
        <v>609238</v>
      </c>
      <c r="AG95" s="212">
        <f t="shared" si="54"/>
        <v>99.217054747077498</v>
      </c>
      <c r="AH95" s="71">
        <f t="shared" si="22"/>
        <v>0.60923799999999995</v>
      </c>
      <c r="AJ95" s="215">
        <v>44980</v>
      </c>
      <c r="AK95" s="204">
        <v>604468</v>
      </c>
      <c r="AL95" s="204">
        <v>4770</v>
      </c>
      <c r="AM95" s="204">
        <v>609238</v>
      </c>
      <c r="AN95" s="212">
        <f t="shared" si="55"/>
        <v>99.217054747077498</v>
      </c>
      <c r="AO95" s="246">
        <f t="shared" si="23"/>
        <v>0.60923799999999995</v>
      </c>
      <c r="AQ95" s="215">
        <v>44980</v>
      </c>
      <c r="AR95" s="204">
        <v>604468</v>
      </c>
      <c r="AS95" s="204">
        <v>4770</v>
      </c>
      <c r="AT95" s="204">
        <v>609238</v>
      </c>
      <c r="AU95" s="212">
        <f t="shared" si="56"/>
        <v>99.217054747077498</v>
      </c>
      <c r="AV95" s="246">
        <f t="shared" si="24"/>
        <v>0.60923799999999995</v>
      </c>
      <c r="AX95" s="215">
        <v>44980</v>
      </c>
      <c r="AY95" s="204">
        <v>604468</v>
      </c>
      <c r="AZ95" s="204">
        <v>4770</v>
      </c>
      <c r="BA95" s="204">
        <v>609238</v>
      </c>
      <c r="BB95" s="212">
        <f t="shared" si="57"/>
        <v>99.217054747077498</v>
      </c>
      <c r="BC95" s="246">
        <f t="shared" si="25"/>
        <v>0.60923799999999995</v>
      </c>
      <c r="BE95" s="215">
        <v>44980</v>
      </c>
      <c r="BF95" s="204">
        <v>604468</v>
      </c>
      <c r="BG95" s="204">
        <v>4770</v>
      </c>
      <c r="BH95" s="204">
        <v>609238</v>
      </c>
      <c r="BI95" s="212">
        <f t="shared" si="58"/>
        <v>99.217054747077498</v>
      </c>
      <c r="BJ95" s="71">
        <f t="shared" si="26"/>
        <v>0.60923799999999995</v>
      </c>
      <c r="BL95" s="1"/>
      <c r="BM95" s="1"/>
      <c r="BN95" s="1"/>
      <c r="BO95" s="1"/>
      <c r="BP95" s="1"/>
      <c r="BQ95" s="247"/>
      <c r="BS95" s="48"/>
      <c r="BT95" s="48"/>
      <c r="BU95" s="48"/>
      <c r="BV95" s="48"/>
      <c r="BW95" s="48"/>
      <c r="BZ95" s="1"/>
      <c r="CA95" s="1"/>
      <c r="CB95" s="1"/>
      <c r="CC95" s="1"/>
      <c r="CE95" s="215">
        <v>44980</v>
      </c>
      <c r="CF95" s="1">
        <v>11677990</v>
      </c>
      <c r="CG95" s="1">
        <v>41310</v>
      </c>
      <c r="CH95" s="1">
        <v>11719300</v>
      </c>
      <c r="CI95" s="71">
        <f t="shared" si="59"/>
        <v>99.647504543786738</v>
      </c>
      <c r="CJ95" s="71">
        <f t="shared" si="28"/>
        <v>11.7193</v>
      </c>
      <c r="CL95" s="140">
        <v>44935</v>
      </c>
      <c r="CM95" t="s">
        <v>241</v>
      </c>
      <c r="CN95">
        <v>768</v>
      </c>
    </row>
    <row r="96" spans="1:92" hidden="1" x14ac:dyDescent="0.25">
      <c r="A96" s="215">
        <v>44981</v>
      </c>
      <c r="B96" s="204">
        <v>5441376</v>
      </c>
      <c r="C96" s="204">
        <v>4032</v>
      </c>
      <c r="D96" s="204">
        <v>5445408</v>
      </c>
      <c r="E96" s="212">
        <f t="shared" si="50"/>
        <v>99.925955961426581</v>
      </c>
      <c r="F96" s="71">
        <f t="shared" si="39"/>
        <v>5.4454079999999996</v>
      </c>
      <c r="H96" s="215">
        <v>44981</v>
      </c>
      <c r="I96" s="204">
        <v>2285338</v>
      </c>
      <c r="J96" s="204">
        <v>7466</v>
      </c>
      <c r="K96" s="204">
        <v>2292804</v>
      </c>
      <c r="L96" s="212">
        <f t="shared" si="51"/>
        <v>99.674372515051431</v>
      </c>
      <c r="M96" s="71">
        <f t="shared" si="40"/>
        <v>2.2928039999999998</v>
      </c>
      <c r="O96" s="215">
        <v>44981</v>
      </c>
      <c r="P96" s="204">
        <v>911836</v>
      </c>
      <c r="Q96" s="204">
        <v>6492</v>
      </c>
      <c r="R96" s="204">
        <v>918328</v>
      </c>
      <c r="S96" s="212">
        <f t="shared" si="52"/>
        <v>99.293063045012232</v>
      </c>
      <c r="T96" s="71">
        <f t="shared" si="20"/>
        <v>0.91832800000000003</v>
      </c>
      <c r="V96" s="215">
        <v>44981</v>
      </c>
      <c r="W96" s="204">
        <v>959930</v>
      </c>
      <c r="X96" s="204">
        <v>160</v>
      </c>
      <c r="Y96" s="204">
        <v>960090</v>
      </c>
      <c r="Z96" s="212">
        <f t="shared" si="53"/>
        <v>99.983334895686866</v>
      </c>
      <c r="AA96" s="71">
        <f t="shared" si="21"/>
        <v>0.96009</v>
      </c>
      <c r="AC96" s="215">
        <v>44981</v>
      </c>
      <c r="AD96" s="204">
        <v>580324</v>
      </c>
      <c r="AE96" s="204">
        <v>3592</v>
      </c>
      <c r="AF96" s="204">
        <v>583916</v>
      </c>
      <c r="AG96" s="212">
        <f t="shared" si="54"/>
        <v>99.384843025366663</v>
      </c>
      <c r="AH96" s="71">
        <f t="shared" si="22"/>
        <v>0.58391599999999999</v>
      </c>
      <c r="AJ96" s="215">
        <v>44981</v>
      </c>
      <c r="AK96" s="204">
        <v>580324</v>
      </c>
      <c r="AL96" s="204">
        <v>3592</v>
      </c>
      <c r="AM96" s="204">
        <v>583916</v>
      </c>
      <c r="AN96" s="212">
        <f t="shared" si="55"/>
        <v>99.384843025366663</v>
      </c>
      <c r="AO96" s="246">
        <f t="shared" si="23"/>
        <v>0.58391599999999999</v>
      </c>
      <c r="AQ96" s="215">
        <v>44981</v>
      </c>
      <c r="AR96" s="204">
        <v>580324</v>
      </c>
      <c r="AS96" s="204">
        <v>3592</v>
      </c>
      <c r="AT96" s="204">
        <v>583916</v>
      </c>
      <c r="AU96" s="212">
        <f t="shared" si="56"/>
        <v>99.384843025366663</v>
      </c>
      <c r="AV96" s="246">
        <f t="shared" si="24"/>
        <v>0.58391599999999999</v>
      </c>
      <c r="AX96" s="215">
        <v>44981</v>
      </c>
      <c r="AY96" s="204">
        <v>580324</v>
      </c>
      <c r="AZ96" s="204">
        <v>3592</v>
      </c>
      <c r="BA96" s="204">
        <v>583916</v>
      </c>
      <c r="BB96" s="212">
        <f t="shared" si="57"/>
        <v>99.384843025366663</v>
      </c>
      <c r="BC96" s="246">
        <f t="shared" si="25"/>
        <v>0.58391599999999999</v>
      </c>
      <c r="BE96" s="215">
        <v>44981</v>
      </c>
      <c r="BF96" s="204">
        <v>580324</v>
      </c>
      <c r="BG96" s="204">
        <v>3592</v>
      </c>
      <c r="BH96" s="204">
        <v>583916</v>
      </c>
      <c r="BI96" s="212">
        <f t="shared" si="58"/>
        <v>99.384843025366663</v>
      </c>
      <c r="BJ96" s="71">
        <f t="shared" si="26"/>
        <v>0.58391599999999999</v>
      </c>
      <c r="BL96" s="1"/>
      <c r="BM96" s="1"/>
      <c r="BN96" s="1"/>
      <c r="BO96" s="1"/>
      <c r="BP96" s="1"/>
      <c r="BQ96" s="247"/>
      <c r="BS96" s="48"/>
      <c r="BT96" s="48"/>
      <c r="BU96" s="48"/>
      <c r="BV96" s="48"/>
      <c r="BW96" s="48"/>
      <c r="BZ96" s="1"/>
      <c r="CA96" s="1"/>
      <c r="CB96" s="1"/>
      <c r="CC96" s="1"/>
      <c r="CE96" s="215">
        <v>44981</v>
      </c>
      <c r="CF96" s="1">
        <v>11598210</v>
      </c>
      <c r="CG96" s="1">
        <v>43620</v>
      </c>
      <c r="CH96" s="1">
        <v>11641830</v>
      </c>
      <c r="CI96" s="71">
        <f t="shared" si="59"/>
        <v>99.625316638363557</v>
      </c>
      <c r="CJ96" s="71">
        <f t="shared" si="28"/>
        <v>11.641830000000001</v>
      </c>
      <c r="CL96" s="140">
        <v>44936</v>
      </c>
      <c r="CM96" t="s">
        <v>238</v>
      </c>
      <c r="CN96">
        <v>7780</v>
      </c>
    </row>
    <row r="97" spans="1:92" hidden="1" x14ac:dyDescent="0.25">
      <c r="A97" s="215">
        <v>44982</v>
      </c>
      <c r="B97" s="204">
        <v>5389644</v>
      </c>
      <c r="C97" s="204">
        <v>1204</v>
      </c>
      <c r="D97" s="204">
        <v>5390848</v>
      </c>
      <c r="E97" s="212">
        <f t="shared" si="50"/>
        <v>99.977665851457871</v>
      </c>
      <c r="F97" s="71">
        <f t="shared" si="39"/>
        <v>5.3908480000000001</v>
      </c>
      <c r="H97" s="215">
        <v>44982</v>
      </c>
      <c r="I97" s="204">
        <v>2282346</v>
      </c>
      <c r="J97" s="204">
        <v>8170</v>
      </c>
      <c r="K97" s="204">
        <v>2290516</v>
      </c>
      <c r="L97" s="212">
        <f t="shared" si="51"/>
        <v>99.643311812709456</v>
      </c>
      <c r="M97" s="71">
        <f t="shared" si="40"/>
        <v>2.2905160000000002</v>
      </c>
      <c r="O97" s="215">
        <v>44982</v>
      </c>
      <c r="P97" s="204">
        <v>888258</v>
      </c>
      <c r="Q97" s="204">
        <v>6272</v>
      </c>
      <c r="R97" s="204">
        <v>894530</v>
      </c>
      <c r="S97" s="212">
        <f t="shared" si="52"/>
        <v>99.298849675248462</v>
      </c>
      <c r="T97" s="71">
        <f t="shared" si="20"/>
        <v>0.89453000000000005</v>
      </c>
      <c r="V97" s="215">
        <v>44982</v>
      </c>
      <c r="W97" s="204">
        <v>918736</v>
      </c>
      <c r="X97" s="204">
        <v>158</v>
      </c>
      <c r="Y97" s="204">
        <v>918894</v>
      </c>
      <c r="Z97" s="212">
        <f t="shared" si="53"/>
        <v>99.982805416076275</v>
      </c>
      <c r="AA97" s="71">
        <f t="shared" si="21"/>
        <v>0.91889399999999999</v>
      </c>
      <c r="AC97" s="215">
        <v>44982</v>
      </c>
      <c r="AD97" s="204">
        <v>557972</v>
      </c>
      <c r="AE97" s="204">
        <v>80520</v>
      </c>
      <c r="AF97" s="204">
        <v>638492</v>
      </c>
      <c r="AG97" s="212">
        <f t="shared" si="54"/>
        <v>87.389035414695883</v>
      </c>
      <c r="AH97" s="71">
        <f t="shared" si="22"/>
        <v>0.63849199999999995</v>
      </c>
      <c r="AJ97" s="215">
        <v>44982</v>
      </c>
      <c r="AK97" s="204">
        <v>557972</v>
      </c>
      <c r="AL97" s="204">
        <v>80520</v>
      </c>
      <c r="AM97" s="204">
        <v>638492</v>
      </c>
      <c r="AN97" s="212">
        <f t="shared" si="55"/>
        <v>87.389035414695883</v>
      </c>
      <c r="AO97" s="246">
        <f t="shared" si="23"/>
        <v>0.63849199999999995</v>
      </c>
      <c r="AQ97" s="215">
        <v>44982</v>
      </c>
      <c r="AR97" s="204">
        <v>557972</v>
      </c>
      <c r="AS97" s="204">
        <v>80520</v>
      </c>
      <c r="AT97" s="204">
        <v>638492</v>
      </c>
      <c r="AU97" s="212">
        <f t="shared" si="56"/>
        <v>87.389035414695883</v>
      </c>
      <c r="AV97" s="246">
        <f t="shared" si="24"/>
        <v>0.63849199999999995</v>
      </c>
      <c r="AX97" s="215">
        <v>44982</v>
      </c>
      <c r="AY97" s="204">
        <v>557972</v>
      </c>
      <c r="AZ97" s="204">
        <v>80520</v>
      </c>
      <c r="BA97" s="204">
        <v>638492</v>
      </c>
      <c r="BB97" s="212">
        <f t="shared" si="57"/>
        <v>87.389035414695883</v>
      </c>
      <c r="BC97" s="246">
        <f t="shared" si="25"/>
        <v>0.63849199999999995</v>
      </c>
      <c r="BE97" s="215">
        <v>44982</v>
      </c>
      <c r="BF97" s="204">
        <v>557972</v>
      </c>
      <c r="BG97" s="204">
        <v>80520</v>
      </c>
      <c r="BH97" s="204">
        <v>638492</v>
      </c>
      <c r="BI97" s="212">
        <f t="shared" si="58"/>
        <v>87.389035414695883</v>
      </c>
      <c r="BJ97" s="71">
        <f t="shared" si="26"/>
        <v>0.63849199999999995</v>
      </c>
      <c r="BL97" s="1"/>
      <c r="BM97" s="1"/>
      <c r="BN97" s="1"/>
      <c r="BO97" s="1"/>
      <c r="BP97" s="1"/>
      <c r="BQ97" s="247"/>
      <c r="BS97" s="48"/>
      <c r="BT97" s="48"/>
      <c r="BU97" s="48"/>
      <c r="BV97" s="48"/>
      <c r="BW97" s="48"/>
      <c r="BZ97" s="1"/>
      <c r="CA97" s="1"/>
      <c r="CB97" s="1"/>
      <c r="CC97" s="1"/>
      <c r="CE97" s="215">
        <v>44982</v>
      </c>
      <c r="CF97" s="1">
        <v>11417600</v>
      </c>
      <c r="CG97" s="1">
        <v>117752</v>
      </c>
      <c r="CH97" s="1">
        <v>11535352</v>
      </c>
      <c r="CI97" s="71">
        <f t="shared" si="59"/>
        <v>98.979207569912035</v>
      </c>
      <c r="CJ97" s="71">
        <f t="shared" si="28"/>
        <v>11.535352</v>
      </c>
      <c r="CL97" s="140">
        <v>44936</v>
      </c>
      <c r="CM97" t="s">
        <v>240</v>
      </c>
      <c r="CN97">
        <v>3946</v>
      </c>
    </row>
    <row r="98" spans="1:92" hidden="1" x14ac:dyDescent="0.25">
      <c r="A98" s="215">
        <v>44983</v>
      </c>
      <c r="B98" s="204">
        <v>4674228</v>
      </c>
      <c r="C98" s="204">
        <v>1706</v>
      </c>
      <c r="D98" s="204">
        <v>4675934</v>
      </c>
      <c r="E98" s="212">
        <f t="shared" si="50"/>
        <v>99.963515310524059</v>
      </c>
      <c r="F98" s="71">
        <f t="shared" si="39"/>
        <v>4.6759339999999998</v>
      </c>
      <c r="H98" s="215">
        <v>44983</v>
      </c>
      <c r="I98" s="204">
        <v>2204480</v>
      </c>
      <c r="J98" s="204">
        <v>13626</v>
      </c>
      <c r="K98" s="204">
        <v>2218106</v>
      </c>
      <c r="L98" s="212">
        <f t="shared" si="51"/>
        <v>99.385692117509251</v>
      </c>
      <c r="M98" s="71">
        <f t="shared" si="40"/>
        <v>2.2181060000000001</v>
      </c>
      <c r="O98" s="215">
        <v>44983</v>
      </c>
      <c r="P98" s="204">
        <v>889900</v>
      </c>
      <c r="Q98" s="204">
        <v>6180</v>
      </c>
      <c r="R98" s="204">
        <v>896080</v>
      </c>
      <c r="S98" s="212">
        <f t="shared" si="52"/>
        <v>99.310329434871889</v>
      </c>
      <c r="T98" s="71">
        <f t="shared" si="20"/>
        <v>0.89607999999999999</v>
      </c>
      <c r="V98" s="215">
        <v>44983</v>
      </c>
      <c r="W98" s="204">
        <v>907796</v>
      </c>
      <c r="X98" s="204">
        <v>170</v>
      </c>
      <c r="Y98" s="204">
        <v>907966</v>
      </c>
      <c r="Z98" s="212">
        <f t="shared" si="53"/>
        <v>99.98127683195186</v>
      </c>
      <c r="AA98" s="71">
        <f t="shared" si="21"/>
        <v>0.90796600000000005</v>
      </c>
      <c r="AC98" s="215">
        <v>44983</v>
      </c>
      <c r="AD98" s="204">
        <v>554376</v>
      </c>
      <c r="AE98" s="204">
        <v>58128</v>
      </c>
      <c r="AF98" s="204">
        <v>612504</v>
      </c>
      <c r="AG98" s="212">
        <f t="shared" si="54"/>
        <v>90.509776262685634</v>
      </c>
      <c r="AH98" s="71">
        <f t="shared" si="22"/>
        <v>0.61250400000000005</v>
      </c>
      <c r="AJ98" s="215">
        <v>44983</v>
      </c>
      <c r="AK98" s="204">
        <v>554376</v>
      </c>
      <c r="AL98" s="204">
        <v>58128</v>
      </c>
      <c r="AM98" s="204">
        <v>612504</v>
      </c>
      <c r="AN98" s="212">
        <f t="shared" si="55"/>
        <v>90.509776262685634</v>
      </c>
      <c r="AO98" s="246">
        <f t="shared" si="23"/>
        <v>0.61250400000000005</v>
      </c>
      <c r="AQ98" s="215">
        <v>44983</v>
      </c>
      <c r="AR98" s="204">
        <v>554376</v>
      </c>
      <c r="AS98" s="204">
        <v>58128</v>
      </c>
      <c r="AT98" s="204">
        <v>612504</v>
      </c>
      <c r="AU98" s="212">
        <f t="shared" si="56"/>
        <v>90.509776262685634</v>
      </c>
      <c r="AV98" s="246">
        <f t="shared" si="24"/>
        <v>0.61250400000000005</v>
      </c>
      <c r="AX98" s="215">
        <v>44983</v>
      </c>
      <c r="AY98" s="204">
        <v>554376</v>
      </c>
      <c r="AZ98" s="204">
        <v>58128</v>
      </c>
      <c r="BA98" s="204">
        <v>612504</v>
      </c>
      <c r="BB98" s="212">
        <f t="shared" si="57"/>
        <v>90.509776262685634</v>
      </c>
      <c r="BC98" s="246">
        <f t="shared" si="25"/>
        <v>0.61250400000000005</v>
      </c>
      <c r="BE98" s="215">
        <v>44983</v>
      </c>
      <c r="BF98" s="204">
        <v>554376</v>
      </c>
      <c r="BG98" s="204">
        <v>58128</v>
      </c>
      <c r="BH98" s="204">
        <v>612504</v>
      </c>
      <c r="BI98" s="212">
        <f t="shared" si="58"/>
        <v>90.509776262685634</v>
      </c>
      <c r="BJ98" s="71">
        <f t="shared" si="26"/>
        <v>0.61250400000000005</v>
      </c>
      <c r="BL98" s="1"/>
      <c r="BM98" s="1"/>
      <c r="BN98" s="1"/>
      <c r="BO98" s="1"/>
      <c r="BP98" s="1"/>
      <c r="BQ98" s="247"/>
      <c r="BS98" s="48"/>
      <c r="BT98" s="48"/>
      <c r="BU98" s="48"/>
      <c r="BV98" s="48"/>
      <c r="BW98" s="48"/>
      <c r="BZ98" s="1"/>
      <c r="CA98" s="1"/>
      <c r="CB98" s="1"/>
      <c r="CC98" s="1"/>
      <c r="CE98" s="215">
        <v>44983</v>
      </c>
      <c r="CF98" s="1">
        <v>10597218</v>
      </c>
      <c r="CG98" s="1">
        <v>95358</v>
      </c>
      <c r="CH98" s="1">
        <v>10692576</v>
      </c>
      <c r="CI98" s="71">
        <f t="shared" si="59"/>
        <v>99.108184968711001</v>
      </c>
      <c r="CJ98" s="71">
        <f t="shared" si="28"/>
        <v>10.692576000000001</v>
      </c>
      <c r="CL98" s="140">
        <v>44936</v>
      </c>
      <c r="CM98" t="s">
        <v>237</v>
      </c>
      <c r="CN98">
        <v>2950</v>
      </c>
    </row>
    <row r="99" spans="1:92" hidden="1" x14ac:dyDescent="0.25">
      <c r="A99" s="215">
        <v>44984</v>
      </c>
      <c r="B99" s="204">
        <v>5424078</v>
      </c>
      <c r="C99" s="204">
        <v>3694</v>
      </c>
      <c r="D99" s="204">
        <v>5427772</v>
      </c>
      <c r="E99" s="212">
        <f t="shared" si="50"/>
        <v>99.931942609232664</v>
      </c>
      <c r="F99" s="71">
        <f t="shared" si="39"/>
        <v>5.427772</v>
      </c>
      <c r="H99" s="215">
        <v>44984</v>
      </c>
      <c r="I99" s="204">
        <v>2215282</v>
      </c>
      <c r="J99" s="204">
        <v>11450</v>
      </c>
      <c r="K99" s="204">
        <v>2226732</v>
      </c>
      <c r="L99" s="212">
        <f t="shared" si="51"/>
        <v>99.485793530608987</v>
      </c>
      <c r="M99" s="71">
        <f t="shared" si="40"/>
        <v>2.2267320000000002</v>
      </c>
      <c r="O99" s="215">
        <v>44984</v>
      </c>
      <c r="P99" s="204">
        <v>896618</v>
      </c>
      <c r="Q99" s="204">
        <v>6448</v>
      </c>
      <c r="R99" s="204">
        <v>903066</v>
      </c>
      <c r="S99" s="212">
        <f t="shared" si="52"/>
        <v>99.285987956583469</v>
      </c>
      <c r="T99" s="71">
        <f t="shared" si="20"/>
        <v>0.90306600000000004</v>
      </c>
      <c r="V99" s="215">
        <v>44984</v>
      </c>
      <c r="W99" s="204">
        <v>943136</v>
      </c>
      <c r="X99" s="204">
        <v>152</v>
      </c>
      <c r="Y99" s="204">
        <v>943288</v>
      </c>
      <c r="Z99" s="212">
        <f t="shared" si="53"/>
        <v>99.983886151419298</v>
      </c>
      <c r="AA99" s="71">
        <f t="shared" si="21"/>
        <v>0.94328800000000002</v>
      </c>
      <c r="AC99" s="215">
        <v>44984</v>
      </c>
      <c r="AD99" s="204">
        <v>468738</v>
      </c>
      <c r="AE99" s="204">
        <v>18702</v>
      </c>
      <c r="AF99" s="204">
        <v>487440</v>
      </c>
      <c r="AG99" s="212">
        <f t="shared" si="54"/>
        <v>96.163220088626304</v>
      </c>
      <c r="AH99" s="71">
        <f t="shared" si="22"/>
        <v>0.48743999999999998</v>
      </c>
      <c r="AJ99" s="215">
        <v>44984</v>
      </c>
      <c r="AK99" s="204">
        <v>468738</v>
      </c>
      <c r="AL99" s="204">
        <v>18702</v>
      </c>
      <c r="AM99" s="204">
        <v>487440</v>
      </c>
      <c r="AN99" s="212">
        <f t="shared" si="55"/>
        <v>96.163220088626304</v>
      </c>
      <c r="AO99" s="246">
        <f t="shared" si="23"/>
        <v>0.48743999999999998</v>
      </c>
      <c r="AQ99" s="215">
        <v>44984</v>
      </c>
      <c r="AR99" s="204">
        <v>468738</v>
      </c>
      <c r="AS99" s="204">
        <v>18702</v>
      </c>
      <c r="AT99" s="204">
        <v>487440</v>
      </c>
      <c r="AU99" s="212">
        <f t="shared" si="56"/>
        <v>96.163220088626304</v>
      </c>
      <c r="AV99" s="246">
        <f t="shared" si="24"/>
        <v>0.48743999999999998</v>
      </c>
      <c r="AX99" s="215">
        <v>44984</v>
      </c>
      <c r="AY99" s="204">
        <v>468738</v>
      </c>
      <c r="AZ99" s="204">
        <v>18702</v>
      </c>
      <c r="BA99" s="204">
        <v>487440</v>
      </c>
      <c r="BB99" s="212">
        <f t="shared" si="57"/>
        <v>96.163220088626304</v>
      </c>
      <c r="BC99" s="246">
        <f t="shared" si="25"/>
        <v>0.48743999999999998</v>
      </c>
      <c r="BE99" s="215">
        <v>44984</v>
      </c>
      <c r="BF99" s="204">
        <v>468738</v>
      </c>
      <c r="BG99" s="204">
        <v>18702</v>
      </c>
      <c r="BH99" s="204">
        <v>487440</v>
      </c>
      <c r="BI99" s="212">
        <f t="shared" si="58"/>
        <v>96.163220088626304</v>
      </c>
      <c r="BJ99" s="71">
        <f t="shared" si="26"/>
        <v>0.48743999999999998</v>
      </c>
      <c r="BL99" s="1"/>
      <c r="BM99" s="1"/>
      <c r="BN99" s="1"/>
      <c r="BO99" s="1"/>
      <c r="BP99" s="1"/>
      <c r="BQ99" s="247"/>
      <c r="BS99" s="48"/>
      <c r="BT99" s="48"/>
      <c r="BU99" s="48"/>
      <c r="BV99" s="48"/>
      <c r="BW99" s="48"/>
      <c r="BZ99" s="1"/>
      <c r="CA99" s="1"/>
      <c r="CB99" s="1"/>
      <c r="CC99" s="1"/>
      <c r="CE99" s="215">
        <v>44984</v>
      </c>
      <c r="CF99" s="1">
        <v>11284482</v>
      </c>
      <c r="CG99" s="1">
        <v>53896</v>
      </c>
      <c r="CH99" s="1">
        <v>11338378</v>
      </c>
      <c r="CI99" s="71">
        <f t="shared" si="59"/>
        <v>99.524658641650504</v>
      </c>
      <c r="CJ99" s="71">
        <f t="shared" si="28"/>
        <v>11.338378000000001</v>
      </c>
      <c r="CL99" s="140">
        <v>44936</v>
      </c>
      <c r="CM99" t="s">
        <v>239</v>
      </c>
      <c r="CN99">
        <v>782</v>
      </c>
    </row>
    <row r="100" spans="1:92" hidden="1" x14ac:dyDescent="0.25">
      <c r="A100" s="215">
        <v>44985</v>
      </c>
      <c r="B100" s="204">
        <v>5757768</v>
      </c>
      <c r="C100" s="204">
        <v>3486</v>
      </c>
      <c r="D100" s="204">
        <v>5761254</v>
      </c>
      <c r="E100" s="204">
        <v>99.94</v>
      </c>
      <c r="F100" s="71">
        <f t="shared" si="39"/>
        <v>5.7612540000000001</v>
      </c>
      <c r="H100" s="215">
        <v>44985</v>
      </c>
      <c r="I100" s="204">
        <v>2321364</v>
      </c>
      <c r="J100" s="204">
        <v>5916</v>
      </c>
      <c r="K100" s="204">
        <v>2327280</v>
      </c>
      <c r="L100" s="204">
        <v>99.75</v>
      </c>
      <c r="M100" s="71">
        <f t="shared" si="40"/>
        <v>2.32728</v>
      </c>
      <c r="O100" s="215">
        <v>44985</v>
      </c>
      <c r="P100" s="204">
        <v>974796</v>
      </c>
      <c r="Q100" s="204">
        <v>6966</v>
      </c>
      <c r="R100" s="204">
        <v>981762</v>
      </c>
      <c r="S100" s="204">
        <v>99.29</v>
      </c>
      <c r="T100" s="71">
        <f t="shared" si="20"/>
        <v>0.98176200000000002</v>
      </c>
      <c r="V100" s="215">
        <v>44985</v>
      </c>
      <c r="W100" s="204">
        <v>964762</v>
      </c>
      <c r="X100" s="204">
        <v>174</v>
      </c>
      <c r="Y100" s="204">
        <v>964936</v>
      </c>
      <c r="Z100" s="204">
        <v>99.98</v>
      </c>
      <c r="AA100" s="71">
        <f t="shared" si="21"/>
        <v>0.96493600000000002</v>
      </c>
      <c r="AC100" s="215">
        <v>44985</v>
      </c>
      <c r="AD100" s="204">
        <v>543874</v>
      </c>
      <c r="AE100" s="204">
        <v>1152</v>
      </c>
      <c r="AF100" s="204">
        <v>545026</v>
      </c>
      <c r="AG100" s="204">
        <v>99.79</v>
      </c>
      <c r="AH100" s="71">
        <f t="shared" si="22"/>
        <v>0.54502600000000001</v>
      </c>
      <c r="AJ100" s="215">
        <v>44985</v>
      </c>
      <c r="AK100" s="204">
        <v>543874</v>
      </c>
      <c r="AL100" s="204">
        <v>1152</v>
      </c>
      <c r="AM100" s="204">
        <v>545026</v>
      </c>
      <c r="AN100" s="204">
        <v>99.79</v>
      </c>
      <c r="AO100" s="246">
        <f t="shared" si="23"/>
        <v>0.54502600000000001</v>
      </c>
      <c r="AQ100" s="215">
        <v>44985</v>
      </c>
      <c r="AR100" s="204">
        <v>543874</v>
      </c>
      <c r="AS100" s="204">
        <v>1152</v>
      </c>
      <c r="AT100" s="204">
        <v>545026</v>
      </c>
      <c r="AU100" s="204">
        <v>99.79</v>
      </c>
      <c r="AV100" s="246">
        <f t="shared" si="24"/>
        <v>0.54502600000000001</v>
      </c>
      <c r="AX100" s="215">
        <v>44985</v>
      </c>
      <c r="AY100" s="204">
        <v>543874</v>
      </c>
      <c r="AZ100" s="204">
        <v>1152</v>
      </c>
      <c r="BA100" s="204">
        <v>545026</v>
      </c>
      <c r="BB100" s="204">
        <v>99.79</v>
      </c>
      <c r="BC100" s="246">
        <f t="shared" si="25"/>
        <v>0.54502600000000001</v>
      </c>
      <c r="BE100" s="215">
        <v>44985</v>
      </c>
      <c r="BF100" s="204">
        <v>543874</v>
      </c>
      <c r="BG100" s="204">
        <v>1152</v>
      </c>
      <c r="BH100" s="204">
        <v>545026</v>
      </c>
      <c r="BI100" s="204">
        <v>99.79</v>
      </c>
      <c r="BJ100" s="71">
        <f t="shared" si="26"/>
        <v>0.54502600000000001</v>
      </c>
      <c r="BL100" s="1"/>
      <c r="BM100" s="1"/>
      <c r="BN100" s="1"/>
      <c r="BO100" s="1"/>
      <c r="BP100" s="1"/>
      <c r="BQ100" s="247"/>
      <c r="BS100" s="48"/>
      <c r="BT100" s="48"/>
      <c r="BU100" s="48"/>
      <c r="BV100" s="48"/>
      <c r="BW100" s="48"/>
      <c r="BZ100" s="1"/>
      <c r="CA100" s="1"/>
      <c r="CB100" s="1"/>
      <c r="CC100" s="1"/>
      <c r="CE100" s="215">
        <v>44985</v>
      </c>
      <c r="CF100" s="1">
        <v>11912998</v>
      </c>
      <c r="CG100" s="1">
        <v>25906</v>
      </c>
      <c r="CH100" s="1">
        <v>11938904</v>
      </c>
      <c r="CI100" s="71">
        <f t="shared" si="59"/>
        <v>99.783011907960741</v>
      </c>
      <c r="CJ100" s="71">
        <f t="shared" si="28"/>
        <v>11.938904000000001</v>
      </c>
      <c r="CL100" s="140">
        <v>44936</v>
      </c>
      <c r="CM100" t="s">
        <v>241</v>
      </c>
      <c r="CN100">
        <v>720</v>
      </c>
    </row>
    <row r="101" spans="1:92" hidden="1" x14ac:dyDescent="0.25">
      <c r="A101" s="215">
        <v>44986</v>
      </c>
      <c r="B101" s="204">
        <v>5609774</v>
      </c>
      <c r="C101" s="204">
        <v>2310</v>
      </c>
      <c r="D101" s="204">
        <v>5612084</v>
      </c>
      <c r="E101" s="204">
        <v>99.96</v>
      </c>
      <c r="F101" s="71">
        <f t="shared" si="39"/>
        <v>5.6120840000000003</v>
      </c>
      <c r="H101" s="215">
        <v>44986</v>
      </c>
      <c r="I101" s="204">
        <v>2063060</v>
      </c>
      <c r="J101" s="204">
        <v>5500</v>
      </c>
      <c r="K101" s="204">
        <v>2068560</v>
      </c>
      <c r="L101" s="204">
        <v>99.73</v>
      </c>
      <c r="M101" s="71">
        <f t="shared" si="40"/>
        <v>2.0685600000000002</v>
      </c>
      <c r="O101" s="215">
        <v>44986</v>
      </c>
      <c r="P101" s="204">
        <v>898372</v>
      </c>
      <c r="Q101" s="204">
        <v>5552</v>
      </c>
      <c r="R101" s="204">
        <v>903924</v>
      </c>
      <c r="S101" s="204">
        <v>99.39</v>
      </c>
      <c r="T101" s="71">
        <f t="shared" si="20"/>
        <v>0.90392399999999995</v>
      </c>
      <c r="V101" s="215">
        <v>44986</v>
      </c>
      <c r="W101" s="204">
        <v>899396</v>
      </c>
      <c r="X101" s="204">
        <v>116</v>
      </c>
      <c r="Y101" s="204">
        <v>899512</v>
      </c>
      <c r="Z101" s="204">
        <v>99.99</v>
      </c>
      <c r="AA101" s="71">
        <f t="shared" si="21"/>
        <v>0.89951199999999998</v>
      </c>
      <c r="AC101" s="215">
        <v>44986</v>
      </c>
      <c r="AD101" s="204">
        <v>565808</v>
      </c>
      <c r="AE101" s="204">
        <v>1836</v>
      </c>
      <c r="AF101" s="204">
        <v>567644</v>
      </c>
      <c r="AG101" s="204">
        <v>99.68</v>
      </c>
      <c r="AH101" s="71">
        <f t="shared" si="22"/>
        <v>0.56764400000000004</v>
      </c>
      <c r="AJ101" s="215">
        <v>44986</v>
      </c>
      <c r="AK101" s="204">
        <v>565808</v>
      </c>
      <c r="AL101" s="204">
        <v>1836</v>
      </c>
      <c r="AM101" s="204">
        <v>567644</v>
      </c>
      <c r="AN101" s="204">
        <v>99.68</v>
      </c>
      <c r="AO101" s="246">
        <f t="shared" si="23"/>
        <v>0.56764400000000004</v>
      </c>
      <c r="AQ101" s="215">
        <v>44986</v>
      </c>
      <c r="AR101" s="204">
        <v>565808</v>
      </c>
      <c r="AS101" s="204">
        <v>1836</v>
      </c>
      <c r="AT101" s="204">
        <v>567644</v>
      </c>
      <c r="AU101" s="204">
        <v>99.68</v>
      </c>
      <c r="AV101" s="246">
        <f t="shared" si="24"/>
        <v>0.56764400000000004</v>
      </c>
      <c r="AX101" s="215">
        <v>44986</v>
      </c>
      <c r="AY101" s="204">
        <v>565808</v>
      </c>
      <c r="AZ101" s="204">
        <v>1836</v>
      </c>
      <c r="BA101" s="204">
        <v>567644</v>
      </c>
      <c r="BB101" s="204">
        <v>99.68</v>
      </c>
      <c r="BC101" s="246">
        <f t="shared" si="25"/>
        <v>0.56764400000000004</v>
      </c>
      <c r="BE101" s="215">
        <v>44986</v>
      </c>
      <c r="BF101" s="204">
        <v>565808</v>
      </c>
      <c r="BG101" s="204">
        <v>1836</v>
      </c>
      <c r="BH101" s="204">
        <v>567644</v>
      </c>
      <c r="BI101" s="204">
        <v>99.68</v>
      </c>
      <c r="BJ101" s="71">
        <f t="shared" si="26"/>
        <v>0.56764400000000004</v>
      </c>
      <c r="BL101" s="1"/>
      <c r="BM101" s="1"/>
      <c r="BN101" s="1"/>
      <c r="BO101" s="1"/>
      <c r="BP101" s="1"/>
      <c r="BQ101" s="247"/>
      <c r="BS101" s="48"/>
      <c r="BT101" s="48"/>
      <c r="BU101" s="48"/>
      <c r="BV101" s="48"/>
      <c r="BW101" s="48"/>
      <c r="BZ101" s="1"/>
      <c r="CA101" s="1"/>
      <c r="CB101" s="1"/>
      <c r="CC101" s="1"/>
      <c r="CE101" s="215">
        <v>44986</v>
      </c>
      <c r="CF101" s="1">
        <v>11339896</v>
      </c>
      <c r="CG101" s="1">
        <v>23814</v>
      </c>
      <c r="CH101" s="1">
        <v>11363710</v>
      </c>
      <c r="CI101" s="71">
        <f t="shared" si="59"/>
        <v>99.790438157960736</v>
      </c>
      <c r="CJ101" s="71">
        <f t="shared" si="28"/>
        <v>11.363709999999999</v>
      </c>
      <c r="CL101" s="140">
        <v>44937</v>
      </c>
      <c r="CM101" t="s">
        <v>239</v>
      </c>
      <c r="CN101">
        <v>5929</v>
      </c>
    </row>
    <row r="102" spans="1:92" hidden="1" x14ac:dyDescent="0.25">
      <c r="A102" s="215">
        <v>44987</v>
      </c>
      <c r="B102" s="204">
        <v>5514288</v>
      </c>
      <c r="C102" s="204">
        <v>2162</v>
      </c>
      <c r="D102" s="204">
        <v>5516450</v>
      </c>
      <c r="E102" s="204">
        <v>99.96</v>
      </c>
      <c r="F102" s="71">
        <f t="shared" si="39"/>
        <v>5.5164499999999999</v>
      </c>
      <c r="H102" s="215">
        <v>44987</v>
      </c>
      <c r="I102" s="204">
        <v>2155646</v>
      </c>
      <c r="J102" s="204">
        <v>9200</v>
      </c>
      <c r="K102" s="204">
        <v>2164846</v>
      </c>
      <c r="L102" s="204">
        <v>99.58</v>
      </c>
      <c r="M102" s="71">
        <f t="shared" si="40"/>
        <v>2.1648459999999998</v>
      </c>
      <c r="O102" s="215">
        <v>44987</v>
      </c>
      <c r="P102" s="204">
        <v>926068</v>
      </c>
      <c r="Q102" s="204">
        <v>6012</v>
      </c>
      <c r="R102" s="204">
        <v>932080</v>
      </c>
      <c r="S102" s="204">
        <v>99.35</v>
      </c>
      <c r="T102" s="71">
        <f t="shared" si="20"/>
        <v>0.93208000000000002</v>
      </c>
      <c r="V102" s="215">
        <v>44987</v>
      </c>
      <c r="W102" s="204">
        <v>963866</v>
      </c>
      <c r="X102" s="204">
        <v>440</v>
      </c>
      <c r="Y102" s="204">
        <v>964306</v>
      </c>
      <c r="Z102" s="204">
        <v>99.95</v>
      </c>
      <c r="AA102" s="71">
        <f t="shared" si="21"/>
        <v>0.964306</v>
      </c>
      <c r="AC102" s="215">
        <v>44987</v>
      </c>
      <c r="AD102" s="204">
        <v>575864</v>
      </c>
      <c r="AE102" s="204">
        <v>2020</v>
      </c>
      <c r="AF102" s="204">
        <v>577884</v>
      </c>
      <c r="AG102" s="204">
        <v>99.65</v>
      </c>
      <c r="AH102" s="71">
        <f t="shared" si="22"/>
        <v>0.57788399999999995</v>
      </c>
      <c r="AJ102" s="215">
        <v>44987</v>
      </c>
      <c r="AK102" s="204">
        <v>575864</v>
      </c>
      <c r="AL102" s="204">
        <v>2020</v>
      </c>
      <c r="AM102" s="204">
        <v>577884</v>
      </c>
      <c r="AN102" s="204">
        <v>99.65</v>
      </c>
      <c r="AO102" s="246">
        <f t="shared" si="23"/>
        <v>0.57788399999999995</v>
      </c>
      <c r="AQ102" s="215">
        <v>44987</v>
      </c>
      <c r="AR102" s="204">
        <v>575864</v>
      </c>
      <c r="AS102" s="204">
        <v>2020</v>
      </c>
      <c r="AT102" s="204">
        <v>577884</v>
      </c>
      <c r="AU102" s="204">
        <v>99.65</v>
      </c>
      <c r="AV102" s="246">
        <f t="shared" si="24"/>
        <v>0.57788399999999995</v>
      </c>
      <c r="AX102" s="215">
        <v>44987</v>
      </c>
      <c r="AY102" s="204">
        <v>575864</v>
      </c>
      <c r="AZ102" s="204">
        <v>2020</v>
      </c>
      <c r="BA102" s="204">
        <v>577884</v>
      </c>
      <c r="BB102" s="204">
        <v>99.65</v>
      </c>
      <c r="BC102" s="246">
        <f t="shared" si="25"/>
        <v>0.57788399999999995</v>
      </c>
      <c r="BE102" s="215">
        <v>44987</v>
      </c>
      <c r="BF102" s="204">
        <v>575864</v>
      </c>
      <c r="BG102" s="204">
        <v>2020</v>
      </c>
      <c r="BH102" s="204">
        <v>577884</v>
      </c>
      <c r="BI102" s="204">
        <v>99.65</v>
      </c>
      <c r="BJ102" s="71">
        <f t="shared" si="26"/>
        <v>0.57788399999999995</v>
      </c>
      <c r="BL102" s="1"/>
      <c r="BM102" s="1"/>
      <c r="BN102" s="1"/>
      <c r="BO102" s="1"/>
      <c r="BP102" s="1"/>
      <c r="BQ102" s="247"/>
      <c r="BS102" s="48"/>
      <c r="BT102" s="48"/>
      <c r="BU102" s="48"/>
      <c r="BV102" s="48"/>
      <c r="BW102" s="48"/>
      <c r="BZ102" s="1"/>
      <c r="CA102" s="1"/>
      <c r="CB102" s="1"/>
      <c r="CC102" s="1"/>
      <c r="CE102" s="215">
        <v>44987</v>
      </c>
      <c r="CF102" s="1">
        <v>11403380</v>
      </c>
      <c r="CG102" s="1">
        <v>27432</v>
      </c>
      <c r="CH102" s="1">
        <v>11430812</v>
      </c>
      <c r="CI102" s="71">
        <f t="shared" si="59"/>
        <v>99.760017048657616</v>
      </c>
      <c r="CJ102" s="71">
        <f t="shared" si="28"/>
        <v>11.430812</v>
      </c>
      <c r="CL102" s="140">
        <v>44937</v>
      </c>
      <c r="CM102" t="s">
        <v>238</v>
      </c>
      <c r="CN102">
        <v>4980</v>
      </c>
    </row>
    <row r="103" spans="1:92" hidden="1" x14ac:dyDescent="0.25">
      <c r="A103" s="215">
        <v>44988</v>
      </c>
      <c r="B103" s="204">
        <v>6420994</v>
      </c>
      <c r="C103" s="204">
        <v>1974</v>
      </c>
      <c r="D103" s="204">
        <v>6422968</v>
      </c>
      <c r="E103" s="204">
        <v>99.97</v>
      </c>
      <c r="F103" s="71">
        <f t="shared" si="39"/>
        <v>6.422968</v>
      </c>
      <c r="H103" s="215">
        <v>44988</v>
      </c>
      <c r="I103" s="204">
        <v>2353296</v>
      </c>
      <c r="J103" s="204">
        <v>4788</v>
      </c>
      <c r="K103" s="204">
        <v>2358084</v>
      </c>
      <c r="L103" s="204">
        <v>99.8</v>
      </c>
      <c r="M103" s="71">
        <f t="shared" si="40"/>
        <v>2.3580839999999998</v>
      </c>
      <c r="O103" s="215">
        <v>44988</v>
      </c>
      <c r="P103" s="204">
        <v>947132</v>
      </c>
      <c r="Q103" s="204">
        <v>7540</v>
      </c>
      <c r="R103" s="204">
        <v>954672</v>
      </c>
      <c r="S103" s="204">
        <v>99.21</v>
      </c>
      <c r="T103" s="71">
        <f t="shared" si="20"/>
        <v>0.95467199999999997</v>
      </c>
      <c r="V103" s="215">
        <v>44988</v>
      </c>
      <c r="W103" s="204">
        <v>996628</v>
      </c>
      <c r="X103" s="204">
        <v>178</v>
      </c>
      <c r="Y103" s="204">
        <v>996806</v>
      </c>
      <c r="Z103" s="204">
        <v>99.98</v>
      </c>
      <c r="AA103" s="71">
        <f t="shared" si="21"/>
        <v>0.99680599999999997</v>
      </c>
      <c r="AC103" s="215">
        <v>44988</v>
      </c>
      <c r="AD103" s="204">
        <v>609486</v>
      </c>
      <c r="AE103" s="204">
        <v>2192</v>
      </c>
      <c r="AF103" s="204">
        <v>611678</v>
      </c>
      <c r="AG103" s="204">
        <v>99.64</v>
      </c>
      <c r="AH103" s="71">
        <f t="shared" si="22"/>
        <v>0.61167800000000006</v>
      </c>
      <c r="AJ103" s="215">
        <v>44988</v>
      </c>
      <c r="AK103" s="204">
        <v>609486</v>
      </c>
      <c r="AL103" s="204">
        <v>2192</v>
      </c>
      <c r="AM103" s="204">
        <v>611678</v>
      </c>
      <c r="AN103" s="204">
        <v>99.64</v>
      </c>
      <c r="AO103" s="246">
        <f t="shared" si="23"/>
        <v>0.61167800000000006</v>
      </c>
      <c r="AQ103" s="215">
        <v>44988</v>
      </c>
      <c r="AR103" s="204">
        <v>609486</v>
      </c>
      <c r="AS103" s="204">
        <v>2192</v>
      </c>
      <c r="AT103" s="204">
        <v>611678</v>
      </c>
      <c r="AU103" s="204">
        <v>99.64</v>
      </c>
      <c r="AV103" s="246">
        <f t="shared" si="24"/>
        <v>0.61167800000000006</v>
      </c>
      <c r="AX103" s="215">
        <v>44988</v>
      </c>
      <c r="AY103" s="204">
        <v>609486</v>
      </c>
      <c r="AZ103" s="204">
        <v>2192</v>
      </c>
      <c r="BA103" s="204">
        <v>611678</v>
      </c>
      <c r="BB103" s="204">
        <v>99.64</v>
      </c>
      <c r="BC103" s="246">
        <f t="shared" si="25"/>
        <v>0.61167800000000006</v>
      </c>
      <c r="BE103" s="215">
        <v>44988</v>
      </c>
      <c r="BF103" s="204">
        <v>609486</v>
      </c>
      <c r="BG103" s="204">
        <v>2192</v>
      </c>
      <c r="BH103" s="204">
        <v>611678</v>
      </c>
      <c r="BI103" s="204">
        <v>99.64</v>
      </c>
      <c r="BJ103" s="71">
        <f t="shared" si="26"/>
        <v>0.61167800000000006</v>
      </c>
      <c r="BL103" s="1"/>
      <c r="BM103" s="1"/>
      <c r="BN103" s="1"/>
      <c r="BO103" s="1"/>
      <c r="BP103" s="1"/>
      <c r="BQ103" s="247"/>
      <c r="BS103" s="48"/>
      <c r="BT103" s="48"/>
      <c r="BU103" s="48"/>
      <c r="BV103" s="48"/>
      <c r="BW103" s="48"/>
      <c r="BZ103" s="1"/>
      <c r="CA103" s="1"/>
      <c r="CB103" s="1"/>
      <c r="CC103" s="1"/>
      <c r="CE103" s="215">
        <v>44988</v>
      </c>
      <c r="CF103" s="1">
        <v>12780924</v>
      </c>
      <c r="CG103" s="1">
        <v>25166</v>
      </c>
      <c r="CH103" s="1">
        <v>12806090</v>
      </c>
      <c r="CI103" s="71">
        <f t="shared" si="59"/>
        <v>99.803484123569334</v>
      </c>
      <c r="CJ103" s="71">
        <f t="shared" si="28"/>
        <v>12.806089999999999</v>
      </c>
      <c r="CL103" s="140">
        <v>44937</v>
      </c>
      <c r="CM103" t="s">
        <v>237</v>
      </c>
      <c r="CN103">
        <v>3144</v>
      </c>
    </row>
    <row r="104" spans="1:92" hidden="1" x14ac:dyDescent="0.25">
      <c r="A104" s="215">
        <v>44989</v>
      </c>
      <c r="B104" s="204">
        <v>6201398</v>
      </c>
      <c r="C104" s="204">
        <v>1318</v>
      </c>
      <c r="D104" s="204">
        <v>6202716</v>
      </c>
      <c r="E104" s="204">
        <v>99.98</v>
      </c>
      <c r="F104" s="71">
        <f t="shared" si="39"/>
        <v>6.2027159999999997</v>
      </c>
      <c r="H104" s="215">
        <v>44989</v>
      </c>
      <c r="I104" s="204">
        <v>2186984</v>
      </c>
      <c r="J104" s="204">
        <v>4024</v>
      </c>
      <c r="K104" s="204">
        <v>2191008</v>
      </c>
      <c r="L104" s="204">
        <v>99.82</v>
      </c>
      <c r="M104" s="71">
        <f t="shared" si="40"/>
        <v>2.1910080000000001</v>
      </c>
      <c r="O104" s="215">
        <v>44989</v>
      </c>
      <c r="P104" s="204">
        <v>981802</v>
      </c>
      <c r="Q104" s="204">
        <v>6856</v>
      </c>
      <c r="R104" s="204">
        <v>988658</v>
      </c>
      <c r="S104" s="204">
        <v>99.31</v>
      </c>
      <c r="T104" s="71">
        <f t="shared" si="20"/>
        <v>0.98865800000000004</v>
      </c>
      <c r="V104" s="215">
        <v>44989</v>
      </c>
      <c r="W104" s="204">
        <v>974562</v>
      </c>
      <c r="X104" s="204">
        <v>186</v>
      </c>
      <c r="Y104" s="204">
        <v>974748</v>
      </c>
      <c r="Z104" s="204">
        <v>99.98</v>
      </c>
      <c r="AA104" s="71">
        <f t="shared" si="21"/>
        <v>0.97474799999999995</v>
      </c>
      <c r="AC104" s="215">
        <v>44989</v>
      </c>
      <c r="AD104" s="204">
        <v>603590</v>
      </c>
      <c r="AE104" s="204">
        <v>6698</v>
      </c>
      <c r="AF104" s="204">
        <v>610288</v>
      </c>
      <c r="AG104" s="204">
        <v>98.9</v>
      </c>
      <c r="AH104" s="71">
        <f t="shared" si="22"/>
        <v>0.61028800000000005</v>
      </c>
      <c r="AJ104" s="215">
        <v>44989</v>
      </c>
      <c r="AK104" s="204">
        <v>603590</v>
      </c>
      <c r="AL104" s="204">
        <v>6698</v>
      </c>
      <c r="AM104" s="204">
        <v>610288</v>
      </c>
      <c r="AN104" s="204">
        <v>98.9</v>
      </c>
      <c r="AO104" s="246">
        <f t="shared" si="23"/>
        <v>0.61028800000000005</v>
      </c>
      <c r="AQ104" s="215">
        <v>44989</v>
      </c>
      <c r="AR104" s="204">
        <v>603590</v>
      </c>
      <c r="AS104" s="204">
        <v>6698</v>
      </c>
      <c r="AT104" s="204">
        <v>610288</v>
      </c>
      <c r="AU104" s="204">
        <v>98.9</v>
      </c>
      <c r="AV104" s="246">
        <f t="shared" si="24"/>
        <v>0.61028800000000005</v>
      </c>
      <c r="AX104" s="215">
        <v>44989</v>
      </c>
      <c r="AY104" s="204">
        <v>603590</v>
      </c>
      <c r="AZ104" s="204">
        <v>6698</v>
      </c>
      <c r="BA104" s="204">
        <v>610288</v>
      </c>
      <c r="BB104" s="204">
        <v>98.9</v>
      </c>
      <c r="BC104" s="246">
        <f t="shared" si="25"/>
        <v>0.61028800000000005</v>
      </c>
      <c r="BE104" s="215">
        <v>44989</v>
      </c>
      <c r="BF104" s="204">
        <v>603590</v>
      </c>
      <c r="BG104" s="204">
        <v>6698</v>
      </c>
      <c r="BH104" s="204">
        <v>610288</v>
      </c>
      <c r="BI104" s="204">
        <v>98.9</v>
      </c>
      <c r="BJ104" s="71">
        <f t="shared" si="26"/>
        <v>0.61028800000000005</v>
      </c>
      <c r="BL104" s="1"/>
      <c r="BM104" s="1"/>
      <c r="BN104" s="1"/>
      <c r="BO104" s="1"/>
      <c r="BP104" s="1"/>
      <c r="BQ104" s="247"/>
      <c r="BS104" s="48"/>
      <c r="BT104" s="48"/>
      <c r="BU104" s="48"/>
      <c r="BV104" s="48"/>
      <c r="BW104" s="48"/>
      <c r="BZ104" s="1"/>
      <c r="CA104" s="1"/>
      <c r="CB104" s="1"/>
      <c r="CC104" s="1"/>
      <c r="CE104" s="215">
        <v>44989</v>
      </c>
      <c r="CF104" s="1">
        <v>12321360</v>
      </c>
      <c r="CG104" s="1">
        <v>26374</v>
      </c>
      <c r="CH104" s="1">
        <v>12347734</v>
      </c>
      <c r="CI104" s="71">
        <f t="shared" si="59"/>
        <v>99.786406153550118</v>
      </c>
      <c r="CJ104" s="71">
        <f t="shared" si="28"/>
        <v>12.347734000000001</v>
      </c>
      <c r="CL104" s="140">
        <v>44937</v>
      </c>
      <c r="CM104" t="s">
        <v>240</v>
      </c>
      <c r="CN104">
        <v>2411</v>
      </c>
    </row>
    <row r="105" spans="1:92" hidden="1" x14ac:dyDescent="0.25">
      <c r="A105" s="215">
        <v>44990</v>
      </c>
      <c r="B105" s="204">
        <v>4830494</v>
      </c>
      <c r="C105" s="204">
        <v>1424</v>
      </c>
      <c r="D105" s="204">
        <v>4831918</v>
      </c>
      <c r="E105" s="204">
        <v>99.97</v>
      </c>
      <c r="F105" s="71">
        <f t="shared" si="39"/>
        <v>4.8319179999999999</v>
      </c>
      <c r="H105" s="215">
        <v>44990</v>
      </c>
      <c r="I105" s="204">
        <v>2129452</v>
      </c>
      <c r="J105" s="204">
        <v>4048</v>
      </c>
      <c r="K105" s="204">
        <v>2133500</v>
      </c>
      <c r="L105" s="204">
        <v>99.81</v>
      </c>
      <c r="M105" s="71">
        <f t="shared" si="40"/>
        <v>2.1335000000000002</v>
      </c>
      <c r="O105" s="215">
        <v>44990</v>
      </c>
      <c r="P105" s="204">
        <v>957760</v>
      </c>
      <c r="Q105" s="204">
        <v>6718</v>
      </c>
      <c r="R105" s="204">
        <v>964478</v>
      </c>
      <c r="S105" s="204">
        <v>99.3</v>
      </c>
      <c r="T105" s="71">
        <f t="shared" si="20"/>
        <v>0.96447799999999995</v>
      </c>
      <c r="V105" s="215">
        <v>44990</v>
      </c>
      <c r="W105" s="204">
        <v>937934</v>
      </c>
      <c r="X105" s="204">
        <v>184</v>
      </c>
      <c r="Y105" s="204">
        <v>938118</v>
      </c>
      <c r="Z105" s="204">
        <v>99.98</v>
      </c>
      <c r="AA105" s="71">
        <f t="shared" si="21"/>
        <v>0.93811800000000001</v>
      </c>
      <c r="AC105" s="215">
        <v>44990</v>
      </c>
      <c r="AD105" s="204">
        <v>581362</v>
      </c>
      <c r="AE105" s="204">
        <v>7014</v>
      </c>
      <c r="AF105" s="204">
        <v>588376</v>
      </c>
      <c r="AG105" s="204">
        <v>98.81</v>
      </c>
      <c r="AH105" s="71">
        <f t="shared" si="22"/>
        <v>0.58837600000000001</v>
      </c>
      <c r="AJ105" s="215">
        <v>44990</v>
      </c>
      <c r="AK105" s="204">
        <v>581362</v>
      </c>
      <c r="AL105" s="204">
        <v>7014</v>
      </c>
      <c r="AM105" s="204">
        <v>588376</v>
      </c>
      <c r="AN105" s="204">
        <v>98.81</v>
      </c>
      <c r="AO105" s="246">
        <f t="shared" si="23"/>
        <v>0.58837600000000001</v>
      </c>
      <c r="AQ105" s="215">
        <v>44990</v>
      </c>
      <c r="AR105" s="204">
        <v>581362</v>
      </c>
      <c r="AS105" s="204">
        <v>7014</v>
      </c>
      <c r="AT105" s="204">
        <v>588376</v>
      </c>
      <c r="AU105" s="204">
        <v>98.81</v>
      </c>
      <c r="AV105" s="246">
        <f t="shared" si="24"/>
        <v>0.58837600000000001</v>
      </c>
      <c r="AX105" s="215">
        <v>44990</v>
      </c>
      <c r="AY105" s="204">
        <v>581362</v>
      </c>
      <c r="AZ105" s="204">
        <v>7014</v>
      </c>
      <c r="BA105" s="204">
        <v>588376</v>
      </c>
      <c r="BB105" s="204">
        <v>98.81</v>
      </c>
      <c r="BC105" s="246">
        <f t="shared" si="25"/>
        <v>0.58837600000000001</v>
      </c>
      <c r="BE105" s="215">
        <v>44990</v>
      </c>
      <c r="BF105" s="204">
        <v>581362</v>
      </c>
      <c r="BG105" s="204">
        <v>7014</v>
      </c>
      <c r="BH105" s="204">
        <v>588376</v>
      </c>
      <c r="BI105" s="204">
        <v>98.81</v>
      </c>
      <c r="BJ105" s="71">
        <f t="shared" si="26"/>
        <v>0.58837600000000001</v>
      </c>
      <c r="BL105" s="1"/>
      <c r="BM105" s="1"/>
      <c r="BN105" s="1"/>
      <c r="BO105" s="1"/>
      <c r="BP105" s="1"/>
      <c r="BQ105" s="247"/>
      <c r="BS105" s="48"/>
      <c r="BT105" s="48"/>
      <c r="BU105" s="48"/>
      <c r="BV105" s="48"/>
      <c r="BW105" s="48"/>
      <c r="BZ105" s="1"/>
      <c r="CA105" s="1"/>
      <c r="CB105" s="1"/>
      <c r="CC105" s="1"/>
      <c r="CE105" s="215">
        <v>44990</v>
      </c>
      <c r="CF105" s="1">
        <v>10718726</v>
      </c>
      <c r="CG105" s="1">
        <v>26626</v>
      </c>
      <c r="CH105" s="1">
        <v>10745352</v>
      </c>
      <c r="CI105" s="71">
        <f t="shared" si="59"/>
        <v>99.75220914121752</v>
      </c>
      <c r="CJ105" s="71">
        <f t="shared" si="28"/>
        <v>10.745352</v>
      </c>
      <c r="CL105" s="140">
        <v>44937</v>
      </c>
      <c r="CM105" t="s">
        <v>241</v>
      </c>
      <c r="CN105">
        <v>819</v>
      </c>
    </row>
    <row r="106" spans="1:92" hidden="1" x14ac:dyDescent="0.25">
      <c r="A106" s="215">
        <v>44991</v>
      </c>
      <c r="B106" s="204">
        <v>5954658</v>
      </c>
      <c r="C106" s="204">
        <v>3162</v>
      </c>
      <c r="D106" s="204">
        <v>5957820</v>
      </c>
      <c r="E106" s="204">
        <v>99.95</v>
      </c>
      <c r="F106" s="71">
        <f t="shared" si="39"/>
        <v>5.9578199999999999</v>
      </c>
      <c r="H106" s="215">
        <v>44991</v>
      </c>
      <c r="I106" s="204">
        <v>2302752</v>
      </c>
      <c r="J106" s="204">
        <v>5810</v>
      </c>
      <c r="K106" s="204">
        <v>2308562</v>
      </c>
      <c r="L106" s="204">
        <v>99.75</v>
      </c>
      <c r="M106" s="71">
        <f t="shared" si="40"/>
        <v>2.3085619999999998</v>
      </c>
      <c r="O106" s="215">
        <v>44991</v>
      </c>
      <c r="P106" s="204">
        <v>940064</v>
      </c>
      <c r="Q106" s="204">
        <v>7212</v>
      </c>
      <c r="R106" s="204">
        <v>947276</v>
      </c>
      <c r="S106" s="204">
        <v>99.24</v>
      </c>
      <c r="T106" s="71">
        <f t="shared" si="20"/>
        <v>0.94727600000000001</v>
      </c>
      <c r="V106" s="215">
        <v>44991</v>
      </c>
      <c r="W106" s="204">
        <v>938848</v>
      </c>
      <c r="X106" s="204">
        <v>200</v>
      </c>
      <c r="Y106" s="204">
        <v>939048</v>
      </c>
      <c r="Z106" s="204">
        <v>99.98</v>
      </c>
      <c r="AA106" s="71">
        <f t="shared" si="21"/>
        <v>0.93904799999999999</v>
      </c>
      <c r="AC106" s="215">
        <v>44991</v>
      </c>
      <c r="AD106" s="204">
        <v>563258</v>
      </c>
      <c r="AE106" s="204">
        <v>828</v>
      </c>
      <c r="AF106" s="204">
        <v>564086</v>
      </c>
      <c r="AG106" s="204">
        <v>99.85</v>
      </c>
      <c r="AH106" s="71">
        <f t="shared" si="22"/>
        <v>0.56408599999999998</v>
      </c>
      <c r="AJ106" s="215">
        <v>44991</v>
      </c>
      <c r="AK106" s="204">
        <v>563258</v>
      </c>
      <c r="AL106" s="204">
        <v>828</v>
      </c>
      <c r="AM106" s="204">
        <v>564086</v>
      </c>
      <c r="AN106" s="204">
        <v>99.85</v>
      </c>
      <c r="AO106" s="246">
        <f t="shared" si="23"/>
        <v>0.56408599999999998</v>
      </c>
      <c r="AQ106" s="215">
        <v>44991</v>
      </c>
      <c r="AR106" s="204">
        <v>563258</v>
      </c>
      <c r="AS106" s="204">
        <v>828</v>
      </c>
      <c r="AT106" s="204">
        <v>564086</v>
      </c>
      <c r="AU106" s="204">
        <v>99.85</v>
      </c>
      <c r="AV106" s="246">
        <f t="shared" si="24"/>
        <v>0.56408599999999998</v>
      </c>
      <c r="AX106" s="215">
        <v>44991</v>
      </c>
      <c r="AY106" s="204">
        <v>563258</v>
      </c>
      <c r="AZ106" s="204">
        <v>828</v>
      </c>
      <c r="BA106" s="204">
        <v>564086</v>
      </c>
      <c r="BB106" s="204">
        <v>99.85</v>
      </c>
      <c r="BC106" s="246">
        <f t="shared" si="25"/>
        <v>0.56408599999999998</v>
      </c>
      <c r="BE106" s="215">
        <v>44991</v>
      </c>
      <c r="BF106" s="204">
        <v>563258</v>
      </c>
      <c r="BG106" s="204">
        <v>828</v>
      </c>
      <c r="BH106" s="204">
        <v>564086</v>
      </c>
      <c r="BI106" s="204">
        <v>99.85</v>
      </c>
      <c r="BJ106" s="71">
        <f t="shared" si="26"/>
        <v>0.56408599999999998</v>
      </c>
      <c r="BL106" s="1"/>
      <c r="BM106" s="1"/>
      <c r="BN106" s="1"/>
      <c r="BO106" s="1"/>
      <c r="BP106" s="1"/>
      <c r="BQ106" s="247"/>
      <c r="BS106" s="48"/>
      <c r="BT106" s="48"/>
      <c r="BU106" s="48"/>
      <c r="BV106" s="48"/>
      <c r="BW106" s="48"/>
      <c r="BZ106" s="1"/>
      <c r="CA106" s="1"/>
      <c r="CB106" s="1"/>
      <c r="CC106" s="1"/>
      <c r="CE106" s="215">
        <v>44991</v>
      </c>
      <c r="CF106" s="1">
        <v>12029538</v>
      </c>
      <c r="CG106" s="1">
        <v>25942</v>
      </c>
      <c r="CH106" s="1">
        <v>12055480</v>
      </c>
      <c r="CI106" s="71">
        <f t="shared" si="59"/>
        <v>99.784811554579321</v>
      </c>
      <c r="CJ106" s="71">
        <f t="shared" si="28"/>
        <v>12.055479999999999</v>
      </c>
      <c r="CL106" s="140">
        <v>44938</v>
      </c>
      <c r="CM106" t="s">
        <v>238</v>
      </c>
      <c r="CN106">
        <v>9204</v>
      </c>
    </row>
    <row r="107" spans="1:92" hidden="1" x14ac:dyDescent="0.25">
      <c r="A107" s="215">
        <v>44992</v>
      </c>
      <c r="B107" s="204">
        <v>5923354</v>
      </c>
      <c r="C107" s="204">
        <v>2272</v>
      </c>
      <c r="D107" s="204">
        <v>5925626</v>
      </c>
      <c r="E107" s="204">
        <v>99.96</v>
      </c>
      <c r="F107" s="71">
        <f t="shared" si="39"/>
        <v>5.9256260000000003</v>
      </c>
      <c r="H107" s="215">
        <v>44992</v>
      </c>
      <c r="I107" s="204">
        <v>2303136</v>
      </c>
      <c r="J107" s="204">
        <v>6124</v>
      </c>
      <c r="K107" s="204">
        <v>2309260</v>
      </c>
      <c r="L107" s="204">
        <v>99.73</v>
      </c>
      <c r="M107" s="71">
        <f t="shared" si="40"/>
        <v>2.3092600000000001</v>
      </c>
      <c r="O107" s="215">
        <v>44992</v>
      </c>
      <c r="P107" s="204">
        <v>919544</v>
      </c>
      <c r="Q107" s="204">
        <v>7266</v>
      </c>
      <c r="R107" s="204">
        <v>926810</v>
      </c>
      <c r="S107" s="204">
        <v>99.22</v>
      </c>
      <c r="T107" s="71">
        <f t="shared" si="20"/>
        <v>0.92681000000000002</v>
      </c>
      <c r="V107" s="215">
        <v>44992</v>
      </c>
      <c r="W107" s="204">
        <v>968078</v>
      </c>
      <c r="X107" s="204">
        <v>156</v>
      </c>
      <c r="Y107" s="204">
        <v>968234</v>
      </c>
      <c r="Z107" s="204">
        <v>99.98</v>
      </c>
      <c r="AA107" s="71">
        <f t="shared" si="21"/>
        <v>0.96823400000000004</v>
      </c>
      <c r="AC107" s="215">
        <v>44992</v>
      </c>
      <c r="AD107" s="204">
        <v>606854</v>
      </c>
      <c r="AE107" s="204">
        <v>1134</v>
      </c>
      <c r="AF107" s="204">
        <v>607988</v>
      </c>
      <c r="AG107" s="204">
        <v>99.81</v>
      </c>
      <c r="AH107" s="71">
        <f t="shared" si="22"/>
        <v>0.60798799999999997</v>
      </c>
      <c r="AJ107" s="215">
        <v>44992</v>
      </c>
      <c r="AK107" s="204">
        <v>606854</v>
      </c>
      <c r="AL107" s="204">
        <v>1134</v>
      </c>
      <c r="AM107" s="204">
        <v>607988</v>
      </c>
      <c r="AN107" s="204">
        <v>99.81</v>
      </c>
      <c r="AO107" s="246">
        <f t="shared" si="23"/>
        <v>0.60798799999999997</v>
      </c>
      <c r="AQ107" s="215">
        <v>44992</v>
      </c>
      <c r="AR107" s="204">
        <v>606854</v>
      </c>
      <c r="AS107" s="204">
        <v>1134</v>
      </c>
      <c r="AT107" s="204">
        <v>607988</v>
      </c>
      <c r="AU107" s="204">
        <v>99.81</v>
      </c>
      <c r="AV107" s="246">
        <f t="shared" si="24"/>
        <v>0.60798799999999997</v>
      </c>
      <c r="AX107" s="215">
        <v>44992</v>
      </c>
      <c r="AY107" s="204">
        <v>606854</v>
      </c>
      <c r="AZ107" s="204">
        <v>1134</v>
      </c>
      <c r="BA107" s="204">
        <v>607988</v>
      </c>
      <c r="BB107" s="204">
        <v>99.81</v>
      </c>
      <c r="BC107" s="246">
        <f t="shared" si="25"/>
        <v>0.60798799999999997</v>
      </c>
      <c r="BE107" s="215">
        <v>44992</v>
      </c>
      <c r="BF107" s="204">
        <v>606854</v>
      </c>
      <c r="BG107" s="204">
        <v>1134</v>
      </c>
      <c r="BH107" s="204">
        <v>607988</v>
      </c>
      <c r="BI107" s="204">
        <v>99.81</v>
      </c>
      <c r="BJ107" s="71">
        <f t="shared" si="26"/>
        <v>0.60798799999999997</v>
      </c>
      <c r="BL107" s="1"/>
      <c r="BM107" s="1"/>
      <c r="BN107" s="1"/>
      <c r="BO107" s="1"/>
      <c r="BP107" s="1"/>
      <c r="BQ107" s="247"/>
      <c r="BS107" s="48"/>
      <c r="BT107" s="48"/>
      <c r="BU107" s="48"/>
      <c r="BV107" s="48"/>
      <c r="BW107" s="48"/>
      <c r="BZ107" s="1"/>
      <c r="CA107" s="1"/>
      <c r="CB107" s="1"/>
      <c r="CC107" s="1"/>
      <c r="CE107" s="215">
        <v>44992</v>
      </c>
      <c r="CF107" s="1">
        <v>12037698</v>
      </c>
      <c r="CG107" s="1">
        <v>28200</v>
      </c>
      <c r="CH107" s="1">
        <v>12065898</v>
      </c>
      <c r="CI107" s="71">
        <f t="shared" si="59"/>
        <v>99.766283454410114</v>
      </c>
      <c r="CJ107" s="71">
        <f t="shared" si="28"/>
        <v>12.065898000000001</v>
      </c>
      <c r="CL107" s="140">
        <v>44938</v>
      </c>
      <c r="CM107" t="s">
        <v>239</v>
      </c>
      <c r="CN107">
        <v>5782</v>
      </c>
    </row>
    <row r="108" spans="1:92" hidden="1" x14ac:dyDescent="0.25">
      <c r="A108" s="215">
        <v>44993</v>
      </c>
      <c r="B108" s="204">
        <v>5877542</v>
      </c>
      <c r="C108" s="204">
        <v>1360</v>
      </c>
      <c r="D108" s="204">
        <v>5878902</v>
      </c>
      <c r="E108" s="204">
        <v>99.98</v>
      </c>
      <c r="F108" s="71">
        <f t="shared" si="39"/>
        <v>5.8789020000000001</v>
      </c>
      <c r="H108" s="215">
        <v>44993</v>
      </c>
      <c r="I108" s="204">
        <v>1981578</v>
      </c>
      <c r="J108" s="204">
        <v>85306</v>
      </c>
      <c r="K108" s="204">
        <v>2066884</v>
      </c>
      <c r="L108" s="204">
        <v>95.87</v>
      </c>
      <c r="M108" s="71">
        <f t="shared" si="40"/>
        <v>2.0668839999999999</v>
      </c>
      <c r="O108" s="215">
        <v>44993</v>
      </c>
      <c r="P108" s="204">
        <v>895910</v>
      </c>
      <c r="Q108" s="204">
        <v>6200</v>
      </c>
      <c r="R108" s="204">
        <v>902110</v>
      </c>
      <c r="S108" s="204">
        <v>99.31</v>
      </c>
      <c r="T108" s="71">
        <f t="shared" si="20"/>
        <v>0.90210999999999997</v>
      </c>
      <c r="V108" s="215">
        <v>44993</v>
      </c>
      <c r="W108" s="204">
        <v>941956</v>
      </c>
      <c r="X108" s="204">
        <v>166</v>
      </c>
      <c r="Y108" s="204">
        <v>942122</v>
      </c>
      <c r="Z108" s="204">
        <v>99.98</v>
      </c>
      <c r="AA108" s="71">
        <f t="shared" si="21"/>
        <v>0.94212200000000001</v>
      </c>
      <c r="AC108" s="215">
        <v>44993</v>
      </c>
      <c r="AD108" s="204">
        <v>600838</v>
      </c>
      <c r="AE108" s="204">
        <v>9398</v>
      </c>
      <c r="AF108" s="204">
        <v>610236</v>
      </c>
      <c r="AG108" s="204">
        <v>98.46</v>
      </c>
      <c r="AH108" s="71">
        <f t="shared" si="22"/>
        <v>0.610236</v>
      </c>
      <c r="AJ108" s="215">
        <v>44993</v>
      </c>
      <c r="AK108" s="204">
        <v>600838</v>
      </c>
      <c r="AL108" s="204">
        <v>9398</v>
      </c>
      <c r="AM108" s="204">
        <v>610236</v>
      </c>
      <c r="AN108" s="204">
        <v>98.46</v>
      </c>
      <c r="AO108" s="246">
        <f t="shared" si="23"/>
        <v>0.610236</v>
      </c>
      <c r="AQ108" s="215">
        <v>44993</v>
      </c>
      <c r="AR108" s="204">
        <v>600838</v>
      </c>
      <c r="AS108" s="204">
        <v>9398</v>
      </c>
      <c r="AT108" s="204">
        <v>610236</v>
      </c>
      <c r="AU108" s="204">
        <v>98.46</v>
      </c>
      <c r="AV108" s="246">
        <f t="shared" si="24"/>
        <v>0.610236</v>
      </c>
      <c r="AX108" s="215">
        <v>44993</v>
      </c>
      <c r="AY108" s="204">
        <v>600838</v>
      </c>
      <c r="AZ108" s="204">
        <v>9398</v>
      </c>
      <c r="BA108" s="204">
        <v>610236</v>
      </c>
      <c r="BB108" s="204">
        <v>98.46</v>
      </c>
      <c r="BC108" s="246">
        <f t="shared" si="25"/>
        <v>0.610236</v>
      </c>
      <c r="BE108" s="215">
        <v>44993</v>
      </c>
      <c r="BF108" s="204">
        <v>600838</v>
      </c>
      <c r="BG108" s="204">
        <v>9398</v>
      </c>
      <c r="BH108" s="204">
        <v>610236</v>
      </c>
      <c r="BI108" s="204">
        <v>98.46</v>
      </c>
      <c r="BJ108" s="71">
        <f t="shared" si="26"/>
        <v>0.610236</v>
      </c>
      <c r="BL108" s="1"/>
      <c r="BM108" s="1"/>
      <c r="BN108" s="1"/>
      <c r="BO108" s="1"/>
      <c r="BP108" s="1"/>
      <c r="BQ108" s="247"/>
      <c r="BS108" s="48"/>
      <c r="BT108" s="48"/>
      <c r="BU108" s="48"/>
      <c r="BV108" s="48"/>
      <c r="BW108" s="48"/>
      <c r="BZ108" s="1"/>
      <c r="CA108" s="1"/>
      <c r="CB108" s="1"/>
      <c r="CC108" s="1"/>
      <c r="CE108" s="215">
        <v>44993</v>
      </c>
      <c r="CF108" s="1">
        <v>11569402</v>
      </c>
      <c r="CG108" s="1">
        <v>159314</v>
      </c>
      <c r="CH108" s="1">
        <v>11728716</v>
      </c>
      <c r="CI108" s="71">
        <f t="shared" si="59"/>
        <v>98.64167569578801</v>
      </c>
      <c r="CJ108" s="71">
        <f t="shared" si="28"/>
        <v>11.728716</v>
      </c>
      <c r="CL108" s="140">
        <v>44938</v>
      </c>
      <c r="CM108" t="s">
        <v>237</v>
      </c>
      <c r="CN108">
        <v>3964</v>
      </c>
    </row>
    <row r="109" spans="1:92" hidden="1" x14ac:dyDescent="0.25">
      <c r="A109" s="215">
        <v>44994</v>
      </c>
      <c r="B109" s="104">
        <v>5529224</v>
      </c>
      <c r="C109" s="104">
        <v>1266</v>
      </c>
      <c r="D109" s="104">
        <v>5530490</v>
      </c>
      <c r="E109" s="104">
        <v>99.98</v>
      </c>
      <c r="F109" s="71">
        <f t="shared" si="39"/>
        <v>5.5304900000000004</v>
      </c>
      <c r="H109" s="215">
        <v>44994</v>
      </c>
      <c r="I109" s="104">
        <v>2088252</v>
      </c>
      <c r="J109" s="104">
        <v>8698</v>
      </c>
      <c r="K109" s="104">
        <v>2096950</v>
      </c>
      <c r="L109" s="104">
        <v>99.59</v>
      </c>
      <c r="M109" s="71">
        <f t="shared" si="40"/>
        <v>2.0969500000000001</v>
      </c>
      <c r="O109" s="215">
        <v>44994</v>
      </c>
      <c r="P109" s="104">
        <v>841432</v>
      </c>
      <c r="Q109" s="104">
        <v>5590</v>
      </c>
      <c r="R109" s="104">
        <v>847022</v>
      </c>
      <c r="S109" s="104">
        <v>99.34</v>
      </c>
      <c r="T109" s="71">
        <f t="shared" si="20"/>
        <v>0.84702200000000005</v>
      </c>
      <c r="V109" s="215">
        <v>44994</v>
      </c>
      <c r="W109" s="104">
        <v>915520</v>
      </c>
      <c r="X109" s="104">
        <v>152</v>
      </c>
      <c r="Y109" s="104">
        <v>915672</v>
      </c>
      <c r="Z109" s="104">
        <v>99.98</v>
      </c>
      <c r="AA109" s="71">
        <f t="shared" si="21"/>
        <v>0.91567200000000004</v>
      </c>
      <c r="AC109" s="215">
        <v>44994</v>
      </c>
      <c r="AD109" s="104">
        <v>604494</v>
      </c>
      <c r="AE109" s="104">
        <v>488</v>
      </c>
      <c r="AF109" s="104">
        <v>604982</v>
      </c>
      <c r="AG109" s="104">
        <v>99.92</v>
      </c>
      <c r="AH109" s="71">
        <f t="shared" si="22"/>
        <v>0.60498200000000002</v>
      </c>
      <c r="AJ109" s="215">
        <v>44994</v>
      </c>
      <c r="AK109" s="104">
        <v>604494</v>
      </c>
      <c r="AL109" s="104">
        <v>488</v>
      </c>
      <c r="AM109" s="104">
        <v>604982</v>
      </c>
      <c r="AN109" s="104">
        <v>99.92</v>
      </c>
      <c r="AO109" s="246">
        <f t="shared" si="23"/>
        <v>0.60498200000000002</v>
      </c>
      <c r="AQ109" s="215">
        <v>44994</v>
      </c>
      <c r="AR109" s="104">
        <v>604494</v>
      </c>
      <c r="AS109" s="104">
        <v>488</v>
      </c>
      <c r="AT109" s="104">
        <v>604982</v>
      </c>
      <c r="AU109" s="104">
        <v>99.92</v>
      </c>
      <c r="AV109" s="246">
        <f t="shared" si="24"/>
        <v>0.60498200000000002</v>
      </c>
      <c r="AX109" s="215">
        <v>44994</v>
      </c>
      <c r="AY109" s="104">
        <v>604494</v>
      </c>
      <c r="AZ109" s="104">
        <v>488</v>
      </c>
      <c r="BA109" s="104">
        <v>604982</v>
      </c>
      <c r="BB109" s="104">
        <v>99.92</v>
      </c>
      <c r="BC109" s="246">
        <f t="shared" si="25"/>
        <v>0.60498200000000002</v>
      </c>
      <c r="BE109" s="215">
        <v>44994</v>
      </c>
      <c r="BF109" s="104">
        <v>604494</v>
      </c>
      <c r="BG109" s="104">
        <v>488</v>
      </c>
      <c r="BH109" s="104">
        <v>604982</v>
      </c>
      <c r="BI109" s="104">
        <v>99.92</v>
      </c>
      <c r="BJ109" s="71">
        <f t="shared" si="26"/>
        <v>0.60498200000000002</v>
      </c>
      <c r="BL109" s="1"/>
      <c r="BM109" s="1"/>
      <c r="BN109" s="1"/>
      <c r="BO109" s="1"/>
      <c r="BP109" s="1"/>
      <c r="BQ109" s="247"/>
      <c r="BS109" s="48"/>
      <c r="BT109" s="48"/>
      <c r="BU109" s="48"/>
      <c r="BV109" s="48"/>
      <c r="BW109" s="48"/>
      <c r="BZ109" s="1"/>
      <c r="CA109" s="1"/>
      <c r="CB109" s="1"/>
      <c r="CC109" s="1"/>
      <c r="CE109" s="216">
        <v>44994</v>
      </c>
      <c r="CF109" s="1">
        <v>11255560</v>
      </c>
      <c r="CG109" s="1">
        <v>26644</v>
      </c>
      <c r="CH109" s="1">
        <v>11282204</v>
      </c>
      <c r="CI109" s="71">
        <f t="shared" si="59"/>
        <v>99.763840469468562</v>
      </c>
      <c r="CJ109" s="71">
        <f t="shared" si="28"/>
        <v>11.282204</v>
      </c>
      <c r="CL109" s="140">
        <v>44938</v>
      </c>
      <c r="CM109" t="s">
        <v>240</v>
      </c>
      <c r="CN109">
        <v>2804</v>
      </c>
    </row>
    <row r="110" spans="1:92" hidden="1" x14ac:dyDescent="0.25">
      <c r="A110" s="215">
        <v>44995</v>
      </c>
      <c r="B110" s="104">
        <v>5714810</v>
      </c>
      <c r="C110" s="104">
        <v>2406</v>
      </c>
      <c r="D110" s="104">
        <v>5717216</v>
      </c>
      <c r="E110" s="104">
        <v>99.96</v>
      </c>
      <c r="F110" s="71">
        <f t="shared" si="39"/>
        <v>5.7172159999999996</v>
      </c>
      <c r="H110" s="215">
        <v>44995</v>
      </c>
      <c r="I110" s="104">
        <v>2192138</v>
      </c>
      <c r="J110" s="104">
        <v>4864</v>
      </c>
      <c r="K110" s="104">
        <v>2197002</v>
      </c>
      <c r="L110" s="104">
        <v>99.78</v>
      </c>
      <c r="M110" s="71">
        <f t="shared" si="40"/>
        <v>2.1970019999999999</v>
      </c>
      <c r="O110" s="215">
        <v>44995</v>
      </c>
      <c r="P110" s="104">
        <v>931480</v>
      </c>
      <c r="Q110" s="104">
        <v>6094</v>
      </c>
      <c r="R110" s="104">
        <v>937574</v>
      </c>
      <c r="S110" s="104">
        <v>99.35</v>
      </c>
      <c r="T110" s="71">
        <f t="shared" si="20"/>
        <v>0.93757400000000002</v>
      </c>
      <c r="V110" s="215">
        <v>44995</v>
      </c>
      <c r="W110" s="104">
        <v>981444</v>
      </c>
      <c r="X110" s="104">
        <v>196</v>
      </c>
      <c r="Y110" s="104">
        <v>981640</v>
      </c>
      <c r="Z110" s="104">
        <v>99.98</v>
      </c>
      <c r="AA110" s="71">
        <f t="shared" si="21"/>
        <v>0.98163999999999996</v>
      </c>
      <c r="AC110" s="215">
        <v>44995</v>
      </c>
      <c r="AD110" s="104">
        <v>644224</v>
      </c>
      <c r="AE110" s="104">
        <v>362</v>
      </c>
      <c r="AF110" s="104">
        <v>644586</v>
      </c>
      <c r="AG110" s="104">
        <v>99.94</v>
      </c>
      <c r="AH110" s="71">
        <f t="shared" si="22"/>
        <v>0.64458599999999999</v>
      </c>
      <c r="AJ110" s="215">
        <v>44995</v>
      </c>
      <c r="AK110" s="104">
        <v>644224</v>
      </c>
      <c r="AL110" s="104">
        <v>362</v>
      </c>
      <c r="AM110" s="104">
        <v>644586</v>
      </c>
      <c r="AN110" s="104">
        <v>99.94</v>
      </c>
      <c r="AO110" s="246">
        <f t="shared" si="23"/>
        <v>0.64458599999999999</v>
      </c>
      <c r="AQ110" s="215">
        <v>44995</v>
      </c>
      <c r="AR110" s="104">
        <v>644224</v>
      </c>
      <c r="AS110" s="104">
        <v>362</v>
      </c>
      <c r="AT110" s="104">
        <v>644586</v>
      </c>
      <c r="AU110" s="104">
        <v>99.94</v>
      </c>
      <c r="AV110" s="246">
        <f t="shared" si="24"/>
        <v>0.64458599999999999</v>
      </c>
      <c r="AX110" s="215">
        <v>44995</v>
      </c>
      <c r="AY110" s="104">
        <v>644224</v>
      </c>
      <c r="AZ110" s="104">
        <v>362</v>
      </c>
      <c r="BA110" s="104">
        <v>644586</v>
      </c>
      <c r="BB110" s="104">
        <v>99.94</v>
      </c>
      <c r="BC110" s="246">
        <f t="shared" si="25"/>
        <v>0.64458599999999999</v>
      </c>
      <c r="BE110" s="215">
        <v>44995</v>
      </c>
      <c r="BF110" s="104">
        <v>644224</v>
      </c>
      <c r="BG110" s="104">
        <v>362</v>
      </c>
      <c r="BH110" s="104">
        <v>644586</v>
      </c>
      <c r="BI110" s="104">
        <v>99.94</v>
      </c>
      <c r="BJ110" s="71">
        <f t="shared" si="26"/>
        <v>0.64458599999999999</v>
      </c>
      <c r="BL110" s="1"/>
      <c r="BM110" s="1"/>
      <c r="BN110" s="1"/>
      <c r="BO110" s="1"/>
      <c r="BP110" s="1"/>
      <c r="BQ110" s="247"/>
      <c r="BS110" s="48"/>
      <c r="BT110" s="48"/>
      <c r="BU110" s="48"/>
      <c r="BV110" s="48"/>
      <c r="BW110" s="48"/>
      <c r="BZ110" s="1"/>
      <c r="CA110" s="1"/>
      <c r="CB110" s="1"/>
      <c r="CC110" s="1"/>
      <c r="CE110" s="216">
        <v>44995</v>
      </c>
      <c r="CF110" s="1">
        <v>11801184</v>
      </c>
      <c r="CG110" s="1">
        <v>24026</v>
      </c>
      <c r="CH110" s="1">
        <v>11825210</v>
      </c>
      <c r="CI110" s="71">
        <f t="shared" si="59"/>
        <v>99.796823904184365</v>
      </c>
      <c r="CJ110" s="71">
        <f t="shared" si="28"/>
        <v>11.82521</v>
      </c>
      <c r="CL110" s="140">
        <v>44938</v>
      </c>
      <c r="CM110" t="s">
        <v>241</v>
      </c>
      <c r="CN110">
        <v>820</v>
      </c>
    </row>
    <row r="111" spans="1:92" hidden="1" x14ac:dyDescent="0.25">
      <c r="A111" s="215">
        <v>44996</v>
      </c>
      <c r="B111" s="104">
        <v>5785432</v>
      </c>
      <c r="C111" s="104">
        <v>4804</v>
      </c>
      <c r="D111" s="104">
        <v>5790236</v>
      </c>
      <c r="E111" s="104">
        <v>99.92</v>
      </c>
      <c r="F111" s="71">
        <f t="shared" si="39"/>
        <v>5.7902360000000002</v>
      </c>
      <c r="H111" s="215">
        <v>44996</v>
      </c>
      <c r="I111" s="104">
        <v>2131064</v>
      </c>
      <c r="J111" s="104">
        <v>3930</v>
      </c>
      <c r="K111" s="104">
        <v>2134994</v>
      </c>
      <c r="L111" s="104">
        <v>99.82</v>
      </c>
      <c r="M111" s="71">
        <f t="shared" si="40"/>
        <v>2.1349939999999998</v>
      </c>
      <c r="O111" s="215">
        <v>44996</v>
      </c>
      <c r="P111" s="104">
        <v>886280</v>
      </c>
      <c r="Q111" s="104">
        <v>6208</v>
      </c>
      <c r="R111" s="104">
        <v>892488</v>
      </c>
      <c r="S111" s="104">
        <v>99.3</v>
      </c>
      <c r="T111" s="71">
        <f t="shared" si="20"/>
        <v>0.89248799999999995</v>
      </c>
      <c r="V111" s="215">
        <v>44996</v>
      </c>
      <c r="W111" s="104">
        <v>954158</v>
      </c>
      <c r="X111" s="104">
        <v>638</v>
      </c>
      <c r="Y111" s="104">
        <v>954796</v>
      </c>
      <c r="Z111" s="104">
        <v>99.93</v>
      </c>
      <c r="AA111" s="71">
        <f t="shared" si="21"/>
        <v>0.95479599999999998</v>
      </c>
      <c r="AC111" s="215">
        <v>44996</v>
      </c>
      <c r="AD111" s="104">
        <v>640970</v>
      </c>
      <c r="AE111" s="104">
        <v>3326</v>
      </c>
      <c r="AF111" s="104">
        <v>644296</v>
      </c>
      <c r="AG111" s="104">
        <v>99.48</v>
      </c>
      <c r="AH111" s="71">
        <f t="shared" si="22"/>
        <v>0.64429599999999998</v>
      </c>
      <c r="AJ111" s="215">
        <v>44996</v>
      </c>
      <c r="AK111" s="104">
        <v>640970</v>
      </c>
      <c r="AL111" s="104">
        <v>3326</v>
      </c>
      <c r="AM111" s="104">
        <v>644296</v>
      </c>
      <c r="AN111" s="104">
        <v>99.48</v>
      </c>
      <c r="AO111" s="246">
        <f t="shared" si="23"/>
        <v>0.64429599999999998</v>
      </c>
      <c r="AQ111" s="215">
        <v>44996</v>
      </c>
      <c r="AR111" s="104">
        <v>640970</v>
      </c>
      <c r="AS111" s="104">
        <v>3326</v>
      </c>
      <c r="AT111" s="104">
        <v>644296</v>
      </c>
      <c r="AU111" s="104">
        <v>99.48</v>
      </c>
      <c r="AV111" s="246">
        <f t="shared" si="24"/>
        <v>0.64429599999999998</v>
      </c>
      <c r="AX111" s="215">
        <v>44996</v>
      </c>
      <c r="AY111" s="104">
        <v>640970</v>
      </c>
      <c r="AZ111" s="104">
        <v>3326</v>
      </c>
      <c r="BA111" s="104">
        <v>644296</v>
      </c>
      <c r="BB111" s="104">
        <v>99.48</v>
      </c>
      <c r="BC111" s="246">
        <f t="shared" si="25"/>
        <v>0.64429599999999998</v>
      </c>
      <c r="BE111" s="215">
        <v>44996</v>
      </c>
      <c r="BF111" s="104">
        <v>640970</v>
      </c>
      <c r="BG111" s="104">
        <v>3326</v>
      </c>
      <c r="BH111" s="104">
        <v>644296</v>
      </c>
      <c r="BI111" s="104">
        <v>99.48</v>
      </c>
      <c r="BJ111" s="71">
        <f t="shared" si="26"/>
        <v>0.64429599999999998</v>
      </c>
      <c r="BL111" s="1"/>
      <c r="BM111" s="1"/>
      <c r="BN111" s="1"/>
      <c r="BO111" s="1"/>
      <c r="BP111" s="1"/>
      <c r="BQ111" s="247"/>
      <c r="BS111" s="48"/>
      <c r="BT111" s="48"/>
      <c r="BU111" s="48"/>
      <c r="BV111" s="48"/>
      <c r="BW111" s="48"/>
      <c r="BZ111" s="1"/>
      <c r="CA111" s="1"/>
      <c r="CB111" s="1"/>
      <c r="CC111" s="1"/>
      <c r="CE111" s="216">
        <v>44996</v>
      </c>
      <c r="CF111" s="1">
        <v>11694310</v>
      </c>
      <c r="CG111" s="1">
        <v>27892</v>
      </c>
      <c r="CH111" s="1">
        <v>11722202</v>
      </c>
      <c r="CI111" s="71">
        <f t="shared" si="59"/>
        <v>99.762058357294976</v>
      </c>
      <c r="CJ111" s="71">
        <f t="shared" si="28"/>
        <v>11.722201999999999</v>
      </c>
      <c r="CL111" s="140">
        <v>44939</v>
      </c>
      <c r="CM111" t="s">
        <v>238</v>
      </c>
      <c r="CN111">
        <v>5208</v>
      </c>
    </row>
    <row r="112" spans="1:92" hidden="1" x14ac:dyDescent="0.25">
      <c r="A112" s="215">
        <v>44997</v>
      </c>
      <c r="B112" s="104">
        <v>4417902</v>
      </c>
      <c r="C112" s="104">
        <v>1050</v>
      </c>
      <c r="D112" s="104">
        <v>4418952</v>
      </c>
      <c r="E112" s="104">
        <v>99.98</v>
      </c>
      <c r="F112" s="71">
        <f t="shared" si="39"/>
        <v>4.418952</v>
      </c>
      <c r="H112" s="215">
        <v>44997</v>
      </c>
      <c r="I112" s="104">
        <v>1957782</v>
      </c>
      <c r="J112" s="104">
        <v>3640</v>
      </c>
      <c r="K112" s="104">
        <v>1961422</v>
      </c>
      <c r="L112" s="104">
        <v>99.81</v>
      </c>
      <c r="M112" s="71">
        <f t="shared" si="40"/>
        <v>1.961422</v>
      </c>
      <c r="O112" s="215">
        <v>44997</v>
      </c>
      <c r="P112" s="104">
        <v>849398</v>
      </c>
      <c r="Q112" s="104">
        <v>5544</v>
      </c>
      <c r="R112" s="104">
        <v>854942</v>
      </c>
      <c r="S112" s="104">
        <v>99.35</v>
      </c>
      <c r="T112" s="71">
        <f t="shared" si="20"/>
        <v>0.85494199999999998</v>
      </c>
      <c r="V112" s="215">
        <v>44997</v>
      </c>
      <c r="W112" s="104">
        <v>847644</v>
      </c>
      <c r="X112" s="104">
        <v>156</v>
      </c>
      <c r="Y112" s="104">
        <v>847800</v>
      </c>
      <c r="Z112" s="104">
        <v>99.98</v>
      </c>
      <c r="AA112" s="71">
        <f t="shared" si="21"/>
        <v>0.8478</v>
      </c>
      <c r="AC112" s="215">
        <v>44997</v>
      </c>
      <c r="AD112" s="104">
        <v>622892</v>
      </c>
      <c r="AE112" s="104">
        <v>1090</v>
      </c>
      <c r="AF112" s="104">
        <v>623982</v>
      </c>
      <c r="AG112" s="104">
        <v>99.83</v>
      </c>
      <c r="AH112" s="71">
        <f t="shared" si="22"/>
        <v>0.62398200000000004</v>
      </c>
      <c r="AJ112" s="215">
        <v>44997</v>
      </c>
      <c r="AK112" s="104">
        <v>622892</v>
      </c>
      <c r="AL112" s="104">
        <v>1090</v>
      </c>
      <c r="AM112" s="104">
        <v>623982</v>
      </c>
      <c r="AN112" s="104">
        <v>99.83</v>
      </c>
      <c r="AO112" s="246">
        <f t="shared" si="23"/>
        <v>0.62398200000000004</v>
      </c>
      <c r="AQ112" s="215">
        <v>44997</v>
      </c>
      <c r="AR112" s="104">
        <v>622892</v>
      </c>
      <c r="AS112" s="104">
        <v>1090</v>
      </c>
      <c r="AT112" s="104">
        <v>623982</v>
      </c>
      <c r="AU112" s="104">
        <v>99.83</v>
      </c>
      <c r="AV112" s="246">
        <f t="shared" si="24"/>
        <v>0.62398200000000004</v>
      </c>
      <c r="AX112" s="215">
        <v>44997</v>
      </c>
      <c r="AY112" s="104">
        <v>622892</v>
      </c>
      <c r="AZ112" s="104">
        <v>1090</v>
      </c>
      <c r="BA112" s="104">
        <v>623982</v>
      </c>
      <c r="BB112" s="104">
        <v>99.83</v>
      </c>
      <c r="BC112" s="246">
        <f t="shared" si="25"/>
        <v>0.62398200000000004</v>
      </c>
      <c r="BE112" s="215">
        <v>44997</v>
      </c>
      <c r="BF112" s="104">
        <v>622892</v>
      </c>
      <c r="BG112" s="104">
        <v>1090</v>
      </c>
      <c r="BH112" s="104">
        <v>623982</v>
      </c>
      <c r="BI112" s="104">
        <v>99.83</v>
      </c>
      <c r="BJ112" s="71">
        <f t="shared" si="26"/>
        <v>0.62398200000000004</v>
      </c>
      <c r="BL112" s="1"/>
      <c r="BM112" s="1"/>
      <c r="BN112" s="1"/>
      <c r="BO112" s="1"/>
      <c r="BP112" s="1"/>
      <c r="BQ112" s="247"/>
      <c r="BS112" s="48"/>
      <c r="BT112" s="48"/>
      <c r="BU112" s="48"/>
      <c r="BV112" s="48"/>
      <c r="BW112" s="48"/>
      <c r="BZ112" s="1"/>
      <c r="CA112" s="1"/>
      <c r="CB112" s="1"/>
      <c r="CC112" s="1"/>
      <c r="CE112" s="216">
        <v>44997</v>
      </c>
      <c r="CF112" s="1">
        <v>9847576</v>
      </c>
      <c r="CG112" s="1">
        <v>19432</v>
      </c>
      <c r="CH112" s="1">
        <v>9867008</v>
      </c>
      <c r="CI112" s="71">
        <f t="shared" si="59"/>
        <v>99.803060867083516</v>
      </c>
      <c r="CJ112" s="71">
        <f t="shared" si="28"/>
        <v>9.8670080000000002</v>
      </c>
      <c r="CL112" s="140">
        <v>44939</v>
      </c>
      <c r="CM112" t="s">
        <v>239</v>
      </c>
      <c r="CN112">
        <v>5030</v>
      </c>
    </row>
    <row r="113" spans="1:92" hidden="1" x14ac:dyDescent="0.25">
      <c r="A113" s="215">
        <v>44998</v>
      </c>
      <c r="B113" s="48">
        <v>5936146</v>
      </c>
      <c r="C113" s="48">
        <v>2224</v>
      </c>
      <c r="D113" s="48">
        <v>5938370</v>
      </c>
      <c r="E113" s="104">
        <v>99.98</v>
      </c>
      <c r="F113" s="71">
        <f t="shared" si="39"/>
        <v>5.9383699999999999</v>
      </c>
      <c r="H113" s="215">
        <v>44998</v>
      </c>
      <c r="I113" s="1">
        <v>2165188</v>
      </c>
      <c r="J113" s="1">
        <v>7262</v>
      </c>
      <c r="K113" s="1">
        <v>2172450</v>
      </c>
      <c r="L113" s="1">
        <v>99.67</v>
      </c>
      <c r="M113" s="71">
        <f t="shared" si="40"/>
        <v>2.17245</v>
      </c>
      <c r="O113" s="215">
        <v>44998</v>
      </c>
      <c r="P113" s="104">
        <v>931404</v>
      </c>
      <c r="Q113" s="104">
        <v>6988</v>
      </c>
      <c r="R113" s="104">
        <v>938392</v>
      </c>
      <c r="S113" s="104">
        <v>99.26</v>
      </c>
      <c r="T113" s="71">
        <f t="shared" si="20"/>
        <v>0.938392</v>
      </c>
      <c r="V113" s="215">
        <v>44998</v>
      </c>
      <c r="W113" s="104">
        <v>973218</v>
      </c>
      <c r="X113" s="104">
        <v>190</v>
      </c>
      <c r="Y113" s="104">
        <v>973408</v>
      </c>
      <c r="Z113" s="104">
        <v>99.98</v>
      </c>
      <c r="AA113" s="71">
        <f t="shared" si="21"/>
        <v>0.97340800000000005</v>
      </c>
      <c r="AC113" s="215">
        <v>44998</v>
      </c>
      <c r="AD113" s="104">
        <v>596036</v>
      </c>
      <c r="AE113" s="104">
        <v>276</v>
      </c>
      <c r="AF113" s="104">
        <v>596312</v>
      </c>
      <c r="AG113" s="104">
        <v>99.95</v>
      </c>
      <c r="AH113" s="71">
        <f t="shared" si="22"/>
        <v>0.59631199999999995</v>
      </c>
      <c r="AJ113" s="215">
        <v>44998</v>
      </c>
      <c r="AK113" s="104">
        <v>596036</v>
      </c>
      <c r="AL113" s="104">
        <v>276</v>
      </c>
      <c r="AM113" s="104">
        <v>596312</v>
      </c>
      <c r="AN113" s="104">
        <v>99.95</v>
      </c>
      <c r="AO113" s="246">
        <f t="shared" si="23"/>
        <v>0.59631199999999995</v>
      </c>
      <c r="AQ113" s="215">
        <v>44998</v>
      </c>
      <c r="AR113" s="104">
        <v>596036</v>
      </c>
      <c r="AS113" s="104">
        <v>276</v>
      </c>
      <c r="AT113" s="104">
        <v>596312</v>
      </c>
      <c r="AU113" s="104">
        <v>99.95</v>
      </c>
      <c r="AV113" s="246">
        <f t="shared" si="24"/>
        <v>0.59631199999999995</v>
      </c>
      <c r="AX113" s="215">
        <v>44998</v>
      </c>
      <c r="AY113" s="104">
        <v>596036</v>
      </c>
      <c r="AZ113" s="104">
        <v>276</v>
      </c>
      <c r="BA113" s="104">
        <v>596312</v>
      </c>
      <c r="BB113" s="104">
        <v>99.95</v>
      </c>
      <c r="BC113" s="246">
        <f t="shared" si="25"/>
        <v>0.59631199999999995</v>
      </c>
      <c r="BE113" s="215">
        <v>44998</v>
      </c>
      <c r="BF113" s="104">
        <v>596036</v>
      </c>
      <c r="BG113" s="104">
        <v>276</v>
      </c>
      <c r="BH113" s="104">
        <v>596312</v>
      </c>
      <c r="BI113" s="104">
        <v>99.95</v>
      </c>
      <c r="BJ113" s="71">
        <f t="shared" si="26"/>
        <v>0.59631199999999995</v>
      </c>
      <c r="BL113" s="1"/>
      <c r="BM113" s="1"/>
      <c r="BN113" s="1"/>
      <c r="BO113" s="1"/>
      <c r="BP113" s="1"/>
      <c r="BQ113" s="247"/>
      <c r="BS113" s="48"/>
      <c r="BT113" s="48"/>
      <c r="BU113" s="48"/>
      <c r="BV113" s="48"/>
      <c r="BW113" s="48"/>
      <c r="BZ113" s="1"/>
      <c r="CA113" s="1"/>
      <c r="CB113" s="1"/>
      <c r="CC113" s="1"/>
      <c r="CE113" s="216">
        <v>44998</v>
      </c>
      <c r="CF113" s="1">
        <v>11924906</v>
      </c>
      <c r="CG113" s="1">
        <v>25630</v>
      </c>
      <c r="CH113" s="1">
        <v>11950536</v>
      </c>
      <c r="CI113" s="71">
        <f t="shared" si="59"/>
        <v>99.785532632176498</v>
      </c>
      <c r="CJ113" s="71">
        <f t="shared" si="28"/>
        <v>11.950536</v>
      </c>
      <c r="CL113" s="140">
        <v>44939</v>
      </c>
      <c r="CM113" t="s">
        <v>237</v>
      </c>
      <c r="CN113">
        <v>3685</v>
      </c>
    </row>
    <row r="114" spans="1:92" hidden="1" x14ac:dyDescent="0.25">
      <c r="A114" s="215">
        <v>44999</v>
      </c>
      <c r="B114" s="104">
        <v>5517476</v>
      </c>
      <c r="C114" s="104">
        <v>2830</v>
      </c>
      <c r="D114" s="104">
        <v>5520306</v>
      </c>
      <c r="E114" s="104">
        <v>99.95</v>
      </c>
      <c r="F114" s="71">
        <f t="shared" si="39"/>
        <v>5.5203059999999997</v>
      </c>
      <c r="H114" s="215">
        <v>44999</v>
      </c>
      <c r="I114" s="104">
        <v>2123250</v>
      </c>
      <c r="J114" s="104">
        <v>5222</v>
      </c>
      <c r="K114" s="104">
        <v>2128472</v>
      </c>
      <c r="L114" s="104">
        <v>99.75</v>
      </c>
      <c r="M114" s="71">
        <f t="shared" si="40"/>
        <v>2.1284719999999999</v>
      </c>
      <c r="O114" s="215">
        <v>44999</v>
      </c>
      <c r="P114" s="104">
        <v>814224</v>
      </c>
      <c r="Q114" s="104">
        <v>7156</v>
      </c>
      <c r="R114" s="104">
        <v>821380</v>
      </c>
      <c r="S114" s="104">
        <v>99.13</v>
      </c>
      <c r="T114" s="71">
        <f t="shared" si="20"/>
        <v>0.82138</v>
      </c>
      <c r="V114" s="215">
        <v>44999</v>
      </c>
      <c r="W114" s="104">
        <v>927450</v>
      </c>
      <c r="X114" s="104">
        <v>150</v>
      </c>
      <c r="Y114" s="104">
        <v>927600</v>
      </c>
      <c r="Z114" s="104">
        <v>99.98</v>
      </c>
      <c r="AA114" s="71">
        <f t="shared" si="21"/>
        <v>0.92759999999999998</v>
      </c>
      <c r="AC114" s="215">
        <v>44999</v>
      </c>
      <c r="AD114" s="104">
        <v>610444</v>
      </c>
      <c r="AE114" s="104">
        <v>180</v>
      </c>
      <c r="AF114" s="104">
        <v>610624</v>
      </c>
      <c r="AG114" s="104">
        <v>99.97</v>
      </c>
      <c r="AH114" s="71">
        <f t="shared" si="22"/>
        <v>0.61062399999999994</v>
      </c>
      <c r="AJ114" s="215">
        <v>44999</v>
      </c>
      <c r="AK114" s="104">
        <v>610444</v>
      </c>
      <c r="AL114" s="104">
        <v>180</v>
      </c>
      <c r="AM114" s="104">
        <v>610624</v>
      </c>
      <c r="AN114" s="104">
        <v>99.97</v>
      </c>
      <c r="AO114" s="246">
        <f t="shared" si="23"/>
        <v>0.61062399999999994</v>
      </c>
      <c r="AQ114" s="215">
        <v>44999</v>
      </c>
      <c r="AR114" s="104">
        <v>610444</v>
      </c>
      <c r="AS114" s="104">
        <v>180</v>
      </c>
      <c r="AT114" s="104">
        <v>610624</v>
      </c>
      <c r="AU114" s="104">
        <v>99.97</v>
      </c>
      <c r="AV114" s="246">
        <f t="shared" si="24"/>
        <v>0.61062399999999994</v>
      </c>
      <c r="AX114" s="215">
        <v>44999</v>
      </c>
      <c r="AY114" s="104">
        <v>610444</v>
      </c>
      <c r="AZ114" s="104">
        <v>180</v>
      </c>
      <c r="BA114" s="104">
        <v>610624</v>
      </c>
      <c r="BB114" s="104">
        <v>99.97</v>
      </c>
      <c r="BC114" s="246">
        <f t="shared" si="25"/>
        <v>0.61062399999999994</v>
      </c>
      <c r="BE114" s="215">
        <v>44999</v>
      </c>
      <c r="BF114" s="104">
        <v>610444</v>
      </c>
      <c r="BG114" s="104">
        <v>180</v>
      </c>
      <c r="BH114" s="104">
        <v>610624</v>
      </c>
      <c r="BI114" s="104">
        <v>99.97</v>
      </c>
      <c r="BJ114" s="71">
        <f t="shared" si="26"/>
        <v>0.61062399999999994</v>
      </c>
      <c r="BL114" s="1"/>
      <c r="BM114" s="1"/>
      <c r="BN114" s="1"/>
      <c r="BO114" s="1"/>
      <c r="BP114" s="1"/>
      <c r="BQ114" s="247"/>
      <c r="BS114" s="48"/>
      <c r="BT114" s="48"/>
      <c r="BU114" s="48"/>
      <c r="BV114" s="48"/>
      <c r="BW114" s="48"/>
      <c r="BZ114" s="1"/>
      <c r="CA114" s="1"/>
      <c r="CB114" s="1"/>
      <c r="CC114" s="1"/>
      <c r="CE114" s="216">
        <v>44999</v>
      </c>
      <c r="CF114" s="1">
        <v>11231806</v>
      </c>
      <c r="CG114" s="1">
        <v>22788</v>
      </c>
      <c r="CH114" s="1">
        <v>11254594</v>
      </c>
      <c r="CI114" s="71">
        <f t="shared" si="59"/>
        <v>99.79752268273738</v>
      </c>
      <c r="CJ114" s="71">
        <f t="shared" si="28"/>
        <v>11.254594000000001</v>
      </c>
      <c r="CL114" s="140">
        <v>44939</v>
      </c>
      <c r="CM114" t="s">
        <v>240</v>
      </c>
      <c r="CN114">
        <v>3136</v>
      </c>
    </row>
    <row r="115" spans="1:92" hidden="1" x14ac:dyDescent="0.25">
      <c r="A115" s="215">
        <v>45000</v>
      </c>
      <c r="B115" s="104">
        <v>5421024</v>
      </c>
      <c r="C115" s="104">
        <v>1532</v>
      </c>
      <c r="D115" s="104">
        <v>5422556</v>
      </c>
      <c r="E115" s="104">
        <v>99.97</v>
      </c>
      <c r="F115" s="71">
        <f t="shared" si="39"/>
        <v>5.4225560000000002</v>
      </c>
      <c r="H115" s="216">
        <v>45000</v>
      </c>
      <c r="I115" s="104">
        <v>1914980</v>
      </c>
      <c r="J115" s="104">
        <v>5124</v>
      </c>
      <c r="K115" s="104">
        <v>1920104</v>
      </c>
      <c r="L115" s="104">
        <v>99.73</v>
      </c>
      <c r="M115" s="71">
        <f t="shared" si="40"/>
        <v>1.920104</v>
      </c>
      <c r="O115" s="216">
        <v>45000</v>
      </c>
      <c r="P115" s="104">
        <v>792866</v>
      </c>
      <c r="Q115" s="104">
        <v>5472</v>
      </c>
      <c r="R115" s="104">
        <v>798338</v>
      </c>
      <c r="S115" s="104">
        <v>99.31</v>
      </c>
      <c r="T115" s="71">
        <f t="shared" si="20"/>
        <v>0.79833799999999999</v>
      </c>
      <c r="V115" s="216">
        <v>45000</v>
      </c>
      <c r="W115" s="104">
        <v>893002</v>
      </c>
      <c r="X115" s="104">
        <v>140</v>
      </c>
      <c r="Y115" s="104">
        <v>893142</v>
      </c>
      <c r="Z115" s="104">
        <v>99.98</v>
      </c>
      <c r="AA115" s="71">
        <f t="shared" si="21"/>
        <v>0.89314199999999999</v>
      </c>
      <c r="AC115" s="215">
        <v>45000</v>
      </c>
      <c r="AD115" s="104">
        <v>595492</v>
      </c>
      <c r="AE115" s="104">
        <v>132</v>
      </c>
      <c r="AF115" s="104">
        <v>595624</v>
      </c>
      <c r="AG115" s="104">
        <v>99.98</v>
      </c>
      <c r="AH115" s="71">
        <f t="shared" si="22"/>
        <v>0.59562400000000004</v>
      </c>
      <c r="AJ115" s="215">
        <v>45000</v>
      </c>
      <c r="AK115" s="104">
        <v>595492</v>
      </c>
      <c r="AL115" s="104">
        <v>132</v>
      </c>
      <c r="AM115" s="104">
        <v>595624</v>
      </c>
      <c r="AN115" s="104">
        <v>99.98</v>
      </c>
      <c r="AO115" s="246">
        <f t="shared" si="23"/>
        <v>0.59562400000000004</v>
      </c>
      <c r="AQ115" s="215">
        <v>45000</v>
      </c>
      <c r="AR115" s="104">
        <v>595492</v>
      </c>
      <c r="AS115" s="104">
        <v>132</v>
      </c>
      <c r="AT115" s="104">
        <v>595624</v>
      </c>
      <c r="AU115" s="104">
        <v>99.98</v>
      </c>
      <c r="AV115" s="246">
        <f t="shared" si="24"/>
        <v>0.59562400000000004</v>
      </c>
      <c r="AX115" s="215">
        <v>45000</v>
      </c>
      <c r="AY115" s="104">
        <v>595492</v>
      </c>
      <c r="AZ115" s="104">
        <v>132</v>
      </c>
      <c r="BA115" s="104">
        <v>595624</v>
      </c>
      <c r="BB115" s="104">
        <v>99.98</v>
      </c>
      <c r="BC115" s="246">
        <f t="shared" si="25"/>
        <v>0.59562400000000004</v>
      </c>
      <c r="BE115" s="215">
        <v>45000</v>
      </c>
      <c r="BF115" s="104">
        <v>595492</v>
      </c>
      <c r="BG115" s="104">
        <v>132</v>
      </c>
      <c r="BH115" s="104">
        <v>595624</v>
      </c>
      <c r="BI115" s="104">
        <v>99.98</v>
      </c>
      <c r="BJ115" s="71">
        <f t="shared" si="26"/>
        <v>0.59562400000000004</v>
      </c>
      <c r="BL115" s="1"/>
      <c r="BM115" s="1"/>
      <c r="BN115" s="1"/>
      <c r="BO115" s="1"/>
      <c r="BP115" s="1"/>
      <c r="BQ115" s="247"/>
      <c r="BS115" s="48"/>
      <c r="BT115" s="48"/>
      <c r="BU115" s="48"/>
      <c r="BV115" s="48"/>
      <c r="BW115" s="48"/>
      <c r="BZ115" s="1"/>
      <c r="CA115" s="1"/>
      <c r="CB115" s="1"/>
      <c r="CC115" s="1"/>
      <c r="CE115" s="216">
        <v>45000</v>
      </c>
      <c r="CF115" s="1">
        <v>10876908</v>
      </c>
      <c r="CG115" s="1">
        <v>22124</v>
      </c>
      <c r="CH115" s="1">
        <v>10899032</v>
      </c>
      <c r="CI115" s="71">
        <f t="shared" si="59"/>
        <v>99.797009495889171</v>
      </c>
      <c r="CJ115" s="71">
        <f t="shared" si="28"/>
        <v>10.899032</v>
      </c>
      <c r="CL115" s="140">
        <v>44939</v>
      </c>
      <c r="CM115" t="s">
        <v>241</v>
      </c>
      <c r="CN115">
        <v>687</v>
      </c>
    </row>
    <row r="116" spans="1:92" hidden="1" x14ac:dyDescent="0.25">
      <c r="A116" s="215">
        <v>45001</v>
      </c>
      <c r="B116" s="104">
        <v>5500574</v>
      </c>
      <c r="C116" s="104">
        <v>1326</v>
      </c>
      <c r="D116" s="104">
        <v>5501900</v>
      </c>
      <c r="E116" s="104">
        <v>99.98</v>
      </c>
      <c r="F116" s="71">
        <f t="shared" si="39"/>
        <v>5.5019</v>
      </c>
      <c r="H116" s="216">
        <v>45001</v>
      </c>
      <c r="I116" s="104">
        <v>2136594</v>
      </c>
      <c r="J116" s="104">
        <v>9654</v>
      </c>
      <c r="K116" s="104">
        <v>2146248</v>
      </c>
      <c r="L116" s="104">
        <v>99.55</v>
      </c>
      <c r="M116" s="71">
        <f t="shared" si="40"/>
        <v>2.1462479999999999</v>
      </c>
      <c r="O116" s="216">
        <v>45001</v>
      </c>
      <c r="P116" s="104">
        <v>926784</v>
      </c>
      <c r="Q116" s="104">
        <v>6566</v>
      </c>
      <c r="R116" s="104">
        <v>933350</v>
      </c>
      <c r="S116" s="104">
        <v>99.3</v>
      </c>
      <c r="T116" s="71">
        <f t="shared" si="20"/>
        <v>0.93335000000000001</v>
      </c>
      <c r="V116" s="215">
        <v>45001</v>
      </c>
      <c r="W116" s="104">
        <v>922110</v>
      </c>
      <c r="X116" s="104">
        <v>150</v>
      </c>
      <c r="Y116" s="104">
        <v>922260</v>
      </c>
      <c r="Z116" s="104">
        <v>99.98</v>
      </c>
      <c r="AA116" s="71">
        <f t="shared" si="21"/>
        <v>0.92225999999999997</v>
      </c>
      <c r="AC116" s="215">
        <v>45001</v>
      </c>
      <c r="AD116" s="104">
        <v>599370</v>
      </c>
      <c r="AE116" s="104">
        <v>172</v>
      </c>
      <c r="AF116" s="104">
        <v>599542</v>
      </c>
      <c r="AG116" s="104">
        <v>99.97</v>
      </c>
      <c r="AH116" s="71">
        <f t="shared" si="22"/>
        <v>0.59954200000000002</v>
      </c>
      <c r="AJ116" s="215">
        <v>45001</v>
      </c>
      <c r="AK116" s="104">
        <v>599370</v>
      </c>
      <c r="AL116" s="104">
        <v>172</v>
      </c>
      <c r="AM116" s="104">
        <v>599542</v>
      </c>
      <c r="AN116" s="104">
        <v>99.97</v>
      </c>
      <c r="AO116" s="246">
        <f t="shared" si="23"/>
        <v>0.59954200000000002</v>
      </c>
      <c r="AQ116" s="215">
        <v>45001</v>
      </c>
      <c r="AR116" s="104">
        <v>599370</v>
      </c>
      <c r="AS116" s="104">
        <v>172</v>
      </c>
      <c r="AT116" s="104">
        <v>599542</v>
      </c>
      <c r="AU116" s="104">
        <v>99.97</v>
      </c>
      <c r="AV116" s="246">
        <f t="shared" si="24"/>
        <v>0.59954200000000002</v>
      </c>
      <c r="AX116" s="215">
        <v>45001</v>
      </c>
      <c r="AY116" s="104">
        <v>599370</v>
      </c>
      <c r="AZ116" s="104">
        <v>172</v>
      </c>
      <c r="BA116" s="104">
        <v>599542</v>
      </c>
      <c r="BB116" s="104">
        <v>99.97</v>
      </c>
      <c r="BC116" s="246">
        <f t="shared" si="25"/>
        <v>0.59954200000000002</v>
      </c>
      <c r="BE116" s="215">
        <v>45001</v>
      </c>
      <c r="BF116" s="104">
        <v>599370</v>
      </c>
      <c r="BG116" s="104">
        <v>172</v>
      </c>
      <c r="BH116" s="104">
        <v>599542</v>
      </c>
      <c r="BI116" s="104">
        <v>99.97</v>
      </c>
      <c r="BJ116" s="71">
        <f t="shared" si="26"/>
        <v>0.59954200000000002</v>
      </c>
      <c r="BL116" s="1"/>
      <c r="BM116" s="1"/>
      <c r="BN116" s="1"/>
      <c r="BO116" s="1"/>
      <c r="BP116" s="1"/>
      <c r="BQ116" s="247"/>
      <c r="BS116" s="48"/>
      <c r="BT116" s="48"/>
      <c r="BU116" s="48"/>
      <c r="BV116" s="48"/>
      <c r="BW116" s="48"/>
      <c r="BZ116" s="1"/>
      <c r="CA116" s="1"/>
      <c r="CB116" s="1"/>
      <c r="CC116" s="1"/>
      <c r="CE116" s="216">
        <v>45001</v>
      </c>
      <c r="CF116" s="1">
        <v>11354164</v>
      </c>
      <c r="CG116" s="1">
        <v>24942</v>
      </c>
      <c r="CH116" s="1">
        <v>11379106</v>
      </c>
      <c r="CI116" s="71">
        <f t="shared" si="59"/>
        <v>99.780808791129985</v>
      </c>
      <c r="CJ116" s="71">
        <f t="shared" si="28"/>
        <v>11.379106</v>
      </c>
      <c r="CL116" s="140">
        <v>44940</v>
      </c>
      <c r="CM116" t="s">
        <v>238</v>
      </c>
      <c r="CN116">
        <v>6166</v>
      </c>
    </row>
    <row r="117" spans="1:92" hidden="1" x14ac:dyDescent="0.25">
      <c r="A117" s="215">
        <v>45002</v>
      </c>
      <c r="B117" s="104">
        <v>5726778</v>
      </c>
      <c r="C117" s="104">
        <v>1816</v>
      </c>
      <c r="D117" s="104">
        <v>5728594</v>
      </c>
      <c r="E117" s="48">
        <v>99.97</v>
      </c>
      <c r="F117" s="71">
        <f t="shared" si="39"/>
        <v>5.7285940000000002</v>
      </c>
      <c r="H117" s="216">
        <v>45002</v>
      </c>
      <c r="I117" s="104">
        <v>2133590</v>
      </c>
      <c r="J117" s="104">
        <v>5124</v>
      </c>
      <c r="K117" s="104">
        <v>2138714</v>
      </c>
      <c r="L117" s="104">
        <v>99.76</v>
      </c>
      <c r="M117" s="71">
        <f t="shared" si="40"/>
        <v>2.1387139999999998</v>
      </c>
      <c r="O117" s="216">
        <v>45002</v>
      </c>
      <c r="P117" s="104">
        <v>879668</v>
      </c>
      <c r="Q117" s="104">
        <v>6472</v>
      </c>
      <c r="R117" s="104">
        <v>886140</v>
      </c>
      <c r="S117" s="104">
        <v>99.27</v>
      </c>
      <c r="T117" s="71">
        <f t="shared" si="20"/>
        <v>0.88614000000000004</v>
      </c>
      <c r="V117" s="216">
        <v>45002</v>
      </c>
      <c r="W117" s="104">
        <v>952130</v>
      </c>
      <c r="X117" s="104">
        <v>168</v>
      </c>
      <c r="Y117" s="104">
        <v>952298</v>
      </c>
      <c r="Z117" s="104">
        <v>99.98</v>
      </c>
      <c r="AA117" s="71">
        <f t="shared" si="21"/>
        <v>0.95229799999999998</v>
      </c>
      <c r="AC117" s="216">
        <v>45002</v>
      </c>
      <c r="AD117" s="104">
        <v>633558</v>
      </c>
      <c r="AE117" s="104">
        <v>306</v>
      </c>
      <c r="AF117" s="104">
        <v>633864</v>
      </c>
      <c r="AG117" s="104">
        <v>99.95</v>
      </c>
      <c r="AH117" s="71">
        <f t="shared" si="22"/>
        <v>0.63386399999999998</v>
      </c>
      <c r="AJ117" s="215">
        <v>45002</v>
      </c>
      <c r="AK117" s="104">
        <v>633558</v>
      </c>
      <c r="AL117" s="104">
        <v>306</v>
      </c>
      <c r="AM117" s="104">
        <v>633864</v>
      </c>
      <c r="AN117" s="104">
        <v>99.95</v>
      </c>
      <c r="AO117" s="246">
        <f t="shared" si="23"/>
        <v>0.63386399999999998</v>
      </c>
      <c r="AQ117" s="215">
        <v>45002</v>
      </c>
      <c r="AR117" s="104">
        <v>633558</v>
      </c>
      <c r="AS117" s="104">
        <v>306</v>
      </c>
      <c r="AT117" s="104">
        <v>633864</v>
      </c>
      <c r="AU117" s="104">
        <v>99.95</v>
      </c>
      <c r="AV117" s="246">
        <f t="shared" si="24"/>
        <v>0.63386399999999998</v>
      </c>
      <c r="AX117" s="215">
        <v>45002</v>
      </c>
      <c r="AY117" s="104">
        <v>633558</v>
      </c>
      <c r="AZ117" s="104">
        <v>306</v>
      </c>
      <c r="BA117" s="104">
        <v>633864</v>
      </c>
      <c r="BB117" s="104">
        <v>99.95</v>
      </c>
      <c r="BC117" s="246">
        <f t="shared" si="25"/>
        <v>0.63386399999999998</v>
      </c>
      <c r="BE117" s="216">
        <v>45002</v>
      </c>
      <c r="BF117" s="104">
        <v>633558</v>
      </c>
      <c r="BG117" s="104">
        <v>306</v>
      </c>
      <c r="BH117" s="104">
        <v>633864</v>
      </c>
      <c r="BI117" s="104">
        <v>99.95</v>
      </c>
      <c r="BJ117" s="71">
        <f t="shared" si="26"/>
        <v>0.63386399999999998</v>
      </c>
      <c r="BL117" s="1"/>
      <c r="BM117" s="1"/>
      <c r="BN117" s="1"/>
      <c r="BO117" s="1"/>
      <c r="BP117" s="1"/>
      <c r="BQ117" s="247"/>
      <c r="BS117" s="48"/>
      <c r="BT117" s="48"/>
      <c r="BU117" s="48"/>
      <c r="BV117" s="48"/>
      <c r="BW117" s="48"/>
      <c r="BZ117" s="1"/>
      <c r="CA117" s="1"/>
      <c r="CB117" s="1"/>
      <c r="CC117" s="1"/>
      <c r="CE117" s="216">
        <v>45002</v>
      </c>
      <c r="CF117" s="1">
        <v>11631266</v>
      </c>
      <c r="CG117" s="1">
        <v>21142</v>
      </c>
      <c r="CH117" s="1">
        <v>11652408</v>
      </c>
      <c r="CI117" s="71">
        <f t="shared" si="59"/>
        <v>99.818561107712668</v>
      </c>
      <c r="CJ117" s="71">
        <f t="shared" si="28"/>
        <v>11.652407999999999</v>
      </c>
      <c r="CL117" s="140">
        <v>44940</v>
      </c>
      <c r="CM117" t="s">
        <v>237</v>
      </c>
      <c r="CN117">
        <v>3294</v>
      </c>
    </row>
    <row r="118" spans="1:92" hidden="1" x14ac:dyDescent="0.25">
      <c r="A118" s="215">
        <v>45003</v>
      </c>
      <c r="B118" s="104">
        <v>5788498</v>
      </c>
      <c r="C118" s="104">
        <v>3278</v>
      </c>
      <c r="D118" s="104">
        <v>5791776</v>
      </c>
      <c r="E118" s="104">
        <v>99.94</v>
      </c>
      <c r="F118" s="71">
        <f t="shared" si="39"/>
        <v>5.7917759999999996</v>
      </c>
      <c r="H118" s="216">
        <v>45003</v>
      </c>
      <c r="I118" s="104">
        <v>2108294</v>
      </c>
      <c r="J118" s="104">
        <v>4172</v>
      </c>
      <c r="K118" s="104">
        <v>2112466</v>
      </c>
      <c r="L118" s="104">
        <v>99.8</v>
      </c>
      <c r="M118" s="71">
        <f t="shared" si="40"/>
        <v>2.112466</v>
      </c>
      <c r="O118" s="216">
        <v>45003</v>
      </c>
      <c r="P118" s="104">
        <v>860900</v>
      </c>
      <c r="Q118" s="104">
        <v>6440</v>
      </c>
      <c r="R118" s="104">
        <v>867340</v>
      </c>
      <c r="S118" s="104">
        <v>99.26</v>
      </c>
      <c r="T118" s="71">
        <f t="shared" si="20"/>
        <v>0.86734</v>
      </c>
      <c r="V118" s="216">
        <v>45003</v>
      </c>
      <c r="W118" s="104">
        <v>972078</v>
      </c>
      <c r="X118" s="104">
        <v>610</v>
      </c>
      <c r="Y118" s="104">
        <v>972688</v>
      </c>
      <c r="Z118" s="104">
        <v>99.94</v>
      </c>
      <c r="AA118" s="71">
        <f t="shared" si="21"/>
        <v>0.972688</v>
      </c>
      <c r="AC118" s="216">
        <v>45003</v>
      </c>
      <c r="AD118" s="104">
        <v>610722</v>
      </c>
      <c r="AE118" s="104">
        <v>3934</v>
      </c>
      <c r="AF118" s="104">
        <v>614656</v>
      </c>
      <c r="AG118" s="104">
        <v>99.36</v>
      </c>
      <c r="AH118" s="71">
        <f t="shared" si="22"/>
        <v>0.61465599999999998</v>
      </c>
      <c r="AJ118" s="215">
        <v>45003</v>
      </c>
      <c r="AK118" s="104">
        <v>610722</v>
      </c>
      <c r="AL118" s="104">
        <v>3934</v>
      </c>
      <c r="AM118" s="104">
        <v>614656</v>
      </c>
      <c r="AN118" s="104">
        <v>99.36</v>
      </c>
      <c r="AO118" s="246">
        <f t="shared" si="23"/>
        <v>0.61465599999999998</v>
      </c>
      <c r="AQ118" s="215">
        <v>45003</v>
      </c>
      <c r="AR118" s="104">
        <v>610722</v>
      </c>
      <c r="AS118" s="104">
        <v>3934</v>
      </c>
      <c r="AT118" s="104">
        <v>614656</v>
      </c>
      <c r="AU118" s="104">
        <v>99.36</v>
      </c>
      <c r="AV118" s="246">
        <f t="shared" si="24"/>
        <v>0.61465599999999998</v>
      </c>
      <c r="AX118" s="215">
        <v>45003</v>
      </c>
      <c r="AY118" s="104">
        <v>610722</v>
      </c>
      <c r="AZ118" s="104">
        <v>3934</v>
      </c>
      <c r="BA118" s="104">
        <v>614656</v>
      </c>
      <c r="BB118" s="104">
        <v>99.36</v>
      </c>
      <c r="BC118" s="246">
        <f t="shared" si="25"/>
        <v>0.61465599999999998</v>
      </c>
      <c r="BE118" s="216">
        <v>45003</v>
      </c>
      <c r="BF118" s="104">
        <v>610722</v>
      </c>
      <c r="BG118" s="104">
        <v>3934</v>
      </c>
      <c r="BH118" s="104">
        <v>614656</v>
      </c>
      <c r="BI118" s="104">
        <v>99.36</v>
      </c>
      <c r="BJ118" s="71">
        <f t="shared" si="26"/>
        <v>0.61465599999999998</v>
      </c>
      <c r="BL118" s="1"/>
      <c r="BM118" s="1"/>
      <c r="BN118" s="1"/>
      <c r="BO118" s="1"/>
      <c r="BP118" s="1"/>
      <c r="BQ118" s="247"/>
      <c r="BS118" s="48"/>
      <c r="BT118" s="48"/>
      <c r="BU118" s="48"/>
      <c r="BV118" s="48"/>
      <c r="BW118" s="48"/>
      <c r="BZ118" s="1"/>
      <c r="CA118" s="1"/>
      <c r="CB118" s="1"/>
      <c r="CC118" s="1"/>
      <c r="CE118" s="216">
        <v>45003</v>
      </c>
      <c r="CF118" s="1">
        <v>11649170</v>
      </c>
      <c r="CG118" s="1">
        <v>25054</v>
      </c>
      <c r="CH118" s="1">
        <v>11674224</v>
      </c>
      <c r="CI118" s="71">
        <f t="shared" si="59"/>
        <v>99.785390446508472</v>
      </c>
      <c r="CJ118" s="71">
        <f t="shared" si="28"/>
        <v>11.674224000000001</v>
      </c>
      <c r="CL118" s="140">
        <v>44940</v>
      </c>
      <c r="CM118" t="s">
        <v>240</v>
      </c>
      <c r="CN118">
        <v>2424</v>
      </c>
    </row>
    <row r="119" spans="1:92" hidden="1" x14ac:dyDescent="0.25">
      <c r="A119" s="215">
        <v>45004</v>
      </c>
      <c r="B119" s="104">
        <v>4580788</v>
      </c>
      <c r="C119" s="104">
        <v>1164</v>
      </c>
      <c r="D119" s="104">
        <v>4581952</v>
      </c>
      <c r="E119" s="104">
        <v>99.97</v>
      </c>
      <c r="F119" s="71">
        <f t="shared" si="39"/>
        <v>4.5819520000000002</v>
      </c>
      <c r="H119" s="216">
        <v>45004</v>
      </c>
      <c r="I119" s="104">
        <v>1974146</v>
      </c>
      <c r="J119" s="104">
        <v>3984</v>
      </c>
      <c r="K119" s="104">
        <v>1978130</v>
      </c>
      <c r="L119" s="104">
        <v>99.8</v>
      </c>
      <c r="M119" s="71">
        <f t="shared" si="40"/>
        <v>1.9781299999999999</v>
      </c>
      <c r="O119" s="216">
        <v>45004</v>
      </c>
      <c r="P119" s="104">
        <v>840028</v>
      </c>
      <c r="Q119" s="104">
        <v>5906</v>
      </c>
      <c r="R119" s="104">
        <v>845934</v>
      </c>
      <c r="S119" s="104">
        <v>99.3</v>
      </c>
      <c r="T119" s="71">
        <f t="shared" si="20"/>
        <v>0.84593399999999996</v>
      </c>
      <c r="V119" s="216">
        <v>45004</v>
      </c>
      <c r="W119" s="104">
        <v>884306</v>
      </c>
      <c r="X119" s="104">
        <v>208</v>
      </c>
      <c r="Y119" s="104">
        <v>884514</v>
      </c>
      <c r="Z119" s="104">
        <v>99.98</v>
      </c>
      <c r="AA119" s="71">
        <f t="shared" si="21"/>
        <v>0.88451400000000002</v>
      </c>
      <c r="AC119" s="216">
        <v>45004</v>
      </c>
      <c r="AD119" s="104">
        <v>567038</v>
      </c>
      <c r="AE119" s="104">
        <v>2686</v>
      </c>
      <c r="AF119" s="104">
        <v>569724</v>
      </c>
      <c r="AG119" s="104">
        <v>99.53</v>
      </c>
      <c r="AH119" s="71">
        <f t="shared" si="22"/>
        <v>0.56972400000000001</v>
      </c>
      <c r="AJ119" s="215">
        <v>45004</v>
      </c>
      <c r="AK119" s="104">
        <v>567038</v>
      </c>
      <c r="AL119" s="104">
        <v>2686</v>
      </c>
      <c r="AM119" s="104">
        <v>569724</v>
      </c>
      <c r="AN119" s="104">
        <v>99.53</v>
      </c>
      <c r="AO119" s="246">
        <f t="shared" si="23"/>
        <v>0.56972400000000001</v>
      </c>
      <c r="AQ119" s="215">
        <v>45004</v>
      </c>
      <c r="AR119" s="104">
        <v>567038</v>
      </c>
      <c r="AS119" s="104">
        <v>2686</v>
      </c>
      <c r="AT119" s="104">
        <v>569724</v>
      </c>
      <c r="AU119" s="104">
        <v>99.53</v>
      </c>
      <c r="AV119" s="246">
        <f t="shared" si="24"/>
        <v>0.56972400000000001</v>
      </c>
      <c r="AX119" s="215">
        <v>45004</v>
      </c>
      <c r="AY119" s="104">
        <v>567038</v>
      </c>
      <c r="AZ119" s="104">
        <v>2686</v>
      </c>
      <c r="BA119" s="104">
        <v>569724</v>
      </c>
      <c r="BB119" s="104">
        <v>99.53</v>
      </c>
      <c r="BC119" s="246">
        <f t="shared" si="25"/>
        <v>0.56972400000000001</v>
      </c>
      <c r="BE119" s="216">
        <v>45004</v>
      </c>
      <c r="BF119" s="104">
        <v>567038</v>
      </c>
      <c r="BG119" s="104">
        <v>2686</v>
      </c>
      <c r="BH119" s="104">
        <v>569724</v>
      </c>
      <c r="BI119" s="104">
        <v>99.53</v>
      </c>
      <c r="BJ119" s="71">
        <f t="shared" si="26"/>
        <v>0.56972400000000001</v>
      </c>
      <c r="BL119" s="1"/>
      <c r="BM119" s="1"/>
      <c r="BN119" s="1"/>
      <c r="BO119" s="1"/>
      <c r="BP119" s="1"/>
      <c r="BQ119" s="247"/>
      <c r="BS119" s="48"/>
      <c r="BT119" s="48"/>
      <c r="BU119" s="48"/>
      <c r="BV119" s="48"/>
      <c r="BW119" s="48"/>
      <c r="BZ119" s="1"/>
      <c r="CA119" s="1"/>
      <c r="CB119" s="1"/>
      <c r="CC119" s="1"/>
      <c r="CE119" s="216">
        <v>45004</v>
      </c>
      <c r="CF119" s="1">
        <v>10052896</v>
      </c>
      <c r="CG119" s="1">
        <v>20334</v>
      </c>
      <c r="CH119" s="1">
        <v>10073230</v>
      </c>
      <c r="CI119" s="71">
        <f>CF119/CH119%</f>
        <v>99.798138233714511</v>
      </c>
      <c r="CJ119" s="71">
        <f t="shared" si="28"/>
        <v>10.073230000000001</v>
      </c>
      <c r="CL119" s="140">
        <v>44940</v>
      </c>
      <c r="CM119" t="s">
        <v>239</v>
      </c>
      <c r="CN119">
        <v>2140</v>
      </c>
    </row>
    <row r="120" spans="1:92" hidden="1" x14ac:dyDescent="0.25">
      <c r="A120" s="215">
        <v>45005</v>
      </c>
      <c r="B120" s="104">
        <v>5625486</v>
      </c>
      <c r="C120" s="104">
        <v>2364</v>
      </c>
      <c r="D120" s="104">
        <v>5627850</v>
      </c>
      <c r="E120" s="104">
        <v>99.96</v>
      </c>
      <c r="F120" s="71">
        <f t="shared" si="39"/>
        <v>5.6278499999999996</v>
      </c>
      <c r="H120" s="216">
        <v>45005</v>
      </c>
      <c r="I120" s="104">
        <v>2118430</v>
      </c>
      <c r="J120" s="104">
        <v>5680</v>
      </c>
      <c r="K120" s="104">
        <v>2124110</v>
      </c>
      <c r="L120" s="104">
        <v>99.73</v>
      </c>
      <c r="M120" s="71">
        <f t="shared" si="40"/>
        <v>2.1241099999999999</v>
      </c>
      <c r="O120" s="216">
        <v>45005</v>
      </c>
      <c r="P120" s="104">
        <v>858088</v>
      </c>
      <c r="Q120" s="104">
        <v>6630</v>
      </c>
      <c r="R120" s="104">
        <v>864718</v>
      </c>
      <c r="S120" s="104">
        <v>99.23</v>
      </c>
      <c r="T120" s="71">
        <f t="shared" si="20"/>
        <v>0.86471799999999999</v>
      </c>
      <c r="V120" s="216">
        <v>45005</v>
      </c>
      <c r="W120" s="104">
        <v>992220</v>
      </c>
      <c r="X120" s="104">
        <v>176</v>
      </c>
      <c r="Y120" s="104">
        <v>992396</v>
      </c>
      <c r="Z120" s="104">
        <v>99.98</v>
      </c>
      <c r="AA120" s="71">
        <f t="shared" si="21"/>
        <v>0.99239599999999994</v>
      </c>
      <c r="AC120" s="216">
        <v>45005</v>
      </c>
      <c r="AD120" s="104">
        <v>572230</v>
      </c>
      <c r="AE120" s="104">
        <v>274</v>
      </c>
      <c r="AF120" s="104">
        <v>572504</v>
      </c>
      <c r="AG120" s="104">
        <v>99.95</v>
      </c>
      <c r="AH120" s="71">
        <f t="shared" si="22"/>
        <v>0.57250400000000001</v>
      </c>
      <c r="AJ120" s="215">
        <v>45005</v>
      </c>
      <c r="AK120" s="104">
        <v>572230</v>
      </c>
      <c r="AL120" s="104">
        <v>274</v>
      </c>
      <c r="AM120" s="104">
        <v>572504</v>
      </c>
      <c r="AN120" s="104">
        <v>99.95</v>
      </c>
      <c r="AO120" s="246">
        <f t="shared" si="23"/>
        <v>0.57250400000000001</v>
      </c>
      <c r="AQ120" s="215">
        <v>45005</v>
      </c>
      <c r="AR120" s="104">
        <v>572230</v>
      </c>
      <c r="AS120" s="104">
        <v>274</v>
      </c>
      <c r="AT120" s="104">
        <v>572504</v>
      </c>
      <c r="AU120" s="104">
        <v>99.95</v>
      </c>
      <c r="AV120" s="246">
        <f t="shared" si="24"/>
        <v>0.57250400000000001</v>
      </c>
      <c r="AX120" s="215">
        <v>45005</v>
      </c>
      <c r="AY120" s="104">
        <v>572230</v>
      </c>
      <c r="AZ120" s="104">
        <v>274</v>
      </c>
      <c r="BA120" s="104">
        <v>572504</v>
      </c>
      <c r="BB120" s="104">
        <v>99.95</v>
      </c>
      <c r="BC120" s="246">
        <f t="shared" si="25"/>
        <v>0.57250400000000001</v>
      </c>
      <c r="BE120" s="216">
        <v>45005</v>
      </c>
      <c r="BF120" s="104">
        <v>572230</v>
      </c>
      <c r="BG120" s="104">
        <v>274</v>
      </c>
      <c r="BH120" s="104">
        <v>572504</v>
      </c>
      <c r="BI120" s="104">
        <v>99.95</v>
      </c>
      <c r="BJ120" s="71">
        <f t="shared" si="26"/>
        <v>0.57250400000000001</v>
      </c>
      <c r="BL120" s="1"/>
      <c r="BM120" s="1"/>
      <c r="BN120" s="1"/>
      <c r="BO120" s="1"/>
      <c r="BP120" s="1"/>
      <c r="BQ120" s="247"/>
      <c r="BS120" s="48"/>
      <c r="BT120" s="48"/>
      <c r="BU120" s="48"/>
      <c r="BV120" s="48"/>
      <c r="BW120" s="48"/>
      <c r="BZ120" s="1"/>
      <c r="CA120" s="1"/>
      <c r="CB120" s="1"/>
      <c r="CC120" s="1"/>
      <c r="CE120" s="216">
        <v>45005</v>
      </c>
      <c r="CF120" s="1">
        <v>11563750</v>
      </c>
      <c r="CG120" s="1">
        <v>23304</v>
      </c>
      <c r="CH120" s="1">
        <v>11587054</v>
      </c>
      <c r="CI120" s="71">
        <f>CF120/CH120%</f>
        <v>99.798878990293829</v>
      </c>
      <c r="CJ120" s="71">
        <f t="shared" si="28"/>
        <v>11.587054</v>
      </c>
      <c r="CL120" s="140"/>
    </row>
    <row r="121" spans="1:92" hidden="1" x14ac:dyDescent="0.25">
      <c r="A121" s="215">
        <v>45006</v>
      </c>
      <c r="B121" s="104">
        <v>5402620</v>
      </c>
      <c r="C121" s="104">
        <v>5816</v>
      </c>
      <c r="D121" s="104">
        <v>5408436</v>
      </c>
      <c r="E121" s="104">
        <v>99.89</v>
      </c>
      <c r="F121" s="71">
        <f t="shared" si="39"/>
        <v>5.408436</v>
      </c>
      <c r="H121" s="216">
        <v>45006</v>
      </c>
      <c r="I121" s="104">
        <v>2170052</v>
      </c>
      <c r="J121" s="104">
        <v>5796</v>
      </c>
      <c r="K121" s="104">
        <v>2175848</v>
      </c>
      <c r="L121" s="104">
        <v>99.73</v>
      </c>
      <c r="M121" s="71">
        <f t="shared" si="40"/>
        <v>2.1758479999999998</v>
      </c>
      <c r="O121" s="216">
        <v>45006</v>
      </c>
      <c r="P121" s="104">
        <v>823636</v>
      </c>
      <c r="Q121" s="104">
        <v>6710</v>
      </c>
      <c r="R121" s="104">
        <v>830346</v>
      </c>
      <c r="S121" s="104">
        <v>99.19</v>
      </c>
      <c r="T121" s="71">
        <f t="shared" si="20"/>
        <v>0.83034600000000003</v>
      </c>
      <c r="V121" s="216">
        <v>45006</v>
      </c>
      <c r="W121" s="104">
        <v>948308</v>
      </c>
      <c r="X121" s="104">
        <v>678</v>
      </c>
      <c r="Y121" s="104">
        <v>948986</v>
      </c>
      <c r="Z121" s="104">
        <v>99.93</v>
      </c>
      <c r="AA121" s="71">
        <f t="shared" si="21"/>
        <v>0.948986</v>
      </c>
      <c r="AC121" s="216">
        <v>45006</v>
      </c>
      <c r="AD121" s="104">
        <v>582892</v>
      </c>
      <c r="AE121" s="104">
        <v>314</v>
      </c>
      <c r="AF121" s="104">
        <v>583206</v>
      </c>
      <c r="AG121" s="104">
        <v>99.95</v>
      </c>
      <c r="AH121" s="71">
        <f t="shared" si="22"/>
        <v>0.583206</v>
      </c>
      <c r="AJ121" s="215">
        <v>45006</v>
      </c>
      <c r="AK121" s="104">
        <v>582892</v>
      </c>
      <c r="AL121" s="104">
        <v>314</v>
      </c>
      <c r="AM121" s="104">
        <v>583206</v>
      </c>
      <c r="AN121" s="104">
        <v>99.95</v>
      </c>
      <c r="AO121" s="246">
        <f t="shared" si="23"/>
        <v>0.583206</v>
      </c>
      <c r="AQ121" s="215">
        <v>45006</v>
      </c>
      <c r="AR121" s="104">
        <v>582892</v>
      </c>
      <c r="AS121" s="104">
        <v>314</v>
      </c>
      <c r="AT121" s="104">
        <v>583206</v>
      </c>
      <c r="AU121" s="104">
        <v>99.95</v>
      </c>
      <c r="AV121" s="246">
        <f t="shared" si="24"/>
        <v>0.583206</v>
      </c>
      <c r="AX121" s="215">
        <v>45006</v>
      </c>
      <c r="AY121" s="104">
        <v>582892</v>
      </c>
      <c r="AZ121" s="104">
        <v>314</v>
      </c>
      <c r="BA121" s="104">
        <v>583206</v>
      </c>
      <c r="BB121" s="104">
        <v>99.95</v>
      </c>
      <c r="BC121" s="246">
        <f t="shared" si="25"/>
        <v>0.583206</v>
      </c>
      <c r="BE121" s="216">
        <v>45006</v>
      </c>
      <c r="BF121" s="104">
        <v>582892</v>
      </c>
      <c r="BG121" s="104">
        <v>314</v>
      </c>
      <c r="BH121" s="104">
        <v>583206</v>
      </c>
      <c r="BI121" s="104">
        <v>99.95</v>
      </c>
      <c r="BJ121" s="71">
        <f t="shared" si="26"/>
        <v>0.583206</v>
      </c>
      <c r="BL121" s="1"/>
      <c r="BM121" s="1"/>
      <c r="BN121" s="1"/>
      <c r="BO121" s="1"/>
      <c r="BP121" s="1"/>
      <c r="BQ121" s="247"/>
      <c r="BS121" s="48"/>
      <c r="BT121" s="48"/>
      <c r="BU121" s="48"/>
      <c r="BV121" s="48"/>
      <c r="BW121" s="48"/>
      <c r="BZ121" s="1"/>
      <c r="CA121" s="1"/>
      <c r="CB121" s="1"/>
      <c r="CC121" s="1"/>
      <c r="CE121" s="216">
        <v>45006</v>
      </c>
      <c r="CF121" s="1">
        <v>11222086</v>
      </c>
      <c r="CG121" s="1">
        <v>26402</v>
      </c>
      <c r="CH121" s="1">
        <v>11248488</v>
      </c>
      <c r="CI121" s="71">
        <f>CF121/CH121%</f>
        <v>99.765284009726457</v>
      </c>
      <c r="CJ121" s="71">
        <f t="shared" si="28"/>
        <v>11.248488</v>
      </c>
      <c r="CL121" s="140">
        <v>44941</v>
      </c>
      <c r="CM121" t="s">
        <v>238</v>
      </c>
      <c r="CN121">
        <v>4780</v>
      </c>
    </row>
    <row r="122" spans="1:92" hidden="1" x14ac:dyDescent="0.25">
      <c r="A122" s="215">
        <v>45008</v>
      </c>
      <c r="B122" s="104">
        <v>5297366</v>
      </c>
      <c r="C122" s="104">
        <v>1574</v>
      </c>
      <c r="D122" s="104">
        <v>5298940</v>
      </c>
      <c r="E122" s="104">
        <v>99.97</v>
      </c>
      <c r="F122" s="71">
        <f t="shared" si="39"/>
        <v>5.29894</v>
      </c>
      <c r="H122" s="215">
        <v>45008</v>
      </c>
      <c r="I122" s="104">
        <v>1974992</v>
      </c>
      <c r="J122" s="104">
        <v>8684</v>
      </c>
      <c r="K122" s="104">
        <v>1983676</v>
      </c>
      <c r="L122" s="104">
        <v>99.56</v>
      </c>
      <c r="M122" s="71">
        <f t="shared" si="40"/>
        <v>1.983676</v>
      </c>
      <c r="O122" s="215">
        <v>45008</v>
      </c>
      <c r="P122" s="104">
        <v>783226</v>
      </c>
      <c r="Q122" s="104">
        <v>6048</v>
      </c>
      <c r="R122" s="104">
        <v>789274</v>
      </c>
      <c r="S122" s="104">
        <v>99.23</v>
      </c>
      <c r="T122" s="71">
        <f t="shared" si="20"/>
        <v>0.78927400000000003</v>
      </c>
      <c r="V122" s="215">
        <v>45008</v>
      </c>
      <c r="W122" s="104">
        <v>861852</v>
      </c>
      <c r="X122" s="104">
        <v>154</v>
      </c>
      <c r="Y122" s="104">
        <v>862006</v>
      </c>
      <c r="Z122" s="104">
        <v>99.98</v>
      </c>
      <c r="AA122" s="71">
        <f t="shared" si="21"/>
        <v>0.86200600000000005</v>
      </c>
      <c r="AC122" s="215">
        <v>45008</v>
      </c>
      <c r="AD122" s="104">
        <v>532256</v>
      </c>
      <c r="AE122" s="104">
        <v>302</v>
      </c>
      <c r="AF122" s="104">
        <v>532558</v>
      </c>
      <c r="AG122" s="104">
        <v>99.94</v>
      </c>
      <c r="AH122" s="71">
        <f t="shared" si="22"/>
        <v>0.53255799999999998</v>
      </c>
      <c r="AJ122" s="215">
        <v>45008</v>
      </c>
      <c r="AK122" s="104">
        <v>532256</v>
      </c>
      <c r="AL122" s="104">
        <v>302</v>
      </c>
      <c r="AM122" s="104">
        <v>532558</v>
      </c>
      <c r="AN122" s="104">
        <v>99.94</v>
      </c>
      <c r="AO122" s="246">
        <f t="shared" si="23"/>
        <v>0.53255799999999998</v>
      </c>
      <c r="AQ122" s="215">
        <v>45008</v>
      </c>
      <c r="AR122" s="104">
        <v>532256</v>
      </c>
      <c r="AS122" s="104">
        <v>302</v>
      </c>
      <c r="AT122" s="104">
        <v>532558</v>
      </c>
      <c r="AU122" s="104">
        <v>99.94</v>
      </c>
      <c r="AV122" s="246">
        <f t="shared" si="24"/>
        <v>0.53255799999999998</v>
      </c>
      <c r="AX122" s="215">
        <v>45008</v>
      </c>
      <c r="AY122" s="104">
        <v>532256</v>
      </c>
      <c r="AZ122" s="104">
        <v>302</v>
      </c>
      <c r="BA122" s="104">
        <v>532558</v>
      </c>
      <c r="BB122" s="104">
        <v>99.94</v>
      </c>
      <c r="BC122" s="246">
        <f t="shared" si="25"/>
        <v>0.53255799999999998</v>
      </c>
      <c r="BE122" s="215">
        <v>45008</v>
      </c>
      <c r="BF122" s="104">
        <v>532256</v>
      </c>
      <c r="BG122" s="104">
        <v>302</v>
      </c>
      <c r="BH122" s="104">
        <v>532558</v>
      </c>
      <c r="BI122" s="104">
        <v>99.94</v>
      </c>
      <c r="BJ122" s="71">
        <f t="shared" si="26"/>
        <v>0.53255799999999998</v>
      </c>
      <c r="BL122" s="1"/>
      <c r="BM122" s="1"/>
      <c r="BN122" s="1"/>
      <c r="BO122" s="1"/>
      <c r="BP122" s="1"/>
      <c r="BQ122" s="247"/>
      <c r="BS122" s="48"/>
      <c r="BT122" s="48"/>
      <c r="BU122" s="48"/>
      <c r="BV122" s="48"/>
      <c r="BW122" s="48"/>
      <c r="BZ122" s="1"/>
      <c r="CA122" s="1"/>
      <c r="CB122" s="1"/>
      <c r="CC122" s="1"/>
      <c r="CE122" s="216">
        <v>45008</v>
      </c>
      <c r="CF122" s="1">
        <v>10684274</v>
      </c>
      <c r="CG122" s="1">
        <v>23114</v>
      </c>
      <c r="CH122" s="1">
        <v>10707388</v>
      </c>
      <c r="CI122" s="71">
        <f>CF122/CH122%</f>
        <v>99.784130359336928</v>
      </c>
      <c r="CJ122" s="71">
        <f t="shared" si="28"/>
        <v>10.707388</v>
      </c>
      <c r="CL122" s="140">
        <v>44941</v>
      </c>
      <c r="CM122" t="s">
        <v>240</v>
      </c>
      <c r="CN122">
        <v>2010</v>
      </c>
    </row>
    <row r="123" spans="1:92" hidden="1" x14ac:dyDescent="0.25">
      <c r="A123" s="215">
        <v>45009</v>
      </c>
      <c r="B123" s="104">
        <v>5522448</v>
      </c>
      <c r="C123" s="104">
        <v>1534</v>
      </c>
      <c r="D123" s="104">
        <v>5523982</v>
      </c>
      <c r="E123" s="104">
        <v>99.97</v>
      </c>
      <c r="F123" s="71">
        <f t="shared" si="39"/>
        <v>5.5239820000000002</v>
      </c>
      <c r="H123" s="215">
        <v>45009</v>
      </c>
      <c r="I123" s="104">
        <v>1970426</v>
      </c>
      <c r="J123" s="104">
        <v>4516</v>
      </c>
      <c r="K123" s="104">
        <v>1974942</v>
      </c>
      <c r="L123" s="104">
        <v>99.77</v>
      </c>
      <c r="M123" s="71">
        <f t="shared" si="40"/>
        <v>1.974942</v>
      </c>
      <c r="O123" s="215">
        <v>45009</v>
      </c>
      <c r="P123" s="104">
        <v>783666</v>
      </c>
      <c r="Q123" s="104">
        <v>5836</v>
      </c>
      <c r="R123" s="104">
        <v>789502</v>
      </c>
      <c r="S123" s="104">
        <v>99.26</v>
      </c>
      <c r="T123" s="71">
        <f t="shared" si="20"/>
        <v>0.78950200000000004</v>
      </c>
      <c r="V123" s="215">
        <v>45009</v>
      </c>
      <c r="W123" s="104">
        <v>902394</v>
      </c>
      <c r="X123" s="104">
        <v>154</v>
      </c>
      <c r="Y123" s="104">
        <v>902548</v>
      </c>
      <c r="Z123" s="104">
        <v>99.98</v>
      </c>
      <c r="AA123" s="71">
        <f t="shared" si="21"/>
        <v>0.90254800000000002</v>
      </c>
      <c r="AC123" s="215">
        <v>45009</v>
      </c>
      <c r="AD123" s="104">
        <v>535758</v>
      </c>
      <c r="AE123" s="104">
        <v>308</v>
      </c>
      <c r="AF123" s="104">
        <v>536066</v>
      </c>
      <c r="AG123" s="104">
        <v>99.94</v>
      </c>
      <c r="AH123" s="71">
        <f t="shared" si="22"/>
        <v>0.53606600000000004</v>
      </c>
      <c r="AJ123" s="215">
        <v>45009</v>
      </c>
      <c r="AK123" s="104">
        <v>535758</v>
      </c>
      <c r="AL123" s="104">
        <v>308</v>
      </c>
      <c r="AM123" s="104">
        <v>536066</v>
      </c>
      <c r="AN123" s="104">
        <v>99.94</v>
      </c>
      <c r="AO123" s="246">
        <f t="shared" si="23"/>
        <v>0.53606600000000004</v>
      </c>
      <c r="AQ123" s="215">
        <v>45009</v>
      </c>
      <c r="AR123" s="104">
        <v>535758</v>
      </c>
      <c r="AS123" s="104">
        <v>308</v>
      </c>
      <c r="AT123" s="104">
        <v>536066</v>
      </c>
      <c r="AU123" s="104">
        <v>99.94</v>
      </c>
      <c r="AV123" s="246">
        <f t="shared" si="24"/>
        <v>0.53606600000000004</v>
      </c>
      <c r="AX123" s="215">
        <v>45009</v>
      </c>
      <c r="AY123" s="104">
        <v>535758</v>
      </c>
      <c r="AZ123" s="104">
        <v>308</v>
      </c>
      <c r="BA123" s="104">
        <v>536066</v>
      </c>
      <c r="BB123" s="104">
        <v>99.94</v>
      </c>
      <c r="BC123" s="246">
        <f t="shared" si="25"/>
        <v>0.53606600000000004</v>
      </c>
      <c r="BE123" s="215">
        <v>45009</v>
      </c>
      <c r="BF123" s="104">
        <v>535758</v>
      </c>
      <c r="BG123" s="104">
        <v>308</v>
      </c>
      <c r="BH123" s="104">
        <v>536066</v>
      </c>
      <c r="BI123" s="104">
        <v>99.94</v>
      </c>
      <c r="BJ123" s="71">
        <f t="shared" si="26"/>
        <v>0.53606600000000004</v>
      </c>
      <c r="BL123" s="1"/>
      <c r="BM123" s="1"/>
      <c r="BN123" s="1"/>
      <c r="BO123" s="1"/>
      <c r="BP123" s="1"/>
      <c r="BQ123" s="247"/>
      <c r="BS123" s="48"/>
      <c r="BT123" s="48"/>
      <c r="BU123" s="48"/>
      <c r="BV123" s="48"/>
      <c r="BW123" s="48"/>
      <c r="BZ123" s="1"/>
      <c r="CA123" s="1"/>
      <c r="CB123" s="1"/>
      <c r="CC123" s="1"/>
      <c r="CE123" s="215">
        <v>45009</v>
      </c>
      <c r="CF123" s="1">
        <v>10987708</v>
      </c>
      <c r="CG123" s="1">
        <v>18918</v>
      </c>
      <c r="CH123" s="1">
        <v>11006626</v>
      </c>
      <c r="CI123" s="71">
        <f>CF123/CH123%</f>
        <v>99.828121715046919</v>
      </c>
      <c r="CJ123" s="71">
        <f t="shared" si="28"/>
        <v>11.006626000000001</v>
      </c>
      <c r="CL123" s="140">
        <v>44941</v>
      </c>
      <c r="CM123" t="s">
        <v>239</v>
      </c>
      <c r="CN123">
        <v>1082</v>
      </c>
    </row>
    <row r="124" spans="1:92" hidden="1" x14ac:dyDescent="0.25">
      <c r="A124" s="215">
        <v>45010</v>
      </c>
      <c r="B124" s="104">
        <v>5629380</v>
      </c>
      <c r="C124" s="104">
        <v>1368</v>
      </c>
      <c r="D124" s="104">
        <v>5630748</v>
      </c>
      <c r="E124" s="104">
        <v>99.98</v>
      </c>
      <c r="F124" s="71">
        <f t="shared" si="39"/>
        <v>5.6307479999999996</v>
      </c>
      <c r="H124" s="215">
        <v>45010</v>
      </c>
      <c r="I124" s="104">
        <v>2054224</v>
      </c>
      <c r="J124" s="104">
        <v>3760</v>
      </c>
      <c r="K124" s="104">
        <v>2057984</v>
      </c>
      <c r="L124" s="104">
        <v>99.82</v>
      </c>
      <c r="M124" s="71">
        <f t="shared" si="40"/>
        <v>2.0579839999999998</v>
      </c>
      <c r="O124" s="215">
        <v>45010</v>
      </c>
      <c r="P124" s="104">
        <v>799456</v>
      </c>
      <c r="Q124" s="104">
        <v>6170</v>
      </c>
      <c r="R124" s="104">
        <v>805626</v>
      </c>
      <c r="S124" s="104">
        <v>99.23</v>
      </c>
      <c r="T124" s="71">
        <f t="shared" si="20"/>
        <v>0.80562599999999995</v>
      </c>
      <c r="V124" s="215">
        <v>45010</v>
      </c>
      <c r="W124" s="104">
        <v>929684</v>
      </c>
      <c r="X124" s="104">
        <v>174</v>
      </c>
      <c r="Y124" s="104">
        <v>929858</v>
      </c>
      <c r="Z124" s="104">
        <v>99.98</v>
      </c>
      <c r="AA124" s="71">
        <f t="shared" si="21"/>
        <v>0.92985799999999996</v>
      </c>
      <c r="AC124" s="215">
        <v>45010</v>
      </c>
      <c r="AD124" s="104">
        <v>534668</v>
      </c>
      <c r="AE124" s="104">
        <v>332</v>
      </c>
      <c r="AF124" s="104">
        <v>535000</v>
      </c>
      <c r="AG124" s="104">
        <v>99.94</v>
      </c>
      <c r="AH124" s="71">
        <f t="shared" si="22"/>
        <v>0.53500000000000003</v>
      </c>
      <c r="AJ124" s="215">
        <v>45010</v>
      </c>
      <c r="AK124" s="104">
        <v>534668</v>
      </c>
      <c r="AL124" s="104">
        <v>332</v>
      </c>
      <c r="AM124" s="104">
        <v>535000</v>
      </c>
      <c r="AN124" s="104">
        <v>99.94</v>
      </c>
      <c r="AO124" s="246">
        <f t="shared" si="23"/>
        <v>0.53500000000000003</v>
      </c>
      <c r="AQ124" s="215">
        <v>45010</v>
      </c>
      <c r="AR124" s="104">
        <v>534668</v>
      </c>
      <c r="AS124" s="104">
        <v>332</v>
      </c>
      <c r="AT124" s="104">
        <v>535000</v>
      </c>
      <c r="AU124" s="104">
        <v>99.94</v>
      </c>
      <c r="AV124" s="246">
        <f t="shared" si="24"/>
        <v>0.53500000000000003</v>
      </c>
      <c r="AX124" s="215">
        <v>45010</v>
      </c>
      <c r="AY124" s="104">
        <v>534668</v>
      </c>
      <c r="AZ124" s="104">
        <v>332</v>
      </c>
      <c r="BA124" s="104">
        <v>535000</v>
      </c>
      <c r="BB124" s="104">
        <v>99.94</v>
      </c>
      <c r="BC124" s="246">
        <f t="shared" si="25"/>
        <v>0.53500000000000003</v>
      </c>
      <c r="BE124" s="215">
        <v>45010</v>
      </c>
      <c r="BF124" s="104">
        <v>534668</v>
      </c>
      <c r="BG124" s="104">
        <v>332</v>
      </c>
      <c r="BH124" s="104">
        <v>535000</v>
      </c>
      <c r="BI124" s="104">
        <v>99.94</v>
      </c>
      <c r="BJ124" s="71">
        <f t="shared" si="26"/>
        <v>0.53500000000000003</v>
      </c>
      <c r="BL124" s="1"/>
      <c r="BM124" s="1"/>
      <c r="BN124" s="1"/>
      <c r="BO124" s="1"/>
      <c r="BP124" s="1"/>
      <c r="BQ124" s="247"/>
      <c r="BS124" s="48"/>
      <c r="BT124" s="48"/>
      <c r="BU124" s="48"/>
      <c r="BV124" s="48"/>
      <c r="BW124" s="48"/>
      <c r="BZ124" s="1"/>
      <c r="CA124" s="1"/>
      <c r="CB124" s="1"/>
      <c r="CC124" s="1"/>
      <c r="CE124" s="215">
        <v>45010</v>
      </c>
      <c r="CF124" s="1">
        <v>11251058</v>
      </c>
      <c r="CG124" s="1">
        <v>18710</v>
      </c>
      <c r="CH124" s="1">
        <v>11269768</v>
      </c>
      <c r="CI124" s="71">
        <f t="shared" ref="CI124:CI187" si="60">CF124/CH124%</f>
        <v>99.833980610780998</v>
      </c>
      <c r="CJ124" s="71">
        <f t="shared" si="28"/>
        <v>11.269767999999999</v>
      </c>
      <c r="CL124" s="140">
        <v>44941</v>
      </c>
      <c r="CM124" t="s">
        <v>241</v>
      </c>
      <c r="CN124">
        <v>710</v>
      </c>
    </row>
    <row r="125" spans="1:92" hidden="1" x14ac:dyDescent="0.25">
      <c r="A125" s="215">
        <v>45011</v>
      </c>
      <c r="B125" s="104">
        <v>4623654</v>
      </c>
      <c r="C125" s="104">
        <v>2408</v>
      </c>
      <c r="D125" s="104">
        <v>4626062</v>
      </c>
      <c r="E125" s="104">
        <v>99.95</v>
      </c>
      <c r="F125" s="71">
        <f t="shared" si="39"/>
        <v>4.6260620000000001</v>
      </c>
      <c r="H125" s="215">
        <v>45011</v>
      </c>
      <c r="I125" s="104">
        <v>1905362</v>
      </c>
      <c r="J125" s="104">
        <v>3794</v>
      </c>
      <c r="K125" s="104">
        <v>1909156</v>
      </c>
      <c r="L125" s="104">
        <v>99.8</v>
      </c>
      <c r="M125" s="71">
        <f t="shared" si="40"/>
        <v>1.9091560000000001</v>
      </c>
      <c r="O125" s="215">
        <v>45011</v>
      </c>
      <c r="P125" s="104">
        <v>802628</v>
      </c>
      <c r="Q125" s="104">
        <v>5730</v>
      </c>
      <c r="R125" s="104">
        <v>808358</v>
      </c>
      <c r="S125" s="104">
        <v>99.29</v>
      </c>
      <c r="T125" s="71">
        <f>R125/1000000</f>
        <v>0.80835800000000002</v>
      </c>
      <c r="V125" s="215">
        <v>45011</v>
      </c>
      <c r="W125" s="104">
        <v>841864</v>
      </c>
      <c r="X125" s="104">
        <v>130</v>
      </c>
      <c r="Y125" s="104">
        <v>841994</v>
      </c>
      <c r="Z125" s="104">
        <v>99.98</v>
      </c>
      <c r="AA125" s="71">
        <f t="shared" si="21"/>
        <v>0.84199400000000002</v>
      </c>
      <c r="AC125" s="215">
        <v>45011</v>
      </c>
      <c r="AD125" s="104">
        <v>516926</v>
      </c>
      <c r="AE125" s="104">
        <v>250</v>
      </c>
      <c r="AF125" s="104">
        <v>517176</v>
      </c>
      <c r="AG125" s="104">
        <v>99.95</v>
      </c>
      <c r="AH125" s="71">
        <f>AF125/1000000</f>
        <v>0.51717599999999997</v>
      </c>
      <c r="AJ125" s="215">
        <v>45011</v>
      </c>
      <c r="AK125" s="104">
        <v>516926</v>
      </c>
      <c r="AL125" s="104">
        <v>250</v>
      </c>
      <c r="AM125" s="104">
        <v>517176</v>
      </c>
      <c r="AN125" s="104">
        <v>99.95</v>
      </c>
      <c r="AO125" s="246">
        <f t="shared" si="23"/>
        <v>0.51717599999999997</v>
      </c>
      <c r="AQ125" s="215">
        <v>45011</v>
      </c>
      <c r="AR125" s="104">
        <v>516926</v>
      </c>
      <c r="AS125" s="104">
        <v>250</v>
      </c>
      <c r="AT125" s="104">
        <v>517176</v>
      </c>
      <c r="AU125" s="104">
        <v>99.95</v>
      </c>
      <c r="AV125" s="246">
        <f t="shared" si="24"/>
        <v>0.51717599999999997</v>
      </c>
      <c r="AX125" s="215">
        <v>45011</v>
      </c>
      <c r="AY125" s="104">
        <v>516926</v>
      </c>
      <c r="AZ125" s="104">
        <v>250</v>
      </c>
      <c r="BA125" s="104">
        <v>517176</v>
      </c>
      <c r="BB125" s="104">
        <v>99.95</v>
      </c>
      <c r="BC125" s="246">
        <f t="shared" si="25"/>
        <v>0.51717599999999997</v>
      </c>
      <c r="BE125" s="215">
        <v>45011</v>
      </c>
      <c r="BF125" s="104">
        <v>516926</v>
      </c>
      <c r="BG125" s="104">
        <v>250</v>
      </c>
      <c r="BH125" s="104">
        <v>517176</v>
      </c>
      <c r="BI125" s="104">
        <v>99.95</v>
      </c>
      <c r="BJ125" s="71">
        <f t="shared" si="26"/>
        <v>0.51717599999999997</v>
      </c>
      <c r="BL125" s="1"/>
      <c r="BM125" s="1"/>
      <c r="BN125" s="1"/>
      <c r="BO125" s="1"/>
      <c r="BP125" s="1"/>
      <c r="BQ125" s="247"/>
      <c r="BS125" s="48"/>
      <c r="BT125" s="48"/>
      <c r="BU125" s="48"/>
      <c r="BV125" s="48"/>
      <c r="BW125" s="48"/>
      <c r="BZ125" s="1"/>
      <c r="CA125" s="1"/>
      <c r="CB125" s="1"/>
      <c r="CC125" s="1"/>
      <c r="CE125" s="215">
        <v>45011</v>
      </c>
      <c r="CF125" s="1">
        <v>9876088</v>
      </c>
      <c r="CG125" s="1">
        <v>18212</v>
      </c>
      <c r="CH125" s="1">
        <v>9894300</v>
      </c>
      <c r="CI125" s="71">
        <f t="shared" si="60"/>
        <v>99.815934426892255</v>
      </c>
      <c r="CJ125" s="71">
        <f t="shared" si="28"/>
        <v>9.8942999999999994</v>
      </c>
      <c r="CL125" s="140">
        <v>44942</v>
      </c>
      <c r="CM125" t="s">
        <v>238</v>
      </c>
      <c r="CN125">
        <v>7116</v>
      </c>
    </row>
    <row r="126" spans="1:92" hidden="1" x14ac:dyDescent="0.25">
      <c r="A126" s="215">
        <v>45012</v>
      </c>
      <c r="B126" s="104">
        <v>5518572</v>
      </c>
      <c r="C126" s="104">
        <v>2606</v>
      </c>
      <c r="D126" s="104">
        <v>5521178</v>
      </c>
      <c r="E126" s="104">
        <v>99.95</v>
      </c>
      <c r="F126" s="71">
        <f t="shared" si="39"/>
        <v>5.5211779999999999</v>
      </c>
      <c r="H126" s="215">
        <v>45012</v>
      </c>
      <c r="I126" s="104">
        <v>2044820</v>
      </c>
      <c r="J126" s="104">
        <v>5496</v>
      </c>
      <c r="K126" s="104">
        <v>2050316</v>
      </c>
      <c r="L126" s="104">
        <v>99.73</v>
      </c>
      <c r="M126" s="71">
        <f t="shared" si="40"/>
        <v>2.050316</v>
      </c>
      <c r="O126" s="215">
        <v>45012</v>
      </c>
      <c r="P126" s="104">
        <v>786152</v>
      </c>
      <c r="Q126" s="104">
        <v>6126</v>
      </c>
      <c r="R126" s="104">
        <v>792278</v>
      </c>
      <c r="S126" s="104">
        <v>99.23</v>
      </c>
      <c r="T126" s="71">
        <f>R126/1000000</f>
        <v>0.79227800000000004</v>
      </c>
      <c r="V126" s="215">
        <v>45012</v>
      </c>
      <c r="W126" s="104">
        <v>931272</v>
      </c>
      <c r="X126" s="104">
        <v>154</v>
      </c>
      <c r="Y126" s="104">
        <v>931426</v>
      </c>
      <c r="Z126" s="104">
        <v>99.98</v>
      </c>
      <c r="AA126" s="71">
        <f t="shared" ref="AA126:AA189" si="61">Y126/1000000</f>
        <v>0.93142599999999998</v>
      </c>
      <c r="AC126" s="215">
        <v>45012</v>
      </c>
      <c r="AD126" s="104">
        <v>534882</v>
      </c>
      <c r="AE126" s="104">
        <v>242</v>
      </c>
      <c r="AF126" s="104">
        <v>535124</v>
      </c>
      <c r="AG126" s="104">
        <v>99.95</v>
      </c>
      <c r="AH126" s="71">
        <f>AF126/1000000</f>
        <v>0.53512400000000004</v>
      </c>
      <c r="AJ126" s="215">
        <v>45012</v>
      </c>
      <c r="AK126" s="104">
        <v>534882</v>
      </c>
      <c r="AL126" s="104">
        <v>242</v>
      </c>
      <c r="AM126" s="104">
        <v>535124</v>
      </c>
      <c r="AN126" s="104">
        <v>99.95</v>
      </c>
      <c r="AO126" s="246">
        <f t="shared" ref="AO126:AO189" si="62">AM126/1000000</f>
        <v>0.53512400000000004</v>
      </c>
      <c r="AQ126" s="215">
        <v>45012</v>
      </c>
      <c r="AR126" s="104">
        <v>534882</v>
      </c>
      <c r="AS126" s="104">
        <v>242</v>
      </c>
      <c r="AT126" s="104">
        <v>535124</v>
      </c>
      <c r="AU126" s="104">
        <v>99.95</v>
      </c>
      <c r="AV126" s="246">
        <f t="shared" ref="AV126" si="63">AT126/1000000</f>
        <v>0.53512400000000004</v>
      </c>
      <c r="AX126" s="215">
        <v>45012</v>
      </c>
      <c r="AY126" s="104">
        <v>534882</v>
      </c>
      <c r="AZ126" s="104">
        <v>242</v>
      </c>
      <c r="BA126" s="104">
        <v>535124</v>
      </c>
      <c r="BB126" s="104">
        <v>99.95</v>
      </c>
      <c r="BC126" s="246">
        <f t="shared" ref="BC126" si="64">BA126/1000000</f>
        <v>0.53512400000000004</v>
      </c>
      <c r="BE126" s="215">
        <v>45012</v>
      </c>
      <c r="BF126" s="104">
        <v>534882</v>
      </c>
      <c r="BG126" s="104">
        <v>242</v>
      </c>
      <c r="BH126" s="104">
        <v>535124</v>
      </c>
      <c r="BI126" s="104">
        <v>99.95</v>
      </c>
      <c r="BJ126" s="71">
        <f t="shared" ref="BJ126" si="65">BH126/1000000</f>
        <v>0.53512400000000004</v>
      </c>
      <c r="BL126" s="1"/>
      <c r="BM126" s="1"/>
      <c r="BN126" s="1"/>
      <c r="BO126" s="1"/>
      <c r="BP126" s="1"/>
      <c r="BQ126" s="247"/>
      <c r="BS126" s="48"/>
      <c r="BT126" s="48"/>
      <c r="BU126" s="48"/>
      <c r="BV126" s="48"/>
      <c r="BW126" s="48"/>
      <c r="BZ126" s="1"/>
      <c r="CA126" s="1"/>
      <c r="CB126" s="1"/>
      <c r="CC126" s="1"/>
      <c r="CE126" s="215">
        <v>45012</v>
      </c>
      <c r="CF126" s="1">
        <v>11088730</v>
      </c>
      <c r="CG126" s="1">
        <v>21282</v>
      </c>
      <c r="CH126" s="1">
        <v>11110012</v>
      </c>
      <c r="CI126" s="71">
        <f t="shared" si="60"/>
        <v>99.808443051186629</v>
      </c>
      <c r="CJ126" s="71">
        <f t="shared" ref="CJ126:CJ189" si="66">CH126/1000000</f>
        <v>11.110011999999999</v>
      </c>
      <c r="CL126" s="140">
        <v>44942</v>
      </c>
      <c r="CM126" t="s">
        <v>239</v>
      </c>
      <c r="CN126">
        <v>3464</v>
      </c>
    </row>
    <row r="127" spans="1:92" hidden="1" x14ac:dyDescent="0.25">
      <c r="A127" s="215">
        <v>45013</v>
      </c>
      <c r="B127" s="104">
        <v>5472168</v>
      </c>
      <c r="C127" s="104">
        <v>2192</v>
      </c>
      <c r="D127" s="104">
        <v>5474360</v>
      </c>
      <c r="E127" s="104">
        <v>99.96</v>
      </c>
      <c r="F127" s="71">
        <f t="shared" si="39"/>
        <v>5.4743599999999999</v>
      </c>
      <c r="H127" s="215">
        <v>45013</v>
      </c>
      <c r="I127" s="104">
        <v>2119020</v>
      </c>
      <c r="J127" s="104">
        <v>5756</v>
      </c>
      <c r="K127" s="104">
        <v>2124776</v>
      </c>
      <c r="L127" s="104">
        <v>99.73</v>
      </c>
      <c r="M127" s="71">
        <f t="shared" si="40"/>
        <v>2.1247760000000002</v>
      </c>
      <c r="O127" s="215">
        <v>45013</v>
      </c>
      <c r="P127" s="104">
        <v>777046</v>
      </c>
      <c r="Q127" s="104">
        <v>6686</v>
      </c>
      <c r="R127" s="104">
        <v>783732</v>
      </c>
      <c r="S127" s="104">
        <v>99.15</v>
      </c>
      <c r="T127" s="71">
        <f>R127/1000000</f>
        <v>0.78373199999999998</v>
      </c>
      <c r="V127" s="215">
        <v>45013</v>
      </c>
      <c r="W127" s="104">
        <v>911388</v>
      </c>
      <c r="X127" s="104">
        <v>140</v>
      </c>
      <c r="Y127" s="104">
        <v>911528</v>
      </c>
      <c r="Z127" s="104">
        <v>99.98</v>
      </c>
      <c r="AA127" s="71">
        <f t="shared" si="61"/>
        <v>0.911528</v>
      </c>
      <c r="AC127" s="215">
        <v>45013</v>
      </c>
      <c r="AD127" s="104">
        <v>574908</v>
      </c>
      <c r="AE127" s="104">
        <v>844</v>
      </c>
      <c r="AF127" s="104">
        <v>575752</v>
      </c>
      <c r="AG127" s="104">
        <v>99.85</v>
      </c>
      <c r="AH127" s="71">
        <f>AF127/1000000</f>
        <v>0.57575200000000004</v>
      </c>
      <c r="AJ127" s="215">
        <v>45013</v>
      </c>
      <c r="AK127" s="104">
        <v>574908</v>
      </c>
      <c r="AL127" s="104">
        <v>844</v>
      </c>
      <c r="AM127" s="104">
        <v>575752</v>
      </c>
      <c r="AN127" s="104">
        <v>99.85</v>
      </c>
      <c r="AO127" s="246">
        <f t="shared" si="62"/>
        <v>0.57575200000000004</v>
      </c>
      <c r="AQ127" s="215">
        <v>45013</v>
      </c>
      <c r="AR127" s="104">
        <v>574908</v>
      </c>
      <c r="AS127" s="104">
        <v>844</v>
      </c>
      <c r="AT127" s="104">
        <v>575752</v>
      </c>
      <c r="AU127" s="104">
        <v>99.85</v>
      </c>
      <c r="AV127" s="246">
        <f>AT127/1000000</f>
        <v>0.57575200000000004</v>
      </c>
      <c r="AX127" s="215">
        <v>45013</v>
      </c>
      <c r="AY127" s="104">
        <v>574908</v>
      </c>
      <c r="AZ127" s="104">
        <v>844</v>
      </c>
      <c r="BA127" s="104">
        <v>575752</v>
      </c>
      <c r="BB127" s="104">
        <v>99.85</v>
      </c>
      <c r="BC127" s="246">
        <f>BA127/1000000</f>
        <v>0.57575200000000004</v>
      </c>
      <c r="BE127" s="215">
        <v>45013</v>
      </c>
      <c r="BF127" s="104">
        <v>574908</v>
      </c>
      <c r="BG127" s="104">
        <v>844</v>
      </c>
      <c r="BH127" s="104">
        <v>575752</v>
      </c>
      <c r="BI127" s="104">
        <v>99.85</v>
      </c>
      <c r="BJ127" s="71">
        <f>BH127/1000000</f>
        <v>0.57575200000000004</v>
      </c>
      <c r="BL127" s="1"/>
      <c r="BM127" s="1"/>
      <c r="BN127" s="1"/>
      <c r="BO127" s="1"/>
      <c r="BP127" s="1"/>
      <c r="BQ127" s="247"/>
      <c r="BS127" s="48"/>
      <c r="BT127" s="48"/>
      <c r="BU127" s="48"/>
      <c r="BV127" s="48"/>
      <c r="BW127" s="48"/>
      <c r="BZ127" s="1"/>
      <c r="CA127" s="1"/>
      <c r="CB127" s="1"/>
      <c r="CC127" s="1"/>
      <c r="CE127" s="215">
        <v>45013</v>
      </c>
      <c r="CF127" s="1">
        <v>11145580</v>
      </c>
      <c r="CG127" s="1">
        <v>30244</v>
      </c>
      <c r="CH127" s="1">
        <v>11175824</v>
      </c>
      <c r="CI127" s="71">
        <f t="shared" si="60"/>
        <v>99.729380133402245</v>
      </c>
      <c r="CJ127" s="71">
        <f t="shared" si="66"/>
        <v>11.175824</v>
      </c>
      <c r="CL127" s="140">
        <v>44942</v>
      </c>
      <c r="CM127" t="s">
        <v>237</v>
      </c>
      <c r="CN127">
        <v>3024</v>
      </c>
    </row>
    <row r="128" spans="1:92" hidden="1" x14ac:dyDescent="0.25">
      <c r="A128" s="215">
        <v>45014</v>
      </c>
      <c r="B128" s="104">
        <v>5367060</v>
      </c>
      <c r="C128" s="104">
        <v>3108</v>
      </c>
      <c r="D128" s="104">
        <v>5370168</v>
      </c>
      <c r="E128" s="104">
        <v>99.94</v>
      </c>
      <c r="F128" s="71">
        <f t="shared" si="39"/>
        <v>5.3701679999999996</v>
      </c>
      <c r="H128" s="215">
        <v>45014</v>
      </c>
      <c r="I128" s="104">
        <v>1935496</v>
      </c>
      <c r="J128" s="104">
        <v>7986</v>
      </c>
      <c r="K128" s="104">
        <v>1943482</v>
      </c>
      <c r="L128" s="104">
        <v>99.59</v>
      </c>
      <c r="M128" s="71">
        <f t="shared" si="40"/>
        <v>1.9434819999999999</v>
      </c>
      <c r="O128" s="215">
        <v>45014</v>
      </c>
      <c r="P128" s="104">
        <v>851514</v>
      </c>
      <c r="Q128" s="104">
        <v>6062</v>
      </c>
      <c r="R128" s="104">
        <v>857576</v>
      </c>
      <c r="S128" s="104">
        <v>99.29</v>
      </c>
      <c r="T128" s="71">
        <f>R128/1000000</f>
        <v>0.857576</v>
      </c>
      <c r="V128" s="215">
        <v>45014</v>
      </c>
      <c r="W128" s="104">
        <v>851786</v>
      </c>
      <c r="X128" s="104">
        <v>146</v>
      </c>
      <c r="Y128" s="104">
        <v>851932</v>
      </c>
      <c r="Z128" s="104">
        <v>99.98</v>
      </c>
      <c r="AA128" s="71">
        <f t="shared" si="61"/>
        <v>0.85193200000000002</v>
      </c>
      <c r="AC128" s="215">
        <v>45014</v>
      </c>
      <c r="AD128" s="104">
        <v>536596</v>
      </c>
      <c r="AE128" s="104">
        <v>8050</v>
      </c>
      <c r="AF128" s="104">
        <v>544646</v>
      </c>
      <c r="AG128" s="104">
        <v>98.52</v>
      </c>
      <c r="AH128" s="71">
        <f>AF128/1000000</f>
        <v>0.54464599999999996</v>
      </c>
      <c r="AJ128" s="215">
        <v>45014</v>
      </c>
      <c r="AK128" s="104">
        <v>536596</v>
      </c>
      <c r="AL128" s="104">
        <v>8050</v>
      </c>
      <c r="AM128" s="104">
        <v>544646</v>
      </c>
      <c r="AN128" s="104">
        <v>98.52</v>
      </c>
      <c r="AO128" s="246">
        <f t="shared" si="62"/>
        <v>0.54464599999999996</v>
      </c>
      <c r="AQ128" s="215">
        <v>45014</v>
      </c>
      <c r="AR128" s="104">
        <v>536596</v>
      </c>
      <c r="AS128" s="104">
        <v>8050</v>
      </c>
      <c r="AT128" s="104">
        <v>544646</v>
      </c>
      <c r="AU128" s="104">
        <v>98.52</v>
      </c>
      <c r="AV128" s="246">
        <f>AT128/1000000</f>
        <v>0.54464599999999996</v>
      </c>
      <c r="AX128" s="215">
        <v>45014</v>
      </c>
      <c r="AY128" s="104">
        <v>536596</v>
      </c>
      <c r="AZ128" s="104">
        <v>8050</v>
      </c>
      <c r="BA128" s="104">
        <v>544646</v>
      </c>
      <c r="BB128" s="104">
        <v>98.52</v>
      </c>
      <c r="BC128" s="246">
        <f>BA128/1000000</f>
        <v>0.54464599999999996</v>
      </c>
      <c r="BE128" s="215">
        <v>45014</v>
      </c>
      <c r="BF128" s="104">
        <v>536596</v>
      </c>
      <c r="BG128" s="104">
        <v>8050</v>
      </c>
      <c r="BH128" s="104">
        <v>544646</v>
      </c>
      <c r="BI128" s="104">
        <v>98.52</v>
      </c>
      <c r="BJ128" s="71">
        <f>BH128/1000000</f>
        <v>0.54464599999999996</v>
      </c>
      <c r="BL128" s="1"/>
      <c r="BM128" s="1"/>
      <c r="BN128" s="1"/>
      <c r="BO128" s="1"/>
      <c r="BP128" s="1"/>
      <c r="BQ128" s="247"/>
      <c r="BS128" s="48"/>
      <c r="BT128" s="48"/>
      <c r="BU128" s="48"/>
      <c r="BV128" s="48"/>
      <c r="BW128" s="48"/>
      <c r="BZ128" s="1"/>
      <c r="CA128" s="1"/>
      <c r="CB128" s="1"/>
      <c r="CC128" s="1"/>
      <c r="CE128" s="215">
        <v>45014</v>
      </c>
      <c r="CF128" s="1">
        <v>10821998</v>
      </c>
      <c r="CG128" s="1">
        <v>33334</v>
      </c>
      <c r="CH128" s="1">
        <v>10855332</v>
      </c>
      <c r="CI128" s="71">
        <f t="shared" si="60"/>
        <v>99.692925098928342</v>
      </c>
      <c r="CJ128" s="71">
        <f t="shared" si="66"/>
        <v>10.855332000000001</v>
      </c>
      <c r="CL128" s="140">
        <v>44942</v>
      </c>
      <c r="CM128" t="s">
        <v>240</v>
      </c>
      <c r="CN128">
        <v>2446</v>
      </c>
    </row>
    <row r="129" spans="1:92" hidden="1" x14ac:dyDescent="0.25">
      <c r="A129" s="215">
        <v>45015</v>
      </c>
      <c r="B129" s="104">
        <v>5469330</v>
      </c>
      <c r="C129" s="104">
        <v>2300</v>
      </c>
      <c r="D129" s="104">
        <v>5471630</v>
      </c>
      <c r="E129" s="104">
        <v>99.96</v>
      </c>
      <c r="F129" s="71">
        <f t="shared" si="39"/>
        <v>5.4716300000000002</v>
      </c>
      <c r="H129" s="215">
        <v>45015</v>
      </c>
      <c r="I129" s="1">
        <v>2019884</v>
      </c>
      <c r="J129" s="104">
        <v>8488</v>
      </c>
      <c r="K129" s="104">
        <v>2028372</v>
      </c>
      <c r="L129" s="104">
        <v>99.58</v>
      </c>
      <c r="M129" s="71">
        <f t="shared" si="40"/>
        <v>2.0283720000000001</v>
      </c>
      <c r="O129" s="215">
        <v>45015</v>
      </c>
      <c r="P129" s="104">
        <v>833480</v>
      </c>
      <c r="Q129" s="104">
        <v>6572</v>
      </c>
      <c r="R129" s="104">
        <v>840052</v>
      </c>
      <c r="S129" s="104">
        <v>99.22</v>
      </c>
      <c r="T129" s="71">
        <f>R129/1000000</f>
        <v>0.84005200000000002</v>
      </c>
      <c r="V129" s="215">
        <v>45015</v>
      </c>
      <c r="W129" s="104">
        <v>900728</v>
      </c>
      <c r="X129" s="104">
        <v>126</v>
      </c>
      <c r="Y129" s="104">
        <v>900854</v>
      </c>
      <c r="Z129" s="104">
        <v>99.99</v>
      </c>
      <c r="AA129" s="71">
        <f t="shared" si="61"/>
        <v>0.90085400000000004</v>
      </c>
      <c r="AC129" s="215">
        <v>45015</v>
      </c>
      <c r="AD129" s="104">
        <v>603616</v>
      </c>
      <c r="AE129" s="104">
        <v>262</v>
      </c>
      <c r="AF129" s="104">
        <v>603878</v>
      </c>
      <c r="AG129" s="104">
        <v>99.96</v>
      </c>
      <c r="AH129" s="71">
        <f>AF129/1000000</f>
        <v>0.60387800000000003</v>
      </c>
      <c r="AJ129" s="215">
        <v>45015</v>
      </c>
      <c r="AK129" s="104">
        <v>603616</v>
      </c>
      <c r="AL129" s="104">
        <v>262</v>
      </c>
      <c r="AM129" s="104">
        <v>603878</v>
      </c>
      <c r="AN129" s="104">
        <v>99.96</v>
      </c>
      <c r="AO129" s="246">
        <f t="shared" si="62"/>
        <v>0.60387800000000003</v>
      </c>
      <c r="AQ129" s="215">
        <v>45015</v>
      </c>
      <c r="AR129" s="104">
        <v>603616</v>
      </c>
      <c r="AS129" s="104">
        <v>262</v>
      </c>
      <c r="AT129" s="104">
        <v>603878</v>
      </c>
      <c r="AU129" s="104">
        <v>99.96</v>
      </c>
      <c r="AV129" s="246">
        <f>AT129/1000000</f>
        <v>0.60387800000000003</v>
      </c>
      <c r="AX129" s="215">
        <v>45015</v>
      </c>
      <c r="AY129" s="104">
        <v>603616</v>
      </c>
      <c r="AZ129" s="104">
        <v>262</v>
      </c>
      <c r="BA129" s="104">
        <v>603878</v>
      </c>
      <c r="BB129" s="104">
        <v>99.96</v>
      </c>
      <c r="BC129" s="246">
        <f>BA129/1000000</f>
        <v>0.60387800000000003</v>
      </c>
      <c r="BE129" s="215">
        <v>45015</v>
      </c>
      <c r="BF129" s="104">
        <v>603616</v>
      </c>
      <c r="BG129" s="104">
        <v>262</v>
      </c>
      <c r="BH129" s="104">
        <v>603878</v>
      </c>
      <c r="BI129" s="104">
        <v>99.96</v>
      </c>
      <c r="BJ129" s="71">
        <f>BH129/1000000</f>
        <v>0.60387800000000003</v>
      </c>
      <c r="BL129" s="1"/>
      <c r="BM129" s="1"/>
      <c r="BN129" s="1"/>
      <c r="BO129" s="1"/>
      <c r="BP129" s="1"/>
      <c r="BQ129" s="247"/>
      <c r="BS129" s="48"/>
      <c r="BT129" s="48"/>
      <c r="BU129" s="48"/>
      <c r="BV129" s="48"/>
      <c r="BW129" s="48"/>
      <c r="BZ129" s="1"/>
      <c r="CA129" s="1"/>
      <c r="CB129" s="1"/>
      <c r="CC129" s="1"/>
      <c r="CE129" s="215">
        <v>45015</v>
      </c>
      <c r="CF129" s="1">
        <v>11108136</v>
      </c>
      <c r="CG129" s="1">
        <v>23960</v>
      </c>
      <c r="CH129" s="1">
        <v>11132096</v>
      </c>
      <c r="CI129" s="71">
        <f t="shared" si="60"/>
        <v>99.784766498600078</v>
      </c>
      <c r="CJ129" s="71">
        <f t="shared" si="66"/>
        <v>11.132096000000001</v>
      </c>
      <c r="CL129" s="140">
        <v>44942</v>
      </c>
      <c r="CM129" t="s">
        <v>241</v>
      </c>
      <c r="CN129">
        <v>698</v>
      </c>
    </row>
    <row r="130" spans="1:92" hidden="1" x14ac:dyDescent="0.25">
      <c r="A130" s="215">
        <v>45016</v>
      </c>
      <c r="B130" s="104">
        <v>5673505</v>
      </c>
      <c r="C130" s="104">
        <v>2922</v>
      </c>
      <c r="D130" s="104">
        <v>5676427</v>
      </c>
      <c r="E130" s="104">
        <v>99.95</v>
      </c>
      <c r="F130" s="71">
        <f t="shared" si="39"/>
        <v>5.6764270000000003</v>
      </c>
      <c r="H130" s="215">
        <v>45016</v>
      </c>
      <c r="I130" s="104">
        <v>1972848</v>
      </c>
      <c r="J130" s="104">
        <v>4414</v>
      </c>
      <c r="K130" s="104">
        <v>1977262</v>
      </c>
      <c r="L130" s="104">
        <v>99.78</v>
      </c>
      <c r="M130" s="71">
        <f t="shared" si="40"/>
        <v>1.9772620000000001</v>
      </c>
      <c r="O130" s="215">
        <v>45016</v>
      </c>
      <c r="P130" s="104">
        <v>769721</v>
      </c>
      <c r="Q130" s="104">
        <v>6058</v>
      </c>
      <c r="R130" s="104">
        <v>775779</v>
      </c>
      <c r="S130" s="104">
        <v>99.22</v>
      </c>
      <c r="T130" s="71">
        <f t="shared" ref="T130:T193" si="67">R130/1000000</f>
        <v>0.775779</v>
      </c>
      <c r="V130" s="215">
        <v>45016</v>
      </c>
      <c r="W130" s="104">
        <v>904918</v>
      </c>
      <c r="X130" s="104">
        <v>149</v>
      </c>
      <c r="Y130" s="104">
        <v>905067</v>
      </c>
      <c r="Z130" s="104">
        <v>99.98</v>
      </c>
      <c r="AA130" s="71">
        <f t="shared" si="61"/>
        <v>0.90506699999999995</v>
      </c>
      <c r="AC130" s="215">
        <v>45016</v>
      </c>
      <c r="AD130" s="104">
        <v>591691</v>
      </c>
      <c r="AE130" s="104">
        <v>274</v>
      </c>
      <c r="AF130" s="104">
        <v>591965</v>
      </c>
      <c r="AG130" s="104">
        <v>99.95</v>
      </c>
      <c r="AH130" s="71">
        <f t="shared" ref="AH130:AH193" si="68">AF130/1000000</f>
        <v>0.59196499999999996</v>
      </c>
      <c r="AJ130" s="215">
        <v>45016</v>
      </c>
      <c r="AK130" s="104">
        <v>591691</v>
      </c>
      <c r="AL130" s="104">
        <v>274</v>
      </c>
      <c r="AM130" s="104">
        <v>591965</v>
      </c>
      <c r="AN130" s="104">
        <v>99.95</v>
      </c>
      <c r="AO130" s="246">
        <f t="shared" si="62"/>
        <v>0.59196499999999996</v>
      </c>
      <c r="AQ130" s="215">
        <v>45016</v>
      </c>
      <c r="AR130" s="104">
        <v>591691</v>
      </c>
      <c r="AS130" s="104">
        <v>274</v>
      </c>
      <c r="AT130" s="104">
        <v>591965</v>
      </c>
      <c r="AU130" s="104">
        <v>99.95</v>
      </c>
      <c r="AV130" s="246">
        <f t="shared" ref="AV130:AV175" si="69">AT130/1000000</f>
        <v>0.59196499999999996</v>
      </c>
      <c r="AX130" s="215">
        <v>45016</v>
      </c>
      <c r="AY130" s="104">
        <v>591691</v>
      </c>
      <c r="AZ130" s="104">
        <v>274</v>
      </c>
      <c r="BA130" s="104">
        <v>591965</v>
      </c>
      <c r="BB130" s="104">
        <v>99.95</v>
      </c>
      <c r="BC130" s="246">
        <f t="shared" ref="BC130:BC170" si="70">BA130/1000000</f>
        <v>0.59196499999999996</v>
      </c>
      <c r="BE130" s="215">
        <v>45016</v>
      </c>
      <c r="BF130" s="104">
        <v>591691</v>
      </c>
      <c r="BG130" s="104">
        <v>274</v>
      </c>
      <c r="BH130" s="104">
        <v>591965</v>
      </c>
      <c r="BI130" s="104">
        <v>99.95</v>
      </c>
      <c r="BJ130" s="71">
        <f t="shared" ref="BJ130:BJ193" si="71">BH130/1000000</f>
        <v>0.59196499999999996</v>
      </c>
      <c r="BL130" s="1"/>
      <c r="BM130" s="1"/>
      <c r="BN130" s="1"/>
      <c r="BO130" s="1"/>
      <c r="BP130" s="1"/>
      <c r="BQ130" s="247"/>
      <c r="BS130" s="48"/>
      <c r="BT130" s="48"/>
      <c r="BU130" s="48"/>
      <c r="BV130" s="48"/>
      <c r="BW130" s="48"/>
      <c r="BZ130" s="1"/>
      <c r="CA130" s="1"/>
      <c r="CB130" s="1"/>
      <c r="CC130" s="1"/>
      <c r="CE130" s="215">
        <v>45016</v>
      </c>
      <c r="CF130" s="1">
        <v>11233902</v>
      </c>
      <c r="CG130" s="1">
        <v>19751</v>
      </c>
      <c r="CH130" s="1">
        <v>11253653</v>
      </c>
      <c r="CI130" s="71">
        <f t="shared" si="60"/>
        <v>99.824492544776348</v>
      </c>
      <c r="CJ130" s="71">
        <f t="shared" si="66"/>
        <v>11.253653</v>
      </c>
      <c r="CL130" s="140">
        <v>44943</v>
      </c>
      <c r="CM130" t="s">
        <v>238</v>
      </c>
      <c r="CN130">
        <v>7285</v>
      </c>
    </row>
    <row r="131" spans="1:92" hidden="1" x14ac:dyDescent="0.25">
      <c r="A131" s="215">
        <v>45017</v>
      </c>
      <c r="B131" s="104">
        <v>5768588</v>
      </c>
      <c r="C131" s="104">
        <v>1760</v>
      </c>
      <c r="D131" s="104">
        <v>5770348</v>
      </c>
      <c r="E131" s="104">
        <v>99.97</v>
      </c>
      <c r="F131" s="71">
        <f t="shared" si="39"/>
        <v>5.7703480000000003</v>
      </c>
      <c r="H131" s="215">
        <v>45017</v>
      </c>
      <c r="I131" s="104">
        <v>2074352</v>
      </c>
      <c r="J131" s="104">
        <v>4004</v>
      </c>
      <c r="K131" s="104">
        <v>2078356</v>
      </c>
      <c r="L131" s="104">
        <v>99.81</v>
      </c>
      <c r="M131" s="71">
        <f t="shared" si="40"/>
        <v>2.0783559999999999</v>
      </c>
      <c r="O131" s="215">
        <v>45017</v>
      </c>
      <c r="P131" s="104">
        <v>859682</v>
      </c>
      <c r="Q131" s="104">
        <v>4774</v>
      </c>
      <c r="R131" s="104">
        <v>864456</v>
      </c>
      <c r="S131" s="104">
        <v>99.45</v>
      </c>
      <c r="T131" s="71">
        <f t="shared" si="67"/>
        <v>0.864456</v>
      </c>
      <c r="V131" s="215">
        <v>45017</v>
      </c>
      <c r="W131" s="104">
        <v>959698</v>
      </c>
      <c r="X131" s="104">
        <v>176</v>
      </c>
      <c r="Y131" s="104">
        <v>959874</v>
      </c>
      <c r="Z131" s="104">
        <v>99.98</v>
      </c>
      <c r="AA131" s="71">
        <f t="shared" si="61"/>
        <v>0.959874</v>
      </c>
      <c r="AC131" s="215">
        <v>45017</v>
      </c>
      <c r="AD131" s="104">
        <v>625898</v>
      </c>
      <c r="AE131" s="104">
        <v>1996</v>
      </c>
      <c r="AF131" s="104">
        <v>627894</v>
      </c>
      <c r="AG131" s="104">
        <v>99.68</v>
      </c>
      <c r="AH131" s="71">
        <f t="shared" si="68"/>
        <v>0.62789399999999995</v>
      </c>
      <c r="AJ131" s="215">
        <v>45017</v>
      </c>
      <c r="AK131" s="104">
        <v>625898</v>
      </c>
      <c r="AL131" s="104">
        <v>1996</v>
      </c>
      <c r="AM131" s="104">
        <v>627894</v>
      </c>
      <c r="AN131" s="104">
        <v>99.68</v>
      </c>
      <c r="AO131" s="246">
        <f t="shared" si="62"/>
        <v>0.62789399999999995</v>
      </c>
      <c r="AQ131" s="215">
        <v>45017</v>
      </c>
      <c r="AR131" s="104">
        <v>625898</v>
      </c>
      <c r="AS131" s="104">
        <v>1996</v>
      </c>
      <c r="AT131" s="104">
        <v>627894</v>
      </c>
      <c r="AU131" s="104">
        <v>99.68</v>
      </c>
      <c r="AV131" s="246">
        <f t="shared" si="69"/>
        <v>0.62789399999999995</v>
      </c>
      <c r="AX131" s="215">
        <v>45017</v>
      </c>
      <c r="AY131" s="104">
        <v>625898</v>
      </c>
      <c r="AZ131" s="104">
        <v>1996</v>
      </c>
      <c r="BA131" s="104">
        <v>627894</v>
      </c>
      <c r="BB131" s="104">
        <v>99.68</v>
      </c>
      <c r="BC131" s="246">
        <f t="shared" si="70"/>
        <v>0.62789399999999995</v>
      </c>
      <c r="BE131" s="215">
        <v>45017</v>
      </c>
      <c r="BF131" s="104">
        <v>625898</v>
      </c>
      <c r="BG131" s="104">
        <v>1996</v>
      </c>
      <c r="BH131" s="104">
        <v>627894</v>
      </c>
      <c r="BI131" s="104">
        <v>99.68</v>
      </c>
      <c r="BJ131" s="71">
        <f t="shared" si="71"/>
        <v>0.62789399999999995</v>
      </c>
      <c r="BL131" s="1"/>
      <c r="BM131" s="1"/>
      <c r="BN131" s="1"/>
      <c r="BO131" s="1"/>
      <c r="BP131" s="1"/>
      <c r="BQ131" s="247"/>
      <c r="BS131" s="48"/>
      <c r="BT131" s="48"/>
      <c r="BU131" s="48"/>
      <c r="BV131" s="48"/>
      <c r="BW131" s="48"/>
      <c r="BZ131" s="1"/>
      <c r="CA131" s="1"/>
      <c r="CB131" s="1"/>
      <c r="CC131" s="1"/>
      <c r="CE131" s="215">
        <v>45017</v>
      </c>
      <c r="CF131" s="1">
        <v>11691404</v>
      </c>
      <c r="CG131" s="1">
        <v>21112</v>
      </c>
      <c r="CH131" s="1">
        <v>11712516</v>
      </c>
      <c r="CI131" s="71">
        <f t="shared" si="60"/>
        <v>99.819748378572115</v>
      </c>
      <c r="CJ131" s="71">
        <f t="shared" si="66"/>
        <v>11.712516000000001</v>
      </c>
      <c r="CL131" s="140">
        <v>44943</v>
      </c>
      <c r="CM131" t="s">
        <v>237</v>
      </c>
      <c r="CN131">
        <v>3243</v>
      </c>
    </row>
    <row r="132" spans="1:92" hidden="1" x14ac:dyDescent="0.25">
      <c r="A132" s="215">
        <v>45018</v>
      </c>
      <c r="B132" s="104">
        <v>4662806</v>
      </c>
      <c r="C132" s="104">
        <v>1518</v>
      </c>
      <c r="D132" s="104">
        <v>4664324</v>
      </c>
      <c r="E132" s="104">
        <v>99.97</v>
      </c>
      <c r="F132" s="71">
        <f t="shared" si="39"/>
        <v>4.6643239999999997</v>
      </c>
      <c r="H132" s="215">
        <v>45018</v>
      </c>
      <c r="I132" s="104">
        <v>1936764</v>
      </c>
      <c r="J132" s="104">
        <v>3938</v>
      </c>
      <c r="K132" s="104">
        <v>1940702</v>
      </c>
      <c r="L132" s="104">
        <v>99.8</v>
      </c>
      <c r="M132" s="71">
        <f t="shared" si="40"/>
        <v>1.9407019999999999</v>
      </c>
      <c r="O132" s="215">
        <v>45018</v>
      </c>
      <c r="P132" s="104">
        <v>843884</v>
      </c>
      <c r="Q132" s="104">
        <v>5786</v>
      </c>
      <c r="R132" s="104">
        <v>849670</v>
      </c>
      <c r="S132" s="104">
        <v>99.32</v>
      </c>
      <c r="T132" s="71">
        <f t="shared" si="67"/>
        <v>0.84967000000000004</v>
      </c>
      <c r="V132" s="215">
        <v>45018</v>
      </c>
      <c r="W132" s="104">
        <v>871118</v>
      </c>
      <c r="X132" s="104">
        <v>142</v>
      </c>
      <c r="Y132" s="104">
        <v>871260</v>
      </c>
      <c r="Z132" s="104">
        <v>99.98</v>
      </c>
      <c r="AA132" s="71">
        <f t="shared" si="61"/>
        <v>0.87126000000000003</v>
      </c>
      <c r="AC132" s="215">
        <v>45018</v>
      </c>
      <c r="AD132" s="104">
        <v>567506</v>
      </c>
      <c r="AE132" s="104">
        <v>1356</v>
      </c>
      <c r="AF132" s="104">
        <v>568862</v>
      </c>
      <c r="AG132" s="104">
        <v>99.76</v>
      </c>
      <c r="AH132" s="71">
        <f t="shared" si="68"/>
        <v>0.56886199999999998</v>
      </c>
      <c r="AJ132" s="215">
        <v>45018</v>
      </c>
      <c r="AK132" s="104">
        <v>567506</v>
      </c>
      <c r="AL132" s="104">
        <v>1356</v>
      </c>
      <c r="AM132" s="104">
        <v>568862</v>
      </c>
      <c r="AN132" s="104">
        <v>99.76</v>
      </c>
      <c r="AO132" s="246">
        <f t="shared" si="62"/>
        <v>0.56886199999999998</v>
      </c>
      <c r="AQ132" s="215">
        <v>45018</v>
      </c>
      <c r="AR132" s="104">
        <v>567506</v>
      </c>
      <c r="AS132" s="104">
        <v>1356</v>
      </c>
      <c r="AT132" s="104">
        <v>568862</v>
      </c>
      <c r="AU132" s="104">
        <v>99.76</v>
      </c>
      <c r="AV132" s="246">
        <f t="shared" si="69"/>
        <v>0.56886199999999998</v>
      </c>
      <c r="AX132" s="215">
        <v>45018</v>
      </c>
      <c r="AY132" s="104">
        <v>567506</v>
      </c>
      <c r="AZ132" s="104">
        <v>1356</v>
      </c>
      <c r="BA132" s="104">
        <v>568862</v>
      </c>
      <c r="BB132" s="104">
        <v>99.76</v>
      </c>
      <c r="BC132" s="246">
        <f t="shared" si="70"/>
        <v>0.56886199999999998</v>
      </c>
      <c r="BE132" s="215">
        <v>45018</v>
      </c>
      <c r="BF132" s="104">
        <v>567506</v>
      </c>
      <c r="BG132" s="104">
        <v>1356</v>
      </c>
      <c r="BH132" s="104">
        <v>568862</v>
      </c>
      <c r="BI132" s="104">
        <v>99.76</v>
      </c>
      <c r="BJ132" s="71">
        <f t="shared" si="71"/>
        <v>0.56886199999999998</v>
      </c>
      <c r="BL132" s="1"/>
      <c r="BM132" s="1"/>
      <c r="BN132" s="1"/>
      <c r="BO132" s="1"/>
      <c r="BP132" s="1"/>
      <c r="BQ132" s="247"/>
      <c r="BS132" s="48"/>
      <c r="BT132" s="48"/>
      <c r="BU132" s="48"/>
      <c r="BV132" s="48"/>
      <c r="BW132" s="48"/>
      <c r="BZ132" s="1"/>
      <c r="CA132" s="1"/>
      <c r="CB132" s="1"/>
      <c r="CC132" s="1"/>
      <c r="CE132" s="215">
        <v>45018</v>
      </c>
      <c r="CF132" s="1">
        <v>10132474</v>
      </c>
      <c r="CG132" s="1">
        <v>19512</v>
      </c>
      <c r="CH132" s="1">
        <v>10151986</v>
      </c>
      <c r="CI132" s="71">
        <f t="shared" si="60"/>
        <v>99.807801153390088</v>
      </c>
      <c r="CJ132" s="71">
        <f t="shared" si="66"/>
        <v>10.151986000000001</v>
      </c>
      <c r="CL132" s="140">
        <v>44943</v>
      </c>
      <c r="CM132" t="s">
        <v>240</v>
      </c>
      <c r="CN132">
        <v>2106</v>
      </c>
    </row>
    <row r="133" spans="1:92" hidden="1" x14ac:dyDescent="0.25">
      <c r="A133" s="215">
        <v>45019</v>
      </c>
      <c r="B133" s="104">
        <v>5476120</v>
      </c>
      <c r="C133" s="104">
        <v>3134</v>
      </c>
      <c r="D133" s="104">
        <v>5479254</v>
      </c>
      <c r="E133" s="104">
        <v>99.94</v>
      </c>
      <c r="F133" s="71">
        <f t="shared" si="39"/>
        <v>5.4792540000000001</v>
      </c>
      <c r="H133" s="215">
        <v>45019</v>
      </c>
      <c r="I133" s="104">
        <v>2049380</v>
      </c>
      <c r="J133" s="104">
        <v>5012</v>
      </c>
      <c r="K133" s="104">
        <v>2054392</v>
      </c>
      <c r="L133" s="104">
        <v>99.76</v>
      </c>
      <c r="M133" s="71">
        <f t="shared" si="40"/>
        <v>2.054392</v>
      </c>
      <c r="O133" s="215">
        <v>45019</v>
      </c>
      <c r="P133" s="104">
        <v>770688</v>
      </c>
      <c r="Q133" s="104">
        <v>6324</v>
      </c>
      <c r="R133" s="104">
        <v>777012</v>
      </c>
      <c r="S133" s="104">
        <v>99.19</v>
      </c>
      <c r="T133" s="71">
        <f t="shared" si="67"/>
        <v>0.77701200000000004</v>
      </c>
      <c r="V133" s="215">
        <v>45019</v>
      </c>
      <c r="W133" s="104">
        <v>959304</v>
      </c>
      <c r="X133" s="104">
        <v>170</v>
      </c>
      <c r="Y133" s="104">
        <v>959474</v>
      </c>
      <c r="Z133" s="104">
        <v>99.98</v>
      </c>
      <c r="AA133" s="71">
        <f t="shared" si="61"/>
        <v>0.95947400000000005</v>
      </c>
      <c r="AC133" s="215">
        <v>45019</v>
      </c>
      <c r="AD133" s="104">
        <v>568280</v>
      </c>
      <c r="AE133" s="104">
        <v>250</v>
      </c>
      <c r="AF133" s="104">
        <v>568530</v>
      </c>
      <c r="AG133" s="104">
        <v>99.96</v>
      </c>
      <c r="AH133" s="71">
        <f t="shared" si="68"/>
        <v>0.56852999999999998</v>
      </c>
      <c r="AJ133" s="215">
        <v>45019</v>
      </c>
      <c r="AK133" s="104">
        <v>568280</v>
      </c>
      <c r="AL133" s="104">
        <v>250</v>
      </c>
      <c r="AM133" s="104">
        <v>568530</v>
      </c>
      <c r="AN133" s="104">
        <v>99.96</v>
      </c>
      <c r="AO133" s="246">
        <f t="shared" si="62"/>
        <v>0.56852999999999998</v>
      </c>
      <c r="AQ133" s="215">
        <v>45019</v>
      </c>
      <c r="AR133" s="104">
        <v>568280</v>
      </c>
      <c r="AS133" s="104">
        <v>250</v>
      </c>
      <c r="AT133" s="104">
        <v>568530</v>
      </c>
      <c r="AU133" s="104">
        <v>99.96</v>
      </c>
      <c r="AV133" s="246">
        <f t="shared" si="69"/>
        <v>0.56852999999999998</v>
      </c>
      <c r="AX133" s="215">
        <v>45019</v>
      </c>
      <c r="AY133" s="104">
        <v>568280</v>
      </c>
      <c r="AZ133" s="104">
        <v>250</v>
      </c>
      <c r="BA133" s="104">
        <v>568530</v>
      </c>
      <c r="BB133" s="104">
        <v>99.96</v>
      </c>
      <c r="BC133" s="246">
        <f t="shared" si="70"/>
        <v>0.56852999999999998</v>
      </c>
      <c r="BE133" s="215">
        <v>45019</v>
      </c>
      <c r="BF133" s="104">
        <v>568280</v>
      </c>
      <c r="BG133" s="104">
        <v>250</v>
      </c>
      <c r="BH133" s="104">
        <v>568530</v>
      </c>
      <c r="BI133" s="104">
        <v>99.96</v>
      </c>
      <c r="BJ133" s="71">
        <f t="shared" si="71"/>
        <v>0.56852999999999998</v>
      </c>
      <c r="BL133" s="1"/>
      <c r="BM133" s="1"/>
      <c r="BN133" s="1"/>
      <c r="BO133" s="1"/>
      <c r="BP133" s="1"/>
      <c r="BQ133" s="247"/>
      <c r="BS133" s="48"/>
      <c r="BT133" s="48"/>
      <c r="BU133" s="48"/>
      <c r="BV133" s="48"/>
      <c r="BW133" s="48"/>
      <c r="BZ133" s="1"/>
      <c r="CA133" s="1"/>
      <c r="CB133" s="1"/>
      <c r="CC133" s="1"/>
      <c r="CE133" s="215">
        <v>45019</v>
      </c>
      <c r="CF133" s="1">
        <v>11116432</v>
      </c>
      <c r="CG133" s="1">
        <v>21484</v>
      </c>
      <c r="CH133" s="1">
        <v>11137916</v>
      </c>
      <c r="CI133" s="71">
        <f t="shared" si="60"/>
        <v>99.807109337150678</v>
      </c>
      <c r="CJ133" s="71">
        <f t="shared" si="66"/>
        <v>11.137916000000001</v>
      </c>
      <c r="CL133" s="140">
        <v>44943</v>
      </c>
      <c r="CM133" t="s">
        <v>241</v>
      </c>
      <c r="CN133">
        <v>688</v>
      </c>
    </row>
    <row r="134" spans="1:92" hidden="1" x14ac:dyDescent="0.25">
      <c r="A134" s="215">
        <v>45020</v>
      </c>
      <c r="B134" s="104">
        <v>5547216</v>
      </c>
      <c r="C134" s="104">
        <v>2156</v>
      </c>
      <c r="D134" s="104">
        <v>5549372</v>
      </c>
      <c r="E134" s="104">
        <v>99.96</v>
      </c>
      <c r="F134" s="71">
        <f t="shared" si="39"/>
        <v>5.549372</v>
      </c>
      <c r="H134" s="215">
        <v>45020</v>
      </c>
      <c r="I134" s="104">
        <v>2070620</v>
      </c>
      <c r="J134" s="104">
        <v>5598</v>
      </c>
      <c r="K134" s="104">
        <v>2076218</v>
      </c>
      <c r="L134" s="104">
        <v>99.73</v>
      </c>
      <c r="M134" s="71">
        <f t="shared" si="40"/>
        <v>2.0762179999999999</v>
      </c>
      <c r="O134" s="215">
        <v>45020</v>
      </c>
      <c r="P134" s="104">
        <v>724266</v>
      </c>
      <c r="Q134" s="104">
        <v>6690</v>
      </c>
      <c r="R134" s="104">
        <v>730956</v>
      </c>
      <c r="S134" s="104">
        <v>99.08</v>
      </c>
      <c r="T134" s="71">
        <f t="shared" si="67"/>
        <v>0.73095600000000005</v>
      </c>
      <c r="V134" s="215">
        <v>45020</v>
      </c>
      <c r="W134" s="104">
        <v>942452</v>
      </c>
      <c r="X134" s="104">
        <v>152</v>
      </c>
      <c r="Y134" s="104">
        <v>942604</v>
      </c>
      <c r="Z134" s="104">
        <v>99.98</v>
      </c>
      <c r="AA134" s="71">
        <f t="shared" si="61"/>
        <v>0.942604</v>
      </c>
      <c r="AC134" s="215">
        <v>45020</v>
      </c>
      <c r="AD134" s="104">
        <v>601628</v>
      </c>
      <c r="AE134" s="104">
        <v>428</v>
      </c>
      <c r="AF134" s="104">
        <v>602056</v>
      </c>
      <c r="AG134" s="104">
        <v>99.93</v>
      </c>
      <c r="AH134" s="71">
        <f t="shared" si="68"/>
        <v>0.60205600000000004</v>
      </c>
      <c r="AJ134" s="215">
        <v>45020</v>
      </c>
      <c r="AK134" s="104">
        <v>68</v>
      </c>
      <c r="AL134" s="104">
        <v>0</v>
      </c>
      <c r="AM134" s="104">
        <v>68</v>
      </c>
      <c r="AN134" s="104">
        <v>100</v>
      </c>
      <c r="AO134" s="246">
        <f t="shared" si="62"/>
        <v>6.7999999999999999E-5</v>
      </c>
      <c r="AQ134" s="215">
        <v>45020</v>
      </c>
      <c r="AR134" s="104">
        <v>592</v>
      </c>
      <c r="AS134" s="104">
        <v>58</v>
      </c>
      <c r="AT134" s="104">
        <v>650</v>
      </c>
      <c r="AU134" s="104">
        <v>91.08</v>
      </c>
      <c r="AV134" s="246">
        <f t="shared" si="69"/>
        <v>6.4999999999999997E-4</v>
      </c>
      <c r="AX134" s="215">
        <v>45020</v>
      </c>
      <c r="AY134" s="104">
        <v>1826</v>
      </c>
      <c r="AZ134" s="104">
        <v>46</v>
      </c>
      <c r="BA134" s="104">
        <v>1872</v>
      </c>
      <c r="BB134" s="104">
        <v>97.54</v>
      </c>
      <c r="BC134" s="246">
        <f t="shared" si="70"/>
        <v>1.872E-3</v>
      </c>
      <c r="BE134" s="215">
        <v>45020</v>
      </c>
      <c r="BF134" s="1">
        <v>1086</v>
      </c>
      <c r="BG134" s="104">
        <v>482</v>
      </c>
      <c r="BH134" s="104">
        <v>1568</v>
      </c>
      <c r="BI134" s="104">
        <v>69.260000000000005</v>
      </c>
      <c r="BJ134" s="71">
        <f t="shared" si="71"/>
        <v>1.5679999999999999E-3</v>
      </c>
      <c r="BL134" s="1"/>
      <c r="BM134" s="1"/>
      <c r="BN134" s="1"/>
      <c r="BO134" s="1"/>
      <c r="BP134" s="1"/>
      <c r="BQ134" s="247"/>
      <c r="BS134" s="48"/>
      <c r="BT134" s="48"/>
      <c r="BU134" s="48"/>
      <c r="BV134" s="48"/>
      <c r="BW134" s="48"/>
      <c r="BZ134" s="1"/>
      <c r="CA134" s="1"/>
      <c r="CB134" s="1"/>
      <c r="CC134" s="1"/>
      <c r="CE134" s="215">
        <v>45020</v>
      </c>
      <c r="CF134" s="1">
        <v>11171104</v>
      </c>
      <c r="CG134" s="1">
        <v>20098</v>
      </c>
      <c r="CH134" s="1">
        <v>11191202</v>
      </c>
      <c r="CI134" s="71">
        <f t="shared" si="60"/>
        <v>99.820412499032713</v>
      </c>
      <c r="CJ134" s="71">
        <f t="shared" si="66"/>
        <v>11.191202000000001</v>
      </c>
      <c r="CL134" s="140">
        <v>44943</v>
      </c>
      <c r="CM134" t="s">
        <v>239</v>
      </c>
      <c r="CN134">
        <v>680</v>
      </c>
    </row>
    <row r="135" spans="1:92" hidden="1" x14ac:dyDescent="0.25">
      <c r="A135" s="215">
        <v>45021</v>
      </c>
      <c r="B135" s="104">
        <v>5874694</v>
      </c>
      <c r="C135" s="104">
        <v>1150</v>
      </c>
      <c r="D135" s="104">
        <v>5875844</v>
      </c>
      <c r="E135" s="104">
        <v>99.98</v>
      </c>
      <c r="F135" s="71">
        <f t="shared" si="39"/>
        <v>5.8758439999999998</v>
      </c>
      <c r="H135" s="215">
        <v>45021</v>
      </c>
      <c r="I135" s="104">
        <v>1868650</v>
      </c>
      <c r="J135" s="104">
        <v>5554</v>
      </c>
      <c r="K135" s="104">
        <v>1874204</v>
      </c>
      <c r="L135" s="104">
        <v>99.7</v>
      </c>
      <c r="M135" s="71">
        <f t="shared" si="40"/>
        <v>1.874204</v>
      </c>
      <c r="O135" s="215">
        <v>45021</v>
      </c>
      <c r="P135" s="104">
        <v>716966</v>
      </c>
      <c r="Q135" s="104">
        <v>5544</v>
      </c>
      <c r="R135" s="104">
        <v>722510</v>
      </c>
      <c r="S135" s="104">
        <v>99.23</v>
      </c>
      <c r="T135" s="71">
        <f t="shared" si="67"/>
        <v>0.72250999999999999</v>
      </c>
      <c r="V135" s="215">
        <v>45021</v>
      </c>
      <c r="W135" s="104">
        <v>918246</v>
      </c>
      <c r="X135" s="104">
        <v>162</v>
      </c>
      <c r="Y135" s="104">
        <v>918408</v>
      </c>
      <c r="Z135" s="104">
        <v>99.98</v>
      </c>
      <c r="AA135" s="71">
        <f t="shared" si="61"/>
        <v>0.918408</v>
      </c>
      <c r="AC135" s="215">
        <v>45021</v>
      </c>
      <c r="AD135" s="104">
        <v>625040</v>
      </c>
      <c r="AE135" s="104">
        <v>522</v>
      </c>
      <c r="AF135" s="104">
        <v>625562</v>
      </c>
      <c r="AG135" s="104">
        <v>99.92</v>
      </c>
      <c r="AH135" s="71">
        <f t="shared" si="68"/>
        <v>0.62556199999999995</v>
      </c>
      <c r="AJ135" s="215">
        <v>45021</v>
      </c>
      <c r="AK135" s="104">
        <v>132</v>
      </c>
      <c r="AL135" s="104">
        <v>0</v>
      </c>
      <c r="AM135" s="104">
        <v>132</v>
      </c>
      <c r="AN135" s="104">
        <v>100</v>
      </c>
      <c r="AO135" s="246">
        <f t="shared" si="62"/>
        <v>1.3200000000000001E-4</v>
      </c>
      <c r="AQ135" s="215">
        <v>45021</v>
      </c>
      <c r="AR135" s="104">
        <v>764</v>
      </c>
      <c r="AS135" s="104">
        <v>96</v>
      </c>
      <c r="AT135" s="104">
        <v>860</v>
      </c>
      <c r="AU135" s="104">
        <v>88.84</v>
      </c>
      <c r="AV135" s="246">
        <f t="shared" si="69"/>
        <v>8.5999999999999998E-4</v>
      </c>
      <c r="AX135" s="215">
        <v>45021</v>
      </c>
      <c r="AY135" s="104">
        <v>1894</v>
      </c>
      <c r="AZ135" s="104">
        <v>60</v>
      </c>
      <c r="BA135" s="104">
        <v>1954</v>
      </c>
      <c r="BB135" s="104">
        <v>96.93</v>
      </c>
      <c r="BC135" s="246">
        <f t="shared" si="70"/>
        <v>1.954E-3</v>
      </c>
      <c r="BE135" s="215">
        <v>45021</v>
      </c>
      <c r="BF135" s="1">
        <v>2484</v>
      </c>
      <c r="BG135" s="104">
        <v>0</v>
      </c>
      <c r="BH135" s="104">
        <v>2484</v>
      </c>
      <c r="BI135" s="104">
        <v>100</v>
      </c>
      <c r="BJ135" s="71">
        <f t="shared" si="71"/>
        <v>2.4840000000000001E-3</v>
      </c>
      <c r="BL135" s="1"/>
      <c r="BM135" s="1"/>
      <c r="BN135" s="1"/>
      <c r="BO135" s="1"/>
      <c r="BP135" s="1"/>
      <c r="BQ135" s="247"/>
      <c r="BS135" s="48"/>
      <c r="BT135" s="48"/>
      <c r="BU135" s="48"/>
      <c r="BV135" s="48"/>
      <c r="BW135" s="48"/>
      <c r="BZ135" s="1"/>
      <c r="CA135" s="1"/>
      <c r="CB135" s="1"/>
      <c r="CC135" s="1"/>
      <c r="CE135" s="215">
        <v>45021</v>
      </c>
      <c r="CF135" s="1">
        <v>11323994</v>
      </c>
      <c r="CG135" s="1">
        <v>17040</v>
      </c>
      <c r="CH135" s="1">
        <v>11341034</v>
      </c>
      <c r="CI135" s="71">
        <f t="shared" si="60"/>
        <v>99.849749149857061</v>
      </c>
      <c r="CJ135" s="71">
        <f t="shared" si="66"/>
        <v>11.341034000000001</v>
      </c>
      <c r="CL135" s="140">
        <v>44944</v>
      </c>
      <c r="CM135" t="s">
        <v>238</v>
      </c>
      <c r="CN135">
        <v>5444</v>
      </c>
    </row>
    <row r="136" spans="1:92" hidden="1" x14ac:dyDescent="0.25">
      <c r="A136" s="215">
        <v>45022</v>
      </c>
      <c r="B136" s="104">
        <v>6042800</v>
      </c>
      <c r="C136" s="104">
        <v>1562</v>
      </c>
      <c r="D136" s="104">
        <v>6044362</v>
      </c>
      <c r="E136" s="104">
        <v>99.97</v>
      </c>
      <c r="F136" s="71">
        <f t="shared" si="39"/>
        <v>6.0443619999999996</v>
      </c>
      <c r="H136" s="215">
        <v>45022</v>
      </c>
      <c r="I136" s="104">
        <v>2478884</v>
      </c>
      <c r="J136" s="104">
        <v>9730</v>
      </c>
      <c r="K136" s="104">
        <v>2488614</v>
      </c>
      <c r="L136" s="104">
        <v>99.61</v>
      </c>
      <c r="M136" s="71">
        <f t="shared" si="40"/>
        <v>2.4886140000000001</v>
      </c>
      <c r="O136" s="215">
        <v>45022</v>
      </c>
      <c r="P136" s="104">
        <v>703352</v>
      </c>
      <c r="Q136" s="104">
        <v>6070</v>
      </c>
      <c r="R136" s="104">
        <v>709422</v>
      </c>
      <c r="S136" s="104">
        <v>99.14</v>
      </c>
      <c r="T136" s="71">
        <f t="shared" si="67"/>
        <v>0.709422</v>
      </c>
      <c r="V136" s="215">
        <v>45022</v>
      </c>
      <c r="W136" s="104">
        <v>994542</v>
      </c>
      <c r="X136" s="104">
        <v>174</v>
      </c>
      <c r="Y136" s="104">
        <v>994716</v>
      </c>
      <c r="Z136" s="104">
        <v>99.98</v>
      </c>
      <c r="AA136" s="71">
        <f t="shared" si="61"/>
        <v>0.99471600000000004</v>
      </c>
      <c r="AC136" s="215">
        <v>45022</v>
      </c>
      <c r="AD136" s="104">
        <v>645348</v>
      </c>
      <c r="AE136" s="104">
        <v>260</v>
      </c>
      <c r="AF136" s="104">
        <v>645608</v>
      </c>
      <c r="AG136" s="104">
        <v>99.96</v>
      </c>
      <c r="AH136" s="71">
        <f t="shared" si="68"/>
        <v>0.64560799999999996</v>
      </c>
      <c r="AJ136" s="215">
        <v>45022</v>
      </c>
      <c r="AK136" s="104">
        <v>84</v>
      </c>
      <c r="AL136" s="104">
        <v>0</v>
      </c>
      <c r="AM136" s="104">
        <v>84</v>
      </c>
      <c r="AN136" s="104">
        <v>100</v>
      </c>
      <c r="AO136" s="246">
        <f t="shared" si="62"/>
        <v>8.3999999999999995E-5</v>
      </c>
      <c r="AQ136" s="215">
        <v>45022</v>
      </c>
      <c r="AR136" s="104">
        <v>886</v>
      </c>
      <c r="AS136" s="104">
        <v>66</v>
      </c>
      <c r="AT136" s="104">
        <v>952</v>
      </c>
      <c r="AU136" s="104">
        <v>93.07</v>
      </c>
      <c r="AV136" s="246">
        <f t="shared" si="69"/>
        <v>9.5200000000000005E-4</v>
      </c>
      <c r="AX136" s="215">
        <v>45022</v>
      </c>
      <c r="AY136" s="104">
        <v>1486</v>
      </c>
      <c r="AZ136" s="104">
        <v>14</v>
      </c>
      <c r="BA136" s="104">
        <v>1500</v>
      </c>
      <c r="BB136" s="104">
        <v>99.07</v>
      </c>
      <c r="BC136" s="246">
        <f t="shared" si="70"/>
        <v>1.5E-3</v>
      </c>
      <c r="BE136" s="215">
        <v>45022</v>
      </c>
      <c r="BF136" s="1">
        <v>2866</v>
      </c>
      <c r="BG136" s="104">
        <v>0</v>
      </c>
      <c r="BH136" s="104">
        <v>2866</v>
      </c>
      <c r="BI136" s="104">
        <v>100</v>
      </c>
      <c r="BJ136" s="71">
        <f t="shared" si="71"/>
        <v>2.8660000000000001E-3</v>
      </c>
      <c r="BL136" s="1"/>
      <c r="BM136" s="1"/>
      <c r="BN136" s="1"/>
      <c r="BO136" s="1"/>
      <c r="BP136" s="1"/>
      <c r="BQ136" s="247"/>
      <c r="BS136" s="48"/>
      <c r="BT136" s="48"/>
      <c r="BU136" s="48"/>
      <c r="BV136" s="48"/>
      <c r="BW136" s="48"/>
      <c r="BZ136" s="1"/>
      <c r="CA136" s="1"/>
      <c r="CB136" s="1"/>
      <c r="CC136" s="1"/>
      <c r="CE136" s="215">
        <v>45022</v>
      </c>
      <c r="CF136" s="1">
        <v>12499786</v>
      </c>
      <c r="CG136" s="1">
        <v>22000</v>
      </c>
      <c r="CH136" s="1">
        <v>12521786</v>
      </c>
      <c r="CI136" s="71">
        <f t="shared" si="60"/>
        <v>99.824306213187157</v>
      </c>
      <c r="CJ136" s="71">
        <f t="shared" si="66"/>
        <v>12.521786000000001</v>
      </c>
      <c r="CL136" s="140">
        <v>44944</v>
      </c>
      <c r="CM136" t="s">
        <v>237</v>
      </c>
      <c r="CN136">
        <v>3118</v>
      </c>
    </row>
    <row r="137" spans="1:92" hidden="1" x14ac:dyDescent="0.25">
      <c r="A137" s="215">
        <v>45023</v>
      </c>
      <c r="B137" s="104">
        <v>6299738</v>
      </c>
      <c r="C137" s="104">
        <v>2772</v>
      </c>
      <c r="D137" s="104">
        <v>6302510</v>
      </c>
      <c r="E137" s="104">
        <v>99.96</v>
      </c>
      <c r="F137" s="71">
        <f t="shared" si="39"/>
        <v>6.3025099999999998</v>
      </c>
      <c r="H137" s="215">
        <v>45023</v>
      </c>
      <c r="I137" s="104">
        <v>2666124</v>
      </c>
      <c r="J137" s="104">
        <v>5726</v>
      </c>
      <c r="K137" s="104">
        <v>2671850</v>
      </c>
      <c r="L137" s="104">
        <v>99.79</v>
      </c>
      <c r="M137" s="71">
        <f t="shared" si="40"/>
        <v>2.6718500000000001</v>
      </c>
      <c r="O137" s="215">
        <v>45023</v>
      </c>
      <c r="P137" s="104">
        <v>724218</v>
      </c>
      <c r="Q137" s="104">
        <v>6502</v>
      </c>
      <c r="R137" s="104">
        <v>730720</v>
      </c>
      <c r="S137" s="104">
        <v>99.11</v>
      </c>
      <c r="T137" s="71">
        <f t="shared" si="67"/>
        <v>0.73072000000000004</v>
      </c>
      <c r="V137" s="215">
        <v>45023</v>
      </c>
      <c r="W137" s="104">
        <v>1037716</v>
      </c>
      <c r="X137" s="104">
        <v>242</v>
      </c>
      <c r="Y137" s="104">
        <v>1037958</v>
      </c>
      <c r="Z137" s="104">
        <v>99.98</v>
      </c>
      <c r="AA137" s="71">
        <f t="shared" si="61"/>
        <v>1.0379579999999999</v>
      </c>
      <c r="AC137" s="215">
        <v>45023</v>
      </c>
      <c r="AD137" s="104">
        <v>650606</v>
      </c>
      <c r="AE137" s="104">
        <v>298</v>
      </c>
      <c r="AF137" s="104">
        <v>650904</v>
      </c>
      <c r="AG137" s="104">
        <v>99.95</v>
      </c>
      <c r="AH137" s="71">
        <f t="shared" si="68"/>
        <v>0.65090400000000004</v>
      </c>
      <c r="AJ137" s="215">
        <v>45023</v>
      </c>
      <c r="AK137" s="104">
        <v>32</v>
      </c>
      <c r="AL137" s="104">
        <v>0</v>
      </c>
      <c r="AM137" s="104">
        <v>32</v>
      </c>
      <c r="AN137" s="104">
        <v>100</v>
      </c>
      <c r="AO137" s="246">
        <f t="shared" si="62"/>
        <v>3.1999999999999999E-5</v>
      </c>
      <c r="AQ137" s="215">
        <v>45023</v>
      </c>
      <c r="AR137" s="104">
        <v>8082</v>
      </c>
      <c r="AS137" s="104">
        <v>302</v>
      </c>
      <c r="AT137" s="104">
        <v>8384</v>
      </c>
      <c r="AU137" s="104">
        <v>96.4</v>
      </c>
      <c r="AV137" s="246">
        <f t="shared" si="69"/>
        <v>8.3840000000000008E-3</v>
      </c>
      <c r="AX137" s="215">
        <v>45023</v>
      </c>
      <c r="AY137" s="104">
        <v>1614</v>
      </c>
      <c r="AZ137" s="104">
        <v>66</v>
      </c>
      <c r="BA137" s="104">
        <v>1680</v>
      </c>
      <c r="BB137" s="104">
        <v>96.07</v>
      </c>
      <c r="BC137" s="246">
        <f t="shared" si="70"/>
        <v>1.6800000000000001E-3</v>
      </c>
      <c r="BE137" s="215">
        <v>45023</v>
      </c>
      <c r="BF137" s="48">
        <v>3034</v>
      </c>
      <c r="BG137" s="104">
        <v>2</v>
      </c>
      <c r="BH137" s="104">
        <v>3036</v>
      </c>
      <c r="BI137" s="104">
        <v>99.93</v>
      </c>
      <c r="BJ137" s="71">
        <f t="shared" si="71"/>
        <v>3.0360000000000001E-3</v>
      </c>
      <c r="BL137" s="1"/>
      <c r="BM137" s="1"/>
      <c r="BN137" s="1"/>
      <c r="BO137" s="1"/>
      <c r="BP137" s="1"/>
      <c r="BQ137" s="247"/>
      <c r="BS137" s="48"/>
      <c r="BT137" s="48"/>
      <c r="BU137" s="48"/>
      <c r="BV137" s="48"/>
      <c r="BW137" s="48"/>
      <c r="BZ137" s="1"/>
      <c r="CA137" s="1"/>
      <c r="CB137" s="1"/>
      <c r="CC137" s="1"/>
      <c r="CE137" s="215">
        <v>45023</v>
      </c>
      <c r="CF137" s="1">
        <v>13063164</v>
      </c>
      <c r="CG137" s="1">
        <v>20388</v>
      </c>
      <c r="CH137" s="1">
        <v>13083552</v>
      </c>
      <c r="CI137" s="71">
        <f t="shared" si="60"/>
        <v>99.844170757298926</v>
      </c>
      <c r="CJ137" s="71">
        <f t="shared" si="66"/>
        <v>13.083551999999999</v>
      </c>
      <c r="CL137" s="140">
        <v>44944</v>
      </c>
      <c r="CM137" t="s">
        <v>240</v>
      </c>
      <c r="CN137">
        <v>2988</v>
      </c>
    </row>
    <row r="138" spans="1:92" hidden="1" x14ac:dyDescent="0.25">
      <c r="A138" s="215">
        <v>45024</v>
      </c>
      <c r="B138" s="104">
        <v>6298188</v>
      </c>
      <c r="C138" s="104">
        <v>4584</v>
      </c>
      <c r="D138" s="104">
        <v>6302772</v>
      </c>
      <c r="E138" s="104">
        <v>99.93</v>
      </c>
      <c r="F138" s="71">
        <f t="shared" ref="F138:F201" si="72">D138/1000000</f>
        <v>6.302772</v>
      </c>
      <c r="H138" s="215">
        <v>45024</v>
      </c>
      <c r="I138" s="104">
        <v>2597556</v>
      </c>
      <c r="J138" s="104">
        <v>5420</v>
      </c>
      <c r="K138" s="104">
        <v>2602976</v>
      </c>
      <c r="L138" s="104">
        <v>99.79</v>
      </c>
      <c r="M138" s="71">
        <f t="shared" ref="M138:M201" si="73">K138/1000000</f>
        <v>2.602976</v>
      </c>
      <c r="O138" s="215">
        <v>45024</v>
      </c>
      <c r="P138" s="104">
        <v>726132</v>
      </c>
      <c r="Q138" s="104">
        <v>6536</v>
      </c>
      <c r="R138" s="104">
        <v>732668</v>
      </c>
      <c r="S138" s="104">
        <v>99.11</v>
      </c>
      <c r="T138" s="71">
        <f t="shared" si="67"/>
        <v>0.73266799999999999</v>
      </c>
      <c r="V138" s="215">
        <v>45024</v>
      </c>
      <c r="W138" s="104">
        <v>1090096</v>
      </c>
      <c r="X138" s="104">
        <v>578</v>
      </c>
      <c r="Y138" s="104">
        <v>1090674</v>
      </c>
      <c r="Z138" s="104">
        <v>99.95</v>
      </c>
      <c r="AA138" s="71">
        <f t="shared" si="61"/>
        <v>1.0906739999999999</v>
      </c>
      <c r="AC138" s="215">
        <v>45024</v>
      </c>
      <c r="AD138" s="104">
        <v>662862</v>
      </c>
      <c r="AE138" s="104">
        <v>598</v>
      </c>
      <c r="AF138" s="104">
        <v>663460</v>
      </c>
      <c r="AG138" s="104">
        <v>99.91</v>
      </c>
      <c r="AH138" s="71">
        <f t="shared" si="68"/>
        <v>0.66346000000000005</v>
      </c>
      <c r="AJ138" s="215">
        <v>45024</v>
      </c>
      <c r="AK138" s="104">
        <v>38</v>
      </c>
      <c r="AL138" s="104">
        <v>0</v>
      </c>
      <c r="AM138" s="104">
        <v>38</v>
      </c>
      <c r="AN138" s="104">
        <v>100</v>
      </c>
      <c r="AO138" s="246">
        <f t="shared" si="62"/>
        <v>3.8000000000000002E-5</v>
      </c>
      <c r="AQ138" s="215">
        <v>45024</v>
      </c>
      <c r="AR138" s="104">
        <v>1144</v>
      </c>
      <c r="AS138" s="104">
        <v>106</v>
      </c>
      <c r="AT138" s="104">
        <v>1250</v>
      </c>
      <c r="AU138" s="104">
        <v>91.52</v>
      </c>
      <c r="AV138" s="246">
        <f t="shared" si="69"/>
        <v>1.25E-3</v>
      </c>
      <c r="AX138" s="215">
        <v>45024</v>
      </c>
      <c r="AY138" s="104">
        <v>872</v>
      </c>
      <c r="AZ138" s="104">
        <v>32</v>
      </c>
      <c r="BA138" s="104">
        <v>904</v>
      </c>
      <c r="BB138" s="104">
        <v>96.46</v>
      </c>
      <c r="BC138" s="246">
        <f t="shared" si="70"/>
        <v>9.0399999999999996E-4</v>
      </c>
      <c r="BE138" s="215">
        <v>45024</v>
      </c>
      <c r="BF138" s="48">
        <v>2866</v>
      </c>
      <c r="BG138" s="104">
        <v>0</v>
      </c>
      <c r="BH138" s="104">
        <v>2866</v>
      </c>
      <c r="BI138" s="104">
        <v>100</v>
      </c>
      <c r="BJ138" s="71">
        <f t="shared" si="71"/>
        <v>2.8660000000000001E-3</v>
      </c>
      <c r="BL138" s="1"/>
      <c r="BM138" s="1"/>
      <c r="BN138" s="1"/>
      <c r="BO138" s="1"/>
      <c r="BP138" s="1"/>
      <c r="BQ138" s="247"/>
      <c r="BS138" s="48"/>
      <c r="BT138" s="48"/>
      <c r="BU138" s="48"/>
      <c r="BV138" s="48"/>
      <c r="BW138" s="48"/>
      <c r="BZ138" s="1"/>
      <c r="CA138" s="1"/>
      <c r="CB138" s="1"/>
      <c r="CC138" s="1"/>
      <c r="CE138" s="215">
        <v>45024</v>
      </c>
      <c r="CF138" s="1">
        <v>12935248</v>
      </c>
      <c r="CG138" s="1">
        <v>21744</v>
      </c>
      <c r="CH138" s="1">
        <v>12956992</v>
      </c>
      <c r="CI138" s="71">
        <f t="shared" si="60"/>
        <v>99.832183272166873</v>
      </c>
      <c r="CJ138" s="71">
        <f t="shared" si="66"/>
        <v>12.956992</v>
      </c>
      <c r="CL138" s="140">
        <v>44944</v>
      </c>
      <c r="CM138" t="s">
        <v>239</v>
      </c>
      <c r="CN138">
        <v>2051</v>
      </c>
    </row>
    <row r="139" spans="1:92" hidden="1" x14ac:dyDescent="0.25">
      <c r="A139" s="215">
        <v>45025</v>
      </c>
      <c r="B139" s="104">
        <v>4746390</v>
      </c>
      <c r="C139" s="104">
        <v>1884</v>
      </c>
      <c r="D139" s="104">
        <v>4748274</v>
      </c>
      <c r="E139" s="104">
        <v>99.96</v>
      </c>
      <c r="F139" s="71">
        <f t="shared" si="72"/>
        <v>4.7482740000000003</v>
      </c>
      <c r="H139" s="215">
        <v>45025</v>
      </c>
      <c r="I139" s="104">
        <v>2363878</v>
      </c>
      <c r="J139" s="104">
        <v>4672</v>
      </c>
      <c r="K139" s="104">
        <v>2368550</v>
      </c>
      <c r="L139" s="104">
        <v>99.8</v>
      </c>
      <c r="M139" s="71">
        <f t="shared" si="73"/>
        <v>2.3685499999999999</v>
      </c>
      <c r="O139" s="215">
        <v>45025</v>
      </c>
      <c r="P139" s="104">
        <v>737252</v>
      </c>
      <c r="Q139" s="104">
        <v>6678</v>
      </c>
      <c r="R139" s="104">
        <v>743930</v>
      </c>
      <c r="S139" s="104">
        <v>99.1</v>
      </c>
      <c r="T139" s="71">
        <f t="shared" si="67"/>
        <v>0.74392999999999998</v>
      </c>
      <c r="V139" s="215">
        <v>45025</v>
      </c>
      <c r="W139" s="104">
        <v>980578</v>
      </c>
      <c r="X139" s="104">
        <v>270</v>
      </c>
      <c r="Y139" s="104">
        <v>980848</v>
      </c>
      <c r="Z139" s="104">
        <v>99.97</v>
      </c>
      <c r="AA139" s="71">
        <f t="shared" si="61"/>
        <v>0.98084800000000005</v>
      </c>
      <c r="AC139" s="215">
        <v>45025</v>
      </c>
      <c r="AD139" s="104">
        <v>608708</v>
      </c>
      <c r="AE139" s="104">
        <v>240</v>
      </c>
      <c r="AF139" s="104">
        <v>608948</v>
      </c>
      <c r="AG139" s="104">
        <v>99.96</v>
      </c>
      <c r="AH139" s="71">
        <f t="shared" si="68"/>
        <v>0.60894800000000004</v>
      </c>
      <c r="AJ139" s="215">
        <v>45025</v>
      </c>
      <c r="AK139" s="104">
        <v>26</v>
      </c>
      <c r="AL139" s="104">
        <v>0</v>
      </c>
      <c r="AM139" s="104">
        <v>26</v>
      </c>
      <c r="AN139" s="104">
        <v>100</v>
      </c>
      <c r="AO139" s="246">
        <f t="shared" si="62"/>
        <v>2.5999999999999998E-5</v>
      </c>
      <c r="AQ139" s="215">
        <v>45025</v>
      </c>
      <c r="AR139" s="104">
        <v>584</v>
      </c>
      <c r="AS139" s="104">
        <v>62</v>
      </c>
      <c r="AT139" s="104">
        <v>646</v>
      </c>
      <c r="AU139" s="104">
        <v>90.4</v>
      </c>
      <c r="AV139" s="246">
        <f t="shared" si="69"/>
        <v>6.4599999999999998E-4</v>
      </c>
      <c r="AX139" s="215">
        <v>45025</v>
      </c>
      <c r="AY139" s="104">
        <v>204</v>
      </c>
      <c r="AZ139" s="104">
        <v>46</v>
      </c>
      <c r="BA139" s="104">
        <v>250</v>
      </c>
      <c r="BB139" s="104">
        <v>81.599999999999994</v>
      </c>
      <c r="BC139" s="246">
        <f t="shared" si="70"/>
        <v>2.5000000000000001E-4</v>
      </c>
      <c r="BE139" s="215">
        <v>45025</v>
      </c>
      <c r="BF139" s="48">
        <v>2432</v>
      </c>
      <c r="BG139" s="104">
        <v>0</v>
      </c>
      <c r="BH139" s="104">
        <v>2432</v>
      </c>
      <c r="BI139" s="104">
        <v>100</v>
      </c>
      <c r="BJ139" s="71">
        <f t="shared" si="71"/>
        <v>2.4320000000000001E-3</v>
      </c>
      <c r="BL139" s="1"/>
      <c r="BM139" s="1"/>
      <c r="BN139" s="1"/>
      <c r="BO139" s="1"/>
      <c r="BP139" s="1"/>
      <c r="BQ139" s="247"/>
      <c r="BS139" s="48"/>
      <c r="BT139" s="48"/>
      <c r="BU139" s="48"/>
      <c r="BV139" s="48"/>
      <c r="BW139" s="48"/>
      <c r="BZ139" s="1"/>
      <c r="CA139" s="1"/>
      <c r="CB139" s="1"/>
      <c r="CC139" s="1"/>
      <c r="CE139" s="215">
        <v>45025</v>
      </c>
      <c r="CF139" s="1">
        <v>10886340</v>
      </c>
      <c r="CG139" s="1">
        <v>17394</v>
      </c>
      <c r="CH139" s="1">
        <v>10903734</v>
      </c>
      <c r="CI139" s="71">
        <f t="shared" si="60"/>
        <v>99.840476666066877</v>
      </c>
      <c r="CJ139" s="71">
        <f t="shared" si="66"/>
        <v>10.903734</v>
      </c>
      <c r="CL139" s="140">
        <v>44944</v>
      </c>
      <c r="CM139" t="s">
        <v>241</v>
      </c>
      <c r="CN139">
        <v>833</v>
      </c>
    </row>
    <row r="140" spans="1:92" hidden="1" x14ac:dyDescent="0.25">
      <c r="A140" s="215">
        <v>45026</v>
      </c>
      <c r="B140" s="104">
        <v>5268568</v>
      </c>
      <c r="C140" s="104">
        <v>2918</v>
      </c>
      <c r="D140" s="104">
        <v>5271486</v>
      </c>
      <c r="E140" s="104">
        <v>99.94</v>
      </c>
      <c r="F140" s="71">
        <f t="shared" si="72"/>
        <v>5.2714860000000003</v>
      </c>
      <c r="H140" s="215">
        <v>45026</v>
      </c>
      <c r="I140" s="104">
        <v>2617520</v>
      </c>
      <c r="J140" s="104">
        <v>4906</v>
      </c>
      <c r="K140" s="104">
        <v>2622426</v>
      </c>
      <c r="L140" s="104">
        <v>99.81</v>
      </c>
      <c r="M140" s="71">
        <f t="shared" si="73"/>
        <v>2.6224259999999999</v>
      </c>
      <c r="O140" s="215">
        <v>45026</v>
      </c>
      <c r="P140" s="104">
        <v>753284</v>
      </c>
      <c r="Q140" s="104">
        <v>6872</v>
      </c>
      <c r="R140" s="104">
        <v>760156</v>
      </c>
      <c r="S140" s="104">
        <v>99.1</v>
      </c>
      <c r="T140" s="71">
        <f t="shared" si="67"/>
        <v>0.76015600000000005</v>
      </c>
      <c r="V140" s="215">
        <v>45026</v>
      </c>
      <c r="W140" s="104">
        <v>1045260</v>
      </c>
      <c r="X140" s="104">
        <v>168</v>
      </c>
      <c r="Y140" s="104">
        <v>1045428</v>
      </c>
      <c r="Z140" s="104">
        <v>99.98</v>
      </c>
      <c r="AA140" s="71">
        <f t="shared" si="61"/>
        <v>1.045428</v>
      </c>
      <c r="AC140" s="215">
        <v>45026</v>
      </c>
      <c r="AD140" s="104">
        <v>601710</v>
      </c>
      <c r="AE140" s="104">
        <v>392</v>
      </c>
      <c r="AF140" s="104">
        <v>602102</v>
      </c>
      <c r="AG140" s="104">
        <v>99.93</v>
      </c>
      <c r="AH140" s="71">
        <f t="shared" si="68"/>
        <v>0.60210200000000003</v>
      </c>
      <c r="AJ140" s="215">
        <v>45026</v>
      </c>
      <c r="AK140" s="48">
        <v>38</v>
      </c>
      <c r="AL140" s="104">
        <v>0</v>
      </c>
      <c r="AM140" s="104">
        <v>38</v>
      </c>
      <c r="AN140" s="104">
        <v>100</v>
      </c>
      <c r="AO140" s="246">
        <f t="shared" si="62"/>
        <v>3.8000000000000002E-5</v>
      </c>
      <c r="AQ140" s="215">
        <v>45026</v>
      </c>
      <c r="AR140" s="104">
        <v>844</v>
      </c>
      <c r="AS140" s="104">
        <v>68</v>
      </c>
      <c r="AT140" s="104">
        <v>912</v>
      </c>
      <c r="AU140" s="104">
        <v>92.54</v>
      </c>
      <c r="AV140" s="246">
        <f t="shared" si="69"/>
        <v>9.1200000000000005E-4</v>
      </c>
      <c r="AX140" s="215">
        <v>45026</v>
      </c>
      <c r="AY140" s="104">
        <v>538</v>
      </c>
      <c r="AZ140" s="104">
        <v>42</v>
      </c>
      <c r="BA140" s="104">
        <v>580</v>
      </c>
      <c r="BB140" s="104">
        <v>92.76</v>
      </c>
      <c r="BC140" s="246">
        <f t="shared" si="70"/>
        <v>5.8E-4</v>
      </c>
      <c r="BE140" s="215">
        <v>45026</v>
      </c>
      <c r="BF140" s="48">
        <v>3160</v>
      </c>
      <c r="BG140" s="104">
        <v>0</v>
      </c>
      <c r="BH140" s="104">
        <v>3160</v>
      </c>
      <c r="BI140" s="104">
        <v>100</v>
      </c>
      <c r="BJ140" s="71">
        <f t="shared" si="71"/>
        <v>3.16E-3</v>
      </c>
      <c r="BL140" s="1"/>
      <c r="BM140" s="1"/>
      <c r="BN140" s="1"/>
      <c r="BO140" s="1"/>
      <c r="BP140" s="1"/>
      <c r="BQ140" s="247"/>
      <c r="BS140" s="48"/>
      <c r="BT140" s="48"/>
      <c r="BU140" s="48"/>
      <c r="BV140" s="48"/>
      <c r="BW140" s="48"/>
      <c r="BZ140" s="1"/>
      <c r="CA140" s="1"/>
      <c r="CB140" s="1"/>
      <c r="CC140" s="1"/>
      <c r="CE140" s="215">
        <v>45026</v>
      </c>
      <c r="CF140" s="1">
        <v>11764804</v>
      </c>
      <c r="CG140" s="1">
        <v>19492</v>
      </c>
      <c r="CH140" s="1">
        <v>11784296</v>
      </c>
      <c r="CI140" s="71">
        <f t="shared" si="60"/>
        <v>99.834593428406748</v>
      </c>
      <c r="CJ140" s="71">
        <f t="shared" si="66"/>
        <v>11.784295999999999</v>
      </c>
      <c r="CL140" s="140">
        <v>44945</v>
      </c>
      <c r="CM140" t="s">
        <v>237</v>
      </c>
      <c r="CN140">
        <v>11166</v>
      </c>
    </row>
    <row r="141" spans="1:92" hidden="1" x14ac:dyDescent="0.25">
      <c r="A141" s="215">
        <v>45027</v>
      </c>
      <c r="B141" s="104">
        <v>5994726</v>
      </c>
      <c r="C141" s="104">
        <v>1854</v>
      </c>
      <c r="D141" s="104">
        <v>5996580</v>
      </c>
      <c r="E141" s="104">
        <v>99.97</v>
      </c>
      <c r="F141" s="71">
        <f t="shared" si="72"/>
        <v>5.9965799999999998</v>
      </c>
      <c r="H141" s="215">
        <v>45027</v>
      </c>
      <c r="I141" s="104">
        <v>2953958</v>
      </c>
      <c r="J141" s="104">
        <v>5082</v>
      </c>
      <c r="K141" s="104">
        <v>2959040</v>
      </c>
      <c r="L141" s="104">
        <v>99.83</v>
      </c>
      <c r="M141" s="71">
        <f t="shared" si="73"/>
        <v>2.9590399999999999</v>
      </c>
      <c r="O141" s="215">
        <v>45027</v>
      </c>
      <c r="P141" s="104">
        <v>732932</v>
      </c>
      <c r="Q141" s="104">
        <v>6942</v>
      </c>
      <c r="R141" s="104">
        <v>739874</v>
      </c>
      <c r="S141" s="104">
        <v>99.06</v>
      </c>
      <c r="T141" s="71">
        <f t="shared" si="67"/>
        <v>0.73987400000000003</v>
      </c>
      <c r="V141" s="215">
        <v>45027</v>
      </c>
      <c r="W141" s="104">
        <v>1053458</v>
      </c>
      <c r="X141" s="104">
        <v>164</v>
      </c>
      <c r="Y141" s="104">
        <v>1053622</v>
      </c>
      <c r="Z141" s="104">
        <v>99.98</v>
      </c>
      <c r="AA141" s="71">
        <f t="shared" si="61"/>
        <v>1.0536220000000001</v>
      </c>
      <c r="AC141" s="215">
        <v>45027</v>
      </c>
      <c r="AD141" s="104">
        <v>578934</v>
      </c>
      <c r="AE141" s="104">
        <v>298</v>
      </c>
      <c r="AF141" s="104">
        <v>579232</v>
      </c>
      <c r="AG141" s="104">
        <v>99.95</v>
      </c>
      <c r="AH141" s="71">
        <f t="shared" si="68"/>
        <v>0.57923199999999997</v>
      </c>
      <c r="AJ141" s="215">
        <v>45027</v>
      </c>
      <c r="AK141" s="48">
        <v>64</v>
      </c>
      <c r="AL141" s="104">
        <v>0</v>
      </c>
      <c r="AM141" s="48">
        <v>64</v>
      </c>
      <c r="AN141" s="104">
        <v>100</v>
      </c>
      <c r="AO141" s="246">
        <f t="shared" si="62"/>
        <v>6.3999999999999997E-5</v>
      </c>
      <c r="AP141" s="57"/>
      <c r="AQ141" s="215">
        <v>45027</v>
      </c>
      <c r="AR141" s="48">
        <v>736</v>
      </c>
      <c r="AS141" s="48">
        <v>78</v>
      </c>
      <c r="AT141" s="48">
        <v>814</v>
      </c>
      <c r="AU141" s="48">
        <v>90.42</v>
      </c>
      <c r="AV141" s="246">
        <f t="shared" si="69"/>
        <v>8.1400000000000005E-4</v>
      </c>
      <c r="AX141" s="215">
        <v>45027</v>
      </c>
      <c r="AY141" s="48">
        <v>2142</v>
      </c>
      <c r="AZ141" s="48">
        <v>40</v>
      </c>
      <c r="BA141" s="48">
        <v>2182</v>
      </c>
      <c r="BB141" s="48">
        <v>98.17</v>
      </c>
      <c r="BC141" s="246">
        <f t="shared" si="70"/>
        <v>2.1819999999999999E-3</v>
      </c>
      <c r="BE141" s="215">
        <v>45027</v>
      </c>
      <c r="BF141" s="48">
        <v>3834</v>
      </c>
      <c r="BG141" s="104">
        <v>0</v>
      </c>
      <c r="BH141" s="48">
        <v>3834</v>
      </c>
      <c r="BI141" s="104">
        <v>100</v>
      </c>
      <c r="BJ141" s="71">
        <f t="shared" si="71"/>
        <v>3.8340000000000002E-3</v>
      </c>
      <c r="BL141" s="1"/>
      <c r="BM141" s="1"/>
      <c r="BN141" s="1"/>
      <c r="BO141" s="1"/>
      <c r="BP141" s="1"/>
      <c r="BQ141" s="247"/>
      <c r="BS141" s="48"/>
      <c r="BT141" s="48"/>
      <c r="BU141" s="48"/>
      <c r="BV141" s="48"/>
      <c r="BW141" s="48"/>
      <c r="BZ141" s="1"/>
      <c r="CA141" s="1"/>
      <c r="CB141" s="1"/>
      <c r="CC141" s="1"/>
      <c r="CE141" s="215">
        <v>45027</v>
      </c>
      <c r="CF141" s="1">
        <v>13096692</v>
      </c>
      <c r="CG141" s="1">
        <v>20034</v>
      </c>
      <c r="CH141" s="1">
        <v>13116726</v>
      </c>
      <c r="CI141" s="71">
        <f t="shared" si="60"/>
        <v>99.847263715045955</v>
      </c>
      <c r="CJ141" s="71">
        <f t="shared" si="66"/>
        <v>13.116726</v>
      </c>
      <c r="CL141" s="140">
        <v>44945</v>
      </c>
      <c r="CM141" t="s">
        <v>238</v>
      </c>
      <c r="CN141">
        <v>9132</v>
      </c>
    </row>
    <row r="142" spans="1:92" hidden="1" x14ac:dyDescent="0.25">
      <c r="A142" s="215">
        <v>45028</v>
      </c>
      <c r="B142" s="104">
        <v>5802450</v>
      </c>
      <c r="C142" s="104">
        <v>2276</v>
      </c>
      <c r="D142" s="104">
        <v>5804726</v>
      </c>
      <c r="E142" s="104">
        <v>99.96</v>
      </c>
      <c r="F142" s="71">
        <f t="shared" si="72"/>
        <v>5.8047259999999996</v>
      </c>
      <c r="H142" s="215">
        <v>45028</v>
      </c>
      <c r="I142" s="104">
        <v>2457246</v>
      </c>
      <c r="J142" s="104">
        <v>4648</v>
      </c>
      <c r="K142" s="104">
        <v>2461894</v>
      </c>
      <c r="L142" s="104">
        <v>99.81</v>
      </c>
      <c r="M142" s="71">
        <f t="shared" si="73"/>
        <v>2.461894</v>
      </c>
      <c r="O142" s="215">
        <v>45028</v>
      </c>
      <c r="P142" s="104">
        <v>711726</v>
      </c>
      <c r="Q142" s="104">
        <v>6624</v>
      </c>
      <c r="R142" s="104">
        <v>718350</v>
      </c>
      <c r="S142" s="104">
        <v>99.08</v>
      </c>
      <c r="T142" s="71">
        <f t="shared" si="67"/>
        <v>0.71835000000000004</v>
      </c>
      <c r="V142" s="215">
        <v>45028</v>
      </c>
      <c r="W142" s="104">
        <v>1022444</v>
      </c>
      <c r="X142" s="104">
        <v>192</v>
      </c>
      <c r="Y142" s="104">
        <v>1022636</v>
      </c>
      <c r="Z142" s="104">
        <v>99.98</v>
      </c>
      <c r="AA142" s="71">
        <f t="shared" si="61"/>
        <v>1.0226360000000001</v>
      </c>
      <c r="AC142" s="215">
        <v>45028</v>
      </c>
      <c r="AD142" s="104">
        <v>574088</v>
      </c>
      <c r="AE142" s="104">
        <v>290</v>
      </c>
      <c r="AF142" s="104">
        <v>574378</v>
      </c>
      <c r="AG142" s="104">
        <v>99.95</v>
      </c>
      <c r="AH142" s="71">
        <f t="shared" si="68"/>
        <v>0.57437800000000006</v>
      </c>
      <c r="AJ142" s="215">
        <v>45028</v>
      </c>
      <c r="AK142" s="104">
        <v>54</v>
      </c>
      <c r="AL142" s="104">
        <v>0</v>
      </c>
      <c r="AM142" s="104">
        <v>54</v>
      </c>
      <c r="AN142" s="104">
        <v>100</v>
      </c>
      <c r="AO142" s="246">
        <f t="shared" si="62"/>
        <v>5.3999999999999998E-5</v>
      </c>
      <c r="AP142" s="57"/>
      <c r="AQ142" s="215">
        <v>45028</v>
      </c>
      <c r="AR142" s="48">
        <v>1478</v>
      </c>
      <c r="AS142" s="48">
        <v>106</v>
      </c>
      <c r="AT142" s="48">
        <v>1584</v>
      </c>
      <c r="AU142" s="48">
        <v>93.31</v>
      </c>
      <c r="AV142" s="246">
        <f t="shared" si="69"/>
        <v>1.5839999999999999E-3</v>
      </c>
      <c r="AX142" s="215">
        <v>45028</v>
      </c>
      <c r="AY142" s="48">
        <v>1316</v>
      </c>
      <c r="AZ142" s="48">
        <v>176</v>
      </c>
      <c r="BA142" s="48">
        <v>1492</v>
      </c>
      <c r="BB142" s="48">
        <v>88.2</v>
      </c>
      <c r="BC142" s="246">
        <f t="shared" si="70"/>
        <v>1.4920000000000001E-3</v>
      </c>
      <c r="BE142" s="215">
        <v>45028</v>
      </c>
      <c r="BF142" s="48">
        <v>3640</v>
      </c>
      <c r="BG142" s="104">
        <v>0</v>
      </c>
      <c r="BH142" s="48">
        <v>3640</v>
      </c>
      <c r="BI142" s="104">
        <v>100</v>
      </c>
      <c r="BJ142" s="71">
        <f t="shared" si="71"/>
        <v>3.64E-3</v>
      </c>
      <c r="BL142" s="1"/>
      <c r="BM142" s="1"/>
      <c r="BN142" s="1"/>
      <c r="BO142" s="1"/>
      <c r="BP142" s="1"/>
      <c r="BQ142" s="247"/>
      <c r="BS142" s="48"/>
      <c r="BT142" s="48"/>
      <c r="BU142" s="48"/>
      <c r="BV142" s="48"/>
      <c r="BW142" s="48"/>
      <c r="BZ142" s="1"/>
      <c r="CA142" s="1"/>
      <c r="CB142" s="1"/>
      <c r="CC142" s="1"/>
      <c r="CE142" s="215">
        <v>45028</v>
      </c>
      <c r="CF142" s="1">
        <v>12172302</v>
      </c>
      <c r="CG142" s="1">
        <v>20864</v>
      </c>
      <c r="CH142" s="1">
        <v>12193166</v>
      </c>
      <c r="CI142" s="71">
        <f t="shared" si="60"/>
        <v>99.828887755649347</v>
      </c>
      <c r="CJ142" s="71">
        <f t="shared" si="66"/>
        <v>12.193166</v>
      </c>
      <c r="CL142" s="140">
        <v>44945</v>
      </c>
      <c r="CM142" t="s">
        <v>240</v>
      </c>
      <c r="CN142">
        <v>2382</v>
      </c>
    </row>
    <row r="143" spans="1:92" hidden="1" x14ac:dyDescent="0.25">
      <c r="A143" s="215">
        <v>45029</v>
      </c>
      <c r="B143" s="104">
        <v>5485574</v>
      </c>
      <c r="C143" s="104">
        <v>1740</v>
      </c>
      <c r="D143" s="104">
        <v>5487314</v>
      </c>
      <c r="E143" s="104">
        <v>99.97</v>
      </c>
      <c r="F143" s="71">
        <f t="shared" si="72"/>
        <v>5.4873139999999996</v>
      </c>
      <c r="H143" s="215">
        <v>45029</v>
      </c>
      <c r="I143" s="104">
        <v>2545192</v>
      </c>
      <c r="J143" s="104">
        <v>8420</v>
      </c>
      <c r="K143" s="104">
        <v>2553612</v>
      </c>
      <c r="L143" s="104">
        <v>99.67</v>
      </c>
      <c r="M143" s="71">
        <f t="shared" si="73"/>
        <v>2.5536120000000002</v>
      </c>
      <c r="O143" s="215">
        <v>45029</v>
      </c>
      <c r="P143" s="104">
        <v>776358</v>
      </c>
      <c r="Q143" s="104">
        <v>6852</v>
      </c>
      <c r="R143" s="104">
        <v>783210</v>
      </c>
      <c r="S143" s="104">
        <v>99.13</v>
      </c>
      <c r="T143" s="71">
        <f t="shared" si="67"/>
        <v>0.78320999999999996</v>
      </c>
      <c r="V143" s="215">
        <v>45029</v>
      </c>
      <c r="W143" s="104">
        <v>1002232</v>
      </c>
      <c r="X143" s="104">
        <v>150</v>
      </c>
      <c r="Y143" s="104">
        <v>1002382</v>
      </c>
      <c r="Z143" s="104">
        <v>99.99</v>
      </c>
      <c r="AA143" s="71">
        <f t="shared" si="61"/>
        <v>1.0023820000000001</v>
      </c>
      <c r="AC143" s="215">
        <v>45029</v>
      </c>
      <c r="AD143" s="104">
        <v>580094</v>
      </c>
      <c r="AE143" s="104">
        <v>228</v>
      </c>
      <c r="AF143" s="104">
        <v>580322</v>
      </c>
      <c r="AG143" s="104">
        <v>99.96</v>
      </c>
      <c r="AH143" s="71">
        <f t="shared" si="68"/>
        <v>0.580322</v>
      </c>
      <c r="AJ143" s="215">
        <v>45029</v>
      </c>
      <c r="AK143" s="48">
        <v>38</v>
      </c>
      <c r="AL143" s="104">
        <v>0</v>
      </c>
      <c r="AM143" s="104">
        <v>38</v>
      </c>
      <c r="AN143" s="104">
        <v>100</v>
      </c>
      <c r="AO143" s="246">
        <f t="shared" si="62"/>
        <v>3.8000000000000002E-5</v>
      </c>
      <c r="AQ143" s="215">
        <v>45029</v>
      </c>
      <c r="AR143" s="48">
        <v>1442</v>
      </c>
      <c r="AS143" s="48">
        <v>146</v>
      </c>
      <c r="AT143" s="48">
        <v>1588</v>
      </c>
      <c r="AU143" s="48">
        <v>90.81</v>
      </c>
      <c r="AV143" s="246">
        <f t="shared" si="69"/>
        <v>1.588E-3</v>
      </c>
      <c r="AX143" s="215">
        <v>45029</v>
      </c>
      <c r="AY143" s="48">
        <v>1988</v>
      </c>
      <c r="AZ143" s="104">
        <v>36</v>
      </c>
      <c r="BA143" s="48">
        <v>2024</v>
      </c>
      <c r="BB143" s="48">
        <v>98.22</v>
      </c>
      <c r="BC143" s="246">
        <f t="shared" si="70"/>
        <v>2.0240000000000002E-3</v>
      </c>
      <c r="BE143" s="215">
        <v>45029</v>
      </c>
      <c r="BF143" s="48">
        <v>3074</v>
      </c>
      <c r="BG143" s="104">
        <v>4</v>
      </c>
      <c r="BH143" s="48">
        <v>3078</v>
      </c>
      <c r="BI143" s="48">
        <v>99.87</v>
      </c>
      <c r="BJ143" s="71">
        <f t="shared" si="71"/>
        <v>3.078E-3</v>
      </c>
      <c r="BL143" s="1"/>
      <c r="BM143" s="1"/>
      <c r="BN143" s="1"/>
      <c r="BO143" s="1"/>
      <c r="BP143" s="1"/>
      <c r="BQ143" s="247"/>
      <c r="BS143" s="48"/>
      <c r="BT143" s="48"/>
      <c r="BU143" s="48"/>
      <c r="BV143" s="48"/>
      <c r="BW143" s="48"/>
      <c r="BZ143" s="1"/>
      <c r="CA143" s="1"/>
      <c r="CB143" s="1"/>
      <c r="CC143" s="1"/>
      <c r="CE143" s="215">
        <v>45029</v>
      </c>
      <c r="CF143" s="1">
        <v>11888692</v>
      </c>
      <c r="CG143" s="1">
        <v>22366</v>
      </c>
      <c r="CH143" s="1">
        <v>11911058</v>
      </c>
      <c r="CI143" s="71">
        <f t="shared" si="60"/>
        <v>99.812224908987929</v>
      </c>
      <c r="CJ143" s="71">
        <f t="shared" si="66"/>
        <v>11.911058000000001</v>
      </c>
      <c r="CL143" s="140">
        <v>44945</v>
      </c>
      <c r="CM143" t="s">
        <v>241</v>
      </c>
      <c r="CN143">
        <v>860</v>
      </c>
    </row>
    <row r="144" spans="1:92" hidden="1" x14ac:dyDescent="0.25">
      <c r="A144" s="215">
        <v>45030</v>
      </c>
      <c r="B144" s="104">
        <v>5533742</v>
      </c>
      <c r="C144" s="104">
        <v>3132</v>
      </c>
      <c r="D144" s="104">
        <v>5536874</v>
      </c>
      <c r="E144" s="104">
        <v>99.94</v>
      </c>
      <c r="F144" s="71">
        <f t="shared" si="72"/>
        <v>5.5368740000000001</v>
      </c>
      <c r="H144" s="215">
        <v>45030</v>
      </c>
      <c r="I144" s="104">
        <v>2409598</v>
      </c>
      <c r="J144" s="104">
        <v>4822</v>
      </c>
      <c r="K144" s="104">
        <v>2414420</v>
      </c>
      <c r="L144" s="104">
        <v>99.8</v>
      </c>
      <c r="M144" s="71">
        <f t="shared" si="73"/>
        <v>2.4144199999999998</v>
      </c>
      <c r="O144" s="215">
        <v>45030</v>
      </c>
      <c r="P144" s="104">
        <v>699436</v>
      </c>
      <c r="Q144" s="104">
        <v>6288</v>
      </c>
      <c r="R144" s="104">
        <v>705724</v>
      </c>
      <c r="S144" s="104">
        <v>99.11</v>
      </c>
      <c r="T144" s="71">
        <f t="shared" si="67"/>
        <v>0.70572400000000002</v>
      </c>
      <c r="V144" s="215">
        <v>45030</v>
      </c>
      <c r="W144" s="104">
        <v>1014232</v>
      </c>
      <c r="X144" s="104">
        <v>402</v>
      </c>
      <c r="Y144" s="104">
        <v>1014634</v>
      </c>
      <c r="Z144" s="104">
        <v>99.96</v>
      </c>
      <c r="AA144" s="71">
        <f t="shared" si="61"/>
        <v>1.014634</v>
      </c>
      <c r="AC144" s="215">
        <v>45030</v>
      </c>
      <c r="AD144" s="104">
        <v>615154</v>
      </c>
      <c r="AE144" s="104">
        <v>320</v>
      </c>
      <c r="AF144" s="104">
        <v>615474</v>
      </c>
      <c r="AG144" s="104">
        <v>99.95</v>
      </c>
      <c r="AH144" s="71">
        <f t="shared" si="68"/>
        <v>0.61547399999999997</v>
      </c>
      <c r="AJ144" s="215">
        <v>45030</v>
      </c>
      <c r="AK144" s="48">
        <v>74</v>
      </c>
      <c r="AL144" s="104">
        <v>0</v>
      </c>
      <c r="AM144" s="48">
        <v>74</v>
      </c>
      <c r="AN144" s="104">
        <v>100</v>
      </c>
      <c r="AO144" s="246">
        <f t="shared" si="62"/>
        <v>7.3999999999999996E-5</v>
      </c>
      <c r="AQ144" s="215">
        <v>45030</v>
      </c>
      <c r="AR144" s="48">
        <v>1150</v>
      </c>
      <c r="AS144" s="48">
        <v>90</v>
      </c>
      <c r="AT144" s="48">
        <v>1240</v>
      </c>
      <c r="AU144" s="48">
        <v>92.74</v>
      </c>
      <c r="AV144" s="246">
        <f t="shared" si="69"/>
        <v>1.24E-3</v>
      </c>
      <c r="AX144" s="215">
        <v>45030</v>
      </c>
      <c r="AY144" s="48">
        <v>1714</v>
      </c>
      <c r="AZ144" s="48">
        <v>34</v>
      </c>
      <c r="BA144" s="48">
        <v>1748</v>
      </c>
      <c r="BB144" s="48">
        <v>98.05</v>
      </c>
      <c r="BC144" s="246">
        <f t="shared" si="70"/>
        <v>1.748E-3</v>
      </c>
      <c r="BE144" s="215">
        <v>45030</v>
      </c>
      <c r="BF144" s="48">
        <v>2974</v>
      </c>
      <c r="BG144" s="104">
        <v>0</v>
      </c>
      <c r="BH144" s="48">
        <v>2974</v>
      </c>
      <c r="BI144" s="104">
        <v>100</v>
      </c>
      <c r="BJ144" s="71">
        <f t="shared" si="71"/>
        <v>2.9740000000000001E-3</v>
      </c>
      <c r="BL144" s="1"/>
      <c r="BM144" s="1"/>
      <c r="BN144" s="1"/>
      <c r="BO144" s="1"/>
      <c r="BP144" s="1"/>
      <c r="BQ144" s="247"/>
      <c r="BS144" s="48"/>
      <c r="BT144" s="48"/>
      <c r="BU144" s="48"/>
      <c r="BV144" s="48"/>
      <c r="BW144" s="48"/>
      <c r="BZ144" s="1"/>
      <c r="CA144" s="1"/>
      <c r="CB144" s="1"/>
      <c r="CC144" s="1"/>
      <c r="CE144" s="215">
        <v>45030</v>
      </c>
      <c r="CF144" s="1">
        <v>11821998</v>
      </c>
      <c r="CG144" s="1">
        <v>20110</v>
      </c>
      <c r="CH144" s="1">
        <v>11842108</v>
      </c>
      <c r="CI144" s="71">
        <f t="shared" si="60"/>
        <v>99.830182261468991</v>
      </c>
      <c r="CJ144" s="71">
        <f t="shared" si="66"/>
        <v>11.842108</v>
      </c>
      <c r="CL144" s="140">
        <v>44945</v>
      </c>
      <c r="CM144" t="s">
        <v>239</v>
      </c>
      <c r="CN144">
        <v>814</v>
      </c>
    </row>
    <row r="145" spans="1:92" hidden="1" x14ac:dyDescent="0.25">
      <c r="A145" s="215">
        <v>45031</v>
      </c>
      <c r="B145" s="104">
        <v>5443712</v>
      </c>
      <c r="C145" s="104">
        <v>1158</v>
      </c>
      <c r="D145" s="104">
        <v>5444870</v>
      </c>
      <c r="E145" s="104">
        <v>99.98</v>
      </c>
      <c r="F145" s="71">
        <f t="shared" si="72"/>
        <v>5.4448699999999999</v>
      </c>
      <c r="H145" s="215">
        <v>45031</v>
      </c>
      <c r="I145" s="104">
        <v>2430030</v>
      </c>
      <c r="J145" s="104">
        <v>4002</v>
      </c>
      <c r="K145" s="104">
        <v>2434032</v>
      </c>
      <c r="L145" s="104">
        <v>99.84</v>
      </c>
      <c r="M145" s="71">
        <f t="shared" si="73"/>
        <v>2.4340320000000002</v>
      </c>
      <c r="O145" s="215">
        <v>45031</v>
      </c>
      <c r="P145" s="104">
        <v>696536</v>
      </c>
      <c r="Q145" s="104">
        <v>6458</v>
      </c>
      <c r="R145" s="104">
        <v>702994</v>
      </c>
      <c r="S145" s="104">
        <v>99.08</v>
      </c>
      <c r="T145" s="71">
        <f t="shared" si="67"/>
        <v>0.70299400000000001</v>
      </c>
      <c r="V145" s="215">
        <v>45031</v>
      </c>
      <c r="W145" s="104">
        <v>994608</v>
      </c>
      <c r="X145" s="104">
        <v>148</v>
      </c>
      <c r="Y145" s="104">
        <v>994756</v>
      </c>
      <c r="Z145" s="104">
        <v>99.99</v>
      </c>
      <c r="AA145" s="71">
        <f t="shared" si="61"/>
        <v>0.99475599999999997</v>
      </c>
      <c r="AC145" s="215">
        <v>45031</v>
      </c>
      <c r="AD145" s="104">
        <v>630962</v>
      </c>
      <c r="AE145" s="104">
        <v>2216</v>
      </c>
      <c r="AF145" s="104">
        <v>633178</v>
      </c>
      <c r="AG145" s="104">
        <v>99.65</v>
      </c>
      <c r="AH145" s="71">
        <f t="shared" si="68"/>
        <v>0.63317800000000002</v>
      </c>
      <c r="AJ145" s="215">
        <v>45031</v>
      </c>
      <c r="AK145" s="48">
        <v>68</v>
      </c>
      <c r="AL145" s="104">
        <v>0</v>
      </c>
      <c r="AM145" s="48">
        <v>68</v>
      </c>
      <c r="AN145" s="104">
        <v>100</v>
      </c>
      <c r="AO145" s="246">
        <f t="shared" si="62"/>
        <v>6.7999999999999999E-5</v>
      </c>
      <c r="AQ145" s="215">
        <v>45031</v>
      </c>
      <c r="AR145" s="48">
        <v>650</v>
      </c>
      <c r="AS145" s="48">
        <v>62</v>
      </c>
      <c r="AT145" s="48">
        <v>712</v>
      </c>
      <c r="AU145" s="48">
        <v>91.29</v>
      </c>
      <c r="AV145" s="246">
        <f t="shared" si="69"/>
        <v>7.1199999999999996E-4</v>
      </c>
      <c r="AX145" s="215">
        <v>45031</v>
      </c>
      <c r="AY145" s="48">
        <v>1014</v>
      </c>
      <c r="AZ145" s="48">
        <v>12</v>
      </c>
      <c r="BA145" s="48">
        <v>1026</v>
      </c>
      <c r="BB145" s="48">
        <v>98.83</v>
      </c>
      <c r="BC145" s="246">
        <f t="shared" si="70"/>
        <v>1.026E-3</v>
      </c>
      <c r="BE145" s="215">
        <v>45031</v>
      </c>
      <c r="BF145" s="48">
        <v>2744</v>
      </c>
      <c r="BG145" s="104">
        <v>0</v>
      </c>
      <c r="BH145" s="48">
        <v>2744</v>
      </c>
      <c r="BI145" s="104">
        <v>100</v>
      </c>
      <c r="BJ145" s="71">
        <f t="shared" si="71"/>
        <v>2.7439999999999999E-3</v>
      </c>
      <c r="BL145" s="1"/>
      <c r="BM145" s="1"/>
      <c r="BN145" s="1"/>
      <c r="BO145" s="1"/>
      <c r="BP145" s="1"/>
      <c r="BQ145" s="247"/>
      <c r="BS145" s="48"/>
      <c r="BT145" s="48"/>
      <c r="BU145" s="48"/>
      <c r="BV145" s="48"/>
      <c r="BW145" s="48"/>
      <c r="BZ145" s="1"/>
      <c r="CA145" s="1"/>
      <c r="CB145" s="1"/>
      <c r="CC145" s="1"/>
      <c r="CE145" s="215">
        <v>45031</v>
      </c>
      <c r="CF145" s="1">
        <v>11581162</v>
      </c>
      <c r="CG145" s="1">
        <v>19226</v>
      </c>
      <c r="CH145" s="1">
        <v>11600388</v>
      </c>
      <c r="CI145" s="71">
        <f t="shared" si="60"/>
        <v>99.834264164267609</v>
      </c>
      <c r="CJ145" s="71">
        <f t="shared" si="66"/>
        <v>11.600388000000001</v>
      </c>
      <c r="CL145" s="140">
        <v>44946</v>
      </c>
      <c r="CM145" t="s">
        <v>237</v>
      </c>
      <c r="CN145">
        <v>15454</v>
      </c>
    </row>
    <row r="146" spans="1:92" hidden="1" x14ac:dyDescent="0.25">
      <c r="A146" s="215">
        <v>45032</v>
      </c>
      <c r="B146" s="104">
        <v>4565412</v>
      </c>
      <c r="C146" s="104">
        <v>2988</v>
      </c>
      <c r="D146" s="104">
        <v>4568400</v>
      </c>
      <c r="E146" s="104">
        <v>99.93</v>
      </c>
      <c r="F146" s="71">
        <f t="shared" si="72"/>
        <v>4.5683999999999996</v>
      </c>
      <c r="H146" s="215">
        <v>45032</v>
      </c>
      <c r="I146" s="104">
        <v>2172372</v>
      </c>
      <c r="J146" s="104">
        <v>3554</v>
      </c>
      <c r="K146" s="104">
        <v>2175926</v>
      </c>
      <c r="L146" s="104">
        <v>99.84</v>
      </c>
      <c r="M146" s="71">
        <f t="shared" si="73"/>
        <v>2.175926</v>
      </c>
      <c r="O146" s="215">
        <v>45032</v>
      </c>
      <c r="P146" s="104">
        <v>699124</v>
      </c>
      <c r="Q146" s="104">
        <v>6312</v>
      </c>
      <c r="R146" s="104">
        <v>705436</v>
      </c>
      <c r="S146" s="104">
        <v>99.11</v>
      </c>
      <c r="T146" s="71">
        <f t="shared" si="67"/>
        <v>0.70543599999999995</v>
      </c>
      <c r="V146" s="215">
        <v>45032</v>
      </c>
      <c r="W146" s="104">
        <v>936326</v>
      </c>
      <c r="X146" s="104">
        <v>606</v>
      </c>
      <c r="Y146" s="104">
        <v>936932</v>
      </c>
      <c r="Z146" s="104">
        <v>99.94</v>
      </c>
      <c r="AA146" s="71">
        <f t="shared" si="61"/>
        <v>0.93693199999999999</v>
      </c>
      <c r="AC146" s="215">
        <v>45032</v>
      </c>
      <c r="AD146" s="104">
        <v>582520</v>
      </c>
      <c r="AE146" s="104">
        <v>1554</v>
      </c>
      <c r="AF146" s="104">
        <v>584074</v>
      </c>
      <c r="AG146" s="104">
        <v>99.73</v>
      </c>
      <c r="AH146" s="71">
        <f t="shared" si="68"/>
        <v>0.58407399999999998</v>
      </c>
      <c r="AJ146" s="215">
        <v>45032</v>
      </c>
      <c r="AK146" s="48">
        <v>48</v>
      </c>
      <c r="AL146" s="104">
        <v>0</v>
      </c>
      <c r="AM146" s="48">
        <v>48</v>
      </c>
      <c r="AN146" s="104">
        <v>100</v>
      </c>
      <c r="AO146" s="246">
        <f t="shared" si="62"/>
        <v>4.8000000000000001E-5</v>
      </c>
      <c r="AQ146" s="215">
        <v>45032</v>
      </c>
      <c r="AR146" s="48">
        <v>754</v>
      </c>
      <c r="AS146" s="48">
        <v>68</v>
      </c>
      <c r="AT146" s="48">
        <v>822</v>
      </c>
      <c r="AU146" s="48">
        <v>91.73</v>
      </c>
      <c r="AV146" s="246">
        <f t="shared" si="69"/>
        <v>8.2200000000000003E-4</v>
      </c>
      <c r="AX146" s="215">
        <v>45032</v>
      </c>
      <c r="AY146" s="48">
        <v>202</v>
      </c>
      <c r="AZ146" s="48">
        <v>86</v>
      </c>
      <c r="BA146" s="48">
        <v>288</v>
      </c>
      <c r="BB146" s="48">
        <v>70.14</v>
      </c>
      <c r="BC146" s="246">
        <f t="shared" si="70"/>
        <v>2.8800000000000001E-4</v>
      </c>
      <c r="BE146" s="215">
        <v>45032</v>
      </c>
      <c r="BF146" s="48">
        <v>2488</v>
      </c>
      <c r="BG146" s="104">
        <v>0</v>
      </c>
      <c r="BH146" s="48">
        <v>2488</v>
      </c>
      <c r="BI146" s="104">
        <v>100</v>
      </c>
      <c r="BJ146" s="71">
        <f t="shared" si="71"/>
        <v>2.4880000000000002E-3</v>
      </c>
      <c r="BL146" s="1"/>
      <c r="BM146" s="1"/>
      <c r="BN146" s="1"/>
      <c r="BO146" s="1"/>
      <c r="BP146" s="1"/>
      <c r="BQ146" s="247"/>
      <c r="BS146" s="48"/>
      <c r="BT146" s="48"/>
      <c r="BU146" s="48"/>
      <c r="BV146" s="48"/>
      <c r="BW146" s="48"/>
      <c r="BZ146" s="1"/>
      <c r="CA146" s="1"/>
      <c r="CB146" s="1"/>
      <c r="CC146" s="1"/>
      <c r="CE146" s="215">
        <v>45032</v>
      </c>
      <c r="CF146" s="1">
        <v>10237074</v>
      </c>
      <c r="CG146" s="1">
        <v>19688</v>
      </c>
      <c r="CH146" s="1">
        <v>10256762</v>
      </c>
      <c r="CI146" s="71">
        <f t="shared" si="60"/>
        <v>99.808048582973854</v>
      </c>
      <c r="CJ146" s="71">
        <f t="shared" si="66"/>
        <v>10.256762</v>
      </c>
      <c r="CL146" s="140">
        <v>44946</v>
      </c>
      <c r="CM146" t="s">
        <v>238</v>
      </c>
      <c r="CN146">
        <v>4846</v>
      </c>
    </row>
    <row r="147" spans="1:92" hidden="1" x14ac:dyDescent="0.25">
      <c r="A147" s="215">
        <v>45033</v>
      </c>
      <c r="B147" s="104">
        <v>5620158</v>
      </c>
      <c r="C147" s="104">
        <v>3308</v>
      </c>
      <c r="D147" s="104">
        <v>5623466</v>
      </c>
      <c r="E147" s="104">
        <v>99.94</v>
      </c>
      <c r="F147" s="71">
        <f t="shared" si="72"/>
        <v>5.6234659999999996</v>
      </c>
      <c r="H147" s="215">
        <v>45033</v>
      </c>
      <c r="I147" s="104">
        <v>2504424</v>
      </c>
      <c r="J147" s="104">
        <v>4094</v>
      </c>
      <c r="K147" s="104">
        <v>2508518</v>
      </c>
      <c r="L147" s="104">
        <v>99.84</v>
      </c>
      <c r="M147" s="71">
        <f t="shared" si="73"/>
        <v>2.508518</v>
      </c>
      <c r="O147" s="215">
        <v>45033</v>
      </c>
      <c r="P147" s="104">
        <v>704844</v>
      </c>
      <c r="Q147" s="104">
        <v>6298</v>
      </c>
      <c r="R147" s="104">
        <v>711142</v>
      </c>
      <c r="S147" s="104">
        <v>99.11</v>
      </c>
      <c r="T147" s="71">
        <f t="shared" si="67"/>
        <v>0.71114200000000005</v>
      </c>
      <c r="V147" s="215">
        <v>45033</v>
      </c>
      <c r="W147" s="104">
        <v>1083910</v>
      </c>
      <c r="X147" s="104">
        <v>522</v>
      </c>
      <c r="Y147" s="104">
        <v>1084432</v>
      </c>
      <c r="Z147" s="104">
        <v>99.95</v>
      </c>
      <c r="AA147" s="71">
        <f t="shared" si="61"/>
        <v>1.0844320000000001</v>
      </c>
      <c r="AC147" s="215">
        <v>45033</v>
      </c>
      <c r="AD147" s="104">
        <v>573330</v>
      </c>
      <c r="AE147" s="104">
        <v>302</v>
      </c>
      <c r="AF147" s="104">
        <v>573632</v>
      </c>
      <c r="AG147" s="104">
        <v>99.95</v>
      </c>
      <c r="AH147" s="71">
        <f t="shared" si="68"/>
        <v>0.57363200000000003</v>
      </c>
      <c r="AJ147" s="215">
        <v>45033</v>
      </c>
      <c r="AK147" s="48">
        <v>50</v>
      </c>
      <c r="AL147" s="104">
        <v>4</v>
      </c>
      <c r="AM147" s="48">
        <v>54</v>
      </c>
      <c r="AN147" s="104">
        <v>92.59</v>
      </c>
      <c r="AO147" s="246">
        <f t="shared" si="62"/>
        <v>5.3999999999999998E-5</v>
      </c>
      <c r="AQ147" s="215">
        <v>45033</v>
      </c>
      <c r="AR147" s="48">
        <v>1042</v>
      </c>
      <c r="AS147" s="48">
        <v>90</v>
      </c>
      <c r="AT147" s="48">
        <v>1132</v>
      </c>
      <c r="AU147" s="48">
        <v>92.05</v>
      </c>
      <c r="AV147" s="246">
        <f t="shared" si="69"/>
        <v>1.132E-3</v>
      </c>
      <c r="AX147" s="215">
        <v>45033</v>
      </c>
      <c r="AY147" s="48">
        <v>2002</v>
      </c>
      <c r="AZ147" s="48">
        <v>186</v>
      </c>
      <c r="BA147" s="48">
        <v>2188</v>
      </c>
      <c r="BB147" s="48">
        <v>91.5</v>
      </c>
      <c r="BC147" s="246">
        <f t="shared" si="70"/>
        <v>2.1879999999999998E-3</v>
      </c>
      <c r="BE147" s="215">
        <v>45033</v>
      </c>
      <c r="BF147" s="48">
        <v>2970</v>
      </c>
      <c r="BG147" s="104">
        <v>0</v>
      </c>
      <c r="BH147" s="48">
        <v>2970</v>
      </c>
      <c r="BI147" s="104">
        <v>100</v>
      </c>
      <c r="BJ147" s="71">
        <f t="shared" si="71"/>
        <v>2.97E-3</v>
      </c>
      <c r="BL147" s="1"/>
      <c r="BM147" s="1"/>
      <c r="BN147" s="1"/>
      <c r="BO147" s="1"/>
      <c r="BP147" s="1"/>
      <c r="BQ147" s="247"/>
      <c r="BS147" s="48"/>
      <c r="BT147" s="48"/>
      <c r="BU147" s="48"/>
      <c r="BV147" s="48"/>
      <c r="BW147" s="48"/>
      <c r="BZ147" s="1"/>
      <c r="CA147" s="1"/>
      <c r="CB147" s="1"/>
      <c r="CC147" s="1"/>
      <c r="CE147" s="215">
        <v>45033</v>
      </c>
      <c r="CF147" s="1">
        <v>11896580</v>
      </c>
      <c r="CG147" s="1">
        <v>19372</v>
      </c>
      <c r="CH147" s="1">
        <v>11915952</v>
      </c>
      <c r="CI147" s="71">
        <f t="shared" si="60"/>
        <v>99.837428012465978</v>
      </c>
      <c r="CJ147" s="71">
        <f t="shared" si="66"/>
        <v>11.915952000000001</v>
      </c>
      <c r="CL147" s="140">
        <v>44946</v>
      </c>
      <c r="CM147" t="s">
        <v>240</v>
      </c>
      <c r="CN147">
        <v>4306</v>
      </c>
    </row>
    <row r="148" spans="1:92" hidden="1" x14ac:dyDescent="0.25">
      <c r="A148" s="215">
        <v>45034</v>
      </c>
      <c r="B148" s="104">
        <v>5357114</v>
      </c>
      <c r="C148" s="104">
        <v>1658</v>
      </c>
      <c r="D148" s="104">
        <v>5358772</v>
      </c>
      <c r="E148" s="104">
        <v>99.97</v>
      </c>
      <c r="F148" s="71">
        <f t="shared" si="72"/>
        <v>5.3587720000000001</v>
      </c>
      <c r="H148" s="215">
        <v>45034</v>
      </c>
      <c r="I148" s="104">
        <v>2300550</v>
      </c>
      <c r="J148" s="104">
        <v>3884</v>
      </c>
      <c r="K148" s="104">
        <v>2304434</v>
      </c>
      <c r="L148" s="104">
        <v>99.83</v>
      </c>
      <c r="M148" s="71">
        <f t="shared" si="73"/>
        <v>2.3044340000000001</v>
      </c>
      <c r="O148" s="215">
        <v>45034</v>
      </c>
      <c r="P148" s="104">
        <v>664650</v>
      </c>
      <c r="Q148" s="104">
        <v>6176</v>
      </c>
      <c r="R148" s="104">
        <v>670826</v>
      </c>
      <c r="S148" s="104">
        <v>99.08</v>
      </c>
      <c r="T148" s="71">
        <f t="shared" si="67"/>
        <v>0.67082600000000003</v>
      </c>
      <c r="V148" s="215">
        <v>45034</v>
      </c>
      <c r="W148" s="104">
        <v>1000792</v>
      </c>
      <c r="X148" s="104">
        <v>208</v>
      </c>
      <c r="Y148" s="104">
        <v>1001000</v>
      </c>
      <c r="Z148" s="104">
        <v>99.98</v>
      </c>
      <c r="AA148" s="71">
        <f t="shared" si="61"/>
        <v>1.0009999999999999</v>
      </c>
      <c r="AC148" s="215">
        <v>45034</v>
      </c>
      <c r="AD148" s="104">
        <v>573362</v>
      </c>
      <c r="AE148" s="104">
        <v>494</v>
      </c>
      <c r="AF148" s="104">
        <v>573856</v>
      </c>
      <c r="AG148" s="104">
        <v>99.91</v>
      </c>
      <c r="AH148" s="71">
        <f t="shared" si="68"/>
        <v>0.57385600000000003</v>
      </c>
      <c r="AJ148" s="215">
        <v>45034</v>
      </c>
      <c r="AK148" s="48">
        <v>156</v>
      </c>
      <c r="AL148" s="104">
        <v>0</v>
      </c>
      <c r="AM148" s="48">
        <v>156</v>
      </c>
      <c r="AN148" s="104">
        <v>100</v>
      </c>
      <c r="AO148" s="246">
        <f t="shared" si="62"/>
        <v>1.56E-4</v>
      </c>
      <c r="AQ148" s="215">
        <v>45034</v>
      </c>
      <c r="AR148" s="48">
        <v>696</v>
      </c>
      <c r="AS148" s="48">
        <v>68</v>
      </c>
      <c r="AT148" s="48">
        <v>764</v>
      </c>
      <c r="AU148" s="48">
        <v>91.1</v>
      </c>
      <c r="AV148" s="246">
        <f t="shared" si="69"/>
        <v>7.6400000000000003E-4</v>
      </c>
      <c r="AX148" s="215">
        <v>45034</v>
      </c>
      <c r="AY148" s="48">
        <v>808</v>
      </c>
      <c r="AZ148" s="48">
        <v>30</v>
      </c>
      <c r="BA148" s="48">
        <v>838</v>
      </c>
      <c r="BB148" s="48">
        <v>96.42</v>
      </c>
      <c r="BC148" s="246">
        <f t="shared" si="70"/>
        <v>8.3799999999999999E-4</v>
      </c>
      <c r="BE148" s="215">
        <v>45034</v>
      </c>
      <c r="BF148" s="48">
        <v>3302</v>
      </c>
      <c r="BG148" s="104">
        <v>2</v>
      </c>
      <c r="BH148" s="48">
        <v>3304</v>
      </c>
      <c r="BI148" s="48">
        <v>99.94</v>
      </c>
      <c r="BJ148" s="71">
        <f t="shared" si="71"/>
        <v>3.3040000000000001E-3</v>
      </c>
      <c r="BL148" s="1"/>
      <c r="BM148" s="1"/>
      <c r="BN148" s="1"/>
      <c r="BO148" s="1"/>
      <c r="BP148" s="1"/>
      <c r="BQ148" s="247"/>
      <c r="BS148" s="48"/>
      <c r="BT148" s="48"/>
      <c r="BU148" s="48"/>
      <c r="BV148" s="48"/>
      <c r="BW148" s="48"/>
      <c r="BZ148" s="1"/>
      <c r="CA148" s="1"/>
      <c r="CB148" s="1"/>
      <c r="CC148" s="1"/>
      <c r="CE148" s="215">
        <v>45034</v>
      </c>
      <c r="CF148" s="1">
        <v>11285058</v>
      </c>
      <c r="CG148" s="1">
        <v>16260</v>
      </c>
      <c r="CH148" s="1">
        <v>11301318</v>
      </c>
      <c r="CI148" s="71">
        <f t="shared" si="60"/>
        <v>99.856122976098902</v>
      </c>
      <c r="CJ148" s="71">
        <f t="shared" si="66"/>
        <v>11.301318</v>
      </c>
      <c r="CL148" s="140">
        <v>44946</v>
      </c>
      <c r="CM148" t="s">
        <v>239</v>
      </c>
      <c r="CN148">
        <v>946</v>
      </c>
    </row>
    <row r="149" spans="1:92" hidden="1" x14ac:dyDescent="0.25">
      <c r="A149" s="215">
        <v>45035</v>
      </c>
      <c r="B149" s="104">
        <v>5403878</v>
      </c>
      <c r="C149" s="104">
        <v>2634</v>
      </c>
      <c r="D149" s="104">
        <v>5406512</v>
      </c>
      <c r="E149" s="104">
        <v>99.95</v>
      </c>
      <c r="F149" s="71">
        <f t="shared" si="72"/>
        <v>5.4065120000000002</v>
      </c>
      <c r="H149" s="215">
        <v>45035</v>
      </c>
      <c r="I149" s="104">
        <v>2065212</v>
      </c>
      <c r="J149" s="104">
        <v>3436</v>
      </c>
      <c r="K149" s="104">
        <v>2068648</v>
      </c>
      <c r="L149" s="104">
        <v>99.83</v>
      </c>
      <c r="M149" s="71">
        <f t="shared" si="73"/>
        <v>2.068648</v>
      </c>
      <c r="O149" s="215">
        <v>45035</v>
      </c>
      <c r="P149" s="104">
        <v>667070</v>
      </c>
      <c r="Q149" s="104">
        <v>5712</v>
      </c>
      <c r="R149" s="104">
        <v>672782</v>
      </c>
      <c r="S149" s="104">
        <v>99.15</v>
      </c>
      <c r="T149" s="71">
        <f t="shared" si="67"/>
        <v>0.67278199999999999</v>
      </c>
      <c r="V149" s="215">
        <v>45035</v>
      </c>
      <c r="W149" s="104">
        <v>961282</v>
      </c>
      <c r="X149" s="104">
        <v>280</v>
      </c>
      <c r="Y149" s="104">
        <v>961562</v>
      </c>
      <c r="Z149" s="104">
        <v>99.97</v>
      </c>
      <c r="AA149" s="71">
        <f t="shared" si="61"/>
        <v>0.96156200000000003</v>
      </c>
      <c r="AC149" s="215">
        <v>45035</v>
      </c>
      <c r="AD149" s="104">
        <v>552000</v>
      </c>
      <c r="AE149" s="104">
        <v>340</v>
      </c>
      <c r="AF149" s="104">
        <v>552340</v>
      </c>
      <c r="AG149" s="104">
        <v>99.94</v>
      </c>
      <c r="AH149" s="71">
        <f t="shared" si="68"/>
        <v>0.55234000000000005</v>
      </c>
      <c r="AJ149" s="215">
        <v>45035</v>
      </c>
      <c r="AK149" s="48">
        <v>94</v>
      </c>
      <c r="AL149" s="104">
        <v>0</v>
      </c>
      <c r="AM149" s="48">
        <v>94</v>
      </c>
      <c r="AN149" s="104">
        <v>100</v>
      </c>
      <c r="AO149" s="246">
        <f t="shared" si="62"/>
        <v>9.3999999999999994E-5</v>
      </c>
      <c r="AQ149" s="215">
        <v>45035</v>
      </c>
      <c r="AR149" s="48">
        <v>1280</v>
      </c>
      <c r="AS149" s="48">
        <v>92</v>
      </c>
      <c r="AT149" s="48">
        <v>1372</v>
      </c>
      <c r="AU149" s="71">
        <f>AR149/AT149%</f>
        <v>93.294460641399411</v>
      </c>
      <c r="AV149" s="246">
        <f t="shared" si="69"/>
        <v>1.372E-3</v>
      </c>
      <c r="AX149" s="215">
        <v>45035</v>
      </c>
      <c r="AY149" s="48">
        <v>1384</v>
      </c>
      <c r="AZ149" s="48">
        <v>64</v>
      </c>
      <c r="BA149" s="48">
        <v>1448</v>
      </c>
      <c r="BB149" s="71">
        <f>AY149/BA149%</f>
        <v>95.58011049723757</v>
      </c>
      <c r="BC149" s="246">
        <f t="shared" si="70"/>
        <v>1.4480000000000001E-3</v>
      </c>
      <c r="BE149" s="215">
        <v>45035</v>
      </c>
      <c r="BF149" s="104">
        <v>3116</v>
      </c>
      <c r="BG149" s="104">
        <v>2</v>
      </c>
      <c r="BH149" s="104">
        <v>3118</v>
      </c>
      <c r="BI149" s="104">
        <v>99.94</v>
      </c>
      <c r="BJ149" s="71">
        <f t="shared" si="71"/>
        <v>3.1180000000000001E-3</v>
      </c>
      <c r="BL149" s="1"/>
      <c r="BM149" s="1"/>
      <c r="BN149" s="1"/>
      <c r="BO149" s="1"/>
      <c r="BP149" s="1"/>
      <c r="BQ149" s="247"/>
      <c r="BS149" s="48"/>
      <c r="BT149" s="48"/>
      <c r="BU149" s="48"/>
      <c r="BV149" s="48"/>
      <c r="BW149" s="48"/>
      <c r="BZ149" s="1"/>
      <c r="CA149" s="1"/>
      <c r="CB149" s="1"/>
      <c r="CC149" s="1"/>
      <c r="CE149" s="215">
        <v>45035</v>
      </c>
      <c r="CF149" s="1">
        <v>10952152</v>
      </c>
      <c r="CG149" s="1">
        <v>16692</v>
      </c>
      <c r="CH149" s="1">
        <v>10968844</v>
      </c>
      <c r="CI149" s="71">
        <f t="shared" si="60"/>
        <v>99.847823526344257</v>
      </c>
      <c r="CJ149" s="71">
        <f t="shared" si="66"/>
        <v>10.968844000000001</v>
      </c>
      <c r="CL149" s="140">
        <v>44946</v>
      </c>
      <c r="CM149" t="s">
        <v>241</v>
      </c>
      <c r="CN149">
        <v>734</v>
      </c>
    </row>
    <row r="150" spans="1:92" hidden="1" x14ac:dyDescent="0.25">
      <c r="A150" s="215">
        <v>45036</v>
      </c>
      <c r="B150" s="104">
        <v>6292012</v>
      </c>
      <c r="C150" s="104">
        <v>2806</v>
      </c>
      <c r="D150" s="104">
        <v>6294818</v>
      </c>
      <c r="E150" s="104">
        <v>99.96</v>
      </c>
      <c r="F150" s="71">
        <f t="shared" si="72"/>
        <v>6.2948180000000002</v>
      </c>
      <c r="H150" s="215">
        <v>45036</v>
      </c>
      <c r="I150" s="104">
        <v>2395600</v>
      </c>
      <c r="J150" s="104">
        <v>8194</v>
      </c>
      <c r="K150" s="104">
        <v>2403794</v>
      </c>
      <c r="L150" s="104">
        <v>99.66</v>
      </c>
      <c r="M150" s="71">
        <f t="shared" si="73"/>
        <v>2.403794</v>
      </c>
      <c r="O150" s="215">
        <v>45036</v>
      </c>
      <c r="P150" s="104">
        <v>731494</v>
      </c>
      <c r="Q150" s="104">
        <v>6660</v>
      </c>
      <c r="R150" s="104">
        <v>738154</v>
      </c>
      <c r="S150" s="104">
        <v>99.1</v>
      </c>
      <c r="T150" s="71">
        <f t="shared" si="67"/>
        <v>0.73815399999999998</v>
      </c>
      <c r="V150" s="215">
        <v>45036</v>
      </c>
      <c r="W150" s="104">
        <v>1203132</v>
      </c>
      <c r="X150" s="104">
        <v>190</v>
      </c>
      <c r="Y150" s="104">
        <v>1203322</v>
      </c>
      <c r="Z150" s="104">
        <v>99.98</v>
      </c>
      <c r="AA150" s="71">
        <f t="shared" si="61"/>
        <v>1.203322</v>
      </c>
      <c r="AC150" s="215">
        <v>45036</v>
      </c>
      <c r="AD150" s="104">
        <v>610208</v>
      </c>
      <c r="AE150" s="104">
        <v>548</v>
      </c>
      <c r="AF150" s="104">
        <v>610756</v>
      </c>
      <c r="AG150" s="104">
        <v>99.91</v>
      </c>
      <c r="AH150" s="71">
        <f t="shared" si="68"/>
        <v>0.61075599999999997</v>
      </c>
      <c r="AJ150" s="215">
        <v>45036</v>
      </c>
      <c r="AK150" s="48">
        <v>60</v>
      </c>
      <c r="AL150" s="104">
        <v>14</v>
      </c>
      <c r="AM150" s="48">
        <v>74</v>
      </c>
      <c r="AN150" s="48">
        <f>AK150/AM150%</f>
        <v>81.081081081081081</v>
      </c>
      <c r="AO150" s="246">
        <f t="shared" si="62"/>
        <v>7.3999999999999996E-5</v>
      </c>
      <c r="AQ150" s="215">
        <v>45036</v>
      </c>
      <c r="AR150" s="48">
        <v>1138</v>
      </c>
      <c r="AS150" s="48">
        <v>100</v>
      </c>
      <c r="AT150" s="48">
        <v>1238</v>
      </c>
      <c r="AU150" s="71">
        <f>AR150/AT150%</f>
        <v>91.922455573505644</v>
      </c>
      <c r="AV150" s="246">
        <f t="shared" si="69"/>
        <v>1.238E-3</v>
      </c>
      <c r="AX150" s="215">
        <v>45036</v>
      </c>
      <c r="AY150" s="104">
        <v>1592</v>
      </c>
      <c r="AZ150" s="104">
        <v>292</v>
      </c>
      <c r="BA150" s="104">
        <v>1884</v>
      </c>
      <c r="BB150" s="104">
        <v>84.5</v>
      </c>
      <c r="BC150" s="246">
        <f t="shared" si="70"/>
        <v>1.884E-3</v>
      </c>
      <c r="BE150" s="215">
        <v>45036</v>
      </c>
      <c r="BF150" s="104">
        <v>2570</v>
      </c>
      <c r="BG150" s="104">
        <v>0</v>
      </c>
      <c r="BH150" s="104">
        <v>2570</v>
      </c>
      <c r="BI150" s="104">
        <v>100</v>
      </c>
      <c r="BJ150" s="71">
        <f t="shared" si="71"/>
        <v>2.5699999999999998E-3</v>
      </c>
      <c r="BL150" s="1"/>
      <c r="BM150" s="1"/>
      <c r="BN150" s="1"/>
      <c r="BO150" s="1"/>
      <c r="BP150" s="1"/>
      <c r="BQ150" s="247"/>
      <c r="BS150" s="48"/>
      <c r="BT150" s="48"/>
      <c r="BU150" s="48"/>
      <c r="BV150" s="48"/>
      <c r="BW150" s="48"/>
      <c r="BZ150" s="1"/>
      <c r="CA150" s="1"/>
      <c r="CB150" s="1"/>
      <c r="CC150" s="1"/>
      <c r="CE150" s="215">
        <v>45036</v>
      </c>
      <c r="CF150" s="1">
        <v>12621360</v>
      </c>
      <c r="CG150" s="1">
        <v>22960</v>
      </c>
      <c r="CH150" s="1">
        <v>12644320</v>
      </c>
      <c r="CI150" s="71">
        <f t="shared" si="60"/>
        <v>99.81841649056652</v>
      </c>
      <c r="CJ150" s="71">
        <f t="shared" si="66"/>
        <v>12.64432</v>
      </c>
      <c r="CL150" s="140">
        <v>44947</v>
      </c>
      <c r="CM150" t="s">
        <v>237</v>
      </c>
      <c r="CN150">
        <v>14424</v>
      </c>
    </row>
    <row r="151" spans="1:92" hidden="1" x14ac:dyDescent="0.25">
      <c r="A151" s="215">
        <v>45037</v>
      </c>
      <c r="B151" s="48">
        <v>4955336</v>
      </c>
      <c r="C151" s="48">
        <v>1538</v>
      </c>
      <c r="D151" s="48">
        <v>4956874</v>
      </c>
      <c r="E151" s="48">
        <v>99.97</v>
      </c>
      <c r="F151" s="71">
        <f t="shared" si="72"/>
        <v>4.956874</v>
      </c>
      <c r="H151" s="215">
        <v>45037</v>
      </c>
      <c r="I151" s="48">
        <v>2376978</v>
      </c>
      <c r="J151" s="48">
        <v>3710</v>
      </c>
      <c r="K151" s="48">
        <v>2380688</v>
      </c>
      <c r="L151" s="48">
        <v>99.84</v>
      </c>
      <c r="M151" s="71">
        <f t="shared" si="73"/>
        <v>2.3806880000000001</v>
      </c>
      <c r="O151" s="215">
        <v>45037</v>
      </c>
      <c r="P151" s="48">
        <v>697670</v>
      </c>
      <c r="Q151" s="48">
        <v>6832</v>
      </c>
      <c r="R151" s="48">
        <v>704502</v>
      </c>
      <c r="S151" s="48">
        <v>99.03</v>
      </c>
      <c r="T151" s="71">
        <f t="shared" si="67"/>
        <v>0.70450199999999996</v>
      </c>
      <c r="V151" s="215">
        <v>45037</v>
      </c>
      <c r="W151" s="48">
        <v>1218648</v>
      </c>
      <c r="X151" s="48">
        <v>200</v>
      </c>
      <c r="Y151" s="48">
        <v>1218848</v>
      </c>
      <c r="Z151" s="48">
        <v>99.98</v>
      </c>
      <c r="AA151" s="71">
        <f t="shared" si="61"/>
        <v>1.2188479999999999</v>
      </c>
      <c r="AC151" s="215">
        <v>45037</v>
      </c>
      <c r="AD151" s="48">
        <v>658386</v>
      </c>
      <c r="AE151" s="48">
        <v>482</v>
      </c>
      <c r="AF151" s="48">
        <v>658868</v>
      </c>
      <c r="AG151" s="48">
        <v>99.93</v>
      </c>
      <c r="AH151" s="71">
        <f t="shared" si="68"/>
        <v>0.65886800000000001</v>
      </c>
      <c r="AJ151" s="215">
        <v>45037</v>
      </c>
      <c r="AK151" s="48">
        <v>12</v>
      </c>
      <c r="AL151" s="104">
        <v>0</v>
      </c>
      <c r="AM151" s="48">
        <v>12</v>
      </c>
      <c r="AN151" s="104">
        <v>100</v>
      </c>
      <c r="AO151" s="246">
        <f t="shared" si="62"/>
        <v>1.2E-5</v>
      </c>
      <c r="AQ151" s="215">
        <v>45037</v>
      </c>
      <c r="AR151" s="48">
        <v>318</v>
      </c>
      <c r="AS151" s="48">
        <v>60</v>
      </c>
      <c r="AT151" s="48">
        <v>378</v>
      </c>
      <c r="AU151" s="48">
        <v>84.13</v>
      </c>
      <c r="AV151" s="246">
        <f t="shared" si="69"/>
        <v>3.7800000000000003E-4</v>
      </c>
      <c r="AX151" s="215">
        <v>45037</v>
      </c>
      <c r="AY151" s="48">
        <v>442</v>
      </c>
      <c r="AZ151" s="48">
        <v>14</v>
      </c>
      <c r="BA151" s="48">
        <v>456</v>
      </c>
      <c r="BB151" s="48">
        <v>96.93</v>
      </c>
      <c r="BC151" s="246">
        <f t="shared" si="70"/>
        <v>4.5600000000000003E-4</v>
      </c>
      <c r="BE151" s="215">
        <v>45037</v>
      </c>
      <c r="BF151" s="48">
        <v>2712</v>
      </c>
      <c r="BG151" s="48">
        <v>2</v>
      </c>
      <c r="BH151" s="48">
        <v>2714</v>
      </c>
      <c r="BI151" s="48">
        <v>99.93</v>
      </c>
      <c r="BJ151" s="71">
        <f t="shared" si="71"/>
        <v>2.7139999999999998E-3</v>
      </c>
      <c r="BL151" s="1"/>
      <c r="BM151" s="1"/>
      <c r="BN151" s="1"/>
      <c r="BO151" s="1"/>
      <c r="BP151" s="1"/>
      <c r="BQ151" s="247"/>
      <c r="BS151" s="48"/>
      <c r="BT151" s="48"/>
      <c r="BU151" s="48"/>
      <c r="BV151" s="48"/>
      <c r="BW151" s="48"/>
      <c r="BZ151" s="1"/>
      <c r="CA151" s="1"/>
      <c r="CB151" s="1"/>
      <c r="CC151" s="1"/>
      <c r="CE151" s="215">
        <v>45037</v>
      </c>
      <c r="CF151" s="1">
        <v>11296068</v>
      </c>
      <c r="CG151" s="1">
        <v>15860</v>
      </c>
      <c r="CH151" s="1">
        <v>11311928</v>
      </c>
      <c r="CI151" s="71">
        <f t="shared" si="60"/>
        <v>99.859794015662047</v>
      </c>
      <c r="CJ151" s="71">
        <f t="shared" si="66"/>
        <v>11.311928</v>
      </c>
      <c r="CL151" s="140">
        <v>44947</v>
      </c>
      <c r="CM151" t="s">
        <v>239</v>
      </c>
      <c r="CN151">
        <v>7800</v>
      </c>
    </row>
    <row r="152" spans="1:92" hidden="1" x14ac:dyDescent="0.25">
      <c r="A152" s="215">
        <v>45038</v>
      </c>
      <c r="B152" s="48">
        <v>4972242</v>
      </c>
      <c r="C152" s="48">
        <v>1558</v>
      </c>
      <c r="D152" s="48">
        <v>4973800</v>
      </c>
      <c r="E152" s="48">
        <v>99.97</v>
      </c>
      <c r="F152" s="71">
        <f t="shared" si="72"/>
        <v>4.9737999999999998</v>
      </c>
      <c r="H152" s="215">
        <v>45038</v>
      </c>
      <c r="I152" s="48">
        <v>2350898</v>
      </c>
      <c r="J152" s="48">
        <v>3506</v>
      </c>
      <c r="K152" s="48">
        <v>2354404</v>
      </c>
      <c r="L152" s="48">
        <v>99.85</v>
      </c>
      <c r="M152" s="71">
        <f t="shared" si="73"/>
        <v>2.3544040000000002</v>
      </c>
      <c r="O152" s="215">
        <v>45038</v>
      </c>
      <c r="P152" s="48">
        <v>683596</v>
      </c>
      <c r="Q152" s="48">
        <v>6232</v>
      </c>
      <c r="R152" s="48">
        <v>689828</v>
      </c>
      <c r="S152" s="48">
        <v>99.1</v>
      </c>
      <c r="T152" s="71">
        <f t="shared" si="67"/>
        <v>0.689828</v>
      </c>
      <c r="V152" s="215">
        <v>45038</v>
      </c>
      <c r="W152" s="48">
        <v>1105432</v>
      </c>
      <c r="X152" s="48">
        <v>196</v>
      </c>
      <c r="Y152" s="48">
        <v>1105628</v>
      </c>
      <c r="Z152" s="48">
        <v>99.98</v>
      </c>
      <c r="AA152" s="71">
        <f t="shared" si="61"/>
        <v>1.1056280000000001</v>
      </c>
      <c r="AC152" s="215">
        <v>45038</v>
      </c>
      <c r="AD152" s="48">
        <v>646276</v>
      </c>
      <c r="AE152" s="48">
        <v>1956</v>
      </c>
      <c r="AF152" s="48">
        <v>648232</v>
      </c>
      <c r="AG152" s="48">
        <v>99.7</v>
      </c>
      <c r="AH152" s="71">
        <f t="shared" si="68"/>
        <v>0.64823200000000003</v>
      </c>
      <c r="AJ152" s="215">
        <v>45038</v>
      </c>
      <c r="AK152" s="48">
        <v>90</v>
      </c>
      <c r="AL152" s="104">
        <v>0</v>
      </c>
      <c r="AM152" s="48">
        <v>90</v>
      </c>
      <c r="AN152" s="104">
        <v>100</v>
      </c>
      <c r="AO152" s="246">
        <f t="shared" si="62"/>
        <v>9.0000000000000006E-5</v>
      </c>
      <c r="AQ152" s="215">
        <v>45038</v>
      </c>
      <c r="AR152" s="48">
        <v>494</v>
      </c>
      <c r="AS152" s="48">
        <v>56</v>
      </c>
      <c r="AT152" s="48">
        <v>550</v>
      </c>
      <c r="AU152" s="48">
        <v>89.82</v>
      </c>
      <c r="AV152" s="246">
        <f t="shared" si="69"/>
        <v>5.5000000000000003E-4</v>
      </c>
      <c r="AX152" s="215">
        <v>45038</v>
      </c>
      <c r="AY152" s="48">
        <v>550</v>
      </c>
      <c r="AZ152" s="48">
        <v>12</v>
      </c>
      <c r="BA152" s="48">
        <v>562</v>
      </c>
      <c r="BB152" s="48">
        <v>97.86</v>
      </c>
      <c r="BC152" s="246">
        <f t="shared" si="70"/>
        <v>5.62E-4</v>
      </c>
      <c r="BE152" s="215">
        <v>45038</v>
      </c>
      <c r="BF152" s="48">
        <v>2450</v>
      </c>
      <c r="BG152" s="48">
        <v>0</v>
      </c>
      <c r="BH152" s="48">
        <v>2450</v>
      </c>
      <c r="BI152" s="48">
        <v>100</v>
      </c>
      <c r="BJ152" s="71">
        <f t="shared" si="71"/>
        <v>2.4499999999999999E-3</v>
      </c>
      <c r="BL152" s="1"/>
      <c r="BM152" s="1"/>
      <c r="BN152" s="1"/>
      <c r="BO152" s="1"/>
      <c r="BP152" s="1"/>
      <c r="BQ152" s="247"/>
      <c r="BS152" s="48"/>
      <c r="BT152" s="48"/>
      <c r="BU152" s="48"/>
      <c r="BV152" s="48"/>
      <c r="BW152" s="48"/>
      <c r="BZ152" s="1"/>
      <c r="CA152" s="1"/>
      <c r="CB152" s="1"/>
      <c r="CC152" s="1"/>
      <c r="CE152" s="215">
        <v>45038</v>
      </c>
      <c r="CF152" s="1">
        <v>11111308</v>
      </c>
      <c r="CG152" s="1">
        <v>16924</v>
      </c>
      <c r="CH152" s="1">
        <v>11128232</v>
      </c>
      <c r="CI152" s="71">
        <f t="shared" si="60"/>
        <v>99.847918339588887</v>
      </c>
      <c r="CJ152" s="71">
        <f t="shared" si="66"/>
        <v>11.128232000000001</v>
      </c>
      <c r="CL152" s="140">
        <v>44947</v>
      </c>
      <c r="CM152" t="s">
        <v>238</v>
      </c>
      <c r="CN152">
        <v>4672</v>
      </c>
    </row>
    <row r="153" spans="1:92" hidden="1" x14ac:dyDescent="0.25">
      <c r="A153" s="215">
        <v>45039</v>
      </c>
      <c r="B153" s="48">
        <v>4336400</v>
      </c>
      <c r="C153" s="48">
        <v>976</v>
      </c>
      <c r="D153" s="48">
        <v>4337376</v>
      </c>
      <c r="E153" s="48">
        <v>99.98</v>
      </c>
      <c r="F153" s="71">
        <f t="shared" si="72"/>
        <v>4.3373759999999999</v>
      </c>
      <c r="H153" s="215">
        <v>45039</v>
      </c>
      <c r="I153" s="48">
        <v>2122962</v>
      </c>
      <c r="J153" s="48">
        <v>3180</v>
      </c>
      <c r="K153" s="48">
        <v>2126142</v>
      </c>
      <c r="L153" s="48">
        <v>99.85</v>
      </c>
      <c r="M153" s="71">
        <f t="shared" si="73"/>
        <v>2.1261420000000002</v>
      </c>
      <c r="O153" s="215">
        <v>45039</v>
      </c>
      <c r="P153" s="48">
        <v>693756</v>
      </c>
      <c r="Q153" s="48">
        <v>5716</v>
      </c>
      <c r="R153" s="48">
        <v>699472</v>
      </c>
      <c r="S153" s="48">
        <v>99.18</v>
      </c>
      <c r="T153" s="71">
        <f t="shared" si="67"/>
        <v>0.69947199999999998</v>
      </c>
      <c r="V153" s="215">
        <v>45039</v>
      </c>
      <c r="W153" s="48">
        <v>1028564</v>
      </c>
      <c r="X153" s="48">
        <v>214</v>
      </c>
      <c r="Y153" s="48">
        <v>1028778</v>
      </c>
      <c r="Z153" s="48">
        <v>99.98</v>
      </c>
      <c r="AA153" s="71">
        <f t="shared" si="61"/>
        <v>1.028778</v>
      </c>
      <c r="AC153" s="215">
        <v>45039</v>
      </c>
      <c r="AD153" s="48">
        <v>587144</v>
      </c>
      <c r="AE153" s="48">
        <v>1478</v>
      </c>
      <c r="AF153" s="48">
        <v>588622</v>
      </c>
      <c r="AG153" s="48">
        <v>99.75</v>
      </c>
      <c r="AH153" s="71">
        <f t="shared" si="68"/>
        <v>0.58862199999999998</v>
      </c>
      <c r="AJ153" s="215">
        <v>45039</v>
      </c>
      <c r="AK153" s="48">
        <v>58</v>
      </c>
      <c r="AL153" s="104">
        <v>0</v>
      </c>
      <c r="AM153" s="48">
        <v>58</v>
      </c>
      <c r="AN153" s="104">
        <v>100</v>
      </c>
      <c r="AO153" s="246">
        <f t="shared" si="62"/>
        <v>5.8E-5</v>
      </c>
      <c r="AQ153" s="215">
        <v>45039</v>
      </c>
      <c r="AR153" s="48">
        <v>372</v>
      </c>
      <c r="AS153" s="48">
        <v>46</v>
      </c>
      <c r="AT153" s="48">
        <v>418</v>
      </c>
      <c r="AU153" s="48">
        <v>89</v>
      </c>
      <c r="AV153" s="246">
        <f t="shared" si="69"/>
        <v>4.1800000000000002E-4</v>
      </c>
      <c r="AX153" s="215">
        <v>45039</v>
      </c>
      <c r="AY153" s="48">
        <v>82</v>
      </c>
      <c r="AZ153" s="48">
        <v>108</v>
      </c>
      <c r="BA153" s="48">
        <v>190</v>
      </c>
      <c r="BB153" s="48">
        <v>43.16</v>
      </c>
      <c r="BC153" s="246">
        <f t="shared" si="70"/>
        <v>1.9000000000000001E-4</v>
      </c>
      <c r="BE153" s="215">
        <v>45039</v>
      </c>
      <c r="BF153" s="48">
        <v>2596</v>
      </c>
      <c r="BG153" s="48">
        <v>0</v>
      </c>
      <c r="BH153" s="48">
        <v>2596</v>
      </c>
      <c r="BI153" s="48">
        <v>100</v>
      </c>
      <c r="BJ153" s="71">
        <f t="shared" si="71"/>
        <v>2.5959999999999998E-3</v>
      </c>
      <c r="BL153" s="1"/>
      <c r="BM153" s="1"/>
      <c r="BN153" s="1"/>
      <c r="BO153" s="1"/>
      <c r="BP153" s="1"/>
      <c r="BQ153" s="247"/>
      <c r="BS153" s="48"/>
      <c r="BT153" s="48"/>
      <c r="BU153" s="48"/>
      <c r="BV153" s="48"/>
      <c r="BW153" s="48"/>
      <c r="BZ153" s="1"/>
      <c r="CA153" s="1"/>
      <c r="CB153" s="1"/>
      <c r="CC153" s="1"/>
      <c r="CE153" s="215">
        <v>45039</v>
      </c>
      <c r="CF153" s="1">
        <v>10011950</v>
      </c>
      <c r="CG153" s="1">
        <v>14666</v>
      </c>
      <c r="CH153" s="1">
        <v>10026616</v>
      </c>
      <c r="CI153" s="71">
        <f t="shared" si="60"/>
        <v>99.853729314057702</v>
      </c>
      <c r="CJ153" s="71">
        <f t="shared" si="66"/>
        <v>10.026616000000001</v>
      </c>
      <c r="CL153" s="140">
        <v>44947</v>
      </c>
      <c r="CM153" t="s">
        <v>240</v>
      </c>
      <c r="CN153">
        <v>2198</v>
      </c>
    </row>
    <row r="154" spans="1:92" hidden="1" x14ac:dyDescent="0.25">
      <c r="A154" s="215">
        <v>45040</v>
      </c>
      <c r="B154" s="48">
        <v>5533142</v>
      </c>
      <c r="C154" s="48">
        <v>2624</v>
      </c>
      <c r="D154" s="48">
        <v>5535766</v>
      </c>
      <c r="E154" s="48">
        <v>99.95</v>
      </c>
      <c r="F154" s="71">
        <f t="shared" si="72"/>
        <v>5.5357659999999997</v>
      </c>
      <c r="H154" s="215">
        <v>45040</v>
      </c>
      <c r="I154" s="48">
        <v>2328812</v>
      </c>
      <c r="J154" s="48">
        <v>3770</v>
      </c>
      <c r="K154" s="48">
        <v>2332582</v>
      </c>
      <c r="L154" s="48">
        <v>99.84</v>
      </c>
      <c r="M154" s="71">
        <f t="shared" si="73"/>
        <v>2.3325819999999999</v>
      </c>
      <c r="O154" s="215">
        <v>45040</v>
      </c>
      <c r="P154" s="48">
        <v>741614</v>
      </c>
      <c r="Q154" s="48">
        <v>5954</v>
      </c>
      <c r="R154" s="48">
        <v>747568</v>
      </c>
      <c r="S154" s="48">
        <v>99.2</v>
      </c>
      <c r="T154" s="71">
        <f t="shared" si="67"/>
        <v>0.74756800000000001</v>
      </c>
      <c r="V154" s="215">
        <v>45040</v>
      </c>
      <c r="W154" s="48">
        <v>1114250</v>
      </c>
      <c r="X154" s="48">
        <v>508</v>
      </c>
      <c r="Y154" s="48">
        <v>1114758</v>
      </c>
      <c r="Z154" s="48">
        <v>99.95</v>
      </c>
      <c r="AA154" s="71">
        <f t="shared" si="61"/>
        <v>1.1147579999999999</v>
      </c>
      <c r="AC154" s="215">
        <v>45040</v>
      </c>
      <c r="AD154" s="48">
        <v>559384</v>
      </c>
      <c r="AE154" s="48">
        <v>158</v>
      </c>
      <c r="AF154" s="48">
        <v>559542</v>
      </c>
      <c r="AG154" s="48">
        <v>99.97</v>
      </c>
      <c r="AH154" s="71">
        <f t="shared" si="68"/>
        <v>0.55954199999999998</v>
      </c>
      <c r="AJ154" s="215">
        <v>45040</v>
      </c>
      <c r="AK154" s="48">
        <v>32</v>
      </c>
      <c r="AL154" s="104">
        <v>0</v>
      </c>
      <c r="AM154" s="48">
        <v>32</v>
      </c>
      <c r="AN154" s="104">
        <v>100</v>
      </c>
      <c r="AO154" s="246">
        <f t="shared" si="62"/>
        <v>3.1999999999999999E-5</v>
      </c>
      <c r="AQ154" s="215">
        <v>45040</v>
      </c>
      <c r="AR154" s="48">
        <v>1392</v>
      </c>
      <c r="AS154" s="48">
        <v>140</v>
      </c>
      <c r="AT154" s="48">
        <v>1532</v>
      </c>
      <c r="AU154" s="48">
        <v>90.86</v>
      </c>
      <c r="AV154" s="246">
        <f t="shared" si="69"/>
        <v>1.5319999999999999E-3</v>
      </c>
      <c r="AX154" s="215">
        <v>45040</v>
      </c>
      <c r="AY154" s="48">
        <v>1976</v>
      </c>
      <c r="AZ154" s="48">
        <v>48</v>
      </c>
      <c r="BA154" s="48">
        <v>2024</v>
      </c>
      <c r="BB154" s="48">
        <v>97.63</v>
      </c>
      <c r="BC154" s="246">
        <f t="shared" si="70"/>
        <v>2.0240000000000002E-3</v>
      </c>
      <c r="BE154" s="215">
        <v>45040</v>
      </c>
      <c r="BF154" s="48">
        <v>3118</v>
      </c>
      <c r="BG154" s="48">
        <v>0</v>
      </c>
      <c r="BH154" s="48">
        <v>3118</v>
      </c>
      <c r="BI154" s="48">
        <v>100</v>
      </c>
      <c r="BJ154" s="71">
        <f t="shared" si="71"/>
        <v>3.1180000000000001E-3</v>
      </c>
      <c r="BL154" s="1"/>
      <c r="BM154" s="1"/>
      <c r="BN154" s="1"/>
      <c r="BO154" s="1"/>
      <c r="BP154" s="1"/>
      <c r="BQ154" s="247"/>
      <c r="BS154" s="48"/>
      <c r="BT154" s="48"/>
      <c r="BU154" s="48"/>
      <c r="BV154" s="48"/>
      <c r="BW154" s="48"/>
      <c r="BZ154" s="1"/>
      <c r="CA154" s="1"/>
      <c r="CB154" s="1"/>
      <c r="CC154" s="1"/>
      <c r="CE154" s="215">
        <v>45040</v>
      </c>
      <c r="CF154" s="1">
        <v>11834384</v>
      </c>
      <c r="CG154" s="1">
        <v>24504</v>
      </c>
      <c r="CH154" s="1">
        <v>11858888</v>
      </c>
      <c r="CI154" s="71">
        <f t="shared" si="60"/>
        <v>99.793370170963755</v>
      </c>
      <c r="CJ154" s="71">
        <f t="shared" si="66"/>
        <v>11.858888</v>
      </c>
      <c r="CL154" s="140">
        <v>44947</v>
      </c>
      <c r="CM154" t="s">
        <v>241</v>
      </c>
      <c r="CN154">
        <v>722</v>
      </c>
    </row>
    <row r="155" spans="1:92" hidden="1" x14ac:dyDescent="0.25">
      <c r="A155" s="215">
        <v>45041</v>
      </c>
      <c r="B155" s="48">
        <v>2233256</v>
      </c>
      <c r="C155" s="48">
        <v>2564</v>
      </c>
      <c r="D155" s="48">
        <v>2235820</v>
      </c>
      <c r="E155" s="48">
        <v>99.89</v>
      </c>
      <c r="F155" s="71">
        <f t="shared" si="72"/>
        <v>2.2358199999999999</v>
      </c>
      <c r="H155" s="215">
        <v>45041</v>
      </c>
      <c r="I155" s="48">
        <v>974374</v>
      </c>
      <c r="J155" s="48">
        <v>1529</v>
      </c>
      <c r="K155" s="48">
        <v>975903</v>
      </c>
      <c r="L155" s="48">
        <v>99.84</v>
      </c>
      <c r="M155" s="71">
        <f t="shared" si="73"/>
        <v>0.97590299999999996</v>
      </c>
      <c r="O155" s="215">
        <v>45041</v>
      </c>
      <c r="P155" s="48">
        <v>257888</v>
      </c>
      <c r="Q155" s="48">
        <v>2341</v>
      </c>
      <c r="R155" s="48">
        <v>260229</v>
      </c>
      <c r="S155" s="48">
        <v>99.1</v>
      </c>
      <c r="T155" s="71">
        <f t="shared" si="67"/>
        <v>0.26022899999999999</v>
      </c>
      <c r="V155" s="215">
        <v>45041</v>
      </c>
      <c r="W155" s="48">
        <v>379845</v>
      </c>
      <c r="X155" s="48">
        <v>64</v>
      </c>
      <c r="Y155" s="48">
        <v>379909</v>
      </c>
      <c r="Z155" s="48">
        <v>99.98</v>
      </c>
      <c r="AA155" s="71">
        <f t="shared" si="61"/>
        <v>0.379909</v>
      </c>
      <c r="AC155" s="215">
        <v>45041</v>
      </c>
      <c r="AD155" s="48">
        <v>248897</v>
      </c>
      <c r="AE155" s="48">
        <v>55</v>
      </c>
      <c r="AF155" s="48">
        <v>248952</v>
      </c>
      <c r="AG155" s="48">
        <v>99.98</v>
      </c>
      <c r="AH155" s="71">
        <f t="shared" si="68"/>
        <v>0.24895200000000001</v>
      </c>
      <c r="AJ155" s="215">
        <v>45041</v>
      </c>
      <c r="AK155" s="48">
        <v>28</v>
      </c>
      <c r="AL155" s="104">
        <v>0</v>
      </c>
      <c r="AM155" s="48">
        <v>28</v>
      </c>
      <c r="AN155" s="104">
        <v>100</v>
      </c>
      <c r="AO155" s="246">
        <f t="shared" si="62"/>
        <v>2.8E-5</v>
      </c>
      <c r="AQ155" s="215">
        <v>45041</v>
      </c>
      <c r="AR155" s="48">
        <v>592</v>
      </c>
      <c r="AS155" s="48">
        <v>102</v>
      </c>
      <c r="AT155" s="48">
        <v>694</v>
      </c>
      <c r="AU155" s="48">
        <v>85.3</v>
      </c>
      <c r="AV155" s="246">
        <f t="shared" si="69"/>
        <v>6.9399999999999996E-4</v>
      </c>
      <c r="AX155" s="215">
        <v>45041</v>
      </c>
      <c r="AY155" s="48">
        <v>763</v>
      </c>
      <c r="AZ155" s="48">
        <v>56</v>
      </c>
      <c r="BA155" s="48">
        <v>819</v>
      </c>
      <c r="BB155" s="48">
        <v>93.16</v>
      </c>
      <c r="BC155" s="246">
        <f t="shared" si="70"/>
        <v>8.1899999999999996E-4</v>
      </c>
      <c r="BE155" s="215">
        <v>45041</v>
      </c>
      <c r="BF155" s="48">
        <v>1142</v>
      </c>
      <c r="BG155" s="48">
        <v>0</v>
      </c>
      <c r="BH155" s="48">
        <v>1142</v>
      </c>
      <c r="BI155" s="48">
        <v>100</v>
      </c>
      <c r="BJ155" s="71">
        <f t="shared" si="71"/>
        <v>1.142E-3</v>
      </c>
      <c r="BL155" s="1"/>
      <c r="BM155" s="1"/>
      <c r="BN155" s="1"/>
      <c r="BO155" s="1"/>
      <c r="BP155" s="1"/>
      <c r="BQ155" s="247"/>
      <c r="BS155" s="48"/>
      <c r="BT155" s="48"/>
      <c r="BU155" s="48"/>
      <c r="BV155" s="48"/>
      <c r="BW155" s="48"/>
      <c r="BZ155" s="1"/>
      <c r="CA155" s="1"/>
      <c r="CB155" s="1"/>
      <c r="CC155" s="1"/>
      <c r="CE155" s="215">
        <v>45041</v>
      </c>
      <c r="CF155" s="1">
        <f>4634737+43857</f>
        <v>4678594</v>
      </c>
      <c r="CG155" s="1">
        <f>9304+627</f>
        <v>9931</v>
      </c>
      <c r="CH155" s="1">
        <f>4644041+44484</f>
        <v>4688525</v>
      </c>
      <c r="CI155" s="71">
        <f t="shared" si="60"/>
        <v>99.788184983550266</v>
      </c>
      <c r="CJ155" s="71">
        <f t="shared" si="66"/>
        <v>4.6885250000000003</v>
      </c>
      <c r="CL155" s="140">
        <v>44948</v>
      </c>
      <c r="CM155" t="s">
        <v>237</v>
      </c>
      <c r="CN155">
        <v>18234</v>
      </c>
    </row>
    <row r="156" spans="1:92" hidden="1" x14ac:dyDescent="0.25">
      <c r="A156" s="215">
        <v>45042</v>
      </c>
      <c r="B156" s="48">
        <v>5342111</v>
      </c>
      <c r="C156" s="48">
        <v>2453</v>
      </c>
      <c r="D156" s="48">
        <v>5344564</v>
      </c>
      <c r="E156" s="48">
        <v>99.95</v>
      </c>
      <c r="F156" s="71">
        <f t="shared" si="72"/>
        <v>5.3445640000000001</v>
      </c>
      <c r="H156" s="215">
        <v>45042</v>
      </c>
      <c r="I156" s="48">
        <v>1964400</v>
      </c>
      <c r="J156" s="48">
        <v>3684</v>
      </c>
      <c r="K156" s="48">
        <v>1968084</v>
      </c>
      <c r="L156" s="48">
        <v>99.81</v>
      </c>
      <c r="M156" s="71">
        <f t="shared" si="73"/>
        <v>1.9680839999999999</v>
      </c>
      <c r="O156" s="215">
        <v>45042</v>
      </c>
      <c r="P156" s="48">
        <v>624829</v>
      </c>
      <c r="Q156" s="48">
        <v>4709</v>
      </c>
      <c r="R156" s="48">
        <v>629538</v>
      </c>
      <c r="S156" s="48">
        <v>99.25</v>
      </c>
      <c r="T156" s="71">
        <f t="shared" si="67"/>
        <v>0.62953800000000004</v>
      </c>
      <c r="V156" s="215">
        <v>45042</v>
      </c>
      <c r="W156" s="48">
        <v>946314</v>
      </c>
      <c r="X156" s="48">
        <v>194</v>
      </c>
      <c r="Y156" s="48">
        <v>946508</v>
      </c>
      <c r="Z156" s="48">
        <v>99.98</v>
      </c>
      <c r="AA156" s="71">
        <f t="shared" si="61"/>
        <v>0.94650800000000002</v>
      </c>
      <c r="AC156" s="215">
        <v>45042</v>
      </c>
      <c r="AD156" s="48">
        <v>606909</v>
      </c>
      <c r="AE156" s="48">
        <v>311</v>
      </c>
      <c r="AF156" s="48">
        <v>607220</v>
      </c>
      <c r="AG156" s="48">
        <v>99.95</v>
      </c>
      <c r="AH156" s="71">
        <f t="shared" si="68"/>
        <v>0.60721999999999998</v>
      </c>
      <c r="AJ156" s="215">
        <v>45042</v>
      </c>
      <c r="AK156" s="48">
        <v>192</v>
      </c>
      <c r="AL156" s="104">
        <v>2</v>
      </c>
      <c r="AM156" s="48">
        <v>194</v>
      </c>
      <c r="AN156" s="48">
        <v>98.97</v>
      </c>
      <c r="AO156" s="246">
        <f t="shared" si="62"/>
        <v>1.94E-4</v>
      </c>
      <c r="AQ156" s="215">
        <v>45042</v>
      </c>
      <c r="AR156" s="48">
        <v>1277</v>
      </c>
      <c r="AS156" s="48">
        <v>127</v>
      </c>
      <c r="AT156" s="48">
        <v>1404</v>
      </c>
      <c r="AU156" s="48">
        <v>90.95</v>
      </c>
      <c r="AV156" s="246">
        <f t="shared" si="69"/>
        <v>1.4040000000000001E-3</v>
      </c>
      <c r="AX156" s="215">
        <v>45042</v>
      </c>
      <c r="AY156" s="48">
        <v>1303</v>
      </c>
      <c r="AZ156" s="48">
        <v>4</v>
      </c>
      <c r="BA156" s="48">
        <v>1307</v>
      </c>
      <c r="BB156" s="48">
        <v>99.69</v>
      </c>
      <c r="BC156" s="246">
        <f t="shared" si="70"/>
        <v>1.307E-3</v>
      </c>
      <c r="BE156" s="215">
        <v>45042</v>
      </c>
      <c r="BF156" s="48">
        <v>2869</v>
      </c>
      <c r="BG156" s="48">
        <v>4</v>
      </c>
      <c r="BH156" s="48">
        <v>2873</v>
      </c>
      <c r="BI156" s="48">
        <v>99.86</v>
      </c>
      <c r="BJ156" s="71">
        <f t="shared" si="71"/>
        <v>2.8730000000000001E-3</v>
      </c>
      <c r="BL156" s="1"/>
      <c r="BM156" s="1"/>
      <c r="BN156" s="1"/>
      <c r="BO156" s="1"/>
      <c r="BP156" s="1"/>
      <c r="BQ156" s="247"/>
      <c r="BS156" s="48"/>
      <c r="BT156" s="48"/>
      <c r="BU156" s="48"/>
      <c r="BV156" s="48"/>
      <c r="BW156" s="48"/>
      <c r="BZ156" s="1"/>
      <c r="CA156" s="1"/>
      <c r="CB156" s="1"/>
      <c r="CC156" s="1"/>
      <c r="CE156" s="215">
        <v>45042</v>
      </c>
      <c r="CF156" s="1">
        <v>10831906</v>
      </c>
      <c r="CG156" s="1">
        <v>16799</v>
      </c>
      <c r="CH156" s="1">
        <v>10848705</v>
      </c>
      <c r="CI156" s="71">
        <f t="shared" si="60"/>
        <v>99.845152025057359</v>
      </c>
      <c r="CJ156" s="71">
        <f t="shared" si="66"/>
        <v>10.848705000000001</v>
      </c>
      <c r="CL156" s="140">
        <v>44948</v>
      </c>
      <c r="CM156" t="s">
        <v>238</v>
      </c>
      <c r="CN156">
        <v>4708</v>
      </c>
    </row>
    <row r="157" spans="1:92" hidden="1" x14ac:dyDescent="0.25">
      <c r="A157" s="215">
        <v>45043</v>
      </c>
      <c r="B157" s="48">
        <v>5541834</v>
      </c>
      <c r="C157" s="48">
        <v>1857</v>
      </c>
      <c r="D157" s="48">
        <v>5543691</v>
      </c>
      <c r="E157" s="48">
        <v>99.97</v>
      </c>
      <c r="F157" s="71">
        <f t="shared" si="72"/>
        <v>5.5436909999999999</v>
      </c>
      <c r="H157" s="215">
        <v>45043</v>
      </c>
      <c r="I157" s="48">
        <v>2005926</v>
      </c>
      <c r="J157" s="48">
        <v>3688</v>
      </c>
      <c r="K157" s="48">
        <v>2009614</v>
      </c>
      <c r="L157" s="48">
        <v>99.82</v>
      </c>
      <c r="M157" s="71">
        <f t="shared" si="73"/>
        <v>2.009614</v>
      </c>
      <c r="O157" s="215">
        <v>45043</v>
      </c>
      <c r="P157" s="48">
        <v>629312</v>
      </c>
      <c r="Q157" s="48">
        <v>4901</v>
      </c>
      <c r="R157" s="48">
        <v>634213</v>
      </c>
      <c r="S157" s="48">
        <v>99.23</v>
      </c>
      <c r="T157" s="71">
        <f t="shared" si="67"/>
        <v>0.63421300000000003</v>
      </c>
      <c r="V157" s="215">
        <v>45043</v>
      </c>
      <c r="W157" s="48">
        <v>1007980</v>
      </c>
      <c r="X157" s="48">
        <v>352</v>
      </c>
      <c r="Y157" s="48">
        <v>1008332</v>
      </c>
      <c r="Z157" s="48">
        <v>99.97</v>
      </c>
      <c r="AA157" s="71">
        <f t="shared" si="61"/>
        <v>1.008332</v>
      </c>
      <c r="AC157" s="215">
        <v>45043</v>
      </c>
      <c r="AD157" s="48">
        <v>598652</v>
      </c>
      <c r="AE157" s="48">
        <v>114</v>
      </c>
      <c r="AF157" s="48">
        <v>598766</v>
      </c>
      <c r="AG157" s="48">
        <v>99.98</v>
      </c>
      <c r="AH157" s="71">
        <f t="shared" si="68"/>
        <v>0.59876600000000002</v>
      </c>
      <c r="AJ157" s="215">
        <v>45043</v>
      </c>
      <c r="AK157" s="48">
        <v>42</v>
      </c>
      <c r="AL157" s="104">
        <v>0</v>
      </c>
      <c r="AM157" s="48">
        <v>42</v>
      </c>
      <c r="AN157" s="104">
        <v>100</v>
      </c>
      <c r="AO157" s="246">
        <f t="shared" si="62"/>
        <v>4.1999999999999998E-5</v>
      </c>
      <c r="AQ157" s="215">
        <v>45043</v>
      </c>
      <c r="AR157" s="48">
        <v>1324</v>
      </c>
      <c r="AS157" s="48">
        <v>108</v>
      </c>
      <c r="AT157" s="48">
        <v>1432</v>
      </c>
      <c r="AU157" s="48">
        <v>92.46</v>
      </c>
      <c r="AV157" s="246">
        <f t="shared" si="69"/>
        <v>1.4319999999999999E-3</v>
      </c>
      <c r="AX157" s="215">
        <v>45043</v>
      </c>
      <c r="AY157" s="48">
        <v>576</v>
      </c>
      <c r="AZ157" s="48">
        <v>350</v>
      </c>
      <c r="BA157" s="48">
        <v>926</v>
      </c>
      <c r="BB157" s="48">
        <v>62.2</v>
      </c>
      <c r="BC157" s="246">
        <f t="shared" si="70"/>
        <v>9.2599999999999996E-4</v>
      </c>
      <c r="BE157" s="215">
        <v>45043</v>
      </c>
      <c r="BF157" s="48">
        <v>3120</v>
      </c>
      <c r="BG157" s="48">
        <v>0</v>
      </c>
      <c r="BH157" s="48">
        <v>3120</v>
      </c>
      <c r="BI157" s="48">
        <v>100</v>
      </c>
      <c r="BJ157" s="71">
        <f t="shared" si="71"/>
        <v>3.1199999999999999E-3</v>
      </c>
      <c r="BL157" s="1"/>
      <c r="BM157" s="1"/>
      <c r="BN157" s="1"/>
      <c r="BO157" s="1"/>
      <c r="BP157" s="1"/>
      <c r="BQ157" s="247"/>
      <c r="BS157" s="48"/>
      <c r="BT157" s="48"/>
      <c r="BU157" s="48"/>
      <c r="BV157" s="48"/>
      <c r="BW157" s="48"/>
      <c r="BZ157" s="1"/>
      <c r="CA157" s="1"/>
      <c r="CB157" s="1"/>
      <c r="CC157" s="1"/>
      <c r="CE157" s="215">
        <v>45043</v>
      </c>
      <c r="CF157" s="1">
        <v>11098068</v>
      </c>
      <c r="CG157" s="1">
        <v>17857</v>
      </c>
      <c r="CH157" s="1">
        <v>11115925</v>
      </c>
      <c r="CI157" s="71">
        <f t="shared" si="60"/>
        <v>99.839356598753596</v>
      </c>
      <c r="CJ157" s="71">
        <f t="shared" si="66"/>
        <v>11.115925000000001</v>
      </c>
      <c r="CL157" s="140">
        <v>44948</v>
      </c>
      <c r="CM157" t="s">
        <v>240</v>
      </c>
      <c r="CN157">
        <v>2785</v>
      </c>
    </row>
    <row r="158" spans="1:92" hidden="1" x14ac:dyDescent="0.25">
      <c r="A158" s="215">
        <v>45044</v>
      </c>
      <c r="B158" s="48">
        <v>5514608</v>
      </c>
      <c r="C158" s="48">
        <v>1570</v>
      </c>
      <c r="D158" s="48">
        <v>5516178</v>
      </c>
      <c r="E158" s="48">
        <v>99.97</v>
      </c>
      <c r="F158" s="71">
        <f t="shared" si="72"/>
        <v>5.516178</v>
      </c>
      <c r="H158" s="215">
        <v>45044</v>
      </c>
      <c r="I158" s="48">
        <v>2128028</v>
      </c>
      <c r="J158" s="48">
        <v>3686</v>
      </c>
      <c r="K158" s="48">
        <v>2131714</v>
      </c>
      <c r="L158" s="48">
        <v>99.83</v>
      </c>
      <c r="M158" s="71">
        <f t="shared" si="73"/>
        <v>2.1317140000000001</v>
      </c>
      <c r="O158" s="215">
        <v>45044</v>
      </c>
      <c r="P158" s="48">
        <v>618456</v>
      </c>
      <c r="Q158" s="48">
        <v>5238</v>
      </c>
      <c r="R158" s="48">
        <v>623694</v>
      </c>
      <c r="S158" s="48">
        <v>99.16</v>
      </c>
      <c r="T158" s="71">
        <f t="shared" si="67"/>
        <v>0.62369399999999997</v>
      </c>
      <c r="V158" s="215">
        <v>45044</v>
      </c>
      <c r="W158" s="48">
        <v>1063638</v>
      </c>
      <c r="X158" s="48">
        <v>190</v>
      </c>
      <c r="Y158" s="48">
        <v>1063828</v>
      </c>
      <c r="Z158" s="48">
        <v>99.98</v>
      </c>
      <c r="AA158" s="71">
        <f t="shared" si="61"/>
        <v>1.063828</v>
      </c>
      <c r="AC158" s="215">
        <v>45044</v>
      </c>
      <c r="AD158" s="48">
        <v>605952</v>
      </c>
      <c r="AE158" s="48">
        <v>132</v>
      </c>
      <c r="AF158" s="48">
        <v>606084</v>
      </c>
      <c r="AG158" s="48">
        <v>99.98</v>
      </c>
      <c r="AH158" s="71">
        <f t="shared" si="68"/>
        <v>0.60608399999999996</v>
      </c>
      <c r="AJ158" s="215">
        <v>45044</v>
      </c>
      <c r="AK158" s="48">
        <v>70</v>
      </c>
      <c r="AL158" s="48">
        <v>2</v>
      </c>
      <c r="AM158" s="48">
        <v>72</v>
      </c>
      <c r="AN158" s="48">
        <v>97.22</v>
      </c>
      <c r="AO158" s="246">
        <f t="shared" si="62"/>
        <v>7.2000000000000002E-5</v>
      </c>
      <c r="AQ158" s="215">
        <v>45044</v>
      </c>
      <c r="AR158" s="48">
        <v>1034</v>
      </c>
      <c r="AS158" s="48">
        <v>144</v>
      </c>
      <c r="AT158" s="48">
        <v>1178</v>
      </c>
      <c r="AU158" s="48">
        <v>87.78</v>
      </c>
      <c r="AV158" s="246">
        <f t="shared" si="69"/>
        <v>1.178E-3</v>
      </c>
      <c r="AX158" s="215">
        <v>45044</v>
      </c>
      <c r="AY158" s="48">
        <v>2004</v>
      </c>
      <c r="AZ158" s="48">
        <v>20</v>
      </c>
      <c r="BA158" s="48">
        <v>2024</v>
      </c>
      <c r="BB158" s="48">
        <v>99.01</v>
      </c>
      <c r="BC158" s="246">
        <f t="shared" si="70"/>
        <v>2.0240000000000002E-3</v>
      </c>
      <c r="BE158" s="215">
        <v>45044</v>
      </c>
      <c r="BF158" s="48">
        <v>3188</v>
      </c>
      <c r="BG158" s="48">
        <v>0</v>
      </c>
      <c r="BH158" s="48">
        <v>3188</v>
      </c>
      <c r="BI158" s="48">
        <v>100</v>
      </c>
      <c r="BJ158" s="71">
        <f t="shared" si="71"/>
        <v>3.1879999999999999E-3</v>
      </c>
      <c r="BL158" s="1"/>
      <c r="BM158" s="1"/>
      <c r="BN158" s="1"/>
      <c r="BO158" s="1"/>
      <c r="BP158" s="1"/>
      <c r="BQ158" s="247"/>
      <c r="BS158" s="48"/>
      <c r="BT158" s="48"/>
      <c r="BU158" s="48"/>
      <c r="BV158" s="48"/>
      <c r="BW158" s="48"/>
      <c r="BZ158" s="1"/>
      <c r="CA158" s="1"/>
      <c r="CB158" s="1"/>
      <c r="CC158" s="1"/>
      <c r="CE158" s="215">
        <v>45044</v>
      </c>
      <c r="CF158" s="1">
        <v>11291792</v>
      </c>
      <c r="CG158" s="1">
        <v>14556</v>
      </c>
      <c r="CH158" s="1">
        <v>11306348</v>
      </c>
      <c r="CI158" s="71">
        <f t="shared" si="60"/>
        <v>99.87125816399778</v>
      </c>
      <c r="CJ158" s="71">
        <f t="shared" si="66"/>
        <v>11.306348</v>
      </c>
      <c r="CL158" s="140">
        <v>44948</v>
      </c>
      <c r="CM158" t="s">
        <v>239</v>
      </c>
      <c r="CN158">
        <v>1192</v>
      </c>
    </row>
    <row r="159" spans="1:92" hidden="1" x14ac:dyDescent="0.25">
      <c r="A159" s="215">
        <v>45045</v>
      </c>
      <c r="B159" s="48">
        <v>5417100</v>
      </c>
      <c r="C159" s="48">
        <v>2580</v>
      </c>
      <c r="D159" s="48">
        <v>5419680</v>
      </c>
      <c r="E159" s="48">
        <v>99.95</v>
      </c>
      <c r="F159" s="71">
        <f t="shared" si="72"/>
        <v>5.4196799999999996</v>
      </c>
      <c r="H159" s="215">
        <v>45045</v>
      </c>
      <c r="I159" s="48">
        <v>1954964</v>
      </c>
      <c r="J159" s="48">
        <v>3524</v>
      </c>
      <c r="K159" s="48">
        <v>1958488</v>
      </c>
      <c r="L159" s="48">
        <v>99.82</v>
      </c>
      <c r="M159" s="71">
        <f t="shared" si="73"/>
        <v>1.958488</v>
      </c>
      <c r="O159" s="215">
        <v>45045</v>
      </c>
      <c r="P159" s="48">
        <v>602308</v>
      </c>
      <c r="Q159" s="48">
        <v>4428</v>
      </c>
      <c r="R159" s="48">
        <v>606736</v>
      </c>
      <c r="S159" s="48">
        <v>99.27</v>
      </c>
      <c r="T159" s="71">
        <f t="shared" si="67"/>
        <v>0.60673600000000005</v>
      </c>
      <c r="V159" s="215">
        <v>45045</v>
      </c>
      <c r="W159" s="48">
        <v>994746</v>
      </c>
      <c r="X159" s="48">
        <v>366</v>
      </c>
      <c r="Y159" s="48">
        <v>995112</v>
      </c>
      <c r="Z159" s="48">
        <v>99.96</v>
      </c>
      <c r="AA159" s="71">
        <f t="shared" si="61"/>
        <v>0.995112</v>
      </c>
      <c r="AC159" s="215">
        <v>45045</v>
      </c>
      <c r="AD159" s="48">
        <v>618164</v>
      </c>
      <c r="AE159" s="48">
        <v>190</v>
      </c>
      <c r="AF159" s="48">
        <v>618354</v>
      </c>
      <c r="AG159" s="48">
        <v>99.98</v>
      </c>
      <c r="AH159" s="71">
        <f t="shared" si="68"/>
        <v>0.61835399999999996</v>
      </c>
      <c r="AJ159" s="215">
        <v>45045</v>
      </c>
      <c r="AK159" s="48">
        <v>100</v>
      </c>
      <c r="AL159" s="48">
        <v>0</v>
      </c>
      <c r="AM159" s="48">
        <v>100</v>
      </c>
      <c r="AN159" s="48">
        <v>100</v>
      </c>
      <c r="AO159" s="246">
        <f t="shared" si="62"/>
        <v>1E-4</v>
      </c>
      <c r="AQ159" s="215">
        <v>45045</v>
      </c>
      <c r="AR159" s="48">
        <v>776</v>
      </c>
      <c r="AS159" s="48">
        <v>58</v>
      </c>
      <c r="AT159" s="48">
        <v>834</v>
      </c>
      <c r="AU159" s="48">
        <v>93.05</v>
      </c>
      <c r="AV159" s="246">
        <f t="shared" si="69"/>
        <v>8.34E-4</v>
      </c>
      <c r="AX159" s="215">
        <v>45045</v>
      </c>
      <c r="AY159" s="48">
        <v>978</v>
      </c>
      <c r="AZ159" s="48">
        <v>38</v>
      </c>
      <c r="BA159" s="48">
        <v>1016</v>
      </c>
      <c r="BB159" s="48">
        <v>96.26</v>
      </c>
      <c r="BC159" s="246">
        <f t="shared" si="70"/>
        <v>1.016E-3</v>
      </c>
      <c r="BE159" s="215">
        <v>45045</v>
      </c>
      <c r="BF159" s="48">
        <v>2652</v>
      </c>
      <c r="BG159" s="48">
        <v>0</v>
      </c>
      <c r="BH159" s="48">
        <v>2652</v>
      </c>
      <c r="BI159" s="48">
        <v>100</v>
      </c>
      <c r="BJ159" s="71">
        <f t="shared" si="71"/>
        <v>2.6519999999999998E-3</v>
      </c>
      <c r="BL159" s="1"/>
      <c r="BM159" s="1"/>
      <c r="BN159" s="1"/>
      <c r="BO159" s="1"/>
      <c r="BP159" s="1"/>
      <c r="BQ159" s="247"/>
      <c r="BS159" s="48"/>
      <c r="BT159" s="48"/>
      <c r="BU159" s="48"/>
      <c r="BV159" s="48"/>
      <c r="BW159" s="48"/>
      <c r="BZ159" s="1"/>
      <c r="CA159" s="1"/>
      <c r="CB159" s="1"/>
      <c r="CC159" s="1"/>
      <c r="CE159" s="215">
        <v>45045</v>
      </c>
      <c r="CF159" s="1">
        <v>10930666</v>
      </c>
      <c r="CG159" s="1">
        <v>25264</v>
      </c>
      <c r="CH159" s="1">
        <v>10955930</v>
      </c>
      <c r="CI159" s="71">
        <f t="shared" si="60"/>
        <v>99.76940341897037</v>
      </c>
      <c r="CJ159" s="71">
        <f t="shared" si="66"/>
        <v>10.95593</v>
      </c>
      <c r="CL159" s="140">
        <v>44948</v>
      </c>
      <c r="CM159" t="s">
        <v>241</v>
      </c>
      <c r="CN159">
        <v>757</v>
      </c>
    </row>
    <row r="160" spans="1:92" hidden="1" x14ac:dyDescent="0.25">
      <c r="A160" s="215">
        <v>45046</v>
      </c>
      <c r="B160" s="48">
        <v>4542850</v>
      </c>
      <c r="C160" s="48">
        <v>12554</v>
      </c>
      <c r="D160" s="48">
        <v>4555404</v>
      </c>
      <c r="E160" s="48">
        <v>99.72</v>
      </c>
      <c r="F160" s="71">
        <f t="shared" si="72"/>
        <v>4.5554040000000002</v>
      </c>
      <c r="H160" s="215">
        <v>45046</v>
      </c>
      <c r="I160" s="48">
        <v>1887868</v>
      </c>
      <c r="J160" s="48">
        <v>3344</v>
      </c>
      <c r="K160" s="48">
        <v>1891212</v>
      </c>
      <c r="L160" s="48">
        <v>99.82</v>
      </c>
      <c r="M160" s="71">
        <f t="shared" si="73"/>
        <v>1.8912119999999999</v>
      </c>
      <c r="O160" s="215">
        <v>45046</v>
      </c>
      <c r="P160" s="48">
        <v>635064</v>
      </c>
      <c r="Q160" s="48">
        <v>4600</v>
      </c>
      <c r="R160" s="48">
        <v>639664</v>
      </c>
      <c r="S160" s="48">
        <v>99.28</v>
      </c>
      <c r="T160" s="71">
        <f t="shared" si="67"/>
        <v>0.63966400000000001</v>
      </c>
      <c r="V160" s="215">
        <v>45046</v>
      </c>
      <c r="W160" s="48">
        <v>963928</v>
      </c>
      <c r="X160" s="48">
        <v>414</v>
      </c>
      <c r="Y160" s="48">
        <v>964342</v>
      </c>
      <c r="Z160" s="48">
        <v>99.96</v>
      </c>
      <c r="AA160" s="71">
        <f t="shared" si="61"/>
        <v>0.96434200000000003</v>
      </c>
      <c r="AC160" s="215">
        <v>45046</v>
      </c>
      <c r="AD160" s="48">
        <v>619566</v>
      </c>
      <c r="AE160" s="48">
        <v>746</v>
      </c>
      <c r="AF160" s="48">
        <v>620312</v>
      </c>
      <c r="AG160" s="48">
        <v>99.98</v>
      </c>
      <c r="AH160" s="71">
        <f t="shared" si="68"/>
        <v>0.62031199999999997</v>
      </c>
      <c r="AJ160" s="215">
        <v>45046</v>
      </c>
      <c r="AK160" s="48">
        <v>40</v>
      </c>
      <c r="AL160" s="48">
        <v>6</v>
      </c>
      <c r="AM160" s="48">
        <v>46</v>
      </c>
      <c r="AN160" s="48">
        <v>86.96</v>
      </c>
      <c r="AO160" s="246">
        <f t="shared" si="62"/>
        <v>4.6E-5</v>
      </c>
      <c r="AQ160" s="215">
        <v>45046</v>
      </c>
      <c r="AR160" s="48">
        <v>342</v>
      </c>
      <c r="AS160" s="48">
        <v>70</v>
      </c>
      <c r="AT160" s="48">
        <v>412</v>
      </c>
      <c r="AU160" s="48">
        <v>83.01</v>
      </c>
      <c r="AV160" s="246">
        <f t="shared" si="69"/>
        <v>4.1199999999999999E-4</v>
      </c>
      <c r="AX160" s="215">
        <v>45046</v>
      </c>
      <c r="AY160" s="48">
        <v>0</v>
      </c>
      <c r="AZ160" s="48">
        <v>150</v>
      </c>
      <c r="BA160" s="48">
        <v>150</v>
      </c>
      <c r="BB160" s="48">
        <v>0</v>
      </c>
      <c r="BC160" s="246">
        <f t="shared" si="70"/>
        <v>1.4999999999999999E-4</v>
      </c>
      <c r="BE160" s="215">
        <v>45046</v>
      </c>
      <c r="BF160" s="48">
        <v>2544</v>
      </c>
      <c r="BG160" s="48">
        <v>0</v>
      </c>
      <c r="BH160" s="48">
        <v>2544</v>
      </c>
      <c r="BI160" s="48">
        <v>100</v>
      </c>
      <c r="BJ160" s="71">
        <f t="shared" si="71"/>
        <v>2.5439999999999998E-3</v>
      </c>
      <c r="BL160" s="1"/>
      <c r="BM160" s="1"/>
      <c r="BN160" s="1"/>
      <c r="BO160" s="1"/>
      <c r="BP160" s="1"/>
      <c r="BQ160" s="247"/>
      <c r="BS160" s="48"/>
      <c r="BT160" s="48"/>
      <c r="BU160" s="48"/>
      <c r="BV160" s="48"/>
      <c r="BW160" s="48"/>
      <c r="BZ160" s="1"/>
      <c r="CA160" s="1"/>
      <c r="CB160" s="1"/>
      <c r="CC160" s="1"/>
      <c r="CE160" s="215">
        <v>45046</v>
      </c>
      <c r="CF160" s="1">
        <v>9918136</v>
      </c>
      <c r="CG160" s="1">
        <v>31378</v>
      </c>
      <c r="CH160" s="1">
        <v>9949514</v>
      </c>
      <c r="CI160" s="71">
        <f t="shared" si="60"/>
        <v>99.684627811971524</v>
      </c>
      <c r="CJ160" s="71">
        <f t="shared" si="66"/>
        <v>9.9495140000000006</v>
      </c>
      <c r="CL160" s="140"/>
    </row>
    <row r="161" spans="1:92" hidden="1" x14ac:dyDescent="0.25">
      <c r="A161" s="215">
        <v>45047</v>
      </c>
      <c r="B161" s="48">
        <v>5117126</v>
      </c>
      <c r="C161" s="48">
        <v>5050</v>
      </c>
      <c r="D161" s="48">
        <v>5122176</v>
      </c>
      <c r="E161" s="48">
        <v>99.9</v>
      </c>
      <c r="F161" s="71">
        <f t="shared" si="72"/>
        <v>5.1221759999999996</v>
      </c>
      <c r="H161" s="215">
        <v>45047</v>
      </c>
      <c r="I161" s="48">
        <v>2090136</v>
      </c>
      <c r="J161" s="48">
        <v>3600</v>
      </c>
      <c r="K161" s="48">
        <v>2093736</v>
      </c>
      <c r="L161" s="48">
        <v>99.83</v>
      </c>
      <c r="M161" s="71">
        <f t="shared" si="73"/>
        <v>2.0937359999999998</v>
      </c>
      <c r="O161" s="215">
        <v>45047</v>
      </c>
      <c r="P161" s="48">
        <v>622784</v>
      </c>
      <c r="Q161" s="48">
        <v>4570</v>
      </c>
      <c r="R161" s="48">
        <v>627354</v>
      </c>
      <c r="S161" s="48">
        <v>99.27</v>
      </c>
      <c r="T161" s="71">
        <f t="shared" si="67"/>
        <v>0.62735399999999997</v>
      </c>
      <c r="V161" s="215">
        <v>45047</v>
      </c>
      <c r="W161" s="48">
        <v>1042882</v>
      </c>
      <c r="X161" s="48">
        <v>914</v>
      </c>
      <c r="Y161" s="48">
        <v>1043796</v>
      </c>
      <c r="Z161" s="48">
        <v>99.91</v>
      </c>
      <c r="AA161" s="71">
        <f t="shared" si="61"/>
        <v>1.0437959999999999</v>
      </c>
      <c r="AC161" s="215">
        <v>45047</v>
      </c>
      <c r="AD161" s="48">
        <v>596292</v>
      </c>
      <c r="AE161" s="48">
        <v>92</v>
      </c>
      <c r="AF161" s="48">
        <v>596384</v>
      </c>
      <c r="AG161" s="48">
        <v>99.98</v>
      </c>
      <c r="AH161" s="71">
        <f t="shared" si="68"/>
        <v>0.59638400000000003</v>
      </c>
      <c r="AJ161" s="215">
        <v>45047</v>
      </c>
      <c r="AK161" s="48">
        <v>44</v>
      </c>
      <c r="AL161" s="48">
        <v>0</v>
      </c>
      <c r="AM161" s="48">
        <v>44</v>
      </c>
      <c r="AN161" s="48">
        <v>100</v>
      </c>
      <c r="AO161" s="246">
        <f t="shared" si="62"/>
        <v>4.3999999999999999E-5</v>
      </c>
      <c r="AQ161" s="215">
        <v>45047</v>
      </c>
      <c r="AR161" s="48">
        <v>1162</v>
      </c>
      <c r="AS161" s="48">
        <v>82</v>
      </c>
      <c r="AT161" s="48">
        <v>1244</v>
      </c>
      <c r="AU161" s="48">
        <v>93.41</v>
      </c>
      <c r="AV161" s="246">
        <f t="shared" si="69"/>
        <v>1.2440000000000001E-3</v>
      </c>
      <c r="AX161" s="215">
        <v>45047</v>
      </c>
      <c r="AY161" s="48">
        <v>792</v>
      </c>
      <c r="AZ161" s="48">
        <v>34</v>
      </c>
      <c r="BA161" s="48">
        <v>826</v>
      </c>
      <c r="BB161" s="48">
        <v>95.88</v>
      </c>
      <c r="BC161" s="246">
        <f t="shared" si="70"/>
        <v>8.2600000000000002E-4</v>
      </c>
      <c r="BE161" s="215">
        <v>45047</v>
      </c>
      <c r="BF161" s="48">
        <v>2870</v>
      </c>
      <c r="BG161" s="48">
        <v>0</v>
      </c>
      <c r="BH161" s="48">
        <v>2870</v>
      </c>
      <c r="BI161" s="48">
        <v>100</v>
      </c>
      <c r="BJ161" s="71">
        <f t="shared" si="71"/>
        <v>2.8700000000000002E-3</v>
      </c>
      <c r="BL161" s="1"/>
      <c r="BM161" s="1"/>
      <c r="BN161" s="1"/>
      <c r="BO161" s="1"/>
      <c r="BP161" s="1"/>
      <c r="BQ161" s="247"/>
      <c r="BS161" s="48"/>
      <c r="BT161" s="48"/>
      <c r="BU161" s="48"/>
      <c r="BV161" s="48"/>
      <c r="BW161" s="48"/>
      <c r="BZ161" s="1"/>
      <c r="CA161" s="1"/>
      <c r="CB161" s="1"/>
      <c r="CC161" s="1"/>
      <c r="CE161" s="215">
        <v>45047</v>
      </c>
      <c r="CF161" s="1">
        <v>10788014</v>
      </c>
      <c r="CG161" s="1">
        <v>18924</v>
      </c>
      <c r="CH161" s="1">
        <v>10806938</v>
      </c>
      <c r="CI161" s="71">
        <f t="shared" si="60"/>
        <v>99.824890269565714</v>
      </c>
      <c r="CJ161" s="71">
        <f t="shared" si="66"/>
        <v>10.806938000000001</v>
      </c>
      <c r="CL161" s="140">
        <v>44949</v>
      </c>
      <c r="CM161" t="s">
        <v>237</v>
      </c>
      <c r="CN161">
        <v>16306</v>
      </c>
    </row>
    <row r="162" spans="1:92" hidden="1" x14ac:dyDescent="0.25">
      <c r="A162" s="215">
        <v>45048</v>
      </c>
      <c r="B162" s="48">
        <v>5664446</v>
      </c>
      <c r="C162" s="48">
        <v>10486</v>
      </c>
      <c r="D162" s="48">
        <v>5674932</v>
      </c>
      <c r="E162" s="48">
        <v>99.82</v>
      </c>
      <c r="F162" s="71">
        <f t="shared" si="72"/>
        <v>5.6749320000000001</v>
      </c>
      <c r="H162" s="215">
        <v>45048</v>
      </c>
      <c r="I162" s="48">
        <v>2452036</v>
      </c>
      <c r="J162" s="48">
        <v>7052</v>
      </c>
      <c r="K162" s="48">
        <v>2459088</v>
      </c>
      <c r="L162" s="48">
        <v>99.71</v>
      </c>
      <c r="M162" s="71">
        <f t="shared" si="73"/>
        <v>2.4590879999999999</v>
      </c>
      <c r="O162" s="215">
        <v>45048</v>
      </c>
      <c r="P162" s="48">
        <v>612746</v>
      </c>
      <c r="Q162" s="48">
        <v>6260</v>
      </c>
      <c r="R162" s="48">
        <v>619006</v>
      </c>
      <c r="S162" s="48">
        <v>98.99</v>
      </c>
      <c r="T162" s="71">
        <f t="shared" si="67"/>
        <v>0.61900599999999995</v>
      </c>
      <c r="V162" s="215">
        <v>45048</v>
      </c>
      <c r="W162" s="48">
        <v>1060526</v>
      </c>
      <c r="X162" s="48">
        <v>218</v>
      </c>
      <c r="Y162" s="48">
        <v>1060744</v>
      </c>
      <c r="Z162" s="48">
        <v>99.98</v>
      </c>
      <c r="AA162" s="71">
        <f t="shared" si="61"/>
        <v>1.0607439999999999</v>
      </c>
      <c r="AC162" s="215">
        <v>45048</v>
      </c>
      <c r="AD162" s="48">
        <v>600512</v>
      </c>
      <c r="AE162" s="48">
        <v>772</v>
      </c>
      <c r="AF162" s="48">
        <v>601284</v>
      </c>
      <c r="AG162" s="48">
        <v>99.87</v>
      </c>
      <c r="AH162" s="71">
        <f t="shared" si="68"/>
        <v>0.60128400000000004</v>
      </c>
      <c r="AJ162" s="215">
        <v>45048</v>
      </c>
      <c r="AK162" s="48">
        <v>20</v>
      </c>
      <c r="AL162" s="48">
        <v>0</v>
      </c>
      <c r="AM162" s="48">
        <v>20</v>
      </c>
      <c r="AN162" s="48">
        <v>100</v>
      </c>
      <c r="AO162" s="246">
        <f t="shared" si="62"/>
        <v>2.0000000000000002E-5</v>
      </c>
      <c r="AQ162" s="215">
        <v>45048</v>
      </c>
      <c r="AR162" s="48">
        <v>780</v>
      </c>
      <c r="AS162" s="48">
        <v>110</v>
      </c>
      <c r="AT162" s="48">
        <v>890</v>
      </c>
      <c r="AU162" s="48">
        <v>87.64</v>
      </c>
      <c r="AV162" s="246">
        <f t="shared" si="69"/>
        <v>8.8999999999999995E-4</v>
      </c>
      <c r="AX162" s="215">
        <v>45048</v>
      </c>
      <c r="AY162" s="48">
        <v>2098</v>
      </c>
      <c r="AZ162" s="48">
        <v>106</v>
      </c>
      <c r="BA162" s="48">
        <v>2204</v>
      </c>
      <c r="BB162" s="48">
        <v>95.19</v>
      </c>
      <c r="BC162" s="246">
        <f t="shared" si="70"/>
        <v>2.2039999999999998E-3</v>
      </c>
      <c r="BE162" s="215">
        <v>45048</v>
      </c>
      <c r="BF162" s="48">
        <v>3542</v>
      </c>
      <c r="BG162" s="48">
        <v>0</v>
      </c>
      <c r="BH162" s="48">
        <v>3542</v>
      </c>
      <c r="BI162" s="48">
        <v>100</v>
      </c>
      <c r="BJ162" s="71">
        <f t="shared" si="71"/>
        <v>3.542E-3</v>
      </c>
      <c r="BL162" s="1"/>
      <c r="BM162" s="1"/>
      <c r="BN162" s="1"/>
      <c r="BO162" s="1"/>
      <c r="BP162" s="1"/>
      <c r="BQ162" s="247"/>
      <c r="BS162" s="48"/>
      <c r="BT162" s="48"/>
      <c r="BU162" s="48"/>
      <c r="BV162" s="48"/>
      <c r="BW162" s="48"/>
      <c r="BZ162" s="1"/>
      <c r="CA162" s="1"/>
      <c r="CB162" s="1"/>
      <c r="CC162" s="1"/>
      <c r="CE162" s="215">
        <v>45048</v>
      </c>
      <c r="CF162" s="1">
        <v>11756686</v>
      </c>
      <c r="CG162" s="1">
        <v>33228</v>
      </c>
      <c r="CH162" s="1">
        <v>11789914</v>
      </c>
      <c r="CI162" s="71">
        <f t="shared" si="60"/>
        <v>99.718165883143854</v>
      </c>
      <c r="CJ162" s="71">
        <f t="shared" si="66"/>
        <v>11.789914</v>
      </c>
      <c r="CL162" s="140">
        <v>44949</v>
      </c>
      <c r="CM162" t="s">
        <v>238</v>
      </c>
      <c r="CN162">
        <v>7394</v>
      </c>
    </row>
    <row r="163" spans="1:92" hidden="1" x14ac:dyDescent="0.25">
      <c r="A163" s="215">
        <v>45049</v>
      </c>
      <c r="B163" s="48">
        <v>5583168</v>
      </c>
      <c r="C163" s="48">
        <v>1552</v>
      </c>
      <c r="D163" s="48">
        <v>5584720</v>
      </c>
      <c r="E163" s="48">
        <v>99.97</v>
      </c>
      <c r="F163" s="71">
        <f t="shared" si="72"/>
        <v>5.5847199999999999</v>
      </c>
      <c r="H163" s="215">
        <v>45049</v>
      </c>
      <c r="I163" s="48">
        <v>1785936</v>
      </c>
      <c r="J163" s="48">
        <v>4610</v>
      </c>
      <c r="K163" s="48">
        <v>1790546</v>
      </c>
      <c r="L163" s="48">
        <v>99.74</v>
      </c>
      <c r="M163" s="71">
        <f t="shared" si="73"/>
        <v>1.790546</v>
      </c>
      <c r="O163" s="215">
        <v>45049</v>
      </c>
      <c r="P163" s="48">
        <v>579862</v>
      </c>
      <c r="Q163" s="48">
        <v>5010</v>
      </c>
      <c r="R163" s="48">
        <v>584872</v>
      </c>
      <c r="S163" s="48">
        <v>99.14</v>
      </c>
      <c r="T163" s="71">
        <f t="shared" si="67"/>
        <v>0.58487199999999995</v>
      </c>
      <c r="V163" s="215">
        <v>45049</v>
      </c>
      <c r="W163" s="48">
        <v>985640</v>
      </c>
      <c r="X163" s="48">
        <v>218</v>
      </c>
      <c r="Y163" s="48">
        <v>985858</v>
      </c>
      <c r="Z163" s="48">
        <v>99.98</v>
      </c>
      <c r="AA163" s="71">
        <f t="shared" si="61"/>
        <v>0.98585800000000001</v>
      </c>
      <c r="AC163" s="215">
        <v>45049</v>
      </c>
      <c r="AD163" s="48">
        <v>660450</v>
      </c>
      <c r="AE163" s="48">
        <v>1142</v>
      </c>
      <c r="AF163" s="48">
        <v>661592</v>
      </c>
      <c r="AG163" s="48">
        <v>99.83</v>
      </c>
      <c r="AH163" s="71">
        <f t="shared" si="68"/>
        <v>0.66159199999999996</v>
      </c>
      <c r="AJ163" s="215">
        <v>45049</v>
      </c>
      <c r="AK163" s="48">
        <v>60</v>
      </c>
      <c r="AL163" s="48">
        <v>0</v>
      </c>
      <c r="AM163" s="48">
        <v>60</v>
      </c>
      <c r="AN163" s="48">
        <v>100</v>
      </c>
      <c r="AO163" s="246">
        <f t="shared" si="62"/>
        <v>6.0000000000000002E-5</v>
      </c>
      <c r="AQ163" s="215">
        <v>45049</v>
      </c>
      <c r="AR163" s="48">
        <v>1082</v>
      </c>
      <c r="AS163" s="48">
        <v>124</v>
      </c>
      <c r="AT163" s="48">
        <v>1206</v>
      </c>
      <c r="AU163" s="48">
        <v>89.72</v>
      </c>
      <c r="AV163" s="246">
        <f t="shared" si="69"/>
        <v>1.206E-3</v>
      </c>
      <c r="AX163" s="215">
        <v>45049</v>
      </c>
      <c r="AY163" s="48">
        <v>1694</v>
      </c>
      <c r="AZ163" s="48">
        <v>174</v>
      </c>
      <c r="BA163" s="48">
        <v>1868</v>
      </c>
      <c r="BB163" s="48">
        <v>90.69</v>
      </c>
      <c r="BC163" s="246">
        <f t="shared" si="70"/>
        <v>1.8680000000000001E-3</v>
      </c>
      <c r="BE163" s="215">
        <v>45049</v>
      </c>
      <c r="BF163" s="48">
        <v>2670</v>
      </c>
      <c r="BG163" s="48">
        <v>0</v>
      </c>
      <c r="BH163" s="48">
        <v>2670</v>
      </c>
      <c r="BI163" s="48">
        <v>100</v>
      </c>
      <c r="BJ163" s="71">
        <f t="shared" si="71"/>
        <v>2.6700000000000001E-3</v>
      </c>
      <c r="BL163" s="1"/>
      <c r="BM163" s="1"/>
      <c r="BN163" s="1"/>
      <c r="BO163" s="1"/>
      <c r="BP163" s="1"/>
      <c r="BQ163" s="247"/>
      <c r="BS163" s="48"/>
      <c r="BT163" s="48"/>
      <c r="BU163" s="48"/>
      <c r="BV163" s="48"/>
      <c r="BW163" s="48"/>
      <c r="BZ163" s="1"/>
      <c r="CA163" s="1"/>
      <c r="CB163" s="1"/>
      <c r="CC163" s="1"/>
      <c r="CE163" s="215">
        <v>45049</v>
      </c>
      <c r="CF163" s="1">
        <v>10916716</v>
      </c>
      <c r="CG163" s="1">
        <v>29268</v>
      </c>
      <c r="CH163" s="1">
        <v>10945984</v>
      </c>
      <c r="CI163" s="71">
        <f t="shared" si="60"/>
        <v>99.732614262911412</v>
      </c>
      <c r="CJ163" s="71">
        <f t="shared" si="66"/>
        <v>10.945983999999999</v>
      </c>
      <c r="CL163" s="140">
        <v>44949</v>
      </c>
      <c r="CM163" t="s">
        <v>239</v>
      </c>
      <c r="CN163">
        <v>4090</v>
      </c>
    </row>
    <row r="164" spans="1:92" hidden="1" x14ac:dyDescent="0.25">
      <c r="A164" s="215">
        <v>45050</v>
      </c>
      <c r="B164" s="48">
        <v>5747862</v>
      </c>
      <c r="C164" s="48">
        <v>1984</v>
      </c>
      <c r="D164" s="48">
        <v>5749846</v>
      </c>
      <c r="E164" s="48">
        <v>99.97</v>
      </c>
      <c r="F164" s="71">
        <f t="shared" si="72"/>
        <v>5.7498459999999998</v>
      </c>
      <c r="H164" s="215">
        <v>45050</v>
      </c>
      <c r="I164" s="48">
        <v>2007930</v>
      </c>
      <c r="J164" s="48">
        <v>5126</v>
      </c>
      <c r="K164" s="48">
        <v>2013056</v>
      </c>
      <c r="L164" s="48">
        <v>99.75</v>
      </c>
      <c r="M164" s="71">
        <f t="shared" si="73"/>
        <v>2.0130560000000002</v>
      </c>
      <c r="O164" s="215">
        <v>45050</v>
      </c>
      <c r="P164" s="48">
        <v>621428</v>
      </c>
      <c r="Q164" s="48">
        <v>5240</v>
      </c>
      <c r="R164" s="48">
        <v>626668</v>
      </c>
      <c r="S164" s="48">
        <v>99.16</v>
      </c>
      <c r="T164" s="71">
        <f t="shared" si="67"/>
        <v>0.626668</v>
      </c>
      <c r="V164" s="215">
        <v>45050</v>
      </c>
      <c r="W164" s="48">
        <v>1011840</v>
      </c>
      <c r="X164" s="48">
        <v>136</v>
      </c>
      <c r="Y164" s="48">
        <v>1011976</v>
      </c>
      <c r="Z164" s="48">
        <v>99.99</v>
      </c>
      <c r="AA164" s="71">
        <f t="shared" si="61"/>
        <v>1.011976</v>
      </c>
      <c r="AC164" s="215">
        <v>45050</v>
      </c>
      <c r="AD164" s="48">
        <v>662550</v>
      </c>
      <c r="AE164" s="48">
        <v>152</v>
      </c>
      <c r="AF164" s="48">
        <v>662702</v>
      </c>
      <c r="AG164" s="48">
        <v>99.98</v>
      </c>
      <c r="AH164" s="71">
        <f t="shared" si="68"/>
        <v>0.66270200000000001</v>
      </c>
      <c r="AJ164" s="215">
        <v>45050</v>
      </c>
      <c r="AK164" s="48">
        <v>246</v>
      </c>
      <c r="AL164" s="48">
        <v>0</v>
      </c>
      <c r="AM164" s="48">
        <v>246</v>
      </c>
      <c r="AN164" s="48">
        <v>100</v>
      </c>
      <c r="AO164" s="246">
        <f t="shared" si="62"/>
        <v>2.4600000000000002E-4</v>
      </c>
      <c r="AQ164" s="215">
        <v>45050</v>
      </c>
      <c r="AR164" s="48">
        <v>796</v>
      </c>
      <c r="AS164" s="48">
        <v>12</v>
      </c>
      <c r="AT164" s="48">
        <v>808</v>
      </c>
      <c r="AU164" s="48">
        <v>98.51</v>
      </c>
      <c r="AV164" s="246">
        <f t="shared" si="69"/>
        <v>8.0800000000000002E-4</v>
      </c>
      <c r="AX164" s="215">
        <v>45050</v>
      </c>
      <c r="AY164" s="48">
        <v>1180</v>
      </c>
      <c r="AZ164" s="48">
        <v>42</v>
      </c>
      <c r="BA164" s="48">
        <v>1222</v>
      </c>
      <c r="BB164" s="48">
        <v>96.56</v>
      </c>
      <c r="BC164" s="246">
        <f t="shared" si="70"/>
        <v>1.222E-3</v>
      </c>
      <c r="BE164" s="215">
        <v>45050</v>
      </c>
      <c r="BF164" s="48">
        <v>2638</v>
      </c>
      <c r="BG164" s="48">
        <v>0</v>
      </c>
      <c r="BH164" s="48">
        <v>2638</v>
      </c>
      <c r="BI164" s="48">
        <v>100</v>
      </c>
      <c r="BJ164" s="71">
        <f t="shared" si="71"/>
        <v>2.6380000000000002E-3</v>
      </c>
      <c r="BL164" s="1"/>
      <c r="BM164" s="1"/>
      <c r="BN164" s="1"/>
      <c r="BO164" s="1"/>
      <c r="BP164" s="1"/>
      <c r="BQ164" s="247"/>
      <c r="BS164" s="48"/>
      <c r="BT164" s="48"/>
      <c r="BU164" s="48"/>
      <c r="BV164" s="48"/>
      <c r="BW164" s="48"/>
      <c r="BZ164" s="1"/>
      <c r="CA164" s="1"/>
      <c r="CB164" s="1"/>
      <c r="CC164" s="1"/>
      <c r="CE164" s="215">
        <v>45050</v>
      </c>
      <c r="CF164" s="1">
        <v>11437750</v>
      </c>
      <c r="CG164" s="1">
        <v>26618</v>
      </c>
      <c r="CH164" s="1">
        <v>11464368</v>
      </c>
      <c r="CI164" s="71">
        <f t="shared" si="60"/>
        <v>99.767819735025952</v>
      </c>
      <c r="CJ164" s="71">
        <f t="shared" si="66"/>
        <v>11.464368</v>
      </c>
      <c r="CL164" s="140">
        <v>44949</v>
      </c>
      <c r="CM164" t="s">
        <v>240</v>
      </c>
      <c r="CN164">
        <v>2524</v>
      </c>
    </row>
    <row r="165" spans="1:92" hidden="1" x14ac:dyDescent="0.25">
      <c r="A165" s="215">
        <v>45051</v>
      </c>
      <c r="B165" s="48">
        <v>5571178</v>
      </c>
      <c r="C165" s="48">
        <v>1874</v>
      </c>
      <c r="D165" s="48">
        <v>5573052</v>
      </c>
      <c r="E165" s="48">
        <v>99.97</v>
      </c>
      <c r="F165" s="71">
        <f t="shared" si="72"/>
        <v>5.5730519999999997</v>
      </c>
      <c r="H165" s="215">
        <v>45051</v>
      </c>
      <c r="I165" s="48">
        <v>2218642</v>
      </c>
      <c r="J165" s="48">
        <v>5834</v>
      </c>
      <c r="K165" s="48">
        <v>2224476</v>
      </c>
      <c r="L165" s="48">
        <v>99.74</v>
      </c>
      <c r="M165" s="71">
        <f t="shared" si="73"/>
        <v>2.2244760000000001</v>
      </c>
      <c r="O165" s="215">
        <v>45051</v>
      </c>
      <c r="P165" s="48">
        <v>623398</v>
      </c>
      <c r="Q165" s="48">
        <v>8246</v>
      </c>
      <c r="R165" s="48">
        <v>631644</v>
      </c>
      <c r="S165" s="48">
        <v>98.69</v>
      </c>
      <c r="T165" s="71">
        <f t="shared" si="67"/>
        <v>0.63164399999999998</v>
      </c>
      <c r="V165" s="215">
        <v>45051</v>
      </c>
      <c r="W165" s="48">
        <v>1041014</v>
      </c>
      <c r="X165" s="48">
        <v>230</v>
      </c>
      <c r="Y165" s="48">
        <v>1041244</v>
      </c>
      <c r="Z165" s="48">
        <v>99.98</v>
      </c>
      <c r="AA165" s="71">
        <f t="shared" si="61"/>
        <v>1.0412440000000001</v>
      </c>
      <c r="AC165" s="215">
        <v>45051</v>
      </c>
      <c r="AD165" s="48">
        <v>682092</v>
      </c>
      <c r="AE165" s="48">
        <v>164</v>
      </c>
      <c r="AF165" s="48">
        <v>682256</v>
      </c>
      <c r="AG165" s="48">
        <v>99.98</v>
      </c>
      <c r="AH165" s="71">
        <f t="shared" si="68"/>
        <v>0.68225599999999997</v>
      </c>
      <c r="AJ165" s="215">
        <v>45051</v>
      </c>
      <c r="AK165" s="48">
        <v>246</v>
      </c>
      <c r="AL165" s="48">
        <v>0</v>
      </c>
      <c r="AM165" s="48">
        <v>246</v>
      </c>
      <c r="AN165" s="48">
        <v>100</v>
      </c>
      <c r="AO165" s="246">
        <f t="shared" si="62"/>
        <v>2.4600000000000002E-4</v>
      </c>
      <c r="AQ165" s="215">
        <v>45051</v>
      </c>
      <c r="AR165" s="48">
        <v>704</v>
      </c>
      <c r="AS165" s="48">
        <v>26</v>
      </c>
      <c r="AT165" s="48">
        <v>730</v>
      </c>
      <c r="AU165" s="48">
        <v>96.44</v>
      </c>
      <c r="AV165" s="246">
        <f t="shared" si="69"/>
        <v>7.2999999999999996E-4</v>
      </c>
      <c r="AX165" s="215">
        <v>45051</v>
      </c>
      <c r="AY165" s="48">
        <v>1648</v>
      </c>
      <c r="AZ165" s="48">
        <v>98</v>
      </c>
      <c r="BA165" s="48">
        <v>1746</v>
      </c>
      <c r="BB165" s="48">
        <v>94.39</v>
      </c>
      <c r="BC165" s="246">
        <f t="shared" si="70"/>
        <v>1.7459999999999999E-3</v>
      </c>
      <c r="BE165" s="215">
        <v>45051</v>
      </c>
      <c r="BF165" s="48">
        <v>3490</v>
      </c>
      <c r="BG165" s="48">
        <v>34</v>
      </c>
      <c r="BH165" s="48">
        <v>3524</v>
      </c>
      <c r="BI165" s="48">
        <v>99.04</v>
      </c>
      <c r="BJ165" s="71">
        <f>BH165/1000000</f>
        <v>3.5239999999999998E-3</v>
      </c>
      <c r="BL165" s="215">
        <v>45051</v>
      </c>
      <c r="BM165" s="48">
        <v>4658</v>
      </c>
      <c r="BN165" s="48">
        <v>0</v>
      </c>
      <c r="BO165" s="48">
        <v>4658</v>
      </c>
      <c r="BP165" s="48">
        <v>100</v>
      </c>
      <c r="BQ165" s="71">
        <f>BO165/1000000</f>
        <v>4.6579999999999998E-3</v>
      </c>
      <c r="BR165" s="178"/>
      <c r="BS165" s="71"/>
      <c r="BT165" s="71"/>
      <c r="BU165" s="71"/>
      <c r="BV165" s="71"/>
      <c r="BW165" s="71"/>
      <c r="BX165" s="178"/>
      <c r="BY165" s="178"/>
      <c r="BZ165" s="71"/>
      <c r="CA165" s="48"/>
      <c r="CB165" s="48"/>
      <c r="CC165" s="71"/>
      <c r="CD165" s="178"/>
      <c r="CE165" s="215">
        <v>45051</v>
      </c>
      <c r="CF165" s="1">
        <v>11487376</v>
      </c>
      <c r="CG165" s="1">
        <v>21324</v>
      </c>
      <c r="CH165" s="1">
        <v>11508700</v>
      </c>
      <c r="CI165" s="71">
        <f t="shared" si="60"/>
        <v>99.814714085865475</v>
      </c>
      <c r="CJ165" s="71">
        <f t="shared" si="66"/>
        <v>11.508699999999999</v>
      </c>
      <c r="CL165" s="140">
        <v>44949</v>
      </c>
      <c r="CM165" t="s">
        <v>241</v>
      </c>
      <c r="CN165">
        <v>708</v>
      </c>
    </row>
    <row r="166" spans="1:92" hidden="1" x14ac:dyDescent="0.25">
      <c r="A166" s="215">
        <v>45052</v>
      </c>
      <c r="B166" s="48">
        <v>5491384</v>
      </c>
      <c r="C166" s="48">
        <v>1676</v>
      </c>
      <c r="D166" s="48">
        <v>5493060</v>
      </c>
      <c r="E166" s="48">
        <v>99.97</v>
      </c>
      <c r="F166" s="71">
        <f t="shared" si="72"/>
        <v>5.4930599999999998</v>
      </c>
      <c r="H166" s="215">
        <v>45052</v>
      </c>
      <c r="I166" s="48">
        <v>1803270</v>
      </c>
      <c r="J166" s="48">
        <v>4454</v>
      </c>
      <c r="K166" s="48">
        <v>1807724</v>
      </c>
      <c r="L166" s="48">
        <v>99.75</v>
      </c>
      <c r="M166" s="71">
        <f t="shared" si="73"/>
        <v>1.8077240000000001</v>
      </c>
      <c r="O166" s="215">
        <v>45052</v>
      </c>
      <c r="P166" s="48">
        <v>601506</v>
      </c>
      <c r="Q166" s="48">
        <v>4864</v>
      </c>
      <c r="R166" s="48">
        <v>606370</v>
      </c>
      <c r="S166" s="48">
        <v>99.2</v>
      </c>
      <c r="T166" s="71">
        <f t="shared" si="67"/>
        <v>0.60636999999999996</v>
      </c>
      <c r="V166" s="215">
        <v>45052</v>
      </c>
      <c r="W166" s="48">
        <v>1011828</v>
      </c>
      <c r="X166" s="48">
        <v>154</v>
      </c>
      <c r="Y166" s="48">
        <v>1011982</v>
      </c>
      <c r="Z166" s="48">
        <v>99.98</v>
      </c>
      <c r="AA166" s="71">
        <f t="shared" si="61"/>
        <v>1.0119819999999999</v>
      </c>
      <c r="AC166" s="215">
        <v>45052</v>
      </c>
      <c r="AD166" s="48">
        <v>696468</v>
      </c>
      <c r="AE166" s="48">
        <v>2984</v>
      </c>
      <c r="AF166" s="48">
        <v>699452</v>
      </c>
      <c r="AG166" s="48">
        <v>99.57</v>
      </c>
      <c r="AH166" s="71">
        <f t="shared" si="68"/>
        <v>0.69945199999999996</v>
      </c>
      <c r="AJ166" s="215">
        <v>45052</v>
      </c>
      <c r="AK166" s="48">
        <v>138</v>
      </c>
      <c r="AL166" s="48">
        <v>0</v>
      </c>
      <c r="AM166" s="48">
        <v>138</v>
      </c>
      <c r="AN166" s="48">
        <v>100</v>
      </c>
      <c r="AO166" s="246">
        <f t="shared" si="62"/>
        <v>1.3799999999999999E-4</v>
      </c>
      <c r="AQ166" s="215">
        <v>45052</v>
      </c>
      <c r="AR166" s="48">
        <v>776</v>
      </c>
      <c r="AS166" s="48">
        <v>22</v>
      </c>
      <c r="AT166" s="48">
        <v>798</v>
      </c>
      <c r="AU166" s="48">
        <v>97.24</v>
      </c>
      <c r="AV166" s="246">
        <f t="shared" si="69"/>
        <v>7.9799999999999999E-4</v>
      </c>
      <c r="AX166" s="215">
        <v>45052</v>
      </c>
      <c r="AY166" s="48">
        <v>988</v>
      </c>
      <c r="AZ166" s="48">
        <v>68</v>
      </c>
      <c r="BA166" s="48">
        <v>1056</v>
      </c>
      <c r="BB166" s="48">
        <v>93.56</v>
      </c>
      <c r="BC166" s="246">
        <f t="shared" si="70"/>
        <v>1.0560000000000001E-3</v>
      </c>
      <c r="BE166" s="215">
        <v>45052</v>
      </c>
      <c r="BF166" s="48">
        <v>2536</v>
      </c>
      <c r="BG166" s="48">
        <v>16</v>
      </c>
      <c r="BH166" s="48">
        <v>2552</v>
      </c>
      <c r="BI166" s="48">
        <v>99.37</v>
      </c>
      <c r="BJ166" s="71">
        <f t="shared" si="71"/>
        <v>2.552E-3</v>
      </c>
      <c r="BL166" s="215">
        <v>45052</v>
      </c>
      <c r="BM166" s="48">
        <v>7130</v>
      </c>
      <c r="BN166" s="48">
        <v>0</v>
      </c>
      <c r="BO166" s="48">
        <v>7130</v>
      </c>
      <c r="BP166" s="48">
        <v>100</v>
      </c>
      <c r="BQ166" s="71">
        <f t="shared" ref="BQ166:BQ231" si="74">BO166/1000000</f>
        <v>7.1300000000000001E-3</v>
      </c>
      <c r="BR166" s="178"/>
      <c r="BS166" s="71"/>
      <c r="BT166" s="71"/>
      <c r="BU166" s="71"/>
      <c r="BV166" s="71"/>
      <c r="BW166" s="71"/>
      <c r="BX166" s="178"/>
      <c r="BY166" s="178"/>
      <c r="BZ166" s="71"/>
      <c r="CA166" s="48"/>
      <c r="CB166" s="48"/>
      <c r="CC166" s="71"/>
      <c r="CD166" s="178"/>
      <c r="CE166" s="215">
        <v>45052</v>
      </c>
      <c r="CF166" s="1">
        <v>10907534</v>
      </c>
      <c r="CG166" s="1">
        <v>30714</v>
      </c>
      <c r="CH166" s="1">
        <v>10938248</v>
      </c>
      <c r="CI166" s="71">
        <f t="shared" si="60"/>
        <v>99.719205488849767</v>
      </c>
      <c r="CJ166" s="71">
        <f t="shared" si="66"/>
        <v>10.938248</v>
      </c>
      <c r="CL166" s="140"/>
    </row>
    <row r="167" spans="1:92" hidden="1" x14ac:dyDescent="0.25">
      <c r="A167" s="215">
        <v>45053</v>
      </c>
      <c r="B167" s="48">
        <v>4671624</v>
      </c>
      <c r="C167" s="48">
        <v>1824</v>
      </c>
      <c r="D167" s="48">
        <v>4673448</v>
      </c>
      <c r="E167" s="48">
        <v>99.96</v>
      </c>
      <c r="F167" s="71">
        <f t="shared" si="72"/>
        <v>4.6734479999999996</v>
      </c>
      <c r="H167" s="215">
        <v>45053</v>
      </c>
      <c r="I167" s="48">
        <v>1767244</v>
      </c>
      <c r="J167" s="48">
        <v>4600</v>
      </c>
      <c r="K167" s="48">
        <v>1771844</v>
      </c>
      <c r="L167" s="48">
        <v>99.74</v>
      </c>
      <c r="M167" s="71">
        <f t="shared" si="73"/>
        <v>1.771844</v>
      </c>
      <c r="O167" s="215">
        <v>45053</v>
      </c>
      <c r="P167" s="48">
        <v>610530</v>
      </c>
      <c r="Q167" s="48">
        <v>4614</v>
      </c>
      <c r="R167" s="48">
        <v>615144</v>
      </c>
      <c r="S167" s="48">
        <v>99.25</v>
      </c>
      <c r="T167" s="71">
        <f t="shared" si="67"/>
        <v>0.61514400000000002</v>
      </c>
      <c r="V167" s="215">
        <v>45053</v>
      </c>
      <c r="W167" s="48">
        <v>955942</v>
      </c>
      <c r="X167" s="48">
        <v>184</v>
      </c>
      <c r="Y167" s="48">
        <v>956126</v>
      </c>
      <c r="Z167" s="48">
        <v>99.98</v>
      </c>
      <c r="AA167" s="71">
        <f t="shared" si="61"/>
        <v>0.95612600000000003</v>
      </c>
      <c r="AC167" s="215">
        <v>45053</v>
      </c>
      <c r="AD167" s="48">
        <v>622026</v>
      </c>
      <c r="AE167" s="48">
        <v>740</v>
      </c>
      <c r="AF167" s="48">
        <v>622766</v>
      </c>
      <c r="AG167" s="48">
        <v>99.88</v>
      </c>
      <c r="AH167" s="71">
        <f t="shared" si="68"/>
        <v>0.62276600000000004</v>
      </c>
      <c r="AJ167" s="215">
        <v>45053</v>
      </c>
      <c r="AK167" s="48">
        <v>100</v>
      </c>
      <c r="AL167" s="48">
        <v>2</v>
      </c>
      <c r="AM167" s="48">
        <v>102</v>
      </c>
      <c r="AN167" s="48">
        <v>98.04</v>
      </c>
      <c r="AO167" s="246">
        <f t="shared" si="62"/>
        <v>1.02E-4</v>
      </c>
      <c r="AQ167" s="215">
        <v>45053</v>
      </c>
      <c r="AR167" s="48">
        <v>464</v>
      </c>
      <c r="AS167" s="48">
        <v>20</v>
      </c>
      <c r="AT167" s="48">
        <v>484</v>
      </c>
      <c r="AU167" s="48">
        <v>95.87</v>
      </c>
      <c r="AV167" s="246">
        <f t="shared" si="69"/>
        <v>4.84E-4</v>
      </c>
      <c r="AX167" s="215">
        <v>45053</v>
      </c>
      <c r="AY167" s="48">
        <v>0</v>
      </c>
      <c r="AZ167" s="48">
        <v>128</v>
      </c>
      <c r="BA167" s="48">
        <v>128</v>
      </c>
      <c r="BB167" s="48">
        <v>0</v>
      </c>
      <c r="BC167" s="246">
        <f t="shared" si="70"/>
        <v>1.2799999999999999E-4</v>
      </c>
      <c r="BE167" s="215">
        <v>45053</v>
      </c>
      <c r="BF167" s="48">
        <v>2486</v>
      </c>
      <c r="BG167" s="48">
        <v>12</v>
      </c>
      <c r="BH167" s="48">
        <v>2498</v>
      </c>
      <c r="BI167" s="48">
        <v>99.52</v>
      </c>
      <c r="BJ167" s="71">
        <f t="shared" si="71"/>
        <v>2.4979999999999998E-3</v>
      </c>
      <c r="BL167" s="215">
        <v>45053</v>
      </c>
      <c r="BM167" s="48">
        <v>4458</v>
      </c>
      <c r="BN167" s="48">
        <v>0</v>
      </c>
      <c r="BO167" s="48">
        <v>4458</v>
      </c>
      <c r="BP167" s="48">
        <v>100</v>
      </c>
      <c r="BQ167" s="71">
        <f t="shared" si="74"/>
        <v>4.4580000000000002E-3</v>
      </c>
      <c r="BR167" s="178"/>
      <c r="BS167" s="71"/>
      <c r="BT167" s="71"/>
      <c r="BU167" s="71"/>
      <c r="BV167" s="71"/>
      <c r="BW167" s="71"/>
      <c r="BX167" s="178"/>
      <c r="BY167" s="178"/>
      <c r="BZ167" s="71"/>
      <c r="CA167" s="48"/>
      <c r="CB167" s="48"/>
      <c r="CC167" s="71"/>
      <c r="CD167" s="178"/>
      <c r="CE167" s="215">
        <v>45053</v>
      </c>
      <c r="CF167" s="1">
        <v>9843066</v>
      </c>
      <c r="CG167" s="1">
        <v>22114</v>
      </c>
      <c r="CH167" s="1">
        <v>9865180</v>
      </c>
      <c r="CI167" s="71">
        <f t="shared" si="60"/>
        <v>99.775837845837586</v>
      </c>
      <c r="CJ167" s="71">
        <f t="shared" si="66"/>
        <v>9.8651800000000005</v>
      </c>
      <c r="CL167" s="140">
        <v>44950</v>
      </c>
      <c r="CM167" t="s">
        <v>237</v>
      </c>
      <c r="CN167">
        <v>20082</v>
      </c>
    </row>
    <row r="168" spans="1:92" hidden="1" x14ac:dyDescent="0.25">
      <c r="A168" s="215">
        <v>45054</v>
      </c>
      <c r="B168" s="48">
        <v>5891550</v>
      </c>
      <c r="C168" s="48">
        <v>2962</v>
      </c>
      <c r="D168" s="48">
        <v>5894512</v>
      </c>
      <c r="E168" s="48">
        <v>99.95</v>
      </c>
      <c r="F168" s="71">
        <f t="shared" si="72"/>
        <v>5.8945119999999998</v>
      </c>
      <c r="H168" s="215">
        <v>45054</v>
      </c>
      <c r="I168" s="48">
        <v>1987142</v>
      </c>
      <c r="J168" s="48">
        <v>4754</v>
      </c>
      <c r="K168" s="48">
        <v>1991896</v>
      </c>
      <c r="L168" s="48">
        <v>99.76</v>
      </c>
      <c r="M168" s="71">
        <f t="shared" si="73"/>
        <v>1.9918960000000001</v>
      </c>
      <c r="O168" s="215">
        <v>45054</v>
      </c>
      <c r="P168" s="48">
        <v>630130</v>
      </c>
      <c r="Q168" s="48">
        <v>4894</v>
      </c>
      <c r="R168" s="48">
        <v>635024</v>
      </c>
      <c r="S168" s="48">
        <v>99.23</v>
      </c>
      <c r="T168" s="71">
        <f t="shared" si="67"/>
        <v>0.63502400000000003</v>
      </c>
      <c r="V168" s="215">
        <v>45054</v>
      </c>
      <c r="W168" s="48">
        <v>1070168</v>
      </c>
      <c r="X168" s="48">
        <v>196</v>
      </c>
      <c r="Y168" s="48">
        <v>1070364</v>
      </c>
      <c r="Z168" s="48">
        <v>99.98</v>
      </c>
      <c r="AA168" s="71">
        <f t="shared" si="61"/>
        <v>1.0703640000000001</v>
      </c>
      <c r="AC168" s="215">
        <v>45054</v>
      </c>
      <c r="AD168" s="48">
        <v>633394</v>
      </c>
      <c r="AE168" s="48">
        <v>114</v>
      </c>
      <c r="AF168" s="48">
        <v>633508</v>
      </c>
      <c r="AG168" s="48">
        <v>99.98</v>
      </c>
      <c r="AH168" s="71">
        <f t="shared" si="68"/>
        <v>0.63350799999999996</v>
      </c>
      <c r="AJ168" s="215">
        <v>45054</v>
      </c>
      <c r="AK168" s="48">
        <v>34</v>
      </c>
      <c r="AL168" s="48">
        <v>0</v>
      </c>
      <c r="AM168" s="48">
        <v>34</v>
      </c>
      <c r="AN168" s="48">
        <v>100</v>
      </c>
      <c r="AO168" s="246">
        <f t="shared" si="62"/>
        <v>3.4E-5</v>
      </c>
      <c r="AQ168" s="215">
        <v>45054</v>
      </c>
      <c r="AR168" s="48">
        <v>852</v>
      </c>
      <c r="AS168" s="48">
        <v>16</v>
      </c>
      <c r="AT168" s="48">
        <v>868</v>
      </c>
      <c r="AU168" s="48">
        <v>98.16</v>
      </c>
      <c r="AV168" s="246">
        <f t="shared" si="69"/>
        <v>8.6799999999999996E-4</v>
      </c>
      <c r="AX168" s="215">
        <v>45054</v>
      </c>
      <c r="AY168" s="48">
        <v>2000</v>
      </c>
      <c r="AZ168" s="48">
        <v>86</v>
      </c>
      <c r="BA168" s="48">
        <v>2086</v>
      </c>
      <c r="BB168" s="48">
        <v>95.88</v>
      </c>
      <c r="BC168" s="246">
        <f t="shared" si="70"/>
        <v>2.0860000000000002E-3</v>
      </c>
      <c r="BE168" s="215">
        <v>45054</v>
      </c>
      <c r="BF168" s="48">
        <v>2862</v>
      </c>
      <c r="BG168" s="48">
        <v>18</v>
      </c>
      <c r="BH168" s="48">
        <v>2880</v>
      </c>
      <c r="BI168" s="48">
        <v>99.38</v>
      </c>
      <c r="BJ168" s="71">
        <f t="shared" si="71"/>
        <v>2.8800000000000002E-3</v>
      </c>
      <c r="BL168" s="215">
        <v>45054</v>
      </c>
      <c r="BM168" s="48">
        <v>3606</v>
      </c>
      <c r="BN168" s="48">
        <v>0</v>
      </c>
      <c r="BO168" s="48">
        <v>3606</v>
      </c>
      <c r="BP168" s="48">
        <v>100</v>
      </c>
      <c r="BQ168" s="71">
        <f t="shared" si="74"/>
        <v>3.6059999999999998E-3</v>
      </c>
      <c r="BR168" s="178"/>
      <c r="BS168" s="71"/>
      <c r="BT168" s="71"/>
      <c r="BU168" s="71"/>
      <c r="BV168" s="71"/>
      <c r="BW168" s="71"/>
      <c r="BX168" s="178"/>
      <c r="BY168" s="178"/>
      <c r="BZ168" s="71"/>
      <c r="CA168" s="48"/>
      <c r="CB168" s="48"/>
      <c r="CC168" s="71"/>
      <c r="CD168" s="178"/>
      <c r="CE168" s="215">
        <v>45054</v>
      </c>
      <c r="CF168" s="1">
        <v>11563686</v>
      </c>
      <c r="CG168" s="1">
        <v>24496</v>
      </c>
      <c r="CH168" s="1">
        <v>11588182</v>
      </c>
      <c r="CI168" s="71">
        <f t="shared" si="60"/>
        <v>99.788612225800378</v>
      </c>
      <c r="CJ168" s="71">
        <f t="shared" si="66"/>
        <v>11.588182</v>
      </c>
      <c r="CL168" s="140">
        <v>44950</v>
      </c>
      <c r="CM168" t="s">
        <v>238</v>
      </c>
      <c r="CN168">
        <v>7604</v>
      </c>
    </row>
    <row r="169" spans="1:92" hidden="1" x14ac:dyDescent="0.25">
      <c r="A169" s="215">
        <v>45055</v>
      </c>
      <c r="B169" s="48">
        <v>6070278</v>
      </c>
      <c r="C169" s="48">
        <v>2638</v>
      </c>
      <c r="D169" s="48">
        <v>6072916</v>
      </c>
      <c r="E169" s="48">
        <v>99.96</v>
      </c>
      <c r="F169" s="71">
        <f t="shared" si="72"/>
        <v>6.0729160000000002</v>
      </c>
      <c r="H169" s="215">
        <v>45055</v>
      </c>
      <c r="I169" s="48">
        <v>2267548</v>
      </c>
      <c r="J169" s="48">
        <v>3158</v>
      </c>
      <c r="K169" s="48">
        <v>2270706</v>
      </c>
      <c r="L169" s="48">
        <v>99.86</v>
      </c>
      <c r="M169" s="71">
        <f t="shared" si="73"/>
        <v>2.2707060000000001</v>
      </c>
      <c r="O169" s="215">
        <v>45055</v>
      </c>
      <c r="P169" s="48">
        <v>615812</v>
      </c>
      <c r="Q169" s="48">
        <v>6550</v>
      </c>
      <c r="R169" s="48">
        <v>622362</v>
      </c>
      <c r="S169" s="48">
        <v>98.95</v>
      </c>
      <c r="T169" s="71">
        <f t="shared" si="67"/>
        <v>0.62236199999999997</v>
      </c>
      <c r="V169" s="215">
        <v>45055</v>
      </c>
      <c r="W169" s="48">
        <v>1036408</v>
      </c>
      <c r="X169" s="48">
        <v>282</v>
      </c>
      <c r="Y169" s="48">
        <v>1036690</v>
      </c>
      <c r="Z169" s="48">
        <v>99.97</v>
      </c>
      <c r="AA169" s="71">
        <f t="shared" si="61"/>
        <v>1.0366899999999999</v>
      </c>
      <c r="AC169" s="215">
        <v>45055</v>
      </c>
      <c r="AD169" s="48">
        <v>680564</v>
      </c>
      <c r="AE169" s="48">
        <v>206</v>
      </c>
      <c r="AF169" s="48">
        <v>680770</v>
      </c>
      <c r="AG169" s="48">
        <v>99.97</v>
      </c>
      <c r="AH169" s="71">
        <f t="shared" si="68"/>
        <v>0.68076999999999999</v>
      </c>
      <c r="AJ169" s="215">
        <v>45055</v>
      </c>
      <c r="AK169" s="48">
        <v>66</v>
      </c>
      <c r="AL169" s="48">
        <v>0</v>
      </c>
      <c r="AM169" s="48">
        <v>66</v>
      </c>
      <c r="AN169" s="48">
        <v>100</v>
      </c>
      <c r="AO169" s="246">
        <f t="shared" si="62"/>
        <v>6.6000000000000005E-5</v>
      </c>
      <c r="AQ169" s="215">
        <v>45055</v>
      </c>
      <c r="AR169" s="48">
        <v>986</v>
      </c>
      <c r="AS169" s="48">
        <v>10</v>
      </c>
      <c r="AT169" s="48">
        <v>996</v>
      </c>
      <c r="AU169" s="48">
        <v>99</v>
      </c>
      <c r="AV169" s="246">
        <f t="shared" si="69"/>
        <v>9.9599999999999992E-4</v>
      </c>
      <c r="AX169" s="215">
        <v>45055</v>
      </c>
      <c r="AY169" s="48">
        <v>1232</v>
      </c>
      <c r="AZ169" s="48">
        <v>256</v>
      </c>
      <c r="BA169" s="48">
        <v>1488</v>
      </c>
      <c r="BB169" s="48">
        <v>82.8</v>
      </c>
      <c r="BC169" s="246">
        <f t="shared" si="70"/>
        <v>1.488E-3</v>
      </c>
      <c r="BE169" s="215">
        <v>45055</v>
      </c>
      <c r="BF169" s="48">
        <v>3328</v>
      </c>
      <c r="BG169" s="48">
        <v>18</v>
      </c>
      <c r="BH169" s="48">
        <v>3346</v>
      </c>
      <c r="BI169" s="48">
        <v>99.46</v>
      </c>
      <c r="BJ169" s="71">
        <f t="shared" si="71"/>
        <v>3.346E-3</v>
      </c>
      <c r="BL169" s="215">
        <v>45055</v>
      </c>
      <c r="BM169" s="48">
        <v>3922</v>
      </c>
      <c r="BN169" s="48">
        <v>0</v>
      </c>
      <c r="BO169" s="48">
        <v>3922</v>
      </c>
      <c r="BP169" s="48">
        <v>100</v>
      </c>
      <c r="BQ169" s="71">
        <f t="shared" si="74"/>
        <v>3.9220000000000001E-3</v>
      </c>
      <c r="BR169" s="178"/>
      <c r="BS169" s="71"/>
      <c r="BT169" s="71"/>
      <c r="BU169" s="71"/>
      <c r="BV169" s="71"/>
      <c r="BW169" s="71"/>
      <c r="BX169" s="178"/>
      <c r="BY169" s="178"/>
      <c r="BZ169" s="71"/>
      <c r="CA169" s="48"/>
      <c r="CB169" s="48"/>
      <c r="CC169" s="71"/>
      <c r="CD169" s="178"/>
      <c r="CE169" s="215">
        <v>45055</v>
      </c>
      <c r="CF169" s="1">
        <v>12050936</v>
      </c>
      <c r="CG169" s="1">
        <v>17732</v>
      </c>
      <c r="CH169" s="1">
        <v>12068668</v>
      </c>
      <c r="CI169" s="71">
        <f t="shared" si="60"/>
        <v>99.853074092352202</v>
      </c>
      <c r="CJ169" s="71">
        <f t="shared" si="66"/>
        <v>12.068668000000001</v>
      </c>
      <c r="CL169" s="140">
        <v>44950</v>
      </c>
      <c r="CM169" t="s">
        <v>240</v>
      </c>
      <c r="CN169">
        <v>2786</v>
      </c>
    </row>
    <row r="170" spans="1:92" hidden="1" x14ac:dyDescent="0.25">
      <c r="A170" s="215">
        <v>45056</v>
      </c>
      <c r="B170" s="48">
        <v>5806118</v>
      </c>
      <c r="C170" s="48">
        <v>3060</v>
      </c>
      <c r="D170" s="48">
        <v>5809178</v>
      </c>
      <c r="E170" s="48">
        <v>99.95</v>
      </c>
      <c r="F170" s="71">
        <f t="shared" si="72"/>
        <v>5.8091780000000002</v>
      </c>
      <c r="H170" s="215">
        <v>45056</v>
      </c>
      <c r="I170" s="48">
        <v>1870960</v>
      </c>
      <c r="J170" s="48">
        <v>2540</v>
      </c>
      <c r="K170" s="48">
        <v>1873500</v>
      </c>
      <c r="L170" s="48">
        <v>99.86</v>
      </c>
      <c r="M170" s="71">
        <f t="shared" si="73"/>
        <v>1.8734999999999999</v>
      </c>
      <c r="O170" s="215">
        <v>45056</v>
      </c>
      <c r="P170" s="48">
        <v>588042</v>
      </c>
      <c r="Q170" s="48">
        <v>4698</v>
      </c>
      <c r="R170" s="48">
        <v>592740</v>
      </c>
      <c r="S170" s="48">
        <v>99.21</v>
      </c>
      <c r="T170" s="71">
        <f t="shared" si="67"/>
        <v>0.59274000000000004</v>
      </c>
      <c r="V170" s="215">
        <v>45056</v>
      </c>
      <c r="W170" s="48">
        <v>992206</v>
      </c>
      <c r="X170" s="48">
        <v>238</v>
      </c>
      <c r="Y170" s="48">
        <v>992444</v>
      </c>
      <c r="Z170" s="48">
        <v>99.98</v>
      </c>
      <c r="AA170" s="71">
        <f t="shared" si="61"/>
        <v>0.99244399999999999</v>
      </c>
      <c r="AC170" s="215">
        <v>45056</v>
      </c>
      <c r="AD170" s="48">
        <v>752726</v>
      </c>
      <c r="AE170" s="48">
        <v>152</v>
      </c>
      <c r="AF170" s="48">
        <v>752878</v>
      </c>
      <c r="AG170" s="48">
        <v>99.98</v>
      </c>
      <c r="AH170" s="71">
        <f t="shared" si="68"/>
        <v>0.75287800000000005</v>
      </c>
      <c r="AJ170" s="215">
        <v>45056</v>
      </c>
      <c r="AK170" s="48">
        <v>48</v>
      </c>
      <c r="AL170" s="48">
        <v>0</v>
      </c>
      <c r="AM170" s="48">
        <v>48</v>
      </c>
      <c r="AN170" s="48">
        <v>100</v>
      </c>
      <c r="AO170" s="246">
        <f t="shared" si="62"/>
        <v>4.8000000000000001E-5</v>
      </c>
      <c r="AQ170" s="215">
        <v>45056</v>
      </c>
      <c r="AR170" s="48">
        <v>1510</v>
      </c>
      <c r="AS170" s="48">
        <v>36</v>
      </c>
      <c r="AT170" s="48">
        <v>1546</v>
      </c>
      <c r="AU170" s="48">
        <v>97.67</v>
      </c>
      <c r="AV170" s="246">
        <f t="shared" si="69"/>
        <v>1.5460000000000001E-3</v>
      </c>
      <c r="AX170" s="215">
        <v>45056</v>
      </c>
      <c r="AY170" s="48">
        <v>1810</v>
      </c>
      <c r="AZ170" s="48">
        <v>32</v>
      </c>
      <c r="BA170" s="48">
        <v>1842</v>
      </c>
      <c r="BB170" s="48">
        <v>98.26</v>
      </c>
      <c r="BC170" s="246">
        <f t="shared" si="70"/>
        <v>1.8420000000000001E-3</v>
      </c>
      <c r="BE170" s="215">
        <v>45056</v>
      </c>
      <c r="BF170" s="48">
        <v>3158</v>
      </c>
      <c r="BG170" s="48">
        <v>32</v>
      </c>
      <c r="BH170" s="48">
        <v>3190</v>
      </c>
      <c r="BI170" s="48">
        <v>99</v>
      </c>
      <c r="BJ170" s="71">
        <f t="shared" si="71"/>
        <v>3.1900000000000001E-3</v>
      </c>
      <c r="BL170" s="215">
        <v>45056</v>
      </c>
      <c r="BM170" s="48">
        <v>4528</v>
      </c>
      <c r="BN170" s="48">
        <v>0</v>
      </c>
      <c r="BO170" s="48">
        <v>4528</v>
      </c>
      <c r="BP170" s="48">
        <v>100</v>
      </c>
      <c r="BQ170" s="71">
        <f t="shared" si="74"/>
        <v>4.5279999999999999E-3</v>
      </c>
      <c r="BR170" s="178"/>
      <c r="BS170" s="71"/>
      <c r="BT170" s="71"/>
      <c r="BU170" s="71"/>
      <c r="BV170" s="71"/>
      <c r="BW170" s="71"/>
      <c r="BX170" s="178"/>
      <c r="BY170" s="178"/>
      <c r="BZ170" s="71"/>
      <c r="CA170" s="48"/>
      <c r="CB170" s="48"/>
      <c r="CC170" s="71"/>
      <c r="CD170" s="178"/>
      <c r="CE170" s="215">
        <v>45056</v>
      </c>
      <c r="CF170" s="1">
        <v>11272476</v>
      </c>
      <c r="CG170" s="1">
        <v>21100</v>
      </c>
      <c r="CH170" s="1">
        <v>11293576</v>
      </c>
      <c r="CI170" s="71">
        <f t="shared" si="60"/>
        <v>99.813168123187907</v>
      </c>
      <c r="CJ170" s="71">
        <f t="shared" si="66"/>
        <v>11.293576</v>
      </c>
      <c r="CL170" s="140">
        <v>44950</v>
      </c>
      <c r="CM170" t="s">
        <v>244</v>
      </c>
      <c r="CN170">
        <v>712</v>
      </c>
    </row>
    <row r="171" spans="1:92" hidden="1" x14ac:dyDescent="0.25">
      <c r="A171" s="215">
        <v>45057</v>
      </c>
      <c r="B171" s="48">
        <v>5488810</v>
      </c>
      <c r="C171" s="48">
        <v>2544</v>
      </c>
      <c r="D171" s="48">
        <v>5491354</v>
      </c>
      <c r="E171" s="48">
        <v>99.95</v>
      </c>
      <c r="F171" s="71">
        <f t="shared" si="72"/>
        <v>5.4913540000000003</v>
      </c>
      <c r="H171" s="215">
        <v>45057</v>
      </c>
      <c r="I171" s="48">
        <v>1907326</v>
      </c>
      <c r="J171" s="48">
        <v>2894</v>
      </c>
      <c r="K171" s="48">
        <v>1910220</v>
      </c>
      <c r="L171" s="48">
        <v>99.85</v>
      </c>
      <c r="M171" s="71">
        <f t="shared" si="73"/>
        <v>1.91022</v>
      </c>
      <c r="O171" s="215">
        <v>45057</v>
      </c>
      <c r="P171" s="48">
        <v>619404</v>
      </c>
      <c r="Q171" s="48">
        <v>5002</v>
      </c>
      <c r="R171" s="48">
        <v>624406</v>
      </c>
      <c r="S171" s="48">
        <v>99.2</v>
      </c>
      <c r="T171" s="71">
        <f t="shared" si="67"/>
        <v>0.62440600000000002</v>
      </c>
      <c r="V171" s="215">
        <v>45057</v>
      </c>
      <c r="W171" s="48">
        <v>987924</v>
      </c>
      <c r="X171" s="48">
        <v>190</v>
      </c>
      <c r="Y171" s="48">
        <v>988114</v>
      </c>
      <c r="Z171" s="48">
        <v>99.98</v>
      </c>
      <c r="AA171" s="71">
        <f t="shared" si="61"/>
        <v>0.98811400000000005</v>
      </c>
      <c r="AC171" s="215">
        <v>45057</v>
      </c>
      <c r="AD171" s="48">
        <v>685080</v>
      </c>
      <c r="AE171" s="48">
        <v>162</v>
      </c>
      <c r="AF171" s="48">
        <v>685242</v>
      </c>
      <c r="AG171" s="48">
        <v>99.98</v>
      </c>
      <c r="AH171" s="71">
        <f t="shared" si="68"/>
        <v>0.68524200000000002</v>
      </c>
      <c r="AJ171" s="215">
        <v>45057</v>
      </c>
      <c r="AK171" s="48">
        <v>250</v>
      </c>
      <c r="AL171" s="48">
        <v>0</v>
      </c>
      <c r="AM171" s="48">
        <v>250</v>
      </c>
      <c r="AN171" s="48">
        <v>100</v>
      </c>
      <c r="AO171" s="246">
        <f t="shared" si="62"/>
        <v>2.5000000000000001E-4</v>
      </c>
      <c r="AQ171" s="215">
        <v>45057</v>
      </c>
      <c r="AR171" s="48">
        <v>1042</v>
      </c>
      <c r="AS171" s="48">
        <v>18</v>
      </c>
      <c r="AT171" s="48">
        <v>1060</v>
      </c>
      <c r="AU171" s="48">
        <v>98.3</v>
      </c>
      <c r="AV171" s="246">
        <f t="shared" si="69"/>
        <v>1.06E-3</v>
      </c>
      <c r="AX171" s="215">
        <v>45057</v>
      </c>
      <c r="AY171" s="48">
        <v>1746</v>
      </c>
      <c r="AZ171" s="48">
        <v>138</v>
      </c>
      <c r="BA171" s="48">
        <v>1884</v>
      </c>
      <c r="BB171" s="48">
        <v>92.68</v>
      </c>
      <c r="BC171" s="246">
        <f>BA171/1000000</f>
        <v>1.884E-3</v>
      </c>
      <c r="BE171" s="215">
        <v>45057</v>
      </c>
      <c r="BF171" s="48">
        <v>3368</v>
      </c>
      <c r="BG171" s="48">
        <v>32</v>
      </c>
      <c r="BH171" s="48">
        <v>3400</v>
      </c>
      <c r="BI171" s="48">
        <v>99.06</v>
      </c>
      <c r="BJ171" s="71">
        <f t="shared" si="71"/>
        <v>3.3999999999999998E-3</v>
      </c>
      <c r="BL171" s="215">
        <v>45057</v>
      </c>
      <c r="BM171" s="48">
        <v>3468</v>
      </c>
      <c r="BN171" s="48">
        <v>0</v>
      </c>
      <c r="BO171" s="48">
        <v>3468</v>
      </c>
      <c r="BP171" s="48">
        <v>100</v>
      </c>
      <c r="BQ171" s="71">
        <f t="shared" si="74"/>
        <v>3.4680000000000002E-3</v>
      </c>
      <c r="BR171" s="178"/>
      <c r="BS171" s="71"/>
      <c r="BT171" s="71"/>
      <c r="BU171" s="71"/>
      <c r="BV171" s="71"/>
      <c r="BW171" s="71"/>
      <c r="BX171" s="178"/>
      <c r="BY171" s="178"/>
      <c r="BZ171" s="71"/>
      <c r="CA171" s="48"/>
      <c r="CB171" s="48"/>
      <c r="CC171" s="71"/>
      <c r="CD171" s="178"/>
      <c r="CE171" s="215">
        <v>45057</v>
      </c>
      <c r="CF171" s="1">
        <v>11019342</v>
      </c>
      <c r="CG171" s="1">
        <v>20684</v>
      </c>
      <c r="CH171" s="1">
        <v>11040026</v>
      </c>
      <c r="CI171" s="71">
        <f t="shared" si="60"/>
        <v>99.812645368769964</v>
      </c>
      <c r="CJ171" s="71">
        <f t="shared" si="66"/>
        <v>11.040025999999999</v>
      </c>
      <c r="CL171" s="140">
        <v>44950</v>
      </c>
      <c r="CM171" t="s">
        <v>241</v>
      </c>
      <c r="CN171">
        <v>692</v>
      </c>
    </row>
    <row r="172" spans="1:92" hidden="1" x14ac:dyDescent="0.25">
      <c r="A172" s="215">
        <v>45058</v>
      </c>
      <c r="B172" s="48">
        <v>5633066</v>
      </c>
      <c r="C172" s="48">
        <v>5274</v>
      </c>
      <c r="D172" s="48">
        <v>5638340</v>
      </c>
      <c r="E172" s="48">
        <v>99.91</v>
      </c>
      <c r="F172" s="71">
        <f t="shared" si="72"/>
        <v>5.6383400000000004</v>
      </c>
      <c r="H172" s="215">
        <v>45058</v>
      </c>
      <c r="I172" s="48">
        <v>2173784</v>
      </c>
      <c r="J172" s="48">
        <v>3436</v>
      </c>
      <c r="K172" s="48">
        <v>2177220</v>
      </c>
      <c r="L172" s="48">
        <v>99.84</v>
      </c>
      <c r="M172" s="71">
        <f t="shared" si="73"/>
        <v>2.1772200000000002</v>
      </c>
      <c r="O172" s="215">
        <v>45058</v>
      </c>
      <c r="P172" s="48">
        <v>630912</v>
      </c>
      <c r="Q172" s="48">
        <v>6018</v>
      </c>
      <c r="R172" s="48">
        <v>636930</v>
      </c>
      <c r="S172" s="48">
        <v>99.06</v>
      </c>
      <c r="T172" s="71">
        <f t="shared" si="67"/>
        <v>0.63693</v>
      </c>
      <c r="V172" s="215">
        <v>45058</v>
      </c>
      <c r="W172" s="48">
        <v>1073942</v>
      </c>
      <c r="X172" s="48">
        <v>544</v>
      </c>
      <c r="Y172" s="48">
        <v>1074486</v>
      </c>
      <c r="Z172" s="48">
        <v>99.95</v>
      </c>
      <c r="AA172" s="71">
        <f t="shared" si="61"/>
        <v>1.0744860000000001</v>
      </c>
      <c r="AC172" s="215">
        <v>45058</v>
      </c>
      <c r="AD172" s="48">
        <v>717082</v>
      </c>
      <c r="AE172" s="48">
        <v>184</v>
      </c>
      <c r="AF172" s="48">
        <v>717266</v>
      </c>
      <c r="AG172" s="48">
        <v>99.97</v>
      </c>
      <c r="AH172" s="71">
        <f t="shared" si="68"/>
        <v>0.71726599999999996</v>
      </c>
      <c r="AJ172" s="215">
        <v>45058</v>
      </c>
      <c r="AK172" s="48">
        <v>250</v>
      </c>
      <c r="AL172" s="48">
        <v>0</v>
      </c>
      <c r="AM172" s="48">
        <v>250</v>
      </c>
      <c r="AN172" s="48">
        <v>100</v>
      </c>
      <c r="AO172" s="246">
        <f t="shared" si="62"/>
        <v>2.5000000000000001E-4</v>
      </c>
      <c r="AQ172" s="215">
        <v>45058</v>
      </c>
      <c r="AR172" s="48">
        <v>2186</v>
      </c>
      <c r="AS172" s="48">
        <v>6</v>
      </c>
      <c r="AT172" s="48">
        <v>2192</v>
      </c>
      <c r="AU172" s="48">
        <v>98.3</v>
      </c>
      <c r="AV172" s="246">
        <f t="shared" si="69"/>
        <v>2.1919999999999999E-3</v>
      </c>
      <c r="AX172" s="215">
        <v>45058</v>
      </c>
      <c r="AY172" s="48">
        <v>1968</v>
      </c>
      <c r="AZ172" s="48">
        <v>282</v>
      </c>
      <c r="BA172" s="48">
        <v>2250</v>
      </c>
      <c r="BB172" s="48">
        <v>87.47</v>
      </c>
      <c r="BC172" s="246">
        <f t="shared" ref="BC172:BC235" si="75">BA172/1000000</f>
        <v>2.2499999999999998E-3</v>
      </c>
      <c r="BE172" s="215">
        <v>45058</v>
      </c>
      <c r="BF172" s="48">
        <v>2770</v>
      </c>
      <c r="BG172" s="48">
        <v>12</v>
      </c>
      <c r="BH172" s="48">
        <v>2782</v>
      </c>
      <c r="BI172" s="48">
        <v>99.57</v>
      </c>
      <c r="BJ172" s="71">
        <f t="shared" si="71"/>
        <v>2.7820000000000002E-3</v>
      </c>
      <c r="BL172" s="215">
        <v>45058</v>
      </c>
      <c r="BM172" s="48">
        <v>3466</v>
      </c>
      <c r="BN172" s="48">
        <v>0</v>
      </c>
      <c r="BO172" s="48">
        <v>3466</v>
      </c>
      <c r="BP172" s="48">
        <v>100</v>
      </c>
      <c r="BQ172" s="71">
        <f t="shared" si="74"/>
        <v>3.4659999999999999E-3</v>
      </c>
      <c r="BR172" s="178"/>
      <c r="BS172" s="71"/>
      <c r="BT172" s="71"/>
      <c r="BU172" s="71"/>
      <c r="BV172" s="71"/>
      <c r="BW172" s="71"/>
      <c r="BX172" s="178"/>
      <c r="BY172" s="178"/>
      <c r="BZ172" s="71"/>
      <c r="CA172" s="48"/>
      <c r="CB172" s="48"/>
      <c r="CC172" s="71"/>
      <c r="CD172" s="178"/>
      <c r="CE172" s="215">
        <v>45058</v>
      </c>
      <c r="CF172" s="1">
        <v>11594670</v>
      </c>
      <c r="CG172" s="1">
        <v>20878</v>
      </c>
      <c r="CH172" s="1">
        <v>11615548</v>
      </c>
      <c r="CI172" s="71">
        <f t="shared" si="60"/>
        <v>99.820258157428299</v>
      </c>
      <c r="CJ172" s="71">
        <f t="shared" si="66"/>
        <v>11.615548</v>
      </c>
    </row>
    <row r="173" spans="1:92" hidden="1" x14ac:dyDescent="0.25">
      <c r="A173" s="215">
        <v>45059</v>
      </c>
      <c r="B173" s="48">
        <v>5361384</v>
      </c>
      <c r="C173" s="48">
        <v>6608</v>
      </c>
      <c r="D173" s="48">
        <v>5367992</v>
      </c>
      <c r="E173" s="48">
        <v>99.88</v>
      </c>
      <c r="F173" s="71">
        <f t="shared" si="72"/>
        <v>5.3679920000000001</v>
      </c>
      <c r="H173" s="215">
        <v>45059</v>
      </c>
      <c r="I173" s="48">
        <v>1804034</v>
      </c>
      <c r="J173" s="48">
        <v>2650</v>
      </c>
      <c r="K173" s="48">
        <v>1806684</v>
      </c>
      <c r="L173" s="48">
        <v>99.85</v>
      </c>
      <c r="M173" s="71">
        <f t="shared" si="73"/>
        <v>1.806684</v>
      </c>
      <c r="O173" s="215">
        <v>45059</v>
      </c>
      <c r="P173" s="48">
        <v>591284</v>
      </c>
      <c r="Q173" s="48">
        <v>4824</v>
      </c>
      <c r="R173" s="48">
        <v>596108</v>
      </c>
      <c r="S173" s="48">
        <v>99.19</v>
      </c>
      <c r="T173" s="71">
        <f t="shared" si="67"/>
        <v>0.59610799999999997</v>
      </c>
      <c r="V173" s="215">
        <v>45059</v>
      </c>
      <c r="W173" s="48">
        <v>1002892</v>
      </c>
      <c r="X173" s="48">
        <v>1456</v>
      </c>
      <c r="Y173" s="48">
        <v>1004348</v>
      </c>
      <c r="Z173" s="48">
        <v>99.86</v>
      </c>
      <c r="AA173" s="71">
        <f t="shared" si="61"/>
        <v>1.004348</v>
      </c>
      <c r="AC173" s="215">
        <v>45059</v>
      </c>
      <c r="AD173" s="48">
        <v>702064</v>
      </c>
      <c r="AE173" s="48">
        <v>3014</v>
      </c>
      <c r="AF173" s="48">
        <v>705078</v>
      </c>
      <c r="AG173" s="48">
        <v>99.57</v>
      </c>
      <c r="AH173" s="71">
        <f t="shared" si="68"/>
        <v>0.70507799999999998</v>
      </c>
      <c r="AJ173" s="215">
        <v>45059</v>
      </c>
      <c r="AK173" s="48">
        <v>90</v>
      </c>
      <c r="AL173" s="48">
        <v>0</v>
      </c>
      <c r="AM173" s="48">
        <v>90</v>
      </c>
      <c r="AN173" s="48">
        <v>100</v>
      </c>
      <c r="AO173" s="246">
        <f t="shared" si="62"/>
        <v>9.0000000000000006E-5</v>
      </c>
      <c r="AQ173" s="215">
        <v>45059</v>
      </c>
      <c r="AR173" s="48">
        <v>564</v>
      </c>
      <c r="AS173" s="48">
        <v>10</v>
      </c>
      <c r="AT173" s="48">
        <v>574</v>
      </c>
      <c r="AU173" s="48">
        <v>98.3</v>
      </c>
      <c r="AV173" s="246">
        <f t="shared" si="69"/>
        <v>5.7399999999999997E-4</v>
      </c>
      <c r="AX173" s="215">
        <v>45059</v>
      </c>
      <c r="AY173" s="48">
        <v>880</v>
      </c>
      <c r="AZ173" s="48">
        <v>10</v>
      </c>
      <c r="BA173" s="48">
        <v>890</v>
      </c>
      <c r="BB173" s="48">
        <v>98.88</v>
      </c>
      <c r="BC173" s="246">
        <f t="shared" si="75"/>
        <v>8.8999999999999995E-4</v>
      </c>
      <c r="BE173" s="215">
        <v>45059</v>
      </c>
      <c r="BF173" s="48">
        <v>2700</v>
      </c>
      <c r="BG173" s="48">
        <v>10</v>
      </c>
      <c r="BH173" s="48">
        <v>2710</v>
      </c>
      <c r="BI173" s="48">
        <v>99.63</v>
      </c>
      <c r="BJ173" s="71">
        <f t="shared" si="71"/>
        <v>2.7100000000000002E-3</v>
      </c>
      <c r="BL173" s="215">
        <v>45059</v>
      </c>
      <c r="BM173" s="48">
        <v>6224</v>
      </c>
      <c r="BN173" s="48">
        <v>0</v>
      </c>
      <c r="BO173" s="48">
        <v>6224</v>
      </c>
      <c r="BP173" s="48">
        <v>100</v>
      </c>
      <c r="BQ173" s="71">
        <f t="shared" si="74"/>
        <v>6.2240000000000004E-3</v>
      </c>
      <c r="BR173" s="178"/>
      <c r="BS173" s="71"/>
      <c r="BT173" s="71"/>
      <c r="BU173" s="71"/>
      <c r="BV173" s="71"/>
      <c r="BW173" s="71"/>
      <c r="BX173" s="178"/>
      <c r="BY173" s="178"/>
      <c r="BZ173" s="71"/>
      <c r="CA173" s="48"/>
      <c r="CB173" s="48"/>
      <c r="CC173" s="71"/>
      <c r="CD173" s="178"/>
      <c r="CE173" s="215">
        <v>45059</v>
      </c>
      <c r="CF173" s="1">
        <v>10708146</v>
      </c>
      <c r="CG173" s="1">
        <v>27340</v>
      </c>
      <c r="CH173" s="1">
        <v>10735486</v>
      </c>
      <c r="CI173" s="71">
        <f t="shared" si="60"/>
        <v>99.745330579351503</v>
      </c>
      <c r="CJ173" s="71">
        <f t="shared" si="66"/>
        <v>10.735486</v>
      </c>
      <c r="CL173" s="140">
        <v>44951</v>
      </c>
      <c r="CM173" t="s">
        <v>237</v>
      </c>
      <c r="CN173">
        <v>25769</v>
      </c>
    </row>
    <row r="174" spans="1:92" hidden="1" x14ac:dyDescent="0.25">
      <c r="A174" s="215">
        <v>45060</v>
      </c>
      <c r="B174" s="48">
        <v>4478374</v>
      </c>
      <c r="C174" s="48">
        <v>10598</v>
      </c>
      <c r="D174" s="48">
        <v>4488972</v>
      </c>
      <c r="E174" s="48">
        <v>99.76</v>
      </c>
      <c r="F174" s="71">
        <f t="shared" si="72"/>
        <v>4.4889720000000004</v>
      </c>
      <c r="H174" s="215">
        <v>45060</v>
      </c>
      <c r="I174" s="48">
        <v>1716826</v>
      </c>
      <c r="J174" s="48">
        <v>2594</v>
      </c>
      <c r="K174" s="48">
        <v>1719420</v>
      </c>
      <c r="L174" s="48">
        <v>99.85</v>
      </c>
      <c r="M174" s="71">
        <f t="shared" si="73"/>
        <v>1.7194199999999999</v>
      </c>
      <c r="O174" s="215">
        <v>45060</v>
      </c>
      <c r="P174" s="48">
        <v>607702</v>
      </c>
      <c r="Q174" s="48">
        <v>4730</v>
      </c>
      <c r="R174" s="48">
        <v>612432</v>
      </c>
      <c r="S174" s="48">
        <v>99.23</v>
      </c>
      <c r="T174" s="71">
        <f t="shared" si="67"/>
        <v>0.61243199999999998</v>
      </c>
      <c r="V174" s="215">
        <v>45060</v>
      </c>
      <c r="W174" s="48">
        <v>933150</v>
      </c>
      <c r="X174" s="48">
        <v>138</v>
      </c>
      <c r="Y174" s="48">
        <v>933288</v>
      </c>
      <c r="Z174" s="48">
        <v>99.99</v>
      </c>
      <c r="AA174" s="71">
        <f t="shared" si="61"/>
        <v>0.93328800000000001</v>
      </c>
      <c r="AC174" s="215">
        <v>45060</v>
      </c>
      <c r="AD174" s="48">
        <v>612136</v>
      </c>
      <c r="AE174" s="48">
        <v>1540</v>
      </c>
      <c r="AF174" s="48">
        <v>613676</v>
      </c>
      <c r="AG174" s="48">
        <v>99.75</v>
      </c>
      <c r="AH174" s="71">
        <f t="shared" si="68"/>
        <v>0.613676</v>
      </c>
      <c r="AJ174" s="215">
        <v>45060</v>
      </c>
      <c r="AK174" s="48">
        <v>46</v>
      </c>
      <c r="AL174" s="48">
        <v>2</v>
      </c>
      <c r="AM174" s="48">
        <v>48</v>
      </c>
      <c r="AN174" s="48">
        <v>95.83</v>
      </c>
      <c r="AO174" s="246">
        <f t="shared" si="62"/>
        <v>4.8000000000000001E-5</v>
      </c>
      <c r="AQ174" s="215">
        <v>45060</v>
      </c>
      <c r="AR174" s="48">
        <v>712</v>
      </c>
      <c r="AS174" s="48">
        <v>26</v>
      </c>
      <c r="AT174" s="48">
        <v>738</v>
      </c>
      <c r="AU174" s="48">
        <v>98.3</v>
      </c>
      <c r="AV174" s="246">
        <f t="shared" si="69"/>
        <v>7.3800000000000005E-4</v>
      </c>
      <c r="AX174" s="215">
        <v>45060</v>
      </c>
      <c r="AY174" s="48">
        <v>84</v>
      </c>
      <c r="AZ174" s="48">
        <v>136</v>
      </c>
      <c r="BA174" s="48">
        <v>220</v>
      </c>
      <c r="BB174" s="48">
        <v>38.18</v>
      </c>
      <c r="BC174" s="246">
        <f t="shared" si="75"/>
        <v>2.2000000000000001E-4</v>
      </c>
      <c r="BE174" s="215">
        <v>45060</v>
      </c>
      <c r="BF174" s="48">
        <v>2336</v>
      </c>
      <c r="BG174" s="48">
        <v>26</v>
      </c>
      <c r="BH174" s="48">
        <v>2362</v>
      </c>
      <c r="BI174" s="48">
        <v>98.9</v>
      </c>
      <c r="BJ174" s="71">
        <f t="shared" si="71"/>
        <v>2.362E-3</v>
      </c>
      <c r="BL174" s="215">
        <v>45060</v>
      </c>
      <c r="BM174" s="48">
        <v>4316</v>
      </c>
      <c r="BN174" s="48">
        <v>0</v>
      </c>
      <c r="BO174" s="48">
        <v>4316</v>
      </c>
      <c r="BP174" s="48">
        <v>100</v>
      </c>
      <c r="BQ174" s="71">
        <f t="shared" si="74"/>
        <v>4.3160000000000004E-3</v>
      </c>
      <c r="BR174" s="178"/>
      <c r="BS174" s="71"/>
      <c r="BT174" s="71"/>
      <c r="BU174" s="71"/>
      <c r="BV174" s="71"/>
      <c r="BW174" s="71"/>
      <c r="BX174" s="178"/>
      <c r="BY174" s="178"/>
      <c r="BZ174" s="71"/>
      <c r="CA174" s="48"/>
      <c r="CB174" s="48"/>
      <c r="CC174" s="71"/>
      <c r="CD174" s="178"/>
      <c r="CE174" s="215">
        <v>45060</v>
      </c>
      <c r="CF174" s="1">
        <v>9572174</v>
      </c>
      <c r="CG174" s="1">
        <v>32544</v>
      </c>
      <c r="CH174" s="1">
        <v>9604718</v>
      </c>
      <c r="CI174" s="71">
        <f t="shared" si="60"/>
        <v>99.661166522536121</v>
      </c>
      <c r="CJ174" s="71">
        <f t="shared" si="66"/>
        <v>9.6047180000000001</v>
      </c>
      <c r="CL174" s="140">
        <v>44951</v>
      </c>
      <c r="CM174" t="s">
        <v>239</v>
      </c>
      <c r="CN174">
        <v>11659</v>
      </c>
    </row>
    <row r="175" spans="1:92" hidden="1" x14ac:dyDescent="0.25">
      <c r="A175" s="215">
        <v>45061</v>
      </c>
      <c r="B175" s="48">
        <v>5139524</v>
      </c>
      <c r="C175" s="48">
        <v>2508</v>
      </c>
      <c r="D175" s="48">
        <v>5142032</v>
      </c>
      <c r="E175" s="48">
        <v>99.95</v>
      </c>
      <c r="F175" s="71">
        <f t="shared" si="72"/>
        <v>5.1420320000000004</v>
      </c>
      <c r="H175" s="215">
        <v>45061</v>
      </c>
      <c r="I175" s="48">
        <v>1818716</v>
      </c>
      <c r="J175" s="48">
        <v>2892</v>
      </c>
      <c r="K175" s="48">
        <v>1821608</v>
      </c>
      <c r="L175" s="48">
        <v>99.84</v>
      </c>
      <c r="M175" s="71">
        <f t="shared" si="73"/>
        <v>1.8216079999999999</v>
      </c>
      <c r="O175" s="215">
        <v>45061</v>
      </c>
      <c r="P175" s="48">
        <v>619978</v>
      </c>
      <c r="Q175" s="48">
        <v>4812</v>
      </c>
      <c r="R175" s="48">
        <v>624790</v>
      </c>
      <c r="S175" s="48">
        <v>99.23</v>
      </c>
      <c r="T175" s="71">
        <f t="shared" si="67"/>
        <v>0.62478999999999996</v>
      </c>
      <c r="V175" s="215">
        <v>45061</v>
      </c>
      <c r="W175" s="48">
        <v>929380</v>
      </c>
      <c r="X175" s="48">
        <v>176</v>
      </c>
      <c r="Y175" s="48">
        <v>929556</v>
      </c>
      <c r="Z175" s="48">
        <v>99.98</v>
      </c>
      <c r="AA175" s="71">
        <f t="shared" si="61"/>
        <v>0.92955600000000005</v>
      </c>
      <c r="AC175" s="215">
        <v>45061</v>
      </c>
      <c r="AD175" s="48">
        <v>600152</v>
      </c>
      <c r="AE175" s="48">
        <v>168</v>
      </c>
      <c r="AF175" s="48">
        <v>600320</v>
      </c>
      <c r="AG175" s="48">
        <v>99.97</v>
      </c>
      <c r="AH175" s="71">
        <f t="shared" si="68"/>
        <v>0.60031999999999996</v>
      </c>
      <c r="AJ175" s="215">
        <v>45061</v>
      </c>
      <c r="AK175" s="48">
        <v>46</v>
      </c>
      <c r="AL175" s="48">
        <v>0</v>
      </c>
      <c r="AM175" s="48">
        <v>46</v>
      </c>
      <c r="AN175" s="48">
        <v>100</v>
      </c>
      <c r="AO175" s="246">
        <f t="shared" si="62"/>
        <v>4.6E-5</v>
      </c>
      <c r="AQ175" s="215">
        <v>45061</v>
      </c>
      <c r="AR175" s="48">
        <v>1616</v>
      </c>
      <c r="AS175" s="48">
        <v>22</v>
      </c>
      <c r="AT175" s="48">
        <v>1638</v>
      </c>
      <c r="AU175" s="48">
        <v>98.66</v>
      </c>
      <c r="AV175" s="246">
        <f t="shared" si="69"/>
        <v>1.6379999999999999E-3</v>
      </c>
      <c r="AX175" s="215">
        <v>45061</v>
      </c>
      <c r="AY175" s="48">
        <v>1844</v>
      </c>
      <c r="AZ175" s="48">
        <v>278</v>
      </c>
      <c r="BA175" s="48">
        <v>2122</v>
      </c>
      <c r="BB175" s="48">
        <v>86.9</v>
      </c>
      <c r="BC175" s="246">
        <f t="shared" si="75"/>
        <v>2.1220000000000002E-3</v>
      </c>
      <c r="BE175" s="215">
        <v>45061</v>
      </c>
      <c r="BF175" s="48">
        <v>3056</v>
      </c>
      <c r="BG175" s="48">
        <v>74</v>
      </c>
      <c r="BH175" s="48">
        <v>3130</v>
      </c>
      <c r="BI175" s="48">
        <v>97.64</v>
      </c>
      <c r="BJ175" s="71">
        <f t="shared" si="71"/>
        <v>3.13E-3</v>
      </c>
      <c r="BL175" s="215">
        <v>45061</v>
      </c>
      <c r="BM175" s="48">
        <v>3510</v>
      </c>
      <c r="BN175" s="48">
        <v>0</v>
      </c>
      <c r="BO175" s="48">
        <v>3510</v>
      </c>
      <c r="BP175" s="48">
        <v>100</v>
      </c>
      <c r="BQ175" s="71">
        <f t="shared" si="74"/>
        <v>3.5100000000000001E-3</v>
      </c>
      <c r="BR175" s="178"/>
      <c r="BS175" s="71"/>
      <c r="BT175" s="71"/>
      <c r="BU175" s="71"/>
      <c r="BV175" s="71"/>
      <c r="BW175" s="71"/>
      <c r="BX175" s="178"/>
      <c r="BY175" s="178"/>
      <c r="BZ175" s="71"/>
      <c r="CA175" s="48"/>
      <c r="CB175" s="48"/>
      <c r="CC175" s="71"/>
      <c r="CD175" s="178"/>
      <c r="CE175" s="215">
        <v>45061</v>
      </c>
      <c r="CF175" s="1">
        <v>10383672</v>
      </c>
      <c r="CG175" s="1">
        <v>20900</v>
      </c>
      <c r="CH175" s="1">
        <v>10404572</v>
      </c>
      <c r="CI175" s="71">
        <f t="shared" si="60"/>
        <v>99.799126768501381</v>
      </c>
      <c r="CJ175" s="71">
        <f t="shared" si="66"/>
        <v>10.404572</v>
      </c>
      <c r="CL175" s="140">
        <v>44951</v>
      </c>
      <c r="CM175" t="s">
        <v>245</v>
      </c>
      <c r="CN175">
        <v>8505</v>
      </c>
    </row>
    <row r="176" spans="1:92" hidden="1" x14ac:dyDescent="0.25">
      <c r="A176" s="215">
        <v>45062</v>
      </c>
      <c r="B176" s="48">
        <v>5919280</v>
      </c>
      <c r="C176" s="48">
        <v>8144</v>
      </c>
      <c r="D176" s="48">
        <v>5927424</v>
      </c>
      <c r="E176" s="48">
        <v>99.86</v>
      </c>
      <c r="F176" s="71">
        <f t="shared" si="72"/>
        <v>5.9274240000000002</v>
      </c>
      <c r="H176" s="215">
        <v>45062</v>
      </c>
      <c r="I176" s="48">
        <v>2244092</v>
      </c>
      <c r="J176" s="48">
        <v>3138</v>
      </c>
      <c r="K176" s="48">
        <v>2247230</v>
      </c>
      <c r="L176" s="48">
        <v>99.86</v>
      </c>
      <c r="M176" s="71">
        <f t="shared" si="73"/>
        <v>2.2472300000000001</v>
      </c>
      <c r="O176" s="215">
        <v>45062</v>
      </c>
      <c r="P176" s="48">
        <v>611426</v>
      </c>
      <c r="Q176" s="48">
        <v>6424</v>
      </c>
      <c r="R176" s="48">
        <v>617850</v>
      </c>
      <c r="S176" s="48">
        <v>98.96</v>
      </c>
      <c r="T176" s="71">
        <f t="shared" si="67"/>
        <v>0.61785000000000001</v>
      </c>
      <c r="V176" s="215">
        <v>45062</v>
      </c>
      <c r="W176" s="48">
        <v>1112438</v>
      </c>
      <c r="X176" s="48">
        <v>458</v>
      </c>
      <c r="Y176" s="48">
        <v>1112896</v>
      </c>
      <c r="Z176" s="48">
        <v>99.96</v>
      </c>
      <c r="AA176" s="71">
        <f t="shared" si="61"/>
        <v>1.1128960000000001</v>
      </c>
      <c r="AC176" s="215">
        <v>45062</v>
      </c>
      <c r="AD176" s="48">
        <v>667168</v>
      </c>
      <c r="AE176" s="48">
        <v>468</v>
      </c>
      <c r="AF176" s="48">
        <v>667636</v>
      </c>
      <c r="AG176" s="48">
        <v>99.93</v>
      </c>
      <c r="AH176" s="71">
        <f t="shared" si="68"/>
        <v>0.66763600000000001</v>
      </c>
      <c r="AJ176" s="215">
        <v>45062</v>
      </c>
      <c r="AK176" s="48">
        <v>78</v>
      </c>
      <c r="AL176" s="48">
        <v>0</v>
      </c>
      <c r="AM176" s="48">
        <v>78</v>
      </c>
      <c r="AN176" s="48">
        <v>100</v>
      </c>
      <c r="AO176" s="246">
        <f t="shared" si="62"/>
        <v>7.7999999999999999E-5</v>
      </c>
      <c r="AQ176" s="215">
        <v>45062</v>
      </c>
      <c r="AR176" s="48">
        <v>2856</v>
      </c>
      <c r="AS176" s="48">
        <v>40</v>
      </c>
      <c r="AT176" s="48">
        <v>2896</v>
      </c>
      <c r="AU176" s="48">
        <v>98.62</v>
      </c>
      <c r="AV176" s="246">
        <f>AT176/1000000</f>
        <v>2.8960000000000001E-3</v>
      </c>
      <c r="AX176" s="215">
        <v>45062</v>
      </c>
      <c r="AY176" s="48">
        <v>1530</v>
      </c>
      <c r="AZ176" s="48">
        <v>290</v>
      </c>
      <c r="BA176" s="48">
        <v>1820</v>
      </c>
      <c r="BB176" s="48">
        <v>84.07</v>
      </c>
      <c r="BC176" s="246">
        <f t="shared" si="75"/>
        <v>1.82E-3</v>
      </c>
      <c r="BE176" s="215">
        <v>45062</v>
      </c>
      <c r="BF176" s="48">
        <v>3224</v>
      </c>
      <c r="BG176" s="48">
        <v>34</v>
      </c>
      <c r="BH176" s="48">
        <v>3258</v>
      </c>
      <c r="BI176" s="48">
        <v>98.96</v>
      </c>
      <c r="BJ176" s="71">
        <f t="shared" si="71"/>
        <v>3.258E-3</v>
      </c>
      <c r="BL176" s="215">
        <v>45062</v>
      </c>
      <c r="BM176" s="48">
        <v>3636</v>
      </c>
      <c r="BN176" s="48">
        <v>0</v>
      </c>
      <c r="BO176" s="48">
        <v>3636</v>
      </c>
      <c r="BP176" s="48">
        <v>100</v>
      </c>
      <c r="BQ176" s="71">
        <f t="shared" si="74"/>
        <v>3.6359999999999999E-3</v>
      </c>
      <c r="BR176" s="178"/>
      <c r="BS176" s="71"/>
      <c r="BT176" s="71"/>
      <c r="BU176" s="71"/>
      <c r="BV176" s="71"/>
      <c r="BW176" s="71"/>
      <c r="BX176" s="178"/>
      <c r="BY176" s="178"/>
      <c r="BZ176" s="71"/>
      <c r="CA176" s="48"/>
      <c r="CB176" s="48"/>
      <c r="CC176" s="71"/>
      <c r="CD176" s="178"/>
      <c r="CE176" s="215">
        <v>45062</v>
      </c>
      <c r="CF176" s="1">
        <v>11915480</v>
      </c>
      <c r="CG176" s="1">
        <v>25862</v>
      </c>
      <c r="CH176" s="1">
        <v>11941342</v>
      </c>
      <c r="CI176" s="71">
        <f t="shared" si="60"/>
        <v>99.783424677058917</v>
      </c>
      <c r="CJ176" s="71">
        <f t="shared" si="66"/>
        <v>11.941342000000001</v>
      </c>
      <c r="CL176" s="140">
        <v>44951</v>
      </c>
      <c r="CM176" t="s">
        <v>240</v>
      </c>
      <c r="CN176">
        <v>3674</v>
      </c>
    </row>
    <row r="177" spans="1:92" hidden="1" x14ac:dyDescent="0.25">
      <c r="A177" s="215">
        <v>45063</v>
      </c>
      <c r="B177" s="48">
        <v>5649884</v>
      </c>
      <c r="C177" s="48">
        <v>6080</v>
      </c>
      <c r="D177" s="48">
        <v>5655964</v>
      </c>
      <c r="E177" s="48">
        <v>99.89</v>
      </c>
      <c r="F177" s="71">
        <f t="shared" si="72"/>
        <v>5.655964</v>
      </c>
      <c r="H177" s="215">
        <v>45063</v>
      </c>
      <c r="I177" s="48">
        <v>1761258</v>
      </c>
      <c r="J177" s="48">
        <v>2362</v>
      </c>
      <c r="K177" s="48">
        <v>1763620</v>
      </c>
      <c r="L177" s="48">
        <v>99.87</v>
      </c>
      <c r="M177" s="71">
        <f t="shared" si="73"/>
        <v>1.76362</v>
      </c>
      <c r="O177" s="215">
        <v>45063</v>
      </c>
      <c r="P177" s="48">
        <v>578718</v>
      </c>
      <c r="Q177" s="48">
        <v>4824</v>
      </c>
      <c r="R177" s="48">
        <v>583542</v>
      </c>
      <c r="S177" s="48">
        <v>99.17</v>
      </c>
      <c r="T177" s="71">
        <f t="shared" si="67"/>
        <v>0.58354200000000001</v>
      </c>
      <c r="V177" s="215">
        <v>45063</v>
      </c>
      <c r="W177" s="48">
        <v>999352</v>
      </c>
      <c r="X177" s="48">
        <v>182</v>
      </c>
      <c r="Y177" s="48">
        <v>999534</v>
      </c>
      <c r="Z177" s="48">
        <v>99.98</v>
      </c>
      <c r="AA177" s="71">
        <f t="shared" si="61"/>
        <v>0.99953400000000003</v>
      </c>
      <c r="AC177" s="215">
        <v>45063</v>
      </c>
      <c r="AD177" s="48">
        <v>734272</v>
      </c>
      <c r="AE177" s="48">
        <v>506</v>
      </c>
      <c r="AF177" s="48">
        <v>734778</v>
      </c>
      <c r="AG177" s="48">
        <v>99.93</v>
      </c>
      <c r="AH177" s="71">
        <f t="shared" si="68"/>
        <v>0.73477800000000004</v>
      </c>
      <c r="AJ177" s="215">
        <v>45063</v>
      </c>
      <c r="AK177" s="48">
        <v>104</v>
      </c>
      <c r="AL177" s="48">
        <v>0</v>
      </c>
      <c r="AM177" s="48">
        <v>104</v>
      </c>
      <c r="AN177" s="48">
        <v>100</v>
      </c>
      <c r="AO177" s="246">
        <f t="shared" si="62"/>
        <v>1.0399999999999999E-4</v>
      </c>
      <c r="AQ177" s="215">
        <v>45063</v>
      </c>
      <c r="AR177" s="48">
        <v>2408</v>
      </c>
      <c r="AS177" s="48">
        <v>54</v>
      </c>
      <c r="AT177" s="48">
        <v>2462</v>
      </c>
      <c r="AU177" s="48">
        <v>97.81</v>
      </c>
      <c r="AV177" s="246">
        <f>AT177/1000000</f>
        <v>2.4620000000000002E-3</v>
      </c>
      <c r="AX177" s="215">
        <v>45063</v>
      </c>
      <c r="AY177" s="48">
        <v>1444</v>
      </c>
      <c r="AZ177" s="48">
        <v>312</v>
      </c>
      <c r="BA177" s="48">
        <v>1756</v>
      </c>
      <c r="BB177" s="48">
        <v>82.23</v>
      </c>
      <c r="BC177" s="246">
        <f t="shared" si="75"/>
        <v>1.756E-3</v>
      </c>
      <c r="BE177" s="215">
        <v>45063</v>
      </c>
      <c r="BF177" s="48">
        <v>3248</v>
      </c>
      <c r="BG177" s="48">
        <v>40</v>
      </c>
      <c r="BH177" s="48">
        <v>3288</v>
      </c>
      <c r="BI177" s="48">
        <v>98.78</v>
      </c>
      <c r="BJ177" s="71">
        <f t="shared" si="71"/>
        <v>3.2880000000000001E-3</v>
      </c>
      <c r="BL177" s="215">
        <v>45063</v>
      </c>
      <c r="BM177" s="48">
        <v>2464</v>
      </c>
      <c r="BN177" s="48">
        <v>0</v>
      </c>
      <c r="BO177" s="48">
        <v>2464</v>
      </c>
      <c r="BP177" s="48">
        <v>100</v>
      </c>
      <c r="BQ177" s="71">
        <f t="shared" si="74"/>
        <v>2.464E-3</v>
      </c>
      <c r="BR177" s="178"/>
      <c r="BS177" s="71"/>
      <c r="BT177" s="71"/>
      <c r="BU177" s="71"/>
      <c r="BV177" s="71"/>
      <c r="BW177" s="71"/>
      <c r="BX177" s="178"/>
      <c r="BY177" s="178"/>
      <c r="BZ177" s="71"/>
      <c r="CA177" s="48"/>
      <c r="CB177" s="48"/>
      <c r="CC177" s="71"/>
      <c r="CD177" s="178"/>
      <c r="CE177" s="215">
        <v>45063</v>
      </c>
      <c r="CF177" s="1">
        <v>10976250</v>
      </c>
      <c r="CG177" s="1">
        <v>24240</v>
      </c>
      <c r="CH177" s="1">
        <v>11000490</v>
      </c>
      <c r="CI177" s="71">
        <f t="shared" si="60"/>
        <v>99.779646179397474</v>
      </c>
      <c r="CJ177" s="71">
        <f t="shared" si="66"/>
        <v>11.000489999999999</v>
      </c>
      <c r="CL177" s="140">
        <v>44951</v>
      </c>
      <c r="CM177" t="s">
        <v>241</v>
      </c>
      <c r="CN177">
        <v>747</v>
      </c>
    </row>
    <row r="178" spans="1:92" hidden="1" x14ac:dyDescent="0.25">
      <c r="A178" s="215">
        <v>45064</v>
      </c>
      <c r="B178" s="48">
        <v>4977960</v>
      </c>
      <c r="C178" s="48">
        <v>7316</v>
      </c>
      <c r="D178" s="48">
        <v>4985276</v>
      </c>
      <c r="E178" s="48">
        <v>99.85</v>
      </c>
      <c r="F178" s="71">
        <f t="shared" si="72"/>
        <v>4.9852759999999998</v>
      </c>
      <c r="H178" s="215">
        <v>45064</v>
      </c>
      <c r="I178" s="48">
        <v>1738426</v>
      </c>
      <c r="J178" s="48">
        <v>2622</v>
      </c>
      <c r="K178" s="48">
        <v>1741048</v>
      </c>
      <c r="L178" s="48">
        <v>99.85</v>
      </c>
      <c r="M178" s="71">
        <f t="shared" si="73"/>
        <v>1.7410479999999999</v>
      </c>
      <c r="O178" s="215">
        <v>45064</v>
      </c>
      <c r="P178" s="48">
        <v>586992</v>
      </c>
      <c r="Q178" s="48">
        <v>4484</v>
      </c>
      <c r="R178" s="48">
        <v>591476</v>
      </c>
      <c r="S178" s="48">
        <v>99.24</v>
      </c>
      <c r="T178" s="71">
        <f t="shared" si="67"/>
        <v>0.591476</v>
      </c>
      <c r="V178" s="215">
        <v>45064</v>
      </c>
      <c r="W178" s="48">
        <v>908704</v>
      </c>
      <c r="X178" s="48">
        <v>372</v>
      </c>
      <c r="Y178" s="48">
        <v>909076</v>
      </c>
      <c r="Z178" s="48">
        <v>99.96</v>
      </c>
      <c r="AA178" s="71">
        <f t="shared" si="61"/>
        <v>0.909076</v>
      </c>
      <c r="AC178" s="215">
        <v>45064</v>
      </c>
      <c r="AD178" s="48">
        <v>667380</v>
      </c>
      <c r="AE178" s="48">
        <v>920</v>
      </c>
      <c r="AF178" s="48">
        <v>668300</v>
      </c>
      <c r="AG178" s="48">
        <v>99.86</v>
      </c>
      <c r="AH178" s="71">
        <f t="shared" si="68"/>
        <v>0.66830000000000001</v>
      </c>
      <c r="AJ178" s="215">
        <v>45064</v>
      </c>
      <c r="AK178" s="48">
        <v>72</v>
      </c>
      <c r="AL178" s="48">
        <v>0</v>
      </c>
      <c r="AM178" s="48">
        <v>72</v>
      </c>
      <c r="AN178" s="48">
        <v>100</v>
      </c>
      <c r="AO178" s="246">
        <f t="shared" si="62"/>
        <v>7.2000000000000002E-5</v>
      </c>
      <c r="AQ178" s="215">
        <v>45064</v>
      </c>
      <c r="AR178" s="48">
        <v>2088</v>
      </c>
      <c r="AS178" s="48">
        <v>20</v>
      </c>
      <c r="AT178" s="48">
        <v>2108</v>
      </c>
      <c r="AU178" s="48">
        <v>99.05</v>
      </c>
      <c r="AV178" s="246">
        <f>AT178/1000000</f>
        <v>2.1080000000000001E-3</v>
      </c>
      <c r="AX178" s="215">
        <v>45064</v>
      </c>
      <c r="AY178" s="48">
        <v>1192</v>
      </c>
      <c r="AZ178" s="48">
        <v>24</v>
      </c>
      <c r="BA178" s="48">
        <v>1216</v>
      </c>
      <c r="BB178" s="48">
        <v>98.03</v>
      </c>
      <c r="BC178" s="246">
        <f t="shared" si="75"/>
        <v>1.2160000000000001E-3</v>
      </c>
      <c r="BE178" s="215">
        <v>45064</v>
      </c>
      <c r="BF178" s="48">
        <v>2450</v>
      </c>
      <c r="BG178" s="48">
        <v>44</v>
      </c>
      <c r="BH178" s="48">
        <v>2494</v>
      </c>
      <c r="BI178" s="48">
        <v>98.24</v>
      </c>
      <c r="BJ178" s="71">
        <f t="shared" si="71"/>
        <v>2.4940000000000001E-3</v>
      </c>
      <c r="BL178" s="215">
        <v>45064</v>
      </c>
      <c r="BM178" s="48">
        <v>7056</v>
      </c>
      <c r="BN178" s="48">
        <v>0</v>
      </c>
      <c r="BO178" s="48">
        <v>7056</v>
      </c>
      <c r="BP178" s="48">
        <v>100</v>
      </c>
      <c r="BQ178" s="71">
        <f t="shared" si="74"/>
        <v>7.0559999999999998E-3</v>
      </c>
      <c r="BR178" s="178"/>
      <c r="BS178" s="71"/>
      <c r="BT178" s="71"/>
      <c r="BU178" s="71"/>
      <c r="BV178" s="71"/>
      <c r="BW178" s="71"/>
      <c r="BX178" s="178"/>
      <c r="BY178" s="178"/>
      <c r="BZ178" s="71"/>
      <c r="CA178" s="48"/>
      <c r="CB178" s="48"/>
      <c r="CC178" s="71"/>
      <c r="CD178" s="178"/>
      <c r="CE178" s="215">
        <v>45064</v>
      </c>
      <c r="CF178" s="1">
        <v>10101766</v>
      </c>
      <c r="CG178" s="1">
        <v>25952</v>
      </c>
      <c r="CH178" s="1">
        <v>10127718</v>
      </c>
      <c r="CI178" s="71">
        <f t="shared" si="60"/>
        <v>99.743752738770965</v>
      </c>
      <c r="CJ178" s="71">
        <f t="shared" si="66"/>
        <v>10.127718</v>
      </c>
      <c r="CL178" s="140">
        <v>44984</v>
      </c>
      <c r="CM178" t="s">
        <v>239</v>
      </c>
      <c r="CN178">
        <v>30586</v>
      </c>
    </row>
    <row r="179" spans="1:92" hidden="1" x14ac:dyDescent="0.25">
      <c r="A179" s="215">
        <v>45065</v>
      </c>
      <c r="B179" s="48">
        <v>5679006</v>
      </c>
      <c r="C179" s="48">
        <v>19388</v>
      </c>
      <c r="D179" s="48">
        <v>5698394</v>
      </c>
      <c r="E179" s="48">
        <v>99.66</v>
      </c>
      <c r="F179" s="71">
        <f t="shared" si="72"/>
        <v>5.6983940000000004</v>
      </c>
      <c r="H179" s="215">
        <v>45065</v>
      </c>
      <c r="I179" s="48">
        <v>2047858</v>
      </c>
      <c r="J179" s="48">
        <v>6342</v>
      </c>
      <c r="K179" s="48">
        <v>2054200</v>
      </c>
      <c r="L179" s="48">
        <v>99.69</v>
      </c>
      <c r="M179" s="71">
        <f t="shared" si="73"/>
        <v>2.0541999999999998</v>
      </c>
      <c r="O179" s="215">
        <v>45065</v>
      </c>
      <c r="P179" s="48">
        <v>600854</v>
      </c>
      <c r="Q179" s="48">
        <v>5074</v>
      </c>
      <c r="R179" s="48">
        <v>605928</v>
      </c>
      <c r="S179" s="48">
        <v>99.16</v>
      </c>
      <c r="T179" s="71">
        <f t="shared" si="67"/>
        <v>0.60592800000000002</v>
      </c>
      <c r="V179" s="215">
        <v>45065</v>
      </c>
      <c r="W179" s="48">
        <v>1096822</v>
      </c>
      <c r="X179" s="48">
        <v>192</v>
      </c>
      <c r="Y179" s="48">
        <v>1097014</v>
      </c>
      <c r="Z179" s="48">
        <v>99.98</v>
      </c>
      <c r="AA179" s="71">
        <f t="shared" si="61"/>
        <v>1.0970139999999999</v>
      </c>
      <c r="AC179" s="215">
        <v>45065</v>
      </c>
      <c r="AD179" s="48">
        <v>670628</v>
      </c>
      <c r="AE179" s="48">
        <v>146</v>
      </c>
      <c r="AF179" s="48">
        <v>670774</v>
      </c>
      <c r="AG179" s="48">
        <v>99.98</v>
      </c>
      <c r="AH179" s="71">
        <f t="shared" si="68"/>
        <v>0.67077399999999998</v>
      </c>
      <c r="AJ179" s="215">
        <v>45065</v>
      </c>
      <c r="AK179" s="48">
        <v>92</v>
      </c>
      <c r="AL179" s="48">
        <v>0</v>
      </c>
      <c r="AM179" s="48">
        <v>92</v>
      </c>
      <c r="AN179" s="48">
        <v>100</v>
      </c>
      <c r="AO179" s="246">
        <f t="shared" si="62"/>
        <v>9.2E-5</v>
      </c>
      <c r="AQ179" s="215">
        <v>45065</v>
      </c>
      <c r="AR179" s="48">
        <v>2512</v>
      </c>
      <c r="AS179" s="48">
        <v>46</v>
      </c>
      <c r="AT179" s="48">
        <v>2558</v>
      </c>
      <c r="AU179" s="48">
        <v>98.2</v>
      </c>
      <c r="AV179" s="246">
        <f t="shared" ref="AV179:AV241" si="76">AT179/1000000</f>
        <v>2.5579999999999999E-3</v>
      </c>
      <c r="AX179" s="215">
        <v>45065</v>
      </c>
      <c r="AY179" s="48">
        <v>2062</v>
      </c>
      <c r="AZ179" s="48">
        <v>56</v>
      </c>
      <c r="BA179" s="48">
        <v>2118</v>
      </c>
      <c r="BB179" s="48">
        <v>97.36</v>
      </c>
      <c r="BC179" s="246">
        <f t="shared" si="75"/>
        <v>2.1180000000000001E-3</v>
      </c>
      <c r="BE179" s="215">
        <v>45065</v>
      </c>
      <c r="BF179" s="48">
        <v>3408</v>
      </c>
      <c r="BG179" s="48">
        <v>40</v>
      </c>
      <c r="BH179" s="48">
        <v>3448</v>
      </c>
      <c r="BI179" s="48">
        <v>98.84</v>
      </c>
      <c r="BJ179" s="71">
        <f t="shared" si="71"/>
        <v>3.4480000000000001E-3</v>
      </c>
      <c r="BL179" s="215">
        <v>45065</v>
      </c>
      <c r="BM179" s="48">
        <v>3784</v>
      </c>
      <c r="BN179" s="48">
        <v>0</v>
      </c>
      <c r="BO179" s="48">
        <v>3784</v>
      </c>
      <c r="BP179" s="48">
        <v>100</v>
      </c>
      <c r="BQ179" s="71">
        <f t="shared" si="74"/>
        <v>3.784E-3</v>
      </c>
      <c r="BR179" s="178"/>
      <c r="BS179" s="71"/>
      <c r="BT179" s="71"/>
      <c r="BU179" s="71"/>
      <c r="BV179" s="71"/>
      <c r="BW179" s="71"/>
      <c r="BX179" s="178"/>
      <c r="BY179" s="178"/>
      <c r="BZ179" s="71"/>
      <c r="CA179" s="48"/>
      <c r="CB179" s="48"/>
      <c r="CC179" s="71"/>
      <c r="CD179" s="178"/>
      <c r="CE179" s="215">
        <v>45065</v>
      </c>
      <c r="CF179" s="1">
        <v>11452310</v>
      </c>
      <c r="CG179" s="1">
        <v>45800</v>
      </c>
      <c r="CH179" s="1">
        <v>11498110</v>
      </c>
      <c r="CI179" s="71">
        <f t="shared" si="60"/>
        <v>99.601673666367773</v>
      </c>
      <c r="CJ179" s="71">
        <f t="shared" si="66"/>
        <v>11.49811</v>
      </c>
      <c r="CL179" s="140">
        <v>44984</v>
      </c>
      <c r="CM179" t="s">
        <v>245</v>
      </c>
      <c r="CN179">
        <v>11346</v>
      </c>
    </row>
    <row r="180" spans="1:92" hidden="1" x14ac:dyDescent="0.25">
      <c r="A180" s="215">
        <v>45066</v>
      </c>
      <c r="B180" s="48">
        <v>5399976</v>
      </c>
      <c r="C180" s="48">
        <v>20872</v>
      </c>
      <c r="D180" s="48">
        <v>5420848</v>
      </c>
      <c r="E180" s="48">
        <v>99.61</v>
      </c>
      <c r="F180" s="71">
        <f t="shared" si="72"/>
        <v>5.4208480000000003</v>
      </c>
      <c r="H180" s="215">
        <v>45066</v>
      </c>
      <c r="I180" s="48">
        <v>1698762</v>
      </c>
      <c r="J180" s="48">
        <v>2754</v>
      </c>
      <c r="K180" s="48">
        <v>1701516</v>
      </c>
      <c r="L180" s="48">
        <v>99.84</v>
      </c>
      <c r="M180" s="71">
        <f t="shared" si="73"/>
        <v>1.701516</v>
      </c>
      <c r="O180" s="215">
        <v>45066</v>
      </c>
      <c r="P180" s="48">
        <v>570696</v>
      </c>
      <c r="Q180" s="48">
        <v>4846</v>
      </c>
      <c r="R180" s="48">
        <v>575542</v>
      </c>
      <c r="S180" s="48">
        <v>99.16</v>
      </c>
      <c r="T180" s="71">
        <f t="shared" si="67"/>
        <v>0.575542</v>
      </c>
      <c r="V180" s="215">
        <v>45066</v>
      </c>
      <c r="W180" s="48">
        <v>990212</v>
      </c>
      <c r="X180" s="48">
        <v>176</v>
      </c>
      <c r="Y180" s="48">
        <v>990388</v>
      </c>
      <c r="Z180" s="48">
        <v>99.98</v>
      </c>
      <c r="AA180" s="71">
        <f t="shared" si="61"/>
        <v>0.99038800000000005</v>
      </c>
      <c r="AC180" s="215">
        <v>45066</v>
      </c>
      <c r="AD180" s="48">
        <v>690096</v>
      </c>
      <c r="AE180" s="48">
        <v>6758</v>
      </c>
      <c r="AF180" s="48">
        <v>696854</v>
      </c>
      <c r="AG180" s="48">
        <v>99.03</v>
      </c>
      <c r="AH180" s="71">
        <f t="shared" si="68"/>
        <v>0.69685399999999997</v>
      </c>
      <c r="AJ180" s="215">
        <v>45066</v>
      </c>
      <c r="AK180" s="48">
        <v>160</v>
      </c>
      <c r="AL180" s="48">
        <v>2</v>
      </c>
      <c r="AM180" s="48">
        <v>162</v>
      </c>
      <c r="AN180" s="48">
        <v>98.77</v>
      </c>
      <c r="AO180" s="246">
        <f t="shared" si="62"/>
        <v>1.6200000000000001E-4</v>
      </c>
      <c r="AQ180" s="215">
        <v>45066</v>
      </c>
      <c r="AR180" s="48">
        <v>1780</v>
      </c>
      <c r="AS180" s="48">
        <v>26</v>
      </c>
      <c r="AT180" s="48">
        <v>1806</v>
      </c>
      <c r="AU180" s="48">
        <v>98.56</v>
      </c>
      <c r="AV180" s="246">
        <f t="shared" si="76"/>
        <v>1.8060000000000001E-3</v>
      </c>
      <c r="AX180" s="215">
        <v>45066</v>
      </c>
      <c r="AY180" s="48">
        <v>878</v>
      </c>
      <c r="AZ180" s="48">
        <v>36</v>
      </c>
      <c r="BA180" s="48">
        <v>914</v>
      </c>
      <c r="BB180" s="48">
        <v>96.06</v>
      </c>
      <c r="BC180" s="246">
        <f t="shared" si="75"/>
        <v>9.1399999999999999E-4</v>
      </c>
      <c r="BE180" s="215">
        <v>45066</v>
      </c>
      <c r="BF180" s="48">
        <v>2644</v>
      </c>
      <c r="BG180" s="48">
        <v>14</v>
      </c>
      <c r="BH180" s="48">
        <v>2658</v>
      </c>
      <c r="BI180" s="48">
        <v>99.47</v>
      </c>
      <c r="BJ180" s="71">
        <f t="shared" si="71"/>
        <v>2.6580000000000002E-3</v>
      </c>
      <c r="BL180" s="215">
        <v>45066</v>
      </c>
      <c r="BM180" s="48">
        <v>5612</v>
      </c>
      <c r="BN180" s="48">
        <v>0</v>
      </c>
      <c r="BO180" s="48">
        <v>5612</v>
      </c>
      <c r="BP180" s="48">
        <v>100</v>
      </c>
      <c r="BQ180" s="71">
        <f t="shared" si="74"/>
        <v>5.6119999999999998E-3</v>
      </c>
      <c r="BR180" s="178"/>
      <c r="BS180" s="71"/>
      <c r="BT180" s="71"/>
      <c r="BU180" s="71"/>
      <c r="BV180" s="71"/>
      <c r="BW180" s="71"/>
      <c r="BX180" s="178"/>
      <c r="BY180" s="178"/>
      <c r="BZ180" s="71"/>
      <c r="CA180" s="48"/>
      <c r="CB180" s="48"/>
      <c r="CC180" s="71"/>
      <c r="CD180" s="178"/>
      <c r="CE180" s="215">
        <v>45066</v>
      </c>
      <c r="CF180" s="1">
        <v>10649814</v>
      </c>
      <c r="CG180" s="1">
        <v>59402</v>
      </c>
      <c r="CH180" s="1">
        <v>10709216</v>
      </c>
      <c r="CI180" s="71">
        <f t="shared" si="60"/>
        <v>99.445318873015538</v>
      </c>
      <c r="CJ180" s="71">
        <f t="shared" si="66"/>
        <v>10.709216</v>
      </c>
      <c r="CL180" s="140">
        <v>44984</v>
      </c>
      <c r="CM180" t="s">
        <v>240</v>
      </c>
      <c r="CN180">
        <v>5152</v>
      </c>
    </row>
    <row r="181" spans="1:92" hidden="1" x14ac:dyDescent="0.25">
      <c r="A181" s="215">
        <v>45067</v>
      </c>
      <c r="B181" s="48">
        <v>4635278</v>
      </c>
      <c r="C181" s="48">
        <v>17624</v>
      </c>
      <c r="D181" s="48">
        <v>4652902</v>
      </c>
      <c r="E181" s="48">
        <v>99.62</v>
      </c>
      <c r="F181" s="71">
        <f t="shared" si="72"/>
        <v>4.6529020000000001</v>
      </c>
      <c r="H181" s="215">
        <v>45067</v>
      </c>
      <c r="I181" s="48">
        <v>1788338</v>
      </c>
      <c r="J181" s="48">
        <v>3348</v>
      </c>
      <c r="K181" s="48">
        <v>1791686</v>
      </c>
      <c r="L181" s="48">
        <v>99.81</v>
      </c>
      <c r="M181" s="71">
        <f t="shared" si="73"/>
        <v>1.7916859999999999</v>
      </c>
      <c r="O181" s="215">
        <v>45067</v>
      </c>
      <c r="P181" s="48">
        <v>599410</v>
      </c>
      <c r="Q181" s="48">
        <v>4520</v>
      </c>
      <c r="R181" s="48">
        <v>603930</v>
      </c>
      <c r="S181" s="48">
        <v>99.25</v>
      </c>
      <c r="T181" s="71">
        <f t="shared" si="67"/>
        <v>0.60392999999999997</v>
      </c>
      <c r="V181" s="215">
        <v>45067</v>
      </c>
      <c r="W181" s="48">
        <v>976886</v>
      </c>
      <c r="X181" s="48">
        <v>188</v>
      </c>
      <c r="Y181" s="48">
        <v>977074</v>
      </c>
      <c r="Z181" s="48">
        <v>99.98</v>
      </c>
      <c r="AA181" s="71">
        <f t="shared" si="61"/>
        <v>0.977074</v>
      </c>
      <c r="AC181" s="215">
        <v>45067</v>
      </c>
      <c r="AD181" s="48">
        <v>649774</v>
      </c>
      <c r="AE181" s="48">
        <v>6620</v>
      </c>
      <c r="AF181" s="48">
        <v>656394</v>
      </c>
      <c r="AG181" s="48">
        <v>98.99</v>
      </c>
      <c r="AH181" s="71">
        <f t="shared" si="68"/>
        <v>0.65639400000000003</v>
      </c>
      <c r="AJ181" s="215">
        <v>45067</v>
      </c>
      <c r="AK181" s="48">
        <v>26</v>
      </c>
      <c r="AL181" s="48">
        <v>0</v>
      </c>
      <c r="AM181" s="48">
        <v>26</v>
      </c>
      <c r="AN181" s="48">
        <v>100</v>
      </c>
      <c r="AO181" s="246">
        <f t="shared" si="62"/>
        <v>2.5999999999999998E-5</v>
      </c>
      <c r="AQ181" s="215">
        <v>45067</v>
      </c>
      <c r="AR181" s="48">
        <v>958</v>
      </c>
      <c r="AS181" s="48">
        <v>62</v>
      </c>
      <c r="AT181" s="48">
        <v>1020</v>
      </c>
      <c r="AU181" s="48">
        <v>93.92</v>
      </c>
      <c r="AV181" s="246">
        <f t="shared" si="76"/>
        <v>1.0200000000000001E-3</v>
      </c>
      <c r="AX181" s="215">
        <v>45067</v>
      </c>
      <c r="AY181" s="48">
        <v>0</v>
      </c>
      <c r="AZ181" s="48">
        <v>118</v>
      </c>
      <c r="BA181" s="48">
        <v>118</v>
      </c>
      <c r="BB181" s="48">
        <v>0</v>
      </c>
      <c r="BC181" s="246">
        <f t="shared" si="75"/>
        <v>1.18E-4</v>
      </c>
      <c r="BE181" s="215">
        <v>45067</v>
      </c>
      <c r="BF181" s="48">
        <v>2584</v>
      </c>
      <c r="BG181" s="48">
        <v>16</v>
      </c>
      <c r="BH181" s="48">
        <v>2600</v>
      </c>
      <c r="BI181" s="48">
        <v>99.38</v>
      </c>
      <c r="BJ181" s="71">
        <f t="shared" si="71"/>
        <v>2.5999999999999999E-3</v>
      </c>
      <c r="BL181" s="215">
        <v>45067</v>
      </c>
      <c r="BM181" s="48">
        <v>3898</v>
      </c>
      <c r="BN181" s="48">
        <v>0</v>
      </c>
      <c r="BO181" s="48">
        <v>3898</v>
      </c>
      <c r="BP181" s="48">
        <v>100</v>
      </c>
      <c r="BQ181" s="71">
        <f t="shared" si="74"/>
        <v>3.898E-3</v>
      </c>
      <c r="BR181" s="178"/>
      <c r="BS181" s="71"/>
      <c r="BT181" s="71"/>
      <c r="BU181" s="71"/>
      <c r="BV181" s="71"/>
      <c r="BW181" s="71"/>
      <c r="BX181" s="178"/>
      <c r="BY181" s="178"/>
      <c r="BZ181" s="71"/>
      <c r="CA181" s="48"/>
      <c r="CB181" s="48"/>
      <c r="CC181" s="71"/>
      <c r="CD181" s="178"/>
      <c r="CE181" s="215">
        <v>45067</v>
      </c>
      <c r="CF181" s="1">
        <v>9974546</v>
      </c>
      <c r="CG181" s="1">
        <v>44016</v>
      </c>
      <c r="CH181" s="1">
        <v>10018562</v>
      </c>
      <c r="CI181" s="71">
        <f t="shared" si="60"/>
        <v>99.560655511240043</v>
      </c>
      <c r="CJ181" s="71">
        <f t="shared" si="66"/>
        <v>10.018561999999999</v>
      </c>
      <c r="CL181" s="140">
        <v>44984</v>
      </c>
      <c r="CM181" t="s">
        <v>237</v>
      </c>
      <c r="CN181">
        <v>4020</v>
      </c>
    </row>
    <row r="182" spans="1:92" hidden="1" x14ac:dyDescent="0.25">
      <c r="A182" s="215">
        <v>45068</v>
      </c>
      <c r="B182" s="48">
        <v>5630884</v>
      </c>
      <c r="C182" s="48">
        <v>26352</v>
      </c>
      <c r="D182" s="48">
        <v>5657236</v>
      </c>
      <c r="E182" s="48">
        <v>99.53</v>
      </c>
      <c r="F182" s="71">
        <f t="shared" si="72"/>
        <v>5.6572360000000002</v>
      </c>
      <c r="H182" s="215">
        <v>45068</v>
      </c>
      <c r="I182" s="48">
        <v>1917612</v>
      </c>
      <c r="J182" s="48">
        <v>2470</v>
      </c>
      <c r="K182" s="48">
        <v>1920082</v>
      </c>
      <c r="L182" s="48">
        <v>99.87</v>
      </c>
      <c r="M182" s="71">
        <f t="shared" si="73"/>
        <v>1.9200820000000001</v>
      </c>
      <c r="O182" s="215">
        <v>45068</v>
      </c>
      <c r="P182" s="48">
        <v>612906</v>
      </c>
      <c r="Q182" s="48">
        <v>4768</v>
      </c>
      <c r="R182" s="48">
        <v>617674</v>
      </c>
      <c r="S182" s="48">
        <v>99.23</v>
      </c>
      <c r="T182" s="71">
        <f t="shared" si="67"/>
        <v>0.61767399999999995</v>
      </c>
      <c r="V182" s="215">
        <v>45068</v>
      </c>
      <c r="W182" s="48">
        <v>1019012</v>
      </c>
      <c r="X182" s="48">
        <v>914</v>
      </c>
      <c r="Y182" s="48">
        <v>1019926</v>
      </c>
      <c r="Z182" s="48">
        <v>99.91</v>
      </c>
      <c r="AA182" s="71">
        <f t="shared" si="61"/>
        <v>1.0199260000000001</v>
      </c>
      <c r="AC182" s="215">
        <v>45068</v>
      </c>
      <c r="AD182" s="48">
        <v>663880</v>
      </c>
      <c r="AE182" s="48">
        <v>710</v>
      </c>
      <c r="AF182" s="48">
        <v>664590</v>
      </c>
      <c r="AG182" s="48">
        <v>99.89</v>
      </c>
      <c r="AH182" s="71">
        <f t="shared" si="68"/>
        <v>0.66459000000000001</v>
      </c>
      <c r="AJ182" s="215">
        <v>45068</v>
      </c>
      <c r="AK182" s="48">
        <v>64</v>
      </c>
      <c r="AL182" s="48">
        <v>0</v>
      </c>
      <c r="AM182" s="48">
        <v>64</v>
      </c>
      <c r="AN182" s="48">
        <v>100</v>
      </c>
      <c r="AO182" s="246">
        <f t="shared" si="62"/>
        <v>6.3999999999999997E-5</v>
      </c>
      <c r="AQ182" s="215">
        <v>45068</v>
      </c>
      <c r="AR182" s="48">
        <v>2544</v>
      </c>
      <c r="AS182" s="48">
        <v>60</v>
      </c>
      <c r="AT182" s="48">
        <v>2604</v>
      </c>
      <c r="AU182" s="48">
        <v>97.7</v>
      </c>
      <c r="AV182" s="246">
        <f t="shared" si="76"/>
        <v>2.604E-3</v>
      </c>
      <c r="AX182" s="215">
        <v>45068</v>
      </c>
      <c r="AY182" s="48">
        <v>1790</v>
      </c>
      <c r="AZ182" s="48">
        <v>240</v>
      </c>
      <c r="BA182" s="48">
        <v>2030</v>
      </c>
      <c r="BB182" s="48">
        <v>88.18</v>
      </c>
      <c r="BC182" s="246">
        <f t="shared" si="75"/>
        <v>2.0300000000000001E-3</v>
      </c>
      <c r="BE182" s="215">
        <v>45068</v>
      </c>
      <c r="BF182" s="48">
        <v>3214</v>
      </c>
      <c r="BG182" s="48">
        <v>64</v>
      </c>
      <c r="BH182" s="48">
        <v>3278</v>
      </c>
      <c r="BI182" s="48">
        <v>98.05</v>
      </c>
      <c r="BJ182" s="71">
        <f t="shared" si="71"/>
        <v>3.2780000000000001E-3</v>
      </c>
      <c r="BL182" s="215">
        <v>45068</v>
      </c>
      <c r="BM182" s="48">
        <v>3334</v>
      </c>
      <c r="BN182" s="48">
        <v>0</v>
      </c>
      <c r="BO182" s="48">
        <v>3334</v>
      </c>
      <c r="BP182" s="48">
        <v>100</v>
      </c>
      <c r="BQ182" s="71">
        <f t="shared" si="74"/>
        <v>3.3340000000000002E-3</v>
      </c>
      <c r="BR182" s="178"/>
      <c r="BS182" s="71"/>
      <c r="BT182" s="71"/>
      <c r="BU182" s="71"/>
      <c r="BV182" s="71"/>
      <c r="BW182" s="71"/>
      <c r="BX182" s="178"/>
      <c r="BY182" s="178"/>
      <c r="BZ182" s="71"/>
      <c r="CA182" s="48"/>
      <c r="CB182" s="48"/>
      <c r="CC182" s="71"/>
      <c r="CD182" s="178"/>
      <c r="CE182" s="215">
        <v>45068</v>
      </c>
      <c r="CF182" s="1">
        <v>11225464</v>
      </c>
      <c r="CG182" s="1">
        <v>50338</v>
      </c>
      <c r="CH182" s="1">
        <v>11275802</v>
      </c>
      <c r="CI182" s="71">
        <f t="shared" si="60"/>
        <v>99.553574991827631</v>
      </c>
      <c r="CJ182" s="71">
        <f t="shared" si="66"/>
        <v>11.275802000000001</v>
      </c>
      <c r="CL182" s="140">
        <v>44984</v>
      </c>
      <c r="CM182" t="s">
        <v>241</v>
      </c>
      <c r="CN182">
        <v>862</v>
      </c>
    </row>
    <row r="183" spans="1:92" hidden="1" x14ac:dyDescent="0.25">
      <c r="A183" s="215">
        <v>45069</v>
      </c>
      <c r="B183" s="48">
        <v>5716894</v>
      </c>
      <c r="C183" s="48">
        <v>22456</v>
      </c>
      <c r="D183" s="48">
        <v>5739350</v>
      </c>
      <c r="E183" s="48">
        <v>99.61</v>
      </c>
      <c r="F183" s="71">
        <f t="shared" si="72"/>
        <v>5.73935</v>
      </c>
      <c r="H183" s="215">
        <v>45069</v>
      </c>
      <c r="I183" s="48">
        <v>2261820</v>
      </c>
      <c r="J183" s="48">
        <v>3070</v>
      </c>
      <c r="K183" s="48">
        <v>2264890</v>
      </c>
      <c r="L183" s="48">
        <v>99.86</v>
      </c>
      <c r="M183" s="71">
        <f t="shared" si="73"/>
        <v>2.2648899999999998</v>
      </c>
      <c r="O183" s="215">
        <v>45069</v>
      </c>
      <c r="P183" s="48">
        <v>674990</v>
      </c>
      <c r="Q183" s="48">
        <v>6974</v>
      </c>
      <c r="R183" s="48">
        <v>681964</v>
      </c>
      <c r="S183" s="48">
        <v>98.98</v>
      </c>
      <c r="T183" s="71">
        <f t="shared" si="67"/>
        <v>0.68196400000000001</v>
      </c>
      <c r="V183" s="215">
        <v>45069</v>
      </c>
      <c r="W183" s="48">
        <v>1077386</v>
      </c>
      <c r="X183" s="48">
        <v>414</v>
      </c>
      <c r="Y183" s="48">
        <v>1077800</v>
      </c>
      <c r="Z183" s="48">
        <v>99.96</v>
      </c>
      <c r="AA183" s="71">
        <f t="shared" si="61"/>
        <v>1.0778000000000001</v>
      </c>
      <c r="AC183" s="215">
        <v>45069</v>
      </c>
      <c r="AD183" s="48">
        <v>643770</v>
      </c>
      <c r="AE183" s="48">
        <v>210</v>
      </c>
      <c r="AF183" s="48">
        <v>643980</v>
      </c>
      <c r="AG183" s="48">
        <v>99.97</v>
      </c>
      <c r="AH183" s="71">
        <f t="shared" si="68"/>
        <v>0.64398</v>
      </c>
      <c r="AJ183" s="215">
        <v>45069</v>
      </c>
      <c r="AK183" s="48">
        <v>70</v>
      </c>
      <c r="AL183" s="48">
        <v>0</v>
      </c>
      <c r="AM183" s="48">
        <v>70</v>
      </c>
      <c r="AN183" s="48">
        <v>100</v>
      </c>
      <c r="AO183" s="246">
        <f t="shared" si="62"/>
        <v>6.9999999999999994E-5</v>
      </c>
      <c r="AQ183" s="215">
        <v>45069</v>
      </c>
      <c r="AR183" s="48">
        <v>2884</v>
      </c>
      <c r="AS183" s="48">
        <v>58</v>
      </c>
      <c r="AT183" s="48">
        <v>2942</v>
      </c>
      <c r="AU183" s="48">
        <v>98.03</v>
      </c>
      <c r="AV183" s="246">
        <f t="shared" si="76"/>
        <v>2.9420000000000002E-3</v>
      </c>
      <c r="AX183" s="215">
        <v>45069</v>
      </c>
      <c r="AY183" s="48">
        <v>1244</v>
      </c>
      <c r="AZ183" s="48">
        <v>80</v>
      </c>
      <c r="BA183" s="48">
        <v>1324</v>
      </c>
      <c r="BB183" s="48">
        <v>93.96</v>
      </c>
      <c r="BC183" s="246">
        <f t="shared" si="75"/>
        <v>1.3240000000000001E-3</v>
      </c>
      <c r="BE183" s="215">
        <v>45069</v>
      </c>
      <c r="BF183" s="48">
        <v>3752</v>
      </c>
      <c r="BG183" s="48">
        <v>42</v>
      </c>
      <c r="BH183" s="48">
        <v>3794</v>
      </c>
      <c r="BI183" s="48">
        <v>98.89</v>
      </c>
      <c r="BJ183" s="71">
        <f t="shared" si="71"/>
        <v>3.7940000000000001E-3</v>
      </c>
      <c r="BL183" s="215">
        <v>45069</v>
      </c>
      <c r="BM183" s="48">
        <v>2664</v>
      </c>
      <c r="BN183" s="48">
        <v>0</v>
      </c>
      <c r="BO183" s="48">
        <v>2664</v>
      </c>
      <c r="BP183" s="48">
        <v>100</v>
      </c>
      <c r="BQ183" s="71">
        <f t="shared" si="74"/>
        <v>2.6640000000000001E-3</v>
      </c>
      <c r="BR183" s="178"/>
      <c r="BS183" s="71"/>
      <c r="BT183" s="71"/>
      <c r="BU183" s="71"/>
      <c r="BV183" s="71"/>
      <c r="BW183" s="71"/>
      <c r="BX183" s="178"/>
      <c r="BY183" s="178"/>
      <c r="BZ183" s="71"/>
      <c r="CA183" s="48"/>
      <c r="CB183" s="48"/>
      <c r="CC183" s="71"/>
      <c r="CD183" s="178"/>
      <c r="CE183" s="215">
        <v>45069</v>
      </c>
      <c r="CF183" s="1">
        <v>11743548</v>
      </c>
      <c r="CG183" s="1">
        <v>46242</v>
      </c>
      <c r="CH183" s="1">
        <v>11789790</v>
      </c>
      <c r="CI183" s="71">
        <f t="shared" si="60"/>
        <v>99.607779273422182</v>
      </c>
      <c r="CJ183" s="71">
        <f t="shared" si="66"/>
        <v>11.78979</v>
      </c>
      <c r="CL183" s="140">
        <v>44985</v>
      </c>
      <c r="CM183" t="s">
        <v>245</v>
      </c>
      <c r="CN183">
        <v>11394</v>
      </c>
    </row>
    <row r="184" spans="1:92" hidden="1" x14ac:dyDescent="0.25">
      <c r="A184" s="215">
        <v>45070</v>
      </c>
      <c r="B184" s="48">
        <v>5558990</v>
      </c>
      <c r="C184" s="48">
        <v>18456</v>
      </c>
      <c r="D184" s="48">
        <v>5577446</v>
      </c>
      <c r="E184" s="48">
        <v>99.67</v>
      </c>
      <c r="F184" s="71">
        <f t="shared" si="72"/>
        <v>5.5774460000000001</v>
      </c>
      <c r="H184" s="215">
        <v>45070</v>
      </c>
      <c r="I184" s="48">
        <v>1677228</v>
      </c>
      <c r="J184" s="48">
        <v>2372</v>
      </c>
      <c r="K184" s="48">
        <v>1679600</v>
      </c>
      <c r="L184" s="48">
        <v>99.86</v>
      </c>
      <c r="M184" s="71">
        <f t="shared" si="73"/>
        <v>1.6796</v>
      </c>
      <c r="O184" s="215">
        <v>45070</v>
      </c>
      <c r="P184" s="48">
        <v>565854</v>
      </c>
      <c r="Q184" s="48">
        <v>4110</v>
      </c>
      <c r="R184" s="48">
        <v>569964</v>
      </c>
      <c r="S184" s="48">
        <v>99.28</v>
      </c>
      <c r="T184" s="71">
        <f t="shared" si="67"/>
        <v>0.56996400000000003</v>
      </c>
      <c r="V184" s="215">
        <v>45070</v>
      </c>
      <c r="W184" s="48">
        <v>944226</v>
      </c>
      <c r="X184" s="48">
        <v>444</v>
      </c>
      <c r="Y184" s="48">
        <v>944670</v>
      </c>
      <c r="Z184" s="48">
        <v>99.95</v>
      </c>
      <c r="AA184" s="71">
        <f t="shared" si="61"/>
        <v>0.94467000000000001</v>
      </c>
      <c r="AC184" s="215">
        <v>45070</v>
      </c>
      <c r="AD184" s="48">
        <v>655422</v>
      </c>
      <c r="AE184" s="48">
        <v>202</v>
      </c>
      <c r="AF184" s="48">
        <v>655624</v>
      </c>
      <c r="AG184" s="48">
        <v>99.97</v>
      </c>
      <c r="AH184" s="71">
        <f t="shared" si="68"/>
        <v>0.65562399999999998</v>
      </c>
      <c r="AJ184" s="215">
        <v>45070</v>
      </c>
      <c r="AK184" s="48">
        <v>32</v>
      </c>
      <c r="AL184" s="48">
        <v>0</v>
      </c>
      <c r="AM184" s="48">
        <v>32</v>
      </c>
      <c r="AN184" s="48">
        <v>100</v>
      </c>
      <c r="AO184" s="246">
        <f t="shared" si="62"/>
        <v>3.1999999999999999E-5</v>
      </c>
      <c r="AQ184" s="215">
        <v>45070</v>
      </c>
      <c r="AR184" s="48">
        <v>3328</v>
      </c>
      <c r="AS184" s="48">
        <v>38</v>
      </c>
      <c r="AT184" s="48">
        <v>3366</v>
      </c>
      <c r="AU184" s="48">
        <v>98.87</v>
      </c>
      <c r="AV184" s="246">
        <f t="shared" si="76"/>
        <v>3.3660000000000001E-3</v>
      </c>
      <c r="AX184" s="215">
        <v>45070</v>
      </c>
      <c r="AY184" s="48">
        <v>1592</v>
      </c>
      <c r="AZ184" s="48">
        <v>124</v>
      </c>
      <c r="BA184" s="48">
        <v>1716</v>
      </c>
      <c r="BB184" s="48">
        <v>92.77</v>
      </c>
      <c r="BC184" s="246">
        <f t="shared" si="75"/>
        <v>1.7160000000000001E-3</v>
      </c>
      <c r="BE184" s="215">
        <v>45070</v>
      </c>
      <c r="BF184" s="48">
        <v>3088</v>
      </c>
      <c r="BG184" s="48">
        <v>52</v>
      </c>
      <c r="BH184" s="48">
        <v>3140</v>
      </c>
      <c r="BI184" s="48">
        <v>98.34</v>
      </c>
      <c r="BJ184" s="71">
        <f t="shared" si="71"/>
        <v>3.14E-3</v>
      </c>
      <c r="BL184" s="215">
        <v>45070</v>
      </c>
      <c r="BM184" s="48">
        <v>3254</v>
      </c>
      <c r="BN184" s="48">
        <v>0</v>
      </c>
      <c r="BO184" s="48">
        <v>3254</v>
      </c>
      <c r="BP184" s="48">
        <v>100</v>
      </c>
      <c r="BQ184" s="71">
        <f t="shared" si="74"/>
        <v>3.2539999999999999E-3</v>
      </c>
      <c r="BR184" s="178"/>
      <c r="BS184" s="71"/>
      <c r="BT184" s="71"/>
      <c r="BU184" s="71"/>
      <c r="BV184" s="71"/>
      <c r="BW184" s="71"/>
      <c r="BX184" s="178"/>
      <c r="BY184" s="178"/>
      <c r="BZ184" s="71"/>
      <c r="CA184" s="48"/>
      <c r="CB184" s="48"/>
      <c r="CC184" s="71"/>
      <c r="CD184" s="178"/>
      <c r="CE184" s="215">
        <v>45070</v>
      </c>
      <c r="CF184" s="1">
        <v>10642926</v>
      </c>
      <c r="CG184" s="1">
        <v>36652</v>
      </c>
      <c r="CH184" s="1">
        <v>10679578</v>
      </c>
      <c r="CI184" s="71">
        <f t="shared" si="60"/>
        <v>99.656802918617203</v>
      </c>
      <c r="CJ184" s="71">
        <f t="shared" si="66"/>
        <v>10.679577999999999</v>
      </c>
      <c r="CL184" s="140">
        <v>44985</v>
      </c>
      <c r="CM184" t="s">
        <v>240</v>
      </c>
      <c r="CN184">
        <v>7616</v>
      </c>
    </row>
    <row r="185" spans="1:92" hidden="1" x14ac:dyDescent="0.25">
      <c r="A185" s="215">
        <v>45071</v>
      </c>
      <c r="B185" s="48">
        <v>5335702</v>
      </c>
      <c r="C185" s="48">
        <v>21348</v>
      </c>
      <c r="D185" s="48">
        <v>5357050</v>
      </c>
      <c r="E185" s="48">
        <v>99.6</v>
      </c>
      <c r="F185" s="71">
        <f t="shared" si="72"/>
        <v>5.3570500000000001</v>
      </c>
      <c r="H185" s="215">
        <v>45071</v>
      </c>
      <c r="I185" s="48">
        <v>1707896</v>
      </c>
      <c r="J185" s="48">
        <v>2418</v>
      </c>
      <c r="K185" s="48">
        <v>1710314</v>
      </c>
      <c r="L185" s="48">
        <v>99.86</v>
      </c>
      <c r="M185" s="71">
        <f t="shared" si="73"/>
        <v>1.7103139999999999</v>
      </c>
      <c r="O185" s="215">
        <v>45071</v>
      </c>
      <c r="P185" s="48">
        <v>592260</v>
      </c>
      <c r="Q185" s="48">
        <v>4456</v>
      </c>
      <c r="R185" s="48">
        <v>596716</v>
      </c>
      <c r="S185" s="48">
        <v>99.25</v>
      </c>
      <c r="T185" s="71">
        <f t="shared" si="67"/>
        <v>0.59671600000000002</v>
      </c>
      <c r="V185" s="215">
        <v>45071</v>
      </c>
      <c r="W185" s="48">
        <v>975616</v>
      </c>
      <c r="X185" s="48">
        <v>210</v>
      </c>
      <c r="Y185" s="48">
        <v>975826</v>
      </c>
      <c r="Z185" s="48">
        <v>99.98</v>
      </c>
      <c r="AA185" s="71">
        <f t="shared" si="61"/>
        <v>0.97582599999999997</v>
      </c>
      <c r="AC185" s="215">
        <v>45071</v>
      </c>
      <c r="AD185" s="48">
        <v>654024</v>
      </c>
      <c r="AE185" s="48">
        <v>138</v>
      </c>
      <c r="AF185" s="48">
        <v>654162</v>
      </c>
      <c r="AG185" s="48">
        <v>99.98</v>
      </c>
      <c r="AH185" s="71">
        <f t="shared" si="68"/>
        <v>0.65416200000000002</v>
      </c>
      <c r="AJ185" s="215">
        <v>45071</v>
      </c>
      <c r="AK185" s="48">
        <v>68</v>
      </c>
      <c r="AL185" s="48">
        <v>0</v>
      </c>
      <c r="AM185" s="48">
        <v>68</v>
      </c>
      <c r="AN185" s="48">
        <v>100</v>
      </c>
      <c r="AO185" s="246">
        <f t="shared" si="62"/>
        <v>6.7999999999999999E-5</v>
      </c>
      <c r="AQ185" s="215">
        <v>45071</v>
      </c>
      <c r="AR185" s="48">
        <v>3446</v>
      </c>
      <c r="AS185" s="48">
        <v>36</v>
      </c>
      <c r="AT185" s="48">
        <v>3482</v>
      </c>
      <c r="AU185" s="48">
        <v>98.97</v>
      </c>
      <c r="AV185" s="246">
        <f t="shared" si="76"/>
        <v>3.4819999999999999E-3</v>
      </c>
      <c r="AX185" s="215">
        <v>45071</v>
      </c>
      <c r="AY185" s="48">
        <v>1304</v>
      </c>
      <c r="AZ185" s="48">
        <v>96</v>
      </c>
      <c r="BA185" s="48">
        <v>1400</v>
      </c>
      <c r="BB185" s="48">
        <v>93.14</v>
      </c>
      <c r="BC185" s="246">
        <f t="shared" si="75"/>
        <v>1.4E-3</v>
      </c>
      <c r="BE185" s="215">
        <v>45071</v>
      </c>
      <c r="BF185" s="48">
        <v>2812</v>
      </c>
      <c r="BG185" s="48">
        <v>30</v>
      </c>
      <c r="BH185" s="48">
        <v>2842</v>
      </c>
      <c r="BI185" s="48">
        <v>98.94</v>
      </c>
      <c r="BJ185" s="71">
        <f t="shared" si="71"/>
        <v>2.8419999999999999E-3</v>
      </c>
      <c r="BL185" s="215">
        <v>45071</v>
      </c>
      <c r="BM185" s="48">
        <v>4118</v>
      </c>
      <c r="BN185" s="48">
        <v>0</v>
      </c>
      <c r="BO185" s="48">
        <v>4118</v>
      </c>
      <c r="BP185" s="48">
        <v>100</v>
      </c>
      <c r="BQ185" s="71">
        <f t="shared" si="74"/>
        <v>4.1180000000000001E-3</v>
      </c>
      <c r="BR185" s="178"/>
      <c r="BS185" s="71"/>
      <c r="BT185" s="71"/>
      <c r="BU185" s="71"/>
      <c r="BV185" s="71"/>
      <c r="BW185" s="71"/>
      <c r="BX185" s="178"/>
      <c r="BY185" s="178"/>
      <c r="BZ185" s="71"/>
      <c r="CA185" s="48"/>
      <c r="CB185" s="48"/>
      <c r="CC185" s="71"/>
      <c r="CD185" s="178"/>
      <c r="CE185" s="215">
        <v>45071</v>
      </c>
      <c r="CF185" s="1">
        <v>10573906</v>
      </c>
      <c r="CG185" s="1">
        <v>44806</v>
      </c>
      <c r="CH185" s="1">
        <v>10618712</v>
      </c>
      <c r="CI185" s="71">
        <f t="shared" si="60"/>
        <v>99.578046753692917</v>
      </c>
      <c r="CJ185" s="71">
        <f t="shared" si="66"/>
        <v>10.618712</v>
      </c>
      <c r="CL185" s="140">
        <v>44985</v>
      </c>
      <c r="CM185" t="s">
        <v>239</v>
      </c>
      <c r="CN185">
        <v>3004</v>
      </c>
    </row>
    <row r="186" spans="1:92" hidden="1" x14ac:dyDescent="0.25">
      <c r="A186" s="215">
        <v>45072</v>
      </c>
      <c r="B186" s="48">
        <v>6131012</v>
      </c>
      <c r="C186" s="48">
        <v>25572</v>
      </c>
      <c r="D186" s="48">
        <v>6156584</v>
      </c>
      <c r="E186" s="48">
        <v>99.58</v>
      </c>
      <c r="F186" s="71">
        <f t="shared" si="72"/>
        <v>6.1565839999999996</v>
      </c>
      <c r="H186" s="215">
        <v>45072</v>
      </c>
      <c r="I186" s="48">
        <v>2171174</v>
      </c>
      <c r="J186" s="48">
        <v>3206</v>
      </c>
      <c r="K186" s="48">
        <v>2174380</v>
      </c>
      <c r="L186" s="48">
        <v>99.85</v>
      </c>
      <c r="M186" s="71">
        <f t="shared" si="73"/>
        <v>2.1743800000000002</v>
      </c>
      <c r="O186" s="215">
        <v>45072</v>
      </c>
      <c r="P186" s="48">
        <v>613534</v>
      </c>
      <c r="Q186" s="48">
        <v>5502</v>
      </c>
      <c r="R186" s="48">
        <v>619036</v>
      </c>
      <c r="S186" s="48">
        <v>99.11</v>
      </c>
      <c r="T186" s="71">
        <f t="shared" si="67"/>
        <v>0.61903600000000003</v>
      </c>
      <c r="V186" s="215">
        <v>45072</v>
      </c>
      <c r="W186" s="48">
        <v>1102328</v>
      </c>
      <c r="X186" s="48">
        <v>602</v>
      </c>
      <c r="Y186" s="48">
        <v>1102930</v>
      </c>
      <c r="Z186" s="48">
        <v>99.95</v>
      </c>
      <c r="AA186" s="71">
        <f t="shared" si="61"/>
        <v>1.10293</v>
      </c>
      <c r="AC186" s="215">
        <v>45072</v>
      </c>
      <c r="AD186" s="48">
        <v>684848</v>
      </c>
      <c r="AE186" s="48">
        <v>118</v>
      </c>
      <c r="AF186" s="48">
        <v>684966</v>
      </c>
      <c r="AG186" s="48">
        <v>99.98</v>
      </c>
      <c r="AH186" s="71">
        <f t="shared" si="68"/>
        <v>0.68496599999999996</v>
      </c>
      <c r="AJ186" s="215">
        <v>45072</v>
      </c>
      <c r="AK186" s="48">
        <v>92</v>
      </c>
      <c r="AL186" s="48">
        <v>4</v>
      </c>
      <c r="AM186" s="48">
        <v>96</v>
      </c>
      <c r="AN186" s="48">
        <v>95.83</v>
      </c>
      <c r="AO186" s="246">
        <f t="shared" si="62"/>
        <v>9.6000000000000002E-5</v>
      </c>
      <c r="AQ186" s="215">
        <v>45072</v>
      </c>
      <c r="AR186" s="48">
        <v>1990</v>
      </c>
      <c r="AS186" s="48">
        <v>38</v>
      </c>
      <c r="AT186" s="48">
        <v>2028</v>
      </c>
      <c r="AU186" s="48">
        <v>98.13</v>
      </c>
      <c r="AV186" s="246">
        <f t="shared" si="76"/>
        <v>2.0279999999999999E-3</v>
      </c>
      <c r="AX186" s="215">
        <v>45072</v>
      </c>
      <c r="AY186" s="48">
        <v>1396</v>
      </c>
      <c r="AZ186" s="48">
        <v>62</v>
      </c>
      <c r="BA186" s="48">
        <v>1458</v>
      </c>
      <c r="BB186" s="48">
        <v>95.75</v>
      </c>
      <c r="BC186" s="246">
        <f t="shared" si="75"/>
        <v>1.4580000000000001E-3</v>
      </c>
      <c r="BE186" s="215">
        <v>45072</v>
      </c>
      <c r="BF186" s="48">
        <v>3312</v>
      </c>
      <c r="BG186" s="48">
        <v>38</v>
      </c>
      <c r="BH186" s="48">
        <v>3350</v>
      </c>
      <c r="BI186" s="48">
        <v>98.87</v>
      </c>
      <c r="BJ186" s="71">
        <f t="shared" si="71"/>
        <v>3.3500000000000001E-3</v>
      </c>
      <c r="BL186" s="215">
        <v>45072</v>
      </c>
      <c r="BM186" s="48">
        <v>2970</v>
      </c>
      <c r="BN186" s="48">
        <v>0</v>
      </c>
      <c r="BO186" s="48">
        <v>2970</v>
      </c>
      <c r="BP186" s="48">
        <v>100</v>
      </c>
      <c r="BQ186" s="71">
        <f t="shared" si="74"/>
        <v>2.97E-3</v>
      </c>
      <c r="BR186" s="178"/>
      <c r="BS186" s="71"/>
      <c r="BT186" s="71"/>
      <c r="BU186" s="71"/>
      <c r="BV186" s="71"/>
      <c r="BW186" s="71"/>
      <c r="BX186" s="178"/>
      <c r="BY186" s="178"/>
      <c r="BZ186" s="71"/>
      <c r="CA186" s="48"/>
      <c r="CB186" s="48"/>
      <c r="CC186" s="71"/>
      <c r="CD186" s="178"/>
      <c r="CE186" s="215">
        <v>45072</v>
      </c>
      <c r="CF186" s="1">
        <v>12116540</v>
      </c>
      <c r="CG186" s="1">
        <v>51824</v>
      </c>
      <c r="CH186" s="1">
        <v>12168364</v>
      </c>
      <c r="CI186" s="71">
        <f t="shared" si="60"/>
        <v>99.574108729817752</v>
      </c>
      <c r="CJ186" s="71">
        <f t="shared" si="66"/>
        <v>12.168364</v>
      </c>
      <c r="CL186" s="140">
        <v>44985</v>
      </c>
      <c r="CM186" t="s">
        <v>237</v>
      </c>
      <c r="CN186">
        <v>2562</v>
      </c>
    </row>
    <row r="187" spans="1:92" hidden="1" x14ac:dyDescent="0.25">
      <c r="A187" s="215">
        <v>45073</v>
      </c>
      <c r="B187" s="48">
        <v>5625790</v>
      </c>
      <c r="C187" s="48">
        <v>18962</v>
      </c>
      <c r="D187" s="48">
        <v>5644752</v>
      </c>
      <c r="E187" s="48">
        <v>99.66</v>
      </c>
      <c r="F187" s="71">
        <f t="shared" si="72"/>
        <v>5.6447520000000004</v>
      </c>
      <c r="H187" s="215">
        <v>45073</v>
      </c>
      <c r="I187" s="48">
        <v>1709480</v>
      </c>
      <c r="J187" s="48">
        <v>2550</v>
      </c>
      <c r="K187" s="48">
        <v>1712030</v>
      </c>
      <c r="L187" s="48">
        <v>99.85</v>
      </c>
      <c r="M187" s="71">
        <f t="shared" si="73"/>
        <v>1.7120299999999999</v>
      </c>
      <c r="O187" s="215">
        <v>45073</v>
      </c>
      <c r="P187" s="48">
        <v>581638</v>
      </c>
      <c r="Q187" s="48">
        <v>4072</v>
      </c>
      <c r="R187" s="48">
        <v>585710</v>
      </c>
      <c r="S187" s="48">
        <v>99.3</v>
      </c>
      <c r="T187" s="71">
        <f t="shared" si="67"/>
        <v>0.58570999999999995</v>
      </c>
      <c r="V187" s="215">
        <v>45073</v>
      </c>
      <c r="W187" s="48">
        <v>1035286</v>
      </c>
      <c r="X187" s="48">
        <v>192</v>
      </c>
      <c r="Y187" s="48">
        <v>1035478</v>
      </c>
      <c r="Z187" s="48">
        <v>99.98</v>
      </c>
      <c r="AA187" s="71">
        <f t="shared" si="61"/>
        <v>1.0354779999999999</v>
      </c>
      <c r="AC187" s="215">
        <v>45073</v>
      </c>
      <c r="AD187" s="48">
        <v>630490</v>
      </c>
      <c r="AE187" s="48">
        <v>132</v>
      </c>
      <c r="AF187" s="48">
        <v>630622</v>
      </c>
      <c r="AG187" s="48">
        <v>99.98</v>
      </c>
      <c r="AH187" s="71">
        <f t="shared" si="68"/>
        <v>0.63062200000000002</v>
      </c>
      <c r="AJ187" s="215">
        <v>45073</v>
      </c>
      <c r="AK187" s="48">
        <v>50</v>
      </c>
      <c r="AL187" s="48">
        <v>0</v>
      </c>
      <c r="AM187" s="48">
        <v>50</v>
      </c>
      <c r="AN187" s="48">
        <v>100</v>
      </c>
      <c r="AO187" s="246">
        <f t="shared" si="62"/>
        <v>5.0000000000000002E-5</v>
      </c>
      <c r="AQ187" s="215">
        <v>45073</v>
      </c>
      <c r="AR187" s="48">
        <v>1686</v>
      </c>
      <c r="AS187" s="48">
        <v>14</v>
      </c>
      <c r="AT187" s="48">
        <v>1700</v>
      </c>
      <c r="AU187" s="48">
        <v>99.18</v>
      </c>
      <c r="AV187" s="246">
        <f t="shared" si="76"/>
        <v>1.6999999999999999E-3</v>
      </c>
      <c r="AX187" s="215">
        <v>45073</v>
      </c>
      <c r="AY187" s="48">
        <v>838</v>
      </c>
      <c r="AZ187" s="48">
        <v>26</v>
      </c>
      <c r="BA187" s="48">
        <v>864</v>
      </c>
      <c r="BB187" s="48">
        <v>96.99</v>
      </c>
      <c r="BC187" s="246">
        <f t="shared" si="75"/>
        <v>8.6399999999999997E-4</v>
      </c>
      <c r="BE187" s="215">
        <v>45073</v>
      </c>
      <c r="BF187" s="48">
        <v>2964</v>
      </c>
      <c r="BG187" s="48">
        <v>22</v>
      </c>
      <c r="BH187" s="48">
        <v>2986</v>
      </c>
      <c r="BI187" s="48">
        <v>99.26</v>
      </c>
      <c r="BJ187" s="71">
        <f t="shared" si="71"/>
        <v>2.9859999999999999E-3</v>
      </c>
      <c r="BL187" s="215">
        <v>45073</v>
      </c>
      <c r="BM187" s="48">
        <v>3778</v>
      </c>
      <c r="BN187" s="48">
        <v>0</v>
      </c>
      <c r="BO187" s="48">
        <v>3778</v>
      </c>
      <c r="BP187" s="48">
        <v>100</v>
      </c>
      <c r="BQ187" s="71">
        <f t="shared" si="74"/>
        <v>3.7780000000000001E-3</v>
      </c>
      <c r="BR187" s="178"/>
      <c r="BS187" s="71"/>
      <c r="BT187" s="71"/>
      <c r="BU187" s="71"/>
      <c r="BV187" s="71"/>
      <c r="BW187" s="71"/>
      <c r="BX187" s="178"/>
      <c r="BY187" s="178"/>
      <c r="BZ187" s="71"/>
      <c r="CA187" s="48"/>
      <c r="CB187" s="48"/>
      <c r="CC187" s="71"/>
      <c r="CD187" s="178"/>
      <c r="CE187" s="215">
        <v>45073</v>
      </c>
      <c r="CF187" s="1">
        <v>10910450</v>
      </c>
      <c r="CG187" s="1">
        <v>42158</v>
      </c>
      <c r="CH187" s="1">
        <v>10952608</v>
      </c>
      <c r="CI187" s="71">
        <f t="shared" si="60"/>
        <v>99.615087109846343</v>
      </c>
      <c r="CJ187" s="71">
        <f t="shared" si="66"/>
        <v>10.952608</v>
      </c>
      <c r="CL187" s="140">
        <v>44985</v>
      </c>
      <c r="CM187" t="s">
        <v>244</v>
      </c>
      <c r="CN187">
        <v>536</v>
      </c>
    </row>
    <row r="188" spans="1:92" hidden="1" x14ac:dyDescent="0.25">
      <c r="A188" s="215">
        <v>45074</v>
      </c>
      <c r="B188" s="48">
        <v>4638526</v>
      </c>
      <c r="C188" s="48">
        <v>28816</v>
      </c>
      <c r="D188" s="48">
        <v>4667342</v>
      </c>
      <c r="E188" s="48">
        <v>99.38</v>
      </c>
      <c r="F188" s="71">
        <f t="shared" si="72"/>
        <v>4.6673419999999997</v>
      </c>
      <c r="H188" s="215">
        <v>45074</v>
      </c>
      <c r="I188" s="48">
        <v>1731728</v>
      </c>
      <c r="J188" s="48">
        <v>3000</v>
      </c>
      <c r="K188" s="48">
        <v>1734728</v>
      </c>
      <c r="L188" s="48">
        <v>99.83</v>
      </c>
      <c r="M188" s="71">
        <f t="shared" si="73"/>
        <v>1.734728</v>
      </c>
      <c r="O188" s="215">
        <v>45074</v>
      </c>
      <c r="P188" s="48">
        <v>593072</v>
      </c>
      <c r="Q188" s="48">
        <v>4426</v>
      </c>
      <c r="R188" s="48">
        <v>597498</v>
      </c>
      <c r="S188" s="48">
        <v>99.26</v>
      </c>
      <c r="T188" s="71">
        <f t="shared" si="67"/>
        <v>0.59749799999999997</v>
      </c>
      <c r="V188" s="215">
        <v>45074</v>
      </c>
      <c r="W188" s="48">
        <v>970594</v>
      </c>
      <c r="X188" s="48">
        <v>278</v>
      </c>
      <c r="Y188" s="48">
        <v>970872</v>
      </c>
      <c r="Z188" s="48">
        <v>99.97</v>
      </c>
      <c r="AA188" s="71">
        <f t="shared" si="61"/>
        <v>0.97087199999999996</v>
      </c>
      <c r="AC188" s="215">
        <v>45074</v>
      </c>
      <c r="AD188" s="48">
        <v>612404</v>
      </c>
      <c r="AE188" s="48">
        <v>94</v>
      </c>
      <c r="AF188" s="48">
        <v>612498</v>
      </c>
      <c r="AG188" s="48">
        <v>99.98</v>
      </c>
      <c r="AH188" s="71">
        <f t="shared" si="68"/>
        <v>0.61249799999999999</v>
      </c>
      <c r="AJ188" s="215">
        <v>45074</v>
      </c>
      <c r="AK188" s="48">
        <v>24</v>
      </c>
      <c r="AL188" s="48">
        <v>0</v>
      </c>
      <c r="AM188" s="48">
        <v>24</v>
      </c>
      <c r="AN188" s="48">
        <v>100</v>
      </c>
      <c r="AO188" s="246">
        <f t="shared" si="62"/>
        <v>2.4000000000000001E-5</v>
      </c>
      <c r="AQ188" s="215">
        <v>45074</v>
      </c>
      <c r="AR188" s="48">
        <v>950</v>
      </c>
      <c r="AS188" s="48">
        <v>10</v>
      </c>
      <c r="AT188" s="48">
        <v>960</v>
      </c>
      <c r="AU188" s="48">
        <v>98.96</v>
      </c>
      <c r="AV188" s="246">
        <f t="shared" si="76"/>
        <v>9.6000000000000002E-4</v>
      </c>
      <c r="AX188" s="215">
        <v>45074</v>
      </c>
      <c r="AY188" s="48">
        <v>476</v>
      </c>
      <c r="AZ188" s="48">
        <v>78</v>
      </c>
      <c r="BA188" s="48">
        <v>554</v>
      </c>
      <c r="BB188" s="48">
        <v>85.92</v>
      </c>
      <c r="BC188" s="246">
        <f t="shared" si="75"/>
        <v>5.5400000000000002E-4</v>
      </c>
      <c r="BE188" s="215">
        <v>45074</v>
      </c>
      <c r="BF188" s="48">
        <v>2500</v>
      </c>
      <c r="BG188" s="48">
        <v>14</v>
      </c>
      <c r="BH188" s="48">
        <v>2514</v>
      </c>
      <c r="BI188" s="48">
        <v>99.44</v>
      </c>
      <c r="BJ188" s="71">
        <f t="shared" si="71"/>
        <v>2.5140000000000002E-3</v>
      </c>
      <c r="BL188" s="215">
        <v>45074</v>
      </c>
      <c r="BM188" s="48">
        <v>3550</v>
      </c>
      <c r="BN188" s="48">
        <v>0</v>
      </c>
      <c r="BO188" s="48">
        <v>3550</v>
      </c>
      <c r="BP188" s="48">
        <v>100</v>
      </c>
      <c r="BQ188" s="71">
        <f t="shared" si="74"/>
        <v>3.5500000000000002E-3</v>
      </c>
      <c r="BR188" s="178"/>
      <c r="BS188" s="71"/>
      <c r="BT188" s="71"/>
      <c r="BU188" s="71"/>
      <c r="BV188" s="71"/>
      <c r="BW188" s="71"/>
      <c r="BX188" s="178"/>
      <c r="BY188" s="178"/>
      <c r="BZ188" s="71"/>
      <c r="CA188" s="48"/>
      <c r="CB188" s="48"/>
      <c r="CC188" s="71"/>
      <c r="CD188" s="178"/>
      <c r="CE188" s="215">
        <v>45074</v>
      </c>
      <c r="CF188" s="1">
        <v>9860194</v>
      </c>
      <c r="CG188" s="1">
        <v>57042</v>
      </c>
      <c r="CH188" s="1">
        <v>9917236</v>
      </c>
      <c r="CI188" s="71">
        <f t="shared" ref="CI188:CI230" si="77">CF188/CH188%</f>
        <v>99.424819576744966</v>
      </c>
      <c r="CJ188" s="71">
        <f t="shared" si="66"/>
        <v>9.9172360000000008</v>
      </c>
      <c r="CL188" s="140">
        <v>44986</v>
      </c>
      <c r="CM188" t="s">
        <v>245</v>
      </c>
      <c r="CN188">
        <v>9394</v>
      </c>
    </row>
    <row r="189" spans="1:92" hidden="1" x14ac:dyDescent="0.25">
      <c r="A189" s="215">
        <v>45075</v>
      </c>
      <c r="B189" s="48">
        <v>5308176</v>
      </c>
      <c r="C189" s="48">
        <v>40036</v>
      </c>
      <c r="D189" s="48">
        <v>5348212</v>
      </c>
      <c r="E189" s="48">
        <v>99.25</v>
      </c>
      <c r="F189" s="71">
        <f t="shared" si="72"/>
        <v>5.3482120000000002</v>
      </c>
      <c r="H189" s="215">
        <v>45075</v>
      </c>
      <c r="I189" s="48">
        <v>1816412</v>
      </c>
      <c r="J189" s="48">
        <v>2752</v>
      </c>
      <c r="K189" s="48">
        <v>1819164</v>
      </c>
      <c r="L189" s="48">
        <v>99.85</v>
      </c>
      <c r="M189" s="71">
        <f t="shared" si="73"/>
        <v>1.819164</v>
      </c>
      <c r="O189" s="215">
        <v>45075</v>
      </c>
      <c r="P189" s="48">
        <v>610144</v>
      </c>
      <c r="Q189" s="48">
        <v>4476</v>
      </c>
      <c r="R189" s="48">
        <v>614620</v>
      </c>
      <c r="S189" s="48">
        <v>99.27</v>
      </c>
      <c r="T189" s="71">
        <f t="shared" si="67"/>
        <v>0.61462000000000006</v>
      </c>
      <c r="V189" s="215">
        <v>45075</v>
      </c>
      <c r="W189" s="48">
        <v>1040344</v>
      </c>
      <c r="X189" s="48">
        <v>210</v>
      </c>
      <c r="Y189" s="48">
        <v>1040554</v>
      </c>
      <c r="Z189" s="48">
        <v>99.98</v>
      </c>
      <c r="AA189" s="71">
        <f t="shared" si="61"/>
        <v>1.040554</v>
      </c>
      <c r="AC189" s="215">
        <v>45075</v>
      </c>
      <c r="AD189" s="48">
        <v>650538</v>
      </c>
      <c r="AE189" s="48">
        <v>1276</v>
      </c>
      <c r="AF189" s="48">
        <v>651814</v>
      </c>
      <c r="AG189" s="48">
        <v>99.8</v>
      </c>
      <c r="AH189" s="71">
        <f t="shared" si="68"/>
        <v>0.651814</v>
      </c>
      <c r="AJ189" s="215">
        <v>45075</v>
      </c>
      <c r="AK189" s="48">
        <v>96</v>
      </c>
      <c r="AL189" s="48">
        <v>0</v>
      </c>
      <c r="AM189" s="48">
        <v>96</v>
      </c>
      <c r="AN189" s="48">
        <v>100</v>
      </c>
      <c r="AO189" s="246">
        <f t="shared" si="62"/>
        <v>9.6000000000000002E-5</v>
      </c>
      <c r="AQ189" s="215">
        <v>45075</v>
      </c>
      <c r="AR189" s="48">
        <v>2212</v>
      </c>
      <c r="AS189" s="48">
        <v>2</v>
      </c>
      <c r="AT189" s="48">
        <v>2214</v>
      </c>
      <c r="AU189" s="48">
        <v>99.91</v>
      </c>
      <c r="AV189" s="246">
        <f t="shared" si="76"/>
        <v>2.2139999999999998E-3</v>
      </c>
      <c r="AX189" s="215">
        <v>45075</v>
      </c>
      <c r="AY189" s="48">
        <v>530</v>
      </c>
      <c r="AZ189" s="48">
        <v>12</v>
      </c>
      <c r="BA189" s="48">
        <v>542</v>
      </c>
      <c r="BB189" s="48">
        <v>97.79</v>
      </c>
      <c r="BC189" s="246">
        <f t="shared" si="75"/>
        <v>5.4199999999999995E-4</v>
      </c>
      <c r="BE189" s="215">
        <v>45075</v>
      </c>
      <c r="BF189" s="48">
        <v>3004</v>
      </c>
      <c r="BG189" s="48">
        <v>22</v>
      </c>
      <c r="BH189" s="48">
        <v>3026</v>
      </c>
      <c r="BI189" s="48">
        <v>99.27</v>
      </c>
      <c r="BJ189" s="71">
        <f t="shared" si="71"/>
        <v>3.026E-3</v>
      </c>
      <c r="BL189" s="215">
        <v>45075</v>
      </c>
      <c r="BM189" s="48">
        <v>5050</v>
      </c>
      <c r="BN189" s="48">
        <v>0</v>
      </c>
      <c r="BO189" s="48">
        <v>5050</v>
      </c>
      <c r="BP189" s="48">
        <v>100</v>
      </c>
      <c r="BQ189" s="71">
        <f t="shared" si="74"/>
        <v>5.0499999999999998E-3</v>
      </c>
      <c r="BR189" s="178"/>
      <c r="BS189" s="71"/>
      <c r="BT189" s="71"/>
      <c r="BU189" s="71"/>
      <c r="BV189" s="71"/>
      <c r="BW189" s="71"/>
      <c r="BX189" s="178"/>
      <c r="BY189" s="178"/>
      <c r="BZ189" s="71"/>
      <c r="CA189" s="48"/>
      <c r="CB189" s="48"/>
      <c r="CC189" s="71"/>
      <c r="CD189" s="178"/>
      <c r="CE189" s="215">
        <v>45075</v>
      </c>
      <c r="CF189" s="1">
        <v>10764874</v>
      </c>
      <c r="CG189" s="1">
        <v>74688</v>
      </c>
      <c r="CH189" s="1">
        <v>10839562</v>
      </c>
      <c r="CI189" s="71">
        <f t="shared" si="77"/>
        <v>99.310968469021176</v>
      </c>
      <c r="CJ189" s="71">
        <f t="shared" si="66"/>
        <v>10.839562000000001</v>
      </c>
      <c r="CL189" s="140">
        <v>44986</v>
      </c>
      <c r="CM189" t="s">
        <v>240</v>
      </c>
      <c r="CN189">
        <v>5828</v>
      </c>
    </row>
    <row r="190" spans="1:92" hidden="1" x14ac:dyDescent="0.25">
      <c r="A190" s="215">
        <v>45076</v>
      </c>
      <c r="B190" s="48">
        <v>5857918</v>
      </c>
      <c r="C190" s="48">
        <v>44786</v>
      </c>
      <c r="D190" s="48">
        <v>5902704</v>
      </c>
      <c r="E190" s="48">
        <v>99.24</v>
      </c>
      <c r="F190" s="71">
        <f t="shared" si="72"/>
        <v>5.902704</v>
      </c>
      <c r="H190" s="215">
        <v>45076</v>
      </c>
      <c r="I190" s="48">
        <v>2200852</v>
      </c>
      <c r="J190" s="48">
        <v>3228</v>
      </c>
      <c r="K190" s="48">
        <v>2204080</v>
      </c>
      <c r="L190" s="48">
        <v>99.85</v>
      </c>
      <c r="M190" s="71">
        <f t="shared" si="73"/>
        <v>2.2040799999999998</v>
      </c>
      <c r="O190" s="215">
        <v>45076</v>
      </c>
      <c r="P190" s="48">
        <v>655478</v>
      </c>
      <c r="Q190" s="48">
        <v>6308</v>
      </c>
      <c r="R190" s="48">
        <v>661786</v>
      </c>
      <c r="S190" s="48">
        <v>99.05</v>
      </c>
      <c r="T190" s="71">
        <f t="shared" si="67"/>
        <v>0.66178599999999999</v>
      </c>
      <c r="V190" s="215">
        <v>45076</v>
      </c>
      <c r="W190" s="48">
        <v>1087488</v>
      </c>
      <c r="X190" s="48">
        <v>218</v>
      </c>
      <c r="Y190" s="48">
        <v>1087706</v>
      </c>
      <c r="Z190" s="48">
        <v>99.98</v>
      </c>
      <c r="AA190" s="71">
        <f t="shared" ref="AA190:AA254" si="78">Y190/1000000</f>
        <v>1.0877060000000001</v>
      </c>
      <c r="AC190" s="215">
        <v>45076</v>
      </c>
      <c r="AD190" s="48">
        <v>682032</v>
      </c>
      <c r="AE190" s="48">
        <v>100</v>
      </c>
      <c r="AF190" s="48">
        <v>682132</v>
      </c>
      <c r="AG190" s="48">
        <v>99.99</v>
      </c>
      <c r="AH190" s="71">
        <f t="shared" si="68"/>
        <v>0.68213199999999996</v>
      </c>
      <c r="AJ190" s="215">
        <v>45076</v>
      </c>
      <c r="AK190" s="48">
        <v>46</v>
      </c>
      <c r="AL190" s="48">
        <v>0</v>
      </c>
      <c r="AM190" s="48">
        <v>46</v>
      </c>
      <c r="AN190" s="48">
        <v>100</v>
      </c>
      <c r="AO190" s="246">
        <f t="shared" ref="AO190:AO226" si="79">AM190/1000000</f>
        <v>4.6E-5</v>
      </c>
      <c r="AQ190" s="215">
        <v>45076</v>
      </c>
      <c r="AR190" s="48">
        <v>2576</v>
      </c>
      <c r="AS190" s="48">
        <v>26</v>
      </c>
      <c r="AT190" s="48">
        <v>2602</v>
      </c>
      <c r="AU190" s="48">
        <v>99</v>
      </c>
      <c r="AV190" s="246">
        <f t="shared" si="76"/>
        <v>2.6020000000000001E-3</v>
      </c>
      <c r="AX190" s="215">
        <v>45076</v>
      </c>
      <c r="AY190" s="48">
        <v>2254</v>
      </c>
      <c r="AZ190" s="48">
        <v>344</v>
      </c>
      <c r="BA190" s="48">
        <v>2598</v>
      </c>
      <c r="BB190" s="48">
        <v>86.76</v>
      </c>
      <c r="BC190" s="246">
        <f t="shared" si="75"/>
        <v>2.598E-3</v>
      </c>
      <c r="BE190" s="215">
        <v>45076</v>
      </c>
      <c r="BF190" s="48">
        <v>3730</v>
      </c>
      <c r="BG190" s="48">
        <v>48</v>
      </c>
      <c r="BH190" s="48">
        <v>3778</v>
      </c>
      <c r="BI190" s="48">
        <v>98.73</v>
      </c>
      <c r="BJ190" s="71">
        <f t="shared" si="71"/>
        <v>3.7780000000000001E-3</v>
      </c>
      <c r="BL190" s="215">
        <v>45076</v>
      </c>
      <c r="BM190" s="48">
        <v>9910</v>
      </c>
      <c r="BN190" s="48">
        <v>0</v>
      </c>
      <c r="BO190" s="48">
        <v>9910</v>
      </c>
      <c r="BP190" s="48">
        <v>100</v>
      </c>
      <c r="BQ190" s="71">
        <f t="shared" si="74"/>
        <v>9.9100000000000004E-3</v>
      </c>
      <c r="BR190" s="178"/>
      <c r="BS190" s="71"/>
      <c r="BT190" s="71"/>
      <c r="BU190" s="71"/>
      <c r="BV190" s="71"/>
      <c r="BW190" s="71"/>
      <c r="BX190" s="178"/>
      <c r="BY190" s="178"/>
      <c r="BZ190" s="71"/>
      <c r="CA190" s="48"/>
      <c r="CB190" s="48"/>
      <c r="CC190" s="71"/>
      <c r="CD190" s="178"/>
      <c r="CE190" s="215">
        <v>45076</v>
      </c>
      <c r="CF190" s="1">
        <v>11883886</v>
      </c>
      <c r="CG190" s="1">
        <v>84238</v>
      </c>
      <c r="CH190" s="1">
        <v>11968124</v>
      </c>
      <c r="CI190" s="71">
        <f t="shared" si="77"/>
        <v>99.296146998476956</v>
      </c>
      <c r="CJ190" s="71">
        <f t="shared" ref="CJ190:CJ253" si="80">CH190/1000000</f>
        <v>11.968124</v>
      </c>
      <c r="CL190" s="140">
        <v>44986</v>
      </c>
      <c r="CM190" t="s">
        <v>237</v>
      </c>
      <c r="CN190">
        <v>3918</v>
      </c>
    </row>
    <row r="191" spans="1:92" hidden="1" x14ac:dyDescent="0.25">
      <c r="A191" s="215">
        <v>45077</v>
      </c>
      <c r="B191" s="48">
        <v>5576970</v>
      </c>
      <c r="C191" s="48">
        <v>21594</v>
      </c>
      <c r="D191" s="48">
        <v>5598564</v>
      </c>
      <c r="E191" s="48">
        <v>99.61</v>
      </c>
      <c r="F191" s="71">
        <f t="shared" si="72"/>
        <v>5.5985639999999997</v>
      </c>
      <c r="H191" s="215">
        <v>45077</v>
      </c>
      <c r="I191" s="48">
        <v>1759108</v>
      </c>
      <c r="J191" s="48">
        <v>2628</v>
      </c>
      <c r="K191" s="48">
        <v>1761736</v>
      </c>
      <c r="L191" s="48">
        <v>99.85</v>
      </c>
      <c r="M191" s="71">
        <f t="shared" si="73"/>
        <v>1.761736</v>
      </c>
      <c r="O191" s="215">
        <v>45077</v>
      </c>
      <c r="P191" s="48">
        <v>584838</v>
      </c>
      <c r="Q191" s="48">
        <v>4656</v>
      </c>
      <c r="R191" s="48">
        <v>589494</v>
      </c>
      <c r="S191" s="48">
        <v>99.21</v>
      </c>
      <c r="T191" s="71">
        <f t="shared" si="67"/>
        <v>0.58949399999999996</v>
      </c>
      <c r="V191" s="215">
        <v>45077</v>
      </c>
      <c r="W191" s="48">
        <v>1047762</v>
      </c>
      <c r="X191" s="48">
        <v>216</v>
      </c>
      <c r="Y191" s="48">
        <v>1047978</v>
      </c>
      <c r="Z191" s="48">
        <v>99.98</v>
      </c>
      <c r="AA191" s="71">
        <f t="shared" si="78"/>
        <v>1.0479780000000001</v>
      </c>
      <c r="AC191" s="215">
        <v>45077</v>
      </c>
      <c r="AD191" s="48">
        <v>668290</v>
      </c>
      <c r="AE191" s="48">
        <v>164</v>
      </c>
      <c r="AF191" s="48">
        <v>668454</v>
      </c>
      <c r="AG191" s="48">
        <v>99.98</v>
      </c>
      <c r="AH191" s="71">
        <f t="shared" si="68"/>
        <v>0.66845399999999999</v>
      </c>
      <c r="AJ191" s="215">
        <v>45077</v>
      </c>
      <c r="AK191" s="48">
        <v>18</v>
      </c>
      <c r="AL191" s="48">
        <v>0</v>
      </c>
      <c r="AM191" s="48">
        <v>18</v>
      </c>
      <c r="AN191" s="48">
        <v>100</v>
      </c>
      <c r="AO191" s="246">
        <f t="shared" si="79"/>
        <v>1.8E-5</v>
      </c>
      <c r="AQ191" s="215">
        <v>45077</v>
      </c>
      <c r="AR191" s="48">
        <v>1968</v>
      </c>
      <c r="AS191" s="48">
        <v>2</v>
      </c>
      <c r="AT191" s="48">
        <v>1970</v>
      </c>
      <c r="AU191" s="48">
        <v>99.9</v>
      </c>
      <c r="AV191" s="246">
        <f t="shared" si="76"/>
        <v>1.97E-3</v>
      </c>
      <c r="AX191" s="215">
        <v>45077</v>
      </c>
      <c r="AY191" s="48">
        <v>1654</v>
      </c>
      <c r="AZ191" s="48">
        <v>100</v>
      </c>
      <c r="BA191" s="48">
        <v>1754</v>
      </c>
      <c r="BB191" s="48">
        <v>94.3</v>
      </c>
      <c r="BC191" s="246">
        <f t="shared" si="75"/>
        <v>1.7539999999999999E-3</v>
      </c>
      <c r="BE191" s="215">
        <v>45077</v>
      </c>
      <c r="BF191" s="48">
        <v>3568</v>
      </c>
      <c r="BG191" s="48">
        <v>70</v>
      </c>
      <c r="BH191" s="48">
        <v>3638</v>
      </c>
      <c r="BI191" s="48">
        <v>98.08</v>
      </c>
      <c r="BJ191" s="71">
        <f t="shared" si="71"/>
        <v>3.6380000000000002E-3</v>
      </c>
      <c r="BL191" s="215">
        <v>45077</v>
      </c>
      <c r="BM191" s="48">
        <v>4092</v>
      </c>
      <c r="BN191" s="48">
        <v>0</v>
      </c>
      <c r="BO191" s="48">
        <v>4092</v>
      </c>
      <c r="BP191" s="48">
        <v>100</v>
      </c>
      <c r="BQ191" s="71">
        <f t="shared" si="74"/>
        <v>4.0920000000000002E-3</v>
      </c>
      <c r="BR191" s="178"/>
      <c r="BS191" s="71"/>
      <c r="BT191" s="71"/>
      <c r="BU191" s="71"/>
      <c r="BV191" s="71"/>
      <c r="BW191" s="71"/>
      <c r="BX191" s="178"/>
      <c r="BY191" s="178"/>
      <c r="BZ191" s="71"/>
      <c r="CA191" s="48"/>
      <c r="CB191" s="48"/>
      <c r="CC191" s="71"/>
      <c r="CD191" s="178"/>
      <c r="CE191" s="215">
        <v>45077</v>
      </c>
      <c r="CF191" s="1">
        <v>10991322</v>
      </c>
      <c r="CG191" s="1">
        <v>53852</v>
      </c>
      <c r="CH191" s="1">
        <v>11045174</v>
      </c>
      <c r="CI191" s="71">
        <f t="shared" si="77"/>
        <v>99.512438645149444</v>
      </c>
      <c r="CJ191" s="71">
        <f t="shared" si="80"/>
        <v>11.045173999999999</v>
      </c>
      <c r="CL191" s="140">
        <v>44986</v>
      </c>
      <c r="CM191" t="s">
        <v>239</v>
      </c>
      <c r="CN191">
        <v>3266</v>
      </c>
    </row>
    <row r="192" spans="1:92" hidden="1" x14ac:dyDescent="0.25">
      <c r="A192" s="215">
        <v>45078</v>
      </c>
      <c r="B192" s="48">
        <v>5310518</v>
      </c>
      <c r="C192" s="48">
        <v>2818</v>
      </c>
      <c r="D192" s="48">
        <v>5313336</v>
      </c>
      <c r="E192" s="48">
        <v>99.95</v>
      </c>
      <c r="F192" s="71">
        <f t="shared" si="72"/>
        <v>5.3133359999999996</v>
      </c>
      <c r="H192" s="215">
        <v>45078</v>
      </c>
      <c r="I192" s="48">
        <v>1738130</v>
      </c>
      <c r="J192" s="48">
        <v>2742</v>
      </c>
      <c r="K192" s="48">
        <v>1740872</v>
      </c>
      <c r="L192" s="48">
        <v>99.84</v>
      </c>
      <c r="M192" s="71">
        <f t="shared" si="73"/>
        <v>1.740872</v>
      </c>
      <c r="O192" s="215">
        <v>45078</v>
      </c>
      <c r="P192" s="48">
        <v>583296</v>
      </c>
      <c r="Q192" s="48">
        <v>4586</v>
      </c>
      <c r="R192" s="48">
        <v>587882</v>
      </c>
      <c r="S192" s="48">
        <v>99.22</v>
      </c>
      <c r="T192" s="71">
        <f t="shared" si="67"/>
        <v>0.58788200000000002</v>
      </c>
      <c r="V192" s="215">
        <v>45078</v>
      </c>
      <c r="W192" s="48">
        <v>991106</v>
      </c>
      <c r="X192" s="48">
        <v>158</v>
      </c>
      <c r="Y192" s="48">
        <v>991264</v>
      </c>
      <c r="Z192" s="48">
        <v>99.98</v>
      </c>
      <c r="AA192" s="71">
        <f t="shared" si="78"/>
        <v>0.99126400000000003</v>
      </c>
      <c r="AC192" s="215">
        <v>45078</v>
      </c>
      <c r="AD192" s="48">
        <v>711406</v>
      </c>
      <c r="AE192" s="48">
        <v>10228</v>
      </c>
      <c r="AF192" s="48">
        <v>721634</v>
      </c>
      <c r="AG192" s="48">
        <v>98.58</v>
      </c>
      <c r="AH192" s="71">
        <f t="shared" si="68"/>
        <v>0.721634</v>
      </c>
      <c r="AJ192" s="215">
        <v>45078</v>
      </c>
      <c r="AK192" s="48">
        <v>30</v>
      </c>
      <c r="AL192" s="48">
        <v>0</v>
      </c>
      <c r="AM192" s="48">
        <v>30</v>
      </c>
      <c r="AN192" s="48">
        <v>100</v>
      </c>
      <c r="AO192" s="246">
        <f t="shared" si="79"/>
        <v>3.0000000000000001E-5</v>
      </c>
      <c r="AQ192" s="215">
        <v>45078</v>
      </c>
      <c r="AR192" s="48">
        <v>2050</v>
      </c>
      <c r="AS192" s="48">
        <v>60</v>
      </c>
      <c r="AT192" s="48">
        <v>2110</v>
      </c>
      <c r="AU192" s="48">
        <v>97.16</v>
      </c>
      <c r="AV192" s="246">
        <f t="shared" si="76"/>
        <v>2.1099999999999999E-3</v>
      </c>
      <c r="AX192" s="215">
        <v>45078</v>
      </c>
      <c r="AY192" s="48">
        <v>1426</v>
      </c>
      <c r="AZ192" s="48">
        <v>74</v>
      </c>
      <c r="BA192" s="48">
        <v>1500</v>
      </c>
      <c r="BB192" s="48">
        <v>95.07</v>
      </c>
      <c r="BC192" s="246">
        <f t="shared" si="75"/>
        <v>1.5E-3</v>
      </c>
      <c r="BE192" s="215">
        <v>45078</v>
      </c>
      <c r="BF192" s="48">
        <v>4298</v>
      </c>
      <c r="BG192" s="48">
        <v>74</v>
      </c>
      <c r="BH192" s="48">
        <v>4372</v>
      </c>
      <c r="BI192" s="48">
        <v>98.31</v>
      </c>
      <c r="BJ192" s="71">
        <f t="shared" si="71"/>
        <v>4.372E-3</v>
      </c>
      <c r="BL192" s="215">
        <v>45078</v>
      </c>
      <c r="BM192" s="48">
        <v>7804</v>
      </c>
      <c r="BN192" s="48">
        <v>0</v>
      </c>
      <c r="BO192" s="48">
        <v>7804</v>
      </c>
      <c r="BP192" s="48">
        <v>100</v>
      </c>
      <c r="BQ192" s="71">
        <f t="shared" si="74"/>
        <v>7.8040000000000002E-3</v>
      </c>
      <c r="BR192" s="178"/>
      <c r="BS192" s="71"/>
      <c r="BT192" s="71"/>
      <c r="BU192" s="71"/>
      <c r="BV192" s="71"/>
      <c r="BW192" s="71"/>
      <c r="BX192" s="178"/>
      <c r="BY192" s="178"/>
      <c r="BZ192" s="71"/>
      <c r="CA192" s="48"/>
      <c r="CB192" s="48"/>
      <c r="CC192" s="71"/>
      <c r="CD192" s="178"/>
      <c r="CE192" s="215">
        <v>45078</v>
      </c>
      <c r="CF192" s="1">
        <v>10747858</v>
      </c>
      <c r="CG192" s="1">
        <v>35372</v>
      </c>
      <c r="CH192" s="1">
        <v>10783230</v>
      </c>
      <c r="CI192" s="71">
        <f t="shared" si="77"/>
        <v>99.67197212708993</v>
      </c>
      <c r="CJ192" s="71">
        <f t="shared" si="80"/>
        <v>10.78323</v>
      </c>
      <c r="CL192" s="140">
        <v>44986</v>
      </c>
      <c r="CM192" t="s">
        <v>244</v>
      </c>
      <c r="CN192">
        <v>568</v>
      </c>
    </row>
    <row r="193" spans="1:92" hidden="1" x14ac:dyDescent="0.25">
      <c r="A193" s="215">
        <v>45079</v>
      </c>
      <c r="B193" s="48">
        <v>5774664</v>
      </c>
      <c r="C193" s="48">
        <v>2456</v>
      </c>
      <c r="D193" s="48">
        <v>5777120</v>
      </c>
      <c r="E193" s="48">
        <v>99.96</v>
      </c>
      <c r="F193" s="71">
        <f t="shared" si="72"/>
        <v>5.77712</v>
      </c>
      <c r="H193" s="215">
        <v>45079</v>
      </c>
      <c r="I193" s="48">
        <v>2070592</v>
      </c>
      <c r="J193" s="48">
        <v>7348</v>
      </c>
      <c r="K193" s="48">
        <v>2077940</v>
      </c>
      <c r="L193" s="48">
        <v>99.65</v>
      </c>
      <c r="M193" s="71">
        <f t="shared" si="73"/>
        <v>2.0779399999999999</v>
      </c>
      <c r="O193" s="215">
        <v>45079</v>
      </c>
      <c r="P193" s="48">
        <v>606300</v>
      </c>
      <c r="Q193" s="48">
        <v>4986</v>
      </c>
      <c r="R193" s="48">
        <v>611286</v>
      </c>
      <c r="S193" s="48">
        <v>99.18</v>
      </c>
      <c r="T193" s="71">
        <f t="shared" si="67"/>
        <v>0.611286</v>
      </c>
      <c r="V193" s="215">
        <v>45079</v>
      </c>
      <c r="W193" s="48">
        <v>1046252</v>
      </c>
      <c r="X193" s="48">
        <v>182</v>
      </c>
      <c r="Y193" s="48">
        <v>1046434</v>
      </c>
      <c r="Z193" s="48">
        <v>99.98</v>
      </c>
      <c r="AA193" s="71">
        <f t="shared" si="78"/>
        <v>1.0464340000000001</v>
      </c>
      <c r="AC193" s="215">
        <v>45079</v>
      </c>
      <c r="AD193" s="48">
        <v>716570</v>
      </c>
      <c r="AE193" s="48">
        <v>64</v>
      </c>
      <c r="AF193" s="48">
        <v>716634</v>
      </c>
      <c r="AG193" s="48">
        <v>99.99</v>
      </c>
      <c r="AH193" s="71">
        <f t="shared" si="68"/>
        <v>0.71663399999999999</v>
      </c>
      <c r="AJ193" s="215">
        <v>45079</v>
      </c>
      <c r="AK193" s="48">
        <v>82</v>
      </c>
      <c r="AL193" s="48">
        <v>0</v>
      </c>
      <c r="AM193" s="48">
        <v>82</v>
      </c>
      <c r="AN193" s="48">
        <v>100</v>
      </c>
      <c r="AO193" s="246">
        <f t="shared" si="79"/>
        <v>8.2000000000000001E-5</v>
      </c>
      <c r="AQ193" s="215">
        <v>45079</v>
      </c>
      <c r="AR193" s="48">
        <v>2338</v>
      </c>
      <c r="AS193" s="48">
        <v>16</v>
      </c>
      <c r="AT193" s="48">
        <v>2354</v>
      </c>
      <c r="AU193" s="48">
        <v>99.32</v>
      </c>
      <c r="AV193" s="246">
        <f t="shared" si="76"/>
        <v>2.3540000000000002E-3</v>
      </c>
      <c r="AX193" s="215">
        <v>45079</v>
      </c>
      <c r="AY193" s="48">
        <v>1506</v>
      </c>
      <c r="AZ193" s="48">
        <v>30</v>
      </c>
      <c r="BA193" s="48">
        <v>1536</v>
      </c>
      <c r="BB193" s="48">
        <v>98.05</v>
      </c>
      <c r="BC193" s="246">
        <f t="shared" si="75"/>
        <v>1.536E-3</v>
      </c>
      <c r="BE193" s="215">
        <v>45079</v>
      </c>
      <c r="BF193" s="48">
        <v>3450</v>
      </c>
      <c r="BG193" s="48">
        <v>68</v>
      </c>
      <c r="BH193" s="48">
        <v>3518</v>
      </c>
      <c r="BI193" s="48">
        <v>98.07</v>
      </c>
      <c r="BJ193" s="71">
        <f t="shared" si="71"/>
        <v>3.5179999999999999E-3</v>
      </c>
      <c r="BL193" s="215">
        <v>45079</v>
      </c>
      <c r="BM193" s="48">
        <v>8226</v>
      </c>
      <c r="BN193" s="48">
        <v>0</v>
      </c>
      <c r="BO193" s="48">
        <v>8226</v>
      </c>
      <c r="BP193" s="48">
        <v>100</v>
      </c>
      <c r="BQ193" s="71">
        <f t="shared" si="74"/>
        <v>8.2260000000000007E-3</v>
      </c>
      <c r="BR193" s="178"/>
      <c r="BS193" s="71"/>
      <c r="BT193" s="71"/>
      <c r="BU193" s="71"/>
      <c r="BV193" s="71"/>
      <c r="BW193" s="71"/>
      <c r="BX193" s="178"/>
      <c r="BY193" s="178"/>
      <c r="BZ193" s="71"/>
      <c r="CA193" s="48"/>
      <c r="CB193" s="48"/>
      <c r="CC193" s="71"/>
      <c r="CD193" s="178"/>
      <c r="CE193" s="215">
        <v>45079</v>
      </c>
      <c r="CF193" s="1">
        <v>11646602</v>
      </c>
      <c r="CG193" s="1">
        <v>23092</v>
      </c>
      <c r="CH193" s="1">
        <v>11669694</v>
      </c>
      <c r="CI193" s="71">
        <f t="shared" si="77"/>
        <v>99.802119918482859</v>
      </c>
      <c r="CJ193" s="71">
        <f t="shared" si="80"/>
        <v>11.669694</v>
      </c>
      <c r="CL193" s="140">
        <v>44987</v>
      </c>
      <c r="CM193" t="s">
        <v>245</v>
      </c>
      <c r="CN193">
        <v>13540</v>
      </c>
    </row>
    <row r="194" spans="1:92" hidden="1" x14ac:dyDescent="0.25">
      <c r="A194" s="215">
        <v>45080</v>
      </c>
      <c r="B194" s="48">
        <v>5803578</v>
      </c>
      <c r="C194" s="48">
        <v>3818</v>
      </c>
      <c r="D194" s="48">
        <v>5807396</v>
      </c>
      <c r="E194" s="48">
        <v>99.93</v>
      </c>
      <c r="F194" s="71">
        <f t="shared" si="72"/>
        <v>5.8073959999999998</v>
      </c>
      <c r="H194" s="215">
        <v>45080</v>
      </c>
      <c r="I194" s="48">
        <v>1739280</v>
      </c>
      <c r="J194" s="48">
        <v>2566</v>
      </c>
      <c r="K194" s="48">
        <v>1741846</v>
      </c>
      <c r="L194" s="48">
        <v>99.85</v>
      </c>
      <c r="M194" s="71">
        <f t="shared" si="73"/>
        <v>1.741846</v>
      </c>
      <c r="O194" s="215">
        <v>45080</v>
      </c>
      <c r="P194" s="48">
        <v>582524</v>
      </c>
      <c r="Q194" s="48">
        <v>4550</v>
      </c>
      <c r="R194" s="48">
        <v>587074</v>
      </c>
      <c r="S194" s="48">
        <v>99.22</v>
      </c>
      <c r="T194" s="71">
        <f t="shared" ref="T194:T243" si="81">R194/1000000</f>
        <v>0.58707399999999998</v>
      </c>
      <c r="V194" s="215">
        <v>45080</v>
      </c>
      <c r="W194" s="48">
        <v>1090194</v>
      </c>
      <c r="X194" s="48">
        <v>214</v>
      </c>
      <c r="Y194" s="48">
        <v>1090408</v>
      </c>
      <c r="Z194" s="48">
        <v>99.98</v>
      </c>
      <c r="AA194" s="71">
        <f t="shared" si="78"/>
        <v>1.090408</v>
      </c>
      <c r="AC194" s="215">
        <v>45080</v>
      </c>
      <c r="AD194" s="48">
        <v>715560</v>
      </c>
      <c r="AE194" s="48">
        <v>62</v>
      </c>
      <c r="AF194" s="48">
        <v>715622</v>
      </c>
      <c r="AG194" s="48">
        <v>99.99</v>
      </c>
      <c r="AH194" s="71">
        <f t="shared" ref="AH194:AH257" si="82">AF194/1000000</f>
        <v>0.71562199999999998</v>
      </c>
      <c r="AJ194" s="215">
        <v>45080</v>
      </c>
      <c r="AK194" s="48">
        <v>28</v>
      </c>
      <c r="AL194" s="48">
        <v>0</v>
      </c>
      <c r="AM194" s="48">
        <v>28</v>
      </c>
      <c r="AN194" s="48">
        <v>100</v>
      </c>
      <c r="AO194" s="246">
        <f t="shared" si="79"/>
        <v>2.8E-5</v>
      </c>
      <c r="AQ194" s="215">
        <v>45080</v>
      </c>
      <c r="AR194" s="48">
        <v>1344</v>
      </c>
      <c r="AS194" s="48">
        <v>4</v>
      </c>
      <c r="AT194" s="48">
        <v>1348</v>
      </c>
      <c r="AU194" s="48">
        <v>99.7</v>
      </c>
      <c r="AV194" s="246">
        <f t="shared" si="76"/>
        <v>1.348E-3</v>
      </c>
      <c r="AX194" s="215">
        <v>45080</v>
      </c>
      <c r="AY194" s="48">
        <v>1136</v>
      </c>
      <c r="AZ194" s="48">
        <v>32</v>
      </c>
      <c r="BA194" s="48">
        <v>1168</v>
      </c>
      <c r="BB194" s="48">
        <v>97.26</v>
      </c>
      <c r="BC194" s="246">
        <f t="shared" si="75"/>
        <v>1.168E-3</v>
      </c>
      <c r="BE194" s="215">
        <v>45080</v>
      </c>
      <c r="BF194" s="48">
        <v>2890</v>
      </c>
      <c r="BG194" s="48">
        <v>44</v>
      </c>
      <c r="BH194" s="48">
        <v>2934</v>
      </c>
      <c r="BI194" s="48">
        <v>98.5</v>
      </c>
      <c r="BJ194" s="71">
        <f t="shared" ref="BJ194:BJ257" si="83">BH194/1000000</f>
        <v>2.934E-3</v>
      </c>
      <c r="BL194" s="215">
        <v>45080</v>
      </c>
      <c r="BM194" s="48">
        <v>5712</v>
      </c>
      <c r="BN194" s="48">
        <v>0</v>
      </c>
      <c r="BO194" s="48">
        <v>5712</v>
      </c>
      <c r="BP194" s="48">
        <v>100</v>
      </c>
      <c r="BQ194" s="71">
        <f t="shared" si="74"/>
        <v>5.7120000000000001E-3</v>
      </c>
      <c r="BR194" s="178"/>
      <c r="BS194" s="71"/>
      <c r="BT194" s="71"/>
      <c r="BU194" s="71"/>
      <c r="BV194" s="71"/>
      <c r="BW194" s="71"/>
      <c r="BX194" s="178"/>
      <c r="BY194" s="178"/>
      <c r="BZ194" s="71"/>
      <c r="CA194" s="48"/>
      <c r="CB194" s="48"/>
      <c r="CC194" s="71"/>
      <c r="CD194" s="178"/>
      <c r="CE194" s="215">
        <v>45080</v>
      </c>
      <c r="CF194" s="1">
        <v>11357810</v>
      </c>
      <c r="CG194" s="1">
        <v>23816</v>
      </c>
      <c r="CH194" s="1">
        <v>11381626</v>
      </c>
      <c r="CI194" s="71">
        <f t="shared" si="77"/>
        <v>99.790750460435092</v>
      </c>
      <c r="CJ194" s="71">
        <f t="shared" si="80"/>
        <v>11.381626000000001</v>
      </c>
      <c r="CL194" s="140">
        <v>44987</v>
      </c>
      <c r="CM194" t="s">
        <v>240</v>
      </c>
      <c r="CN194">
        <v>5096</v>
      </c>
    </row>
    <row r="195" spans="1:92" hidden="1" x14ac:dyDescent="0.25">
      <c r="A195" s="215">
        <v>45081</v>
      </c>
      <c r="B195" s="48">
        <v>4937398</v>
      </c>
      <c r="C195" s="48">
        <v>1762</v>
      </c>
      <c r="D195" s="48">
        <v>4939160</v>
      </c>
      <c r="E195" s="48">
        <v>99.96</v>
      </c>
      <c r="F195" s="71">
        <f t="shared" si="72"/>
        <v>4.9391600000000002</v>
      </c>
      <c r="H195" s="215">
        <v>45081</v>
      </c>
      <c r="I195" s="48">
        <v>2074510</v>
      </c>
      <c r="J195" s="48">
        <v>3758</v>
      </c>
      <c r="K195" s="48">
        <v>2078268</v>
      </c>
      <c r="L195" s="48">
        <v>99.82</v>
      </c>
      <c r="M195" s="71">
        <f t="shared" si="73"/>
        <v>2.078268</v>
      </c>
      <c r="O195" s="215">
        <v>45081</v>
      </c>
      <c r="P195" s="48">
        <v>597972</v>
      </c>
      <c r="Q195" s="48">
        <v>4630</v>
      </c>
      <c r="R195" s="48">
        <v>602602</v>
      </c>
      <c r="S195" s="48">
        <v>99.23</v>
      </c>
      <c r="T195" s="71">
        <f t="shared" si="81"/>
        <v>0.60260199999999997</v>
      </c>
      <c r="V195" s="215">
        <v>45081</v>
      </c>
      <c r="W195" s="48">
        <v>1026882</v>
      </c>
      <c r="X195" s="48">
        <v>208</v>
      </c>
      <c r="Y195" s="48">
        <v>1027090</v>
      </c>
      <c r="Z195" s="48">
        <v>99.98</v>
      </c>
      <c r="AA195" s="71">
        <f t="shared" si="78"/>
        <v>1.0270900000000001</v>
      </c>
      <c r="AC195" s="215">
        <v>45081</v>
      </c>
      <c r="AD195" s="48">
        <v>656982</v>
      </c>
      <c r="AE195" s="48">
        <v>56</v>
      </c>
      <c r="AF195" s="48">
        <v>657038</v>
      </c>
      <c r="AG195" s="48">
        <v>99.99</v>
      </c>
      <c r="AH195" s="71">
        <f t="shared" si="82"/>
        <v>0.65703800000000001</v>
      </c>
      <c r="AJ195" s="215">
        <v>45081</v>
      </c>
      <c r="AK195" s="48">
        <v>24</v>
      </c>
      <c r="AL195" s="48">
        <v>0</v>
      </c>
      <c r="AM195" s="48">
        <v>24</v>
      </c>
      <c r="AN195" s="48">
        <v>100</v>
      </c>
      <c r="AO195" s="246">
        <f t="shared" si="79"/>
        <v>2.4000000000000001E-5</v>
      </c>
      <c r="AQ195" s="215">
        <v>45081</v>
      </c>
      <c r="AR195" s="48">
        <v>1322</v>
      </c>
      <c r="AS195" s="48">
        <v>0</v>
      </c>
      <c r="AT195" s="48">
        <v>1322</v>
      </c>
      <c r="AU195" s="48">
        <v>100</v>
      </c>
      <c r="AV195" s="246">
        <f t="shared" si="76"/>
        <v>1.322E-3</v>
      </c>
      <c r="AX195" s="215">
        <v>45081</v>
      </c>
      <c r="AY195" s="48">
        <v>0</v>
      </c>
      <c r="AZ195" s="48">
        <v>130</v>
      </c>
      <c r="BA195" s="48">
        <v>130</v>
      </c>
      <c r="BB195" s="48">
        <v>0</v>
      </c>
      <c r="BC195" s="246">
        <f t="shared" si="75"/>
        <v>1.2999999999999999E-4</v>
      </c>
      <c r="BE195" s="215">
        <v>45081</v>
      </c>
      <c r="BF195" s="48">
        <v>2962</v>
      </c>
      <c r="BG195" s="48">
        <v>24</v>
      </c>
      <c r="BH195" s="48">
        <v>2986</v>
      </c>
      <c r="BI195" s="48">
        <v>99.2</v>
      </c>
      <c r="BJ195" s="71">
        <f t="shared" si="83"/>
        <v>2.9859999999999999E-3</v>
      </c>
      <c r="BL195" s="215">
        <v>45081</v>
      </c>
      <c r="BM195" s="48">
        <v>4808</v>
      </c>
      <c r="BN195" s="48">
        <v>0</v>
      </c>
      <c r="BO195" s="48">
        <v>4808</v>
      </c>
      <c r="BP195" s="48">
        <v>100</v>
      </c>
      <c r="BQ195" s="71">
        <f t="shared" si="74"/>
        <v>4.8079999999999998E-3</v>
      </c>
      <c r="BR195" s="178"/>
      <c r="BS195" s="71"/>
      <c r="BT195" s="71"/>
      <c r="BU195" s="71"/>
      <c r="BV195" s="71"/>
      <c r="BW195" s="71"/>
      <c r="BX195" s="178"/>
      <c r="BY195" s="178"/>
      <c r="BZ195" s="71"/>
      <c r="CA195" s="48"/>
      <c r="CB195" s="48"/>
      <c r="CC195" s="71"/>
      <c r="CD195" s="178"/>
      <c r="CE195" s="215">
        <v>45081</v>
      </c>
      <c r="CF195" s="1">
        <v>10597994</v>
      </c>
      <c r="CG195" s="1">
        <v>15202</v>
      </c>
      <c r="CH195" s="1">
        <v>10613196</v>
      </c>
      <c r="CI195" s="71">
        <f t="shared" si="77"/>
        <v>99.856763221936163</v>
      </c>
      <c r="CJ195" s="71">
        <f t="shared" si="80"/>
        <v>10.613196</v>
      </c>
      <c r="CL195" s="140">
        <v>44987</v>
      </c>
      <c r="CM195" t="s">
        <v>239</v>
      </c>
      <c r="CN195">
        <v>4466</v>
      </c>
    </row>
    <row r="196" spans="1:92" hidden="1" x14ac:dyDescent="0.25">
      <c r="A196" s="215">
        <v>45082</v>
      </c>
      <c r="B196" s="48">
        <v>5966512</v>
      </c>
      <c r="C196" s="48">
        <v>2906</v>
      </c>
      <c r="D196" s="48">
        <v>5969418</v>
      </c>
      <c r="E196" s="48">
        <v>99.95</v>
      </c>
      <c r="F196" s="71">
        <f t="shared" si="72"/>
        <v>5.9694180000000001</v>
      </c>
      <c r="H196" s="215">
        <v>45082</v>
      </c>
      <c r="I196" s="48">
        <v>1862058</v>
      </c>
      <c r="J196" s="48">
        <v>2510</v>
      </c>
      <c r="K196" s="48">
        <v>1864568</v>
      </c>
      <c r="L196" s="48">
        <v>99.87</v>
      </c>
      <c r="M196" s="71">
        <f t="shared" si="73"/>
        <v>1.864568</v>
      </c>
      <c r="O196" s="215">
        <v>45082</v>
      </c>
      <c r="P196" s="48">
        <v>589556</v>
      </c>
      <c r="Q196" s="48">
        <v>4684</v>
      </c>
      <c r="R196" s="48">
        <v>594240</v>
      </c>
      <c r="S196" s="48">
        <v>99.21</v>
      </c>
      <c r="T196" s="71">
        <f t="shared" si="81"/>
        <v>0.59423999999999999</v>
      </c>
      <c r="V196" s="215">
        <v>45082</v>
      </c>
      <c r="W196" s="48">
        <v>1074232</v>
      </c>
      <c r="X196" s="48">
        <v>176</v>
      </c>
      <c r="Y196" s="48">
        <v>1074408</v>
      </c>
      <c r="Z196" s="48">
        <v>99.98</v>
      </c>
      <c r="AA196" s="71">
        <f t="shared" si="78"/>
        <v>1.074408</v>
      </c>
      <c r="AC196" s="215">
        <v>45082</v>
      </c>
      <c r="AD196" s="48">
        <v>709302</v>
      </c>
      <c r="AE196" s="48">
        <v>112</v>
      </c>
      <c r="AF196" s="48">
        <v>709414</v>
      </c>
      <c r="AG196" s="48">
        <v>99.98</v>
      </c>
      <c r="AH196" s="71">
        <f t="shared" si="82"/>
        <v>0.70941399999999999</v>
      </c>
      <c r="AJ196" s="215">
        <v>45082</v>
      </c>
      <c r="AK196" s="48">
        <v>76</v>
      </c>
      <c r="AL196" s="48">
        <v>0</v>
      </c>
      <c r="AM196" s="48">
        <v>76</v>
      </c>
      <c r="AN196" s="48">
        <v>100</v>
      </c>
      <c r="AO196" s="246">
        <f t="shared" si="79"/>
        <v>7.6000000000000004E-5</v>
      </c>
      <c r="AQ196" s="215">
        <v>45082</v>
      </c>
      <c r="AR196" s="48">
        <v>2274</v>
      </c>
      <c r="AS196" s="48">
        <v>66</v>
      </c>
      <c r="AT196" s="48">
        <v>2340</v>
      </c>
      <c r="AU196" s="48">
        <v>97.18</v>
      </c>
      <c r="AV196" s="246">
        <f t="shared" si="76"/>
        <v>2.3400000000000001E-3</v>
      </c>
      <c r="AX196" s="215">
        <v>45082</v>
      </c>
      <c r="AY196" s="48">
        <v>1800</v>
      </c>
      <c r="AZ196" s="48">
        <v>50</v>
      </c>
      <c r="BA196" s="48">
        <v>1850</v>
      </c>
      <c r="BB196" s="48">
        <v>97.3</v>
      </c>
      <c r="BC196" s="246">
        <f t="shared" si="75"/>
        <v>1.8500000000000001E-3</v>
      </c>
      <c r="BE196" s="215">
        <v>45082</v>
      </c>
      <c r="BF196" s="48">
        <v>3274</v>
      </c>
      <c r="BG196" s="48">
        <v>56</v>
      </c>
      <c r="BH196" s="48">
        <v>3330</v>
      </c>
      <c r="BI196" s="48">
        <v>98.32</v>
      </c>
      <c r="BJ196" s="71">
        <f t="shared" si="83"/>
        <v>3.3300000000000001E-3</v>
      </c>
      <c r="BL196" s="215">
        <v>45082</v>
      </c>
      <c r="BM196" s="48">
        <v>3154</v>
      </c>
      <c r="BN196" s="48">
        <v>0</v>
      </c>
      <c r="BO196" s="48">
        <v>3154</v>
      </c>
      <c r="BP196" s="48">
        <v>100</v>
      </c>
      <c r="BQ196" s="71">
        <f t="shared" si="74"/>
        <v>3.1540000000000001E-3</v>
      </c>
      <c r="BR196" s="178"/>
      <c r="BS196" s="71"/>
      <c r="BT196" s="71"/>
      <c r="BU196" s="71"/>
      <c r="BV196" s="71"/>
      <c r="BW196" s="71"/>
      <c r="BX196" s="178"/>
      <c r="BY196" s="178"/>
      <c r="BZ196" s="71"/>
      <c r="CA196" s="48"/>
      <c r="CB196" s="48"/>
      <c r="CC196" s="71"/>
      <c r="CD196" s="178"/>
      <c r="CE196" s="215">
        <v>45082</v>
      </c>
      <c r="CF196" s="1">
        <v>11620634</v>
      </c>
      <c r="CG196" s="1">
        <v>27986</v>
      </c>
      <c r="CH196" s="1">
        <v>11648620</v>
      </c>
      <c r="CI196" s="71">
        <f t="shared" si="77"/>
        <v>99.759748365042384</v>
      </c>
      <c r="CJ196" s="71">
        <f t="shared" si="80"/>
        <v>11.648619999999999</v>
      </c>
      <c r="CL196" s="140">
        <v>44987</v>
      </c>
      <c r="CM196" t="s">
        <v>237</v>
      </c>
      <c r="CN196">
        <v>2040</v>
      </c>
    </row>
    <row r="197" spans="1:92" hidden="1" x14ac:dyDescent="0.25">
      <c r="A197" s="215">
        <v>45083</v>
      </c>
      <c r="B197" s="48">
        <v>6029040</v>
      </c>
      <c r="C197" s="48">
        <v>7674</v>
      </c>
      <c r="D197" s="48">
        <v>6036714</v>
      </c>
      <c r="E197" s="48">
        <v>99.87</v>
      </c>
      <c r="F197" s="71">
        <f t="shared" si="72"/>
        <v>6.0367139999999999</v>
      </c>
      <c r="H197" s="215">
        <v>45083</v>
      </c>
      <c r="I197" s="48">
        <v>2145786</v>
      </c>
      <c r="J197" s="48">
        <v>3048</v>
      </c>
      <c r="K197" s="48">
        <v>2148834</v>
      </c>
      <c r="L197" s="48">
        <v>99.86</v>
      </c>
      <c r="M197" s="71">
        <f t="shared" si="73"/>
        <v>2.1488339999999999</v>
      </c>
      <c r="O197" s="215">
        <v>45083</v>
      </c>
      <c r="P197" s="48">
        <v>629256</v>
      </c>
      <c r="Q197" s="48">
        <v>6286</v>
      </c>
      <c r="R197" s="48">
        <v>635542</v>
      </c>
      <c r="S197" s="48">
        <v>99.01</v>
      </c>
      <c r="T197" s="71">
        <f t="shared" si="81"/>
        <v>0.63554200000000005</v>
      </c>
      <c r="V197" s="215">
        <v>45083</v>
      </c>
      <c r="W197" s="48">
        <v>1067112</v>
      </c>
      <c r="X197" s="48">
        <v>188</v>
      </c>
      <c r="Y197" s="48">
        <v>1067300</v>
      </c>
      <c r="Z197" s="48">
        <v>99.98</v>
      </c>
      <c r="AA197" s="71">
        <f t="shared" si="78"/>
        <v>1.0672999999999999</v>
      </c>
      <c r="AC197" s="215">
        <v>45083</v>
      </c>
      <c r="AD197" s="48">
        <v>750562</v>
      </c>
      <c r="AE197" s="48">
        <v>58</v>
      </c>
      <c r="AF197" s="48">
        <v>750620</v>
      </c>
      <c r="AG197" s="48">
        <v>99.99</v>
      </c>
      <c r="AH197" s="71">
        <f t="shared" si="82"/>
        <v>0.75061999999999995</v>
      </c>
      <c r="AJ197" s="215">
        <v>45083</v>
      </c>
      <c r="AK197" s="48">
        <v>52</v>
      </c>
      <c r="AL197" s="48">
        <v>0</v>
      </c>
      <c r="AM197" s="48">
        <v>52</v>
      </c>
      <c r="AN197" s="48">
        <v>100</v>
      </c>
      <c r="AO197" s="246">
        <f t="shared" si="79"/>
        <v>5.1999999999999997E-5</v>
      </c>
      <c r="AQ197" s="215">
        <v>45083</v>
      </c>
      <c r="AR197" s="48">
        <v>2646</v>
      </c>
      <c r="AS197" s="48">
        <v>28</v>
      </c>
      <c r="AT197" s="48">
        <v>2674</v>
      </c>
      <c r="AU197" s="48">
        <v>98.95</v>
      </c>
      <c r="AV197" s="246">
        <f t="shared" si="76"/>
        <v>2.6740000000000002E-3</v>
      </c>
      <c r="AX197" s="215">
        <v>45083</v>
      </c>
      <c r="AY197" s="48">
        <v>1484</v>
      </c>
      <c r="AZ197" s="48">
        <v>30</v>
      </c>
      <c r="BA197" s="48">
        <v>1514</v>
      </c>
      <c r="BB197" s="48">
        <v>98.02</v>
      </c>
      <c r="BC197" s="246">
        <f t="shared" si="75"/>
        <v>1.5139999999999999E-3</v>
      </c>
      <c r="BE197" s="215">
        <v>45083</v>
      </c>
      <c r="BF197" s="48">
        <v>3564</v>
      </c>
      <c r="BG197" s="48">
        <v>62</v>
      </c>
      <c r="BH197" s="48">
        <v>3626</v>
      </c>
      <c r="BI197" s="48">
        <v>98.29</v>
      </c>
      <c r="BJ197" s="71">
        <f t="shared" si="83"/>
        <v>3.6259999999999999E-3</v>
      </c>
      <c r="BL197" s="215">
        <v>45083</v>
      </c>
      <c r="BM197" s="48">
        <v>4682</v>
      </c>
      <c r="BN197" s="48">
        <v>0</v>
      </c>
      <c r="BO197" s="48">
        <v>4682</v>
      </c>
      <c r="BP197" s="48">
        <v>100</v>
      </c>
      <c r="BQ197" s="71">
        <f t="shared" si="74"/>
        <v>4.6820000000000004E-3</v>
      </c>
      <c r="BR197" s="178"/>
      <c r="BS197" s="71"/>
      <c r="BT197" s="71"/>
      <c r="BU197" s="71"/>
      <c r="BV197" s="71"/>
      <c r="BW197" s="71"/>
      <c r="BX197" s="178"/>
      <c r="BY197" s="178"/>
      <c r="BZ197" s="71"/>
      <c r="CA197" s="48"/>
      <c r="CB197" s="48"/>
      <c r="CC197" s="71"/>
      <c r="CD197" s="178"/>
      <c r="CE197" s="215">
        <v>45083</v>
      </c>
      <c r="CF197" s="1">
        <v>12003602</v>
      </c>
      <c r="CG197" s="1">
        <v>28096</v>
      </c>
      <c r="CH197" s="1">
        <v>12031698</v>
      </c>
      <c r="CI197" s="71">
        <f t="shared" si="77"/>
        <v>99.766483500500101</v>
      </c>
      <c r="CJ197" s="71">
        <f t="shared" si="80"/>
        <v>12.031698</v>
      </c>
      <c r="CL197" s="140">
        <v>44987</v>
      </c>
      <c r="CM197" t="s">
        <v>243</v>
      </c>
      <c r="CN197">
        <v>948</v>
      </c>
    </row>
    <row r="198" spans="1:92" hidden="1" x14ac:dyDescent="0.25">
      <c r="A198" s="215">
        <v>45084</v>
      </c>
      <c r="B198" s="48">
        <v>5563074</v>
      </c>
      <c r="C198" s="48">
        <v>8820</v>
      </c>
      <c r="D198" s="48">
        <v>5571894</v>
      </c>
      <c r="E198" s="48">
        <v>99.84</v>
      </c>
      <c r="F198" s="71">
        <f t="shared" si="72"/>
        <v>5.5718940000000003</v>
      </c>
      <c r="H198" s="215">
        <v>45084</v>
      </c>
      <c r="I198" s="48">
        <v>1673760</v>
      </c>
      <c r="J198" s="48">
        <v>2456</v>
      </c>
      <c r="K198" s="48">
        <v>1676216</v>
      </c>
      <c r="L198" s="48">
        <v>99.85</v>
      </c>
      <c r="M198" s="71">
        <f t="shared" si="73"/>
        <v>1.6762159999999999</v>
      </c>
      <c r="O198" s="215">
        <v>45084</v>
      </c>
      <c r="P198" s="48">
        <v>557006</v>
      </c>
      <c r="Q198" s="48">
        <v>3848</v>
      </c>
      <c r="R198" s="48">
        <v>560854</v>
      </c>
      <c r="S198" s="48">
        <v>99.31</v>
      </c>
      <c r="T198" s="71">
        <f t="shared" si="81"/>
        <v>0.56085399999999996</v>
      </c>
      <c r="V198" s="215">
        <v>45084</v>
      </c>
      <c r="W198" s="48">
        <v>989998</v>
      </c>
      <c r="X198" s="48">
        <v>180</v>
      </c>
      <c r="Y198" s="48">
        <v>990178</v>
      </c>
      <c r="Z198" s="48">
        <v>99.98</v>
      </c>
      <c r="AA198" s="71">
        <f t="shared" si="78"/>
        <v>0.990178</v>
      </c>
      <c r="AC198" s="215">
        <v>45084</v>
      </c>
      <c r="AD198" s="48">
        <v>675974</v>
      </c>
      <c r="AE198" s="48">
        <v>98</v>
      </c>
      <c r="AF198" s="48">
        <v>676072</v>
      </c>
      <c r="AG198" s="48">
        <v>99.99</v>
      </c>
      <c r="AH198" s="71">
        <f t="shared" si="82"/>
        <v>0.67607200000000001</v>
      </c>
      <c r="AJ198" s="215">
        <v>45084</v>
      </c>
      <c r="AK198" s="48">
        <v>58</v>
      </c>
      <c r="AL198" s="48">
        <v>0</v>
      </c>
      <c r="AM198" s="48">
        <v>58</v>
      </c>
      <c r="AN198" s="48">
        <v>100</v>
      </c>
      <c r="AO198" s="246">
        <f t="shared" si="79"/>
        <v>5.8E-5</v>
      </c>
      <c r="AQ198" s="215">
        <v>45084</v>
      </c>
      <c r="AR198" s="48">
        <v>2498</v>
      </c>
      <c r="AS198" s="48">
        <v>10</v>
      </c>
      <c r="AT198" s="48">
        <v>2508</v>
      </c>
      <c r="AU198" s="48">
        <v>99.6</v>
      </c>
      <c r="AV198" s="246">
        <f t="shared" si="76"/>
        <v>2.5079999999999998E-3</v>
      </c>
      <c r="AX198" s="215">
        <v>45084</v>
      </c>
      <c r="AY198" s="48">
        <v>1428</v>
      </c>
      <c r="AZ198" s="48">
        <v>150</v>
      </c>
      <c r="BA198" s="48">
        <v>1578</v>
      </c>
      <c r="BB198" s="48">
        <v>90.49</v>
      </c>
      <c r="BC198" s="246">
        <f t="shared" si="75"/>
        <v>1.578E-3</v>
      </c>
      <c r="BE198" s="215">
        <v>45084</v>
      </c>
      <c r="BF198" s="48">
        <v>3236</v>
      </c>
      <c r="BG198" s="48">
        <v>56</v>
      </c>
      <c r="BH198" s="48">
        <v>3292</v>
      </c>
      <c r="BI198" s="48">
        <v>98.3</v>
      </c>
      <c r="BJ198" s="71">
        <f t="shared" si="83"/>
        <v>3.2919999999999998E-3</v>
      </c>
      <c r="BL198" s="215">
        <v>45084</v>
      </c>
      <c r="BM198" s="48">
        <v>3692</v>
      </c>
      <c r="BN198" s="48">
        <v>0</v>
      </c>
      <c r="BO198" s="48">
        <v>3692</v>
      </c>
      <c r="BP198" s="48">
        <v>100</v>
      </c>
      <c r="BQ198" s="71">
        <f t="shared" si="74"/>
        <v>3.692E-3</v>
      </c>
      <c r="BR198" s="178"/>
      <c r="BS198" s="71"/>
      <c r="BT198" s="71"/>
      <c r="BU198" s="71"/>
      <c r="BV198" s="71"/>
      <c r="BW198" s="71"/>
      <c r="BX198" s="178"/>
      <c r="BY198" s="178"/>
      <c r="BZ198" s="71"/>
      <c r="CA198" s="48"/>
      <c r="CB198" s="48"/>
      <c r="CC198" s="71"/>
      <c r="CD198" s="178"/>
      <c r="CE198" s="215">
        <v>45084</v>
      </c>
      <c r="CF198" s="1">
        <v>10733072</v>
      </c>
      <c r="CG198" s="1">
        <v>26806</v>
      </c>
      <c r="CH198" s="1">
        <v>10759878</v>
      </c>
      <c r="CI198" s="71">
        <f t="shared" si="77"/>
        <v>99.750870781248636</v>
      </c>
      <c r="CJ198" s="71">
        <f t="shared" si="80"/>
        <v>10.759878</v>
      </c>
      <c r="CL198" s="140">
        <v>44990</v>
      </c>
      <c r="CM198" t="s">
        <v>240</v>
      </c>
      <c r="CN198">
        <v>10244</v>
      </c>
    </row>
    <row r="199" spans="1:92" hidden="1" x14ac:dyDescent="0.25">
      <c r="A199" s="215">
        <v>45085</v>
      </c>
      <c r="B199" s="48">
        <v>5733790</v>
      </c>
      <c r="C199" s="48">
        <v>27422</v>
      </c>
      <c r="D199" s="48">
        <v>5761212</v>
      </c>
      <c r="E199" s="48">
        <v>99.52</v>
      </c>
      <c r="F199" s="71">
        <f t="shared" si="72"/>
        <v>5.7612120000000004</v>
      </c>
      <c r="H199" s="215">
        <v>45085</v>
      </c>
      <c r="I199" s="48">
        <v>1673302</v>
      </c>
      <c r="J199" s="48">
        <v>2348</v>
      </c>
      <c r="K199" s="48">
        <v>1675650</v>
      </c>
      <c r="L199" s="48">
        <v>99.86</v>
      </c>
      <c r="M199" s="71">
        <f t="shared" si="73"/>
        <v>1.6756500000000001</v>
      </c>
      <c r="O199" s="215">
        <v>45085</v>
      </c>
      <c r="P199" s="48">
        <v>565326</v>
      </c>
      <c r="Q199" s="48">
        <v>4526</v>
      </c>
      <c r="R199" s="48">
        <v>569852</v>
      </c>
      <c r="S199" s="48">
        <v>99.21</v>
      </c>
      <c r="T199" s="71">
        <f t="shared" si="81"/>
        <v>0.56985200000000003</v>
      </c>
      <c r="V199" s="215">
        <v>45085</v>
      </c>
      <c r="W199" s="48">
        <v>1073580</v>
      </c>
      <c r="X199" s="48">
        <v>206</v>
      </c>
      <c r="Y199" s="48">
        <v>1073786</v>
      </c>
      <c r="Z199" s="48">
        <v>99.98</v>
      </c>
      <c r="AA199" s="71">
        <f t="shared" si="78"/>
        <v>1.0737859999999999</v>
      </c>
      <c r="AC199" s="215">
        <v>45085</v>
      </c>
      <c r="AD199" s="48">
        <v>704642</v>
      </c>
      <c r="AE199" s="48">
        <v>112</v>
      </c>
      <c r="AF199" s="48">
        <v>704754</v>
      </c>
      <c r="AG199" s="48">
        <v>99.98</v>
      </c>
      <c r="AH199" s="71">
        <f t="shared" si="82"/>
        <v>0.70475399999999999</v>
      </c>
      <c r="AJ199" s="215">
        <v>45085</v>
      </c>
      <c r="AK199" s="48">
        <v>58</v>
      </c>
      <c r="AL199" s="48">
        <v>0</v>
      </c>
      <c r="AM199" s="48">
        <v>58</v>
      </c>
      <c r="AN199" s="48">
        <v>100</v>
      </c>
      <c r="AO199" s="246">
        <f t="shared" si="79"/>
        <v>5.8E-5</v>
      </c>
      <c r="AQ199" s="215">
        <v>45085</v>
      </c>
      <c r="AR199" s="48">
        <v>1864</v>
      </c>
      <c r="AS199" s="48">
        <v>86</v>
      </c>
      <c r="AT199" s="48">
        <v>1950</v>
      </c>
      <c r="AU199" s="48">
        <v>95.59</v>
      </c>
      <c r="AV199" s="246">
        <f t="shared" si="76"/>
        <v>1.9499999999999999E-3</v>
      </c>
      <c r="AX199" s="215">
        <v>45085</v>
      </c>
      <c r="AY199" s="48">
        <v>1116</v>
      </c>
      <c r="AZ199" s="48">
        <v>34</v>
      </c>
      <c r="BA199" s="48">
        <v>1150</v>
      </c>
      <c r="BB199" s="48">
        <v>97.04</v>
      </c>
      <c r="BC199" s="246">
        <f t="shared" si="75"/>
        <v>1.15E-3</v>
      </c>
      <c r="BE199" s="215">
        <v>45085</v>
      </c>
      <c r="BF199" s="48">
        <v>3556</v>
      </c>
      <c r="BG199" s="48">
        <v>68</v>
      </c>
      <c r="BH199" s="48">
        <v>3624</v>
      </c>
      <c r="BI199" s="48">
        <v>98.12</v>
      </c>
      <c r="BJ199" s="71">
        <f t="shared" si="83"/>
        <v>3.6240000000000001E-3</v>
      </c>
      <c r="BL199" s="215">
        <v>45085</v>
      </c>
      <c r="BM199" s="48">
        <v>3334</v>
      </c>
      <c r="BN199" s="48">
        <v>0</v>
      </c>
      <c r="BO199" s="48">
        <v>3334</v>
      </c>
      <c r="BP199" s="48">
        <v>100</v>
      </c>
      <c r="BQ199" s="71">
        <f t="shared" si="74"/>
        <v>3.3340000000000002E-3</v>
      </c>
      <c r="BR199" s="178"/>
      <c r="BS199" s="71"/>
      <c r="BT199" s="71"/>
      <c r="BU199" s="71"/>
      <c r="BV199" s="71"/>
      <c r="BW199" s="71"/>
      <c r="BX199" s="178"/>
      <c r="BY199" s="178"/>
      <c r="BZ199" s="71"/>
      <c r="CA199" s="48"/>
      <c r="CB199" s="48"/>
      <c r="CC199" s="71"/>
      <c r="CD199" s="178"/>
      <c r="CE199" s="215">
        <v>45085</v>
      </c>
      <c r="CF199" s="1">
        <v>11102200</v>
      </c>
      <c r="CG199" s="1">
        <v>55360</v>
      </c>
      <c r="CH199" s="1">
        <v>11157560</v>
      </c>
      <c r="CI199" s="71">
        <f t="shared" si="77"/>
        <v>99.503834171628924</v>
      </c>
      <c r="CJ199" s="71">
        <f t="shared" si="80"/>
        <v>11.15756</v>
      </c>
      <c r="CL199" s="140">
        <v>44990</v>
      </c>
      <c r="CM199" t="s">
        <v>245</v>
      </c>
      <c r="CN199">
        <v>9908</v>
      </c>
    </row>
    <row r="200" spans="1:92" hidden="1" x14ac:dyDescent="0.25">
      <c r="A200" s="215">
        <v>45086</v>
      </c>
      <c r="B200" s="48">
        <v>5774346</v>
      </c>
      <c r="C200" s="48">
        <v>30792</v>
      </c>
      <c r="D200" s="48">
        <v>5805138</v>
      </c>
      <c r="E200" s="48">
        <v>99.47</v>
      </c>
      <c r="F200" s="71">
        <f t="shared" si="72"/>
        <v>5.8051380000000004</v>
      </c>
      <c r="H200" s="215">
        <v>45086</v>
      </c>
      <c r="I200" s="48">
        <v>1995084</v>
      </c>
      <c r="J200" s="48">
        <v>7334</v>
      </c>
      <c r="K200" s="48">
        <v>2002418</v>
      </c>
      <c r="L200" s="48">
        <v>99.63</v>
      </c>
      <c r="M200" s="71">
        <f t="shared" si="73"/>
        <v>2.002418</v>
      </c>
      <c r="O200" s="215">
        <v>45086</v>
      </c>
      <c r="P200" s="48">
        <v>570224</v>
      </c>
      <c r="Q200" s="48">
        <v>4786</v>
      </c>
      <c r="R200" s="48">
        <v>575010</v>
      </c>
      <c r="S200" s="48">
        <v>99.17</v>
      </c>
      <c r="T200" s="71">
        <f t="shared" si="81"/>
        <v>0.57501000000000002</v>
      </c>
      <c r="V200" s="215">
        <v>45086</v>
      </c>
      <c r="W200" s="48">
        <v>1090122</v>
      </c>
      <c r="X200" s="48">
        <v>218</v>
      </c>
      <c r="Y200" s="48">
        <v>1090340</v>
      </c>
      <c r="Z200" s="48">
        <v>99.98</v>
      </c>
      <c r="AA200" s="71">
        <f t="shared" si="78"/>
        <v>1.0903400000000001</v>
      </c>
      <c r="AC200" s="215">
        <v>45086</v>
      </c>
      <c r="AD200" s="48">
        <v>836616</v>
      </c>
      <c r="AE200" s="48">
        <v>206</v>
      </c>
      <c r="AF200" s="48">
        <v>836822</v>
      </c>
      <c r="AG200" s="48">
        <v>99.98</v>
      </c>
      <c r="AH200" s="71">
        <f t="shared" si="82"/>
        <v>0.83682199999999995</v>
      </c>
      <c r="AJ200" s="215">
        <v>45086</v>
      </c>
      <c r="AK200" s="48">
        <v>114</v>
      </c>
      <c r="AL200" s="48">
        <v>2</v>
      </c>
      <c r="AM200" s="48">
        <v>116</v>
      </c>
      <c r="AN200" s="48">
        <v>98.28</v>
      </c>
      <c r="AO200" s="246">
        <f t="shared" si="79"/>
        <v>1.16E-4</v>
      </c>
      <c r="AQ200" s="215">
        <v>45086</v>
      </c>
      <c r="AR200" s="48">
        <v>2346</v>
      </c>
      <c r="AS200" s="48">
        <v>2</v>
      </c>
      <c r="AT200" s="48">
        <v>2348</v>
      </c>
      <c r="AU200" s="48">
        <v>99.91</v>
      </c>
      <c r="AV200" s="246">
        <f t="shared" si="76"/>
        <v>2.3479999999999998E-3</v>
      </c>
      <c r="AX200" s="215">
        <v>45086</v>
      </c>
      <c r="AY200" s="48">
        <v>1694</v>
      </c>
      <c r="AZ200" s="48">
        <v>18</v>
      </c>
      <c r="BA200" s="48">
        <v>1712</v>
      </c>
      <c r="BB200" s="48">
        <v>98.95</v>
      </c>
      <c r="BC200" s="246">
        <f t="shared" si="75"/>
        <v>1.712E-3</v>
      </c>
      <c r="BE200" s="215">
        <v>45086</v>
      </c>
      <c r="BF200" s="48">
        <v>3406</v>
      </c>
      <c r="BG200" s="48">
        <v>46</v>
      </c>
      <c r="BH200" s="48">
        <v>3452</v>
      </c>
      <c r="BI200" s="48">
        <v>98.67</v>
      </c>
      <c r="BJ200" s="71">
        <f t="shared" si="83"/>
        <v>3.4520000000000002E-3</v>
      </c>
      <c r="BL200" s="215">
        <v>45086</v>
      </c>
      <c r="BM200" s="48">
        <v>3318</v>
      </c>
      <c r="BN200" s="48">
        <v>0</v>
      </c>
      <c r="BO200" s="48">
        <v>3318</v>
      </c>
      <c r="BP200" s="48">
        <v>100</v>
      </c>
      <c r="BQ200" s="71">
        <f t="shared" si="74"/>
        <v>3.3180000000000002E-3</v>
      </c>
      <c r="BR200" s="178"/>
      <c r="BS200" s="71"/>
      <c r="BT200" s="71"/>
      <c r="BU200" s="71"/>
      <c r="BV200" s="71"/>
      <c r="BW200" s="71"/>
      <c r="BX200" s="178"/>
      <c r="BY200" s="178"/>
      <c r="BZ200" s="71"/>
      <c r="CA200" s="48"/>
      <c r="CB200" s="48"/>
      <c r="CC200" s="71"/>
      <c r="CD200" s="178"/>
      <c r="CE200" s="215">
        <v>45086</v>
      </c>
      <c r="CF200" s="1">
        <v>11641494</v>
      </c>
      <c r="CG200" s="1">
        <v>62318</v>
      </c>
      <c r="CH200" s="1">
        <v>11703812</v>
      </c>
      <c r="CI200" s="71">
        <f t="shared" si="77"/>
        <v>99.467541002880097</v>
      </c>
      <c r="CJ200" s="71">
        <f t="shared" si="80"/>
        <v>11.703811999999999</v>
      </c>
      <c r="CL200" s="140">
        <v>44990</v>
      </c>
      <c r="CM200" t="s">
        <v>239</v>
      </c>
      <c r="CN200">
        <v>2700</v>
      </c>
    </row>
    <row r="201" spans="1:92" hidden="1" x14ac:dyDescent="0.25">
      <c r="A201" s="215">
        <v>45087</v>
      </c>
      <c r="B201" s="48">
        <v>5292094</v>
      </c>
      <c r="C201" s="48">
        <v>4176</v>
      </c>
      <c r="D201" s="48">
        <v>5296270</v>
      </c>
      <c r="E201" s="48">
        <v>99.92</v>
      </c>
      <c r="F201" s="71">
        <f t="shared" si="72"/>
        <v>5.2962699999999998</v>
      </c>
      <c r="H201" s="215">
        <v>45087</v>
      </c>
      <c r="I201" s="48">
        <v>1670640</v>
      </c>
      <c r="J201" s="48">
        <v>2292</v>
      </c>
      <c r="K201" s="48">
        <v>1672932</v>
      </c>
      <c r="L201" s="48">
        <v>99.86</v>
      </c>
      <c r="M201" s="71">
        <f t="shared" si="73"/>
        <v>1.6729320000000001</v>
      </c>
      <c r="O201" s="215">
        <v>45087</v>
      </c>
      <c r="P201" s="48">
        <v>575900</v>
      </c>
      <c r="Q201" s="48">
        <v>4408</v>
      </c>
      <c r="R201" s="48">
        <v>580308</v>
      </c>
      <c r="S201" s="48">
        <v>99.24</v>
      </c>
      <c r="T201" s="71">
        <f t="shared" si="81"/>
        <v>0.58030800000000005</v>
      </c>
      <c r="V201" s="215">
        <v>45087</v>
      </c>
      <c r="W201" s="48">
        <v>963152</v>
      </c>
      <c r="X201" s="48">
        <v>514</v>
      </c>
      <c r="Y201" s="48">
        <v>963666</v>
      </c>
      <c r="Z201" s="48">
        <v>99.95</v>
      </c>
      <c r="AA201" s="71">
        <f t="shared" si="78"/>
        <v>0.96366600000000002</v>
      </c>
      <c r="AC201" s="215">
        <v>45087</v>
      </c>
      <c r="AD201" s="48">
        <v>712562</v>
      </c>
      <c r="AE201" s="48">
        <v>96</v>
      </c>
      <c r="AF201" s="48">
        <v>712658</v>
      </c>
      <c r="AG201" s="48">
        <v>99.99</v>
      </c>
      <c r="AH201" s="71">
        <f t="shared" si="82"/>
        <v>0.71265800000000001</v>
      </c>
      <c r="AJ201" s="215">
        <v>45087</v>
      </c>
      <c r="AK201" s="48">
        <v>94</v>
      </c>
      <c r="AL201" s="48">
        <v>0</v>
      </c>
      <c r="AM201" s="48">
        <v>94</v>
      </c>
      <c r="AN201" s="48">
        <v>100</v>
      </c>
      <c r="AO201" s="246">
        <f t="shared" si="79"/>
        <v>9.3999999999999994E-5</v>
      </c>
      <c r="AQ201" s="215">
        <v>45087</v>
      </c>
      <c r="AR201" s="48">
        <v>1054</v>
      </c>
      <c r="AS201" s="48">
        <v>52</v>
      </c>
      <c r="AT201" s="48">
        <v>1106</v>
      </c>
      <c r="AU201" s="48">
        <v>95.3</v>
      </c>
      <c r="AV201" s="246">
        <f t="shared" si="76"/>
        <v>1.106E-3</v>
      </c>
      <c r="AX201" s="215">
        <v>45087</v>
      </c>
      <c r="AY201" s="48">
        <v>1052</v>
      </c>
      <c r="AZ201" s="48">
        <v>18</v>
      </c>
      <c r="BA201" s="48">
        <v>1070</v>
      </c>
      <c r="BB201" s="48">
        <v>98.32</v>
      </c>
      <c r="BC201" s="246">
        <f t="shared" si="75"/>
        <v>1.07E-3</v>
      </c>
      <c r="BE201" s="215">
        <v>45087</v>
      </c>
      <c r="BF201" s="48">
        <v>3242</v>
      </c>
      <c r="BG201" s="48">
        <v>32</v>
      </c>
      <c r="BH201" s="48">
        <v>3274</v>
      </c>
      <c r="BI201" s="48">
        <v>99.02</v>
      </c>
      <c r="BJ201" s="71">
        <f t="shared" si="83"/>
        <v>3.274E-3</v>
      </c>
      <c r="BL201" s="215">
        <v>45087</v>
      </c>
      <c r="BM201" s="48">
        <v>5050</v>
      </c>
      <c r="BN201" s="48">
        <v>0</v>
      </c>
      <c r="BO201" s="48">
        <v>5050</v>
      </c>
      <c r="BP201" s="48">
        <v>100</v>
      </c>
      <c r="BQ201" s="71">
        <f t="shared" si="74"/>
        <v>5.0499999999999998E-3</v>
      </c>
      <c r="BR201" s="178"/>
      <c r="BS201" s="71"/>
      <c r="BT201" s="71"/>
      <c r="BU201" s="71"/>
      <c r="BV201" s="71"/>
      <c r="BW201" s="71"/>
      <c r="BX201" s="178"/>
      <c r="BY201" s="178"/>
      <c r="BZ201" s="71"/>
      <c r="CA201" s="48"/>
      <c r="CB201" s="48"/>
      <c r="CC201" s="71"/>
      <c r="CD201" s="178"/>
      <c r="CE201" s="215">
        <v>45087</v>
      </c>
      <c r="CF201" s="1">
        <v>10533520</v>
      </c>
      <c r="CG201" s="1">
        <v>19090</v>
      </c>
      <c r="CH201" s="1">
        <v>10552610</v>
      </c>
      <c r="CI201" s="71">
        <f t="shared" si="77"/>
        <v>99.819096886931291</v>
      </c>
      <c r="CJ201" s="71">
        <f t="shared" si="80"/>
        <v>10.55261</v>
      </c>
      <c r="CL201" s="140">
        <v>44990</v>
      </c>
      <c r="CM201" t="s">
        <v>237</v>
      </c>
      <c r="CN201">
        <v>2604</v>
      </c>
    </row>
    <row r="202" spans="1:92" hidden="1" x14ac:dyDescent="0.25">
      <c r="A202" s="215">
        <v>45088</v>
      </c>
      <c r="B202" s="48">
        <v>4663834</v>
      </c>
      <c r="C202" s="48">
        <v>12588</v>
      </c>
      <c r="D202" s="48">
        <v>4676422</v>
      </c>
      <c r="E202" s="48">
        <v>99.73</v>
      </c>
      <c r="F202" s="71">
        <f t="shared" ref="F202:F271" si="84">D202/1000000</f>
        <v>4.6764219999999996</v>
      </c>
      <c r="H202" s="215">
        <v>45088</v>
      </c>
      <c r="I202" s="48">
        <v>1694794</v>
      </c>
      <c r="J202" s="48">
        <v>8768</v>
      </c>
      <c r="K202" s="48">
        <v>1703562</v>
      </c>
      <c r="L202" s="48">
        <v>99.49</v>
      </c>
      <c r="M202" s="71">
        <f t="shared" ref="M202:M270" si="85">K202/1000000</f>
        <v>1.703562</v>
      </c>
      <c r="O202" s="215">
        <v>45088</v>
      </c>
      <c r="P202" s="48">
        <v>574618</v>
      </c>
      <c r="Q202" s="48">
        <v>4416</v>
      </c>
      <c r="R202" s="48">
        <v>579034</v>
      </c>
      <c r="S202" s="48">
        <v>99.24</v>
      </c>
      <c r="T202" s="71">
        <f t="shared" si="81"/>
        <v>0.57903400000000005</v>
      </c>
      <c r="V202" s="215">
        <v>45088</v>
      </c>
      <c r="W202" s="48">
        <v>977576</v>
      </c>
      <c r="X202" s="48">
        <v>208</v>
      </c>
      <c r="Y202" s="48">
        <v>977784</v>
      </c>
      <c r="Z202" s="48">
        <v>99.98</v>
      </c>
      <c r="AA202" s="71">
        <f t="shared" si="78"/>
        <v>0.97778399999999999</v>
      </c>
      <c r="AC202" s="215">
        <v>45088</v>
      </c>
      <c r="AD202" s="48">
        <v>725734</v>
      </c>
      <c r="AE202" s="48">
        <v>66</v>
      </c>
      <c r="AF202" s="48">
        <v>725800</v>
      </c>
      <c r="AG202" s="48">
        <v>99.99</v>
      </c>
      <c r="AH202" s="71">
        <f t="shared" si="82"/>
        <v>0.7258</v>
      </c>
      <c r="AJ202" s="215">
        <v>45088</v>
      </c>
      <c r="AK202" s="48">
        <v>22</v>
      </c>
      <c r="AL202" s="48">
        <v>0</v>
      </c>
      <c r="AM202" s="48">
        <v>22</v>
      </c>
      <c r="AN202" s="48">
        <v>100</v>
      </c>
      <c r="AO202" s="246">
        <f t="shared" si="79"/>
        <v>2.1999999999999999E-5</v>
      </c>
      <c r="AQ202" s="215">
        <v>45088</v>
      </c>
      <c r="AR202" s="48">
        <v>1312</v>
      </c>
      <c r="AS202" s="48">
        <v>46</v>
      </c>
      <c r="AT202" s="48">
        <v>1358</v>
      </c>
      <c r="AU202" s="48">
        <v>96.61</v>
      </c>
      <c r="AV202" s="246">
        <f t="shared" si="76"/>
        <v>1.358E-3</v>
      </c>
      <c r="AX202" s="215">
        <v>45088</v>
      </c>
      <c r="AY202" s="48">
        <v>0</v>
      </c>
      <c r="AZ202" s="48">
        <v>156</v>
      </c>
      <c r="BA202" s="48">
        <v>156</v>
      </c>
      <c r="BB202" s="48">
        <v>0</v>
      </c>
      <c r="BC202" s="246">
        <f t="shared" si="75"/>
        <v>1.56E-4</v>
      </c>
      <c r="BE202" s="215">
        <v>45088</v>
      </c>
      <c r="BF202" s="48">
        <v>4882</v>
      </c>
      <c r="BG202" s="48">
        <v>42</v>
      </c>
      <c r="BH202" s="48">
        <v>4924</v>
      </c>
      <c r="BI202" s="48">
        <v>99.15</v>
      </c>
      <c r="BJ202" s="71">
        <f t="shared" si="83"/>
        <v>4.9240000000000004E-3</v>
      </c>
      <c r="BL202" s="215">
        <v>45088</v>
      </c>
      <c r="BM202" s="48">
        <v>3102</v>
      </c>
      <c r="BN202" s="48">
        <v>0</v>
      </c>
      <c r="BO202" s="48">
        <v>3102</v>
      </c>
      <c r="BP202" s="48">
        <v>100</v>
      </c>
      <c r="BQ202" s="71">
        <f t="shared" si="74"/>
        <v>3.1020000000000002E-3</v>
      </c>
      <c r="BR202" s="178"/>
      <c r="BS202" s="71"/>
      <c r="BT202" s="71"/>
      <c r="BU202" s="71"/>
      <c r="BV202" s="71"/>
      <c r="BW202" s="71"/>
      <c r="BX202" s="178"/>
      <c r="BY202" s="178"/>
      <c r="BZ202" s="71"/>
      <c r="CA202" s="48"/>
      <c r="CB202" s="48"/>
      <c r="CC202" s="71"/>
      <c r="CD202" s="178"/>
      <c r="CE202" s="215">
        <v>45088</v>
      </c>
      <c r="CF202" s="1">
        <v>9947220</v>
      </c>
      <c r="CG202" s="1">
        <v>42694</v>
      </c>
      <c r="CH202" s="1">
        <v>9989914</v>
      </c>
      <c r="CI202" s="71">
        <f t="shared" si="77"/>
        <v>99.572628953562557</v>
      </c>
      <c r="CJ202" s="71">
        <f t="shared" si="80"/>
        <v>9.9899140000000006</v>
      </c>
      <c r="CL202" s="140">
        <v>44990</v>
      </c>
      <c r="CM202" t="s">
        <v>244</v>
      </c>
      <c r="CN202">
        <v>546</v>
      </c>
    </row>
    <row r="203" spans="1:92" hidden="1" x14ac:dyDescent="0.25">
      <c r="A203" s="215">
        <v>45089</v>
      </c>
      <c r="B203" s="48">
        <v>5633334</v>
      </c>
      <c r="C203" s="48">
        <v>11900</v>
      </c>
      <c r="D203" s="48">
        <v>5645234</v>
      </c>
      <c r="E203" s="48">
        <v>99.79</v>
      </c>
      <c r="F203" s="71">
        <f t="shared" si="84"/>
        <v>5.6452340000000003</v>
      </c>
      <c r="H203" s="215">
        <v>45089</v>
      </c>
      <c r="I203" s="48">
        <v>1697228</v>
      </c>
      <c r="J203" s="48">
        <v>2176</v>
      </c>
      <c r="K203" s="48">
        <v>1699404</v>
      </c>
      <c r="L203" s="48">
        <v>99.87</v>
      </c>
      <c r="M203" s="71">
        <f t="shared" si="85"/>
        <v>1.6994039999999999</v>
      </c>
      <c r="O203" s="215">
        <v>45089</v>
      </c>
      <c r="P203" s="48">
        <v>555550</v>
      </c>
      <c r="Q203" s="48">
        <v>4454</v>
      </c>
      <c r="R203" s="48">
        <v>560004</v>
      </c>
      <c r="S203" s="48">
        <v>99.2</v>
      </c>
      <c r="T203" s="71">
        <f t="shared" si="81"/>
        <v>0.56000399999999995</v>
      </c>
      <c r="V203" s="215">
        <v>45089</v>
      </c>
      <c r="W203" s="48">
        <v>1069046</v>
      </c>
      <c r="X203" s="48">
        <v>232</v>
      </c>
      <c r="Y203" s="48">
        <v>1069278</v>
      </c>
      <c r="Z203" s="48">
        <v>99.98</v>
      </c>
      <c r="AA203" s="71">
        <f t="shared" si="78"/>
        <v>1.069278</v>
      </c>
      <c r="AC203" s="215">
        <v>45089</v>
      </c>
      <c r="AD203" s="48">
        <v>700398</v>
      </c>
      <c r="AE203" s="48">
        <v>36</v>
      </c>
      <c r="AF203" s="48">
        <v>700434</v>
      </c>
      <c r="AG203" s="48">
        <v>99.99</v>
      </c>
      <c r="AH203" s="71">
        <f t="shared" si="82"/>
        <v>0.700434</v>
      </c>
      <c r="AJ203" s="215">
        <v>45089</v>
      </c>
      <c r="AK203" s="48">
        <v>64</v>
      </c>
      <c r="AL203" s="48">
        <v>0</v>
      </c>
      <c r="AM203" s="48">
        <v>64</v>
      </c>
      <c r="AN203" s="48">
        <v>100</v>
      </c>
      <c r="AO203" s="246">
        <f t="shared" si="79"/>
        <v>6.3999999999999997E-5</v>
      </c>
      <c r="AQ203" s="215">
        <v>45089</v>
      </c>
      <c r="AR203" s="48">
        <v>2180</v>
      </c>
      <c r="AS203" s="48">
        <v>6</v>
      </c>
      <c r="AT203" s="48">
        <v>2186</v>
      </c>
      <c r="AU203" s="48">
        <v>99.73</v>
      </c>
      <c r="AV203" s="246">
        <f t="shared" si="76"/>
        <v>2.186E-3</v>
      </c>
      <c r="AX203" s="215">
        <v>45089</v>
      </c>
      <c r="AY203" s="48">
        <v>1818</v>
      </c>
      <c r="AZ203" s="48">
        <v>58</v>
      </c>
      <c r="BA203" s="48">
        <v>1876</v>
      </c>
      <c r="BB203" s="48">
        <v>96.91</v>
      </c>
      <c r="BC203" s="246">
        <f t="shared" si="75"/>
        <v>1.8760000000000001E-3</v>
      </c>
      <c r="BE203" s="215">
        <v>45089</v>
      </c>
      <c r="BF203" s="48">
        <v>3576</v>
      </c>
      <c r="BG203" s="48">
        <v>52</v>
      </c>
      <c r="BH203" s="48">
        <v>3628</v>
      </c>
      <c r="BI203" s="48">
        <v>98.57</v>
      </c>
      <c r="BJ203" s="71">
        <f t="shared" si="83"/>
        <v>3.6280000000000001E-3</v>
      </c>
      <c r="BL203" s="215">
        <v>45089</v>
      </c>
      <c r="BM203" s="48">
        <v>3362</v>
      </c>
      <c r="BN203" s="48">
        <v>0</v>
      </c>
      <c r="BO203" s="48">
        <v>3362</v>
      </c>
      <c r="BP203" s="48">
        <v>100</v>
      </c>
      <c r="BQ203" s="71">
        <f t="shared" si="74"/>
        <v>3.362E-3</v>
      </c>
      <c r="BR203" s="178"/>
      <c r="BS203" s="71"/>
      <c r="BT203" s="71"/>
      <c r="BU203" s="71"/>
      <c r="BV203" s="71"/>
      <c r="BW203" s="71"/>
      <c r="BX203" s="178"/>
      <c r="BY203" s="178"/>
      <c r="BZ203" s="71"/>
      <c r="CA203" s="48"/>
      <c r="CB203" s="48"/>
      <c r="CC203" s="71"/>
      <c r="CD203" s="178"/>
      <c r="CE203" s="215">
        <v>45089</v>
      </c>
      <c r="CF203" s="1">
        <v>10965288</v>
      </c>
      <c r="CG203" s="1">
        <v>30476</v>
      </c>
      <c r="CH203" s="1">
        <v>10995764</v>
      </c>
      <c r="CI203" s="71">
        <f t="shared" si="77"/>
        <v>99.722838722257038</v>
      </c>
      <c r="CJ203" s="71">
        <f t="shared" si="80"/>
        <v>10.995763999999999</v>
      </c>
      <c r="CL203" s="140">
        <v>44991</v>
      </c>
      <c r="CM203" t="s">
        <v>245</v>
      </c>
      <c r="CN203">
        <v>12010</v>
      </c>
    </row>
    <row r="204" spans="1:92" hidden="1" x14ac:dyDescent="0.25">
      <c r="A204" s="215">
        <v>45090</v>
      </c>
      <c r="B204" s="48">
        <v>5429315</v>
      </c>
      <c r="C204" s="48">
        <v>11218</v>
      </c>
      <c r="D204" s="48">
        <v>5440533</v>
      </c>
      <c r="E204" s="48">
        <v>99.79</v>
      </c>
      <c r="F204" s="71">
        <f t="shared" si="84"/>
        <v>5.4405330000000003</v>
      </c>
      <c r="H204" s="215">
        <v>45090</v>
      </c>
      <c r="I204" s="48">
        <v>2025176</v>
      </c>
      <c r="J204" s="48">
        <v>2686</v>
      </c>
      <c r="K204" s="48">
        <v>2027862</v>
      </c>
      <c r="L204" s="48">
        <v>99.87</v>
      </c>
      <c r="M204" s="71">
        <f t="shared" si="85"/>
        <v>2.0278619999999998</v>
      </c>
      <c r="O204" s="215">
        <v>45090</v>
      </c>
      <c r="P204" s="48">
        <v>581533</v>
      </c>
      <c r="Q204" s="48">
        <v>6099</v>
      </c>
      <c r="R204" s="48">
        <v>587632</v>
      </c>
      <c r="S204" s="48">
        <v>98.96</v>
      </c>
      <c r="T204" s="71">
        <f t="shared" si="81"/>
        <v>0.58763200000000004</v>
      </c>
      <c r="V204" s="215">
        <v>45090</v>
      </c>
      <c r="W204" s="48">
        <v>1028711</v>
      </c>
      <c r="X204" s="48">
        <v>155</v>
      </c>
      <c r="Y204" s="48">
        <v>1028866</v>
      </c>
      <c r="Z204" s="48">
        <v>99.98</v>
      </c>
      <c r="AA204" s="71">
        <f t="shared" si="78"/>
        <v>1.0288660000000001</v>
      </c>
      <c r="AC204" s="215">
        <v>45090</v>
      </c>
      <c r="AD204" s="48">
        <v>663683</v>
      </c>
      <c r="AE204" s="48">
        <v>119</v>
      </c>
      <c r="AF204" s="48">
        <v>663802</v>
      </c>
      <c r="AG204" s="48">
        <v>99.98</v>
      </c>
      <c r="AH204" s="71">
        <f t="shared" si="82"/>
        <v>0.663802</v>
      </c>
      <c r="AJ204" s="215">
        <v>45090</v>
      </c>
      <c r="AK204" s="48">
        <v>34</v>
      </c>
      <c r="AL204" s="48">
        <v>2</v>
      </c>
      <c r="AM204" s="48">
        <v>36</v>
      </c>
      <c r="AN204" s="48">
        <v>94.44</v>
      </c>
      <c r="AO204" s="246">
        <f t="shared" si="79"/>
        <v>3.6000000000000001E-5</v>
      </c>
      <c r="AQ204" s="215">
        <v>45090</v>
      </c>
      <c r="AR204" s="48">
        <v>2792</v>
      </c>
      <c r="AS204" s="48">
        <v>28</v>
      </c>
      <c r="AT204" s="48">
        <v>2820</v>
      </c>
      <c r="AU204" s="48">
        <v>99.01</v>
      </c>
      <c r="AV204" s="246">
        <f t="shared" si="76"/>
        <v>2.82E-3</v>
      </c>
      <c r="AX204" s="215">
        <v>45090</v>
      </c>
      <c r="AY204" s="48">
        <v>1726</v>
      </c>
      <c r="AZ204" s="48">
        <v>56</v>
      </c>
      <c r="BA204" s="48">
        <v>1782</v>
      </c>
      <c r="BB204" s="48">
        <v>96.86</v>
      </c>
      <c r="BC204" s="246">
        <f t="shared" si="75"/>
        <v>1.7819999999999999E-3</v>
      </c>
      <c r="BE204" s="215">
        <v>45090</v>
      </c>
      <c r="BF204" s="48">
        <v>3740</v>
      </c>
      <c r="BG204" s="48">
        <v>40</v>
      </c>
      <c r="BH204" s="48">
        <v>3780</v>
      </c>
      <c r="BI204" s="48">
        <v>98.94</v>
      </c>
      <c r="BJ204" s="71">
        <f t="shared" si="83"/>
        <v>3.7799999999999999E-3</v>
      </c>
      <c r="BL204" s="215">
        <v>45090</v>
      </c>
      <c r="BM204" s="48">
        <v>3168</v>
      </c>
      <c r="BN204" s="48">
        <v>0</v>
      </c>
      <c r="BO204" s="48">
        <v>3168</v>
      </c>
      <c r="BP204" s="48">
        <v>100</v>
      </c>
      <c r="BQ204" s="71">
        <f t="shared" si="74"/>
        <v>3.1679999999999998E-3</v>
      </c>
      <c r="BR204" s="178"/>
      <c r="BS204" s="71"/>
      <c r="BT204" s="71"/>
      <c r="BU204" s="71"/>
      <c r="BV204" s="71"/>
      <c r="BW204" s="71"/>
      <c r="BX204" s="178"/>
      <c r="BY204" s="178"/>
      <c r="BZ204" s="71"/>
      <c r="CA204" s="48"/>
      <c r="CB204" s="48"/>
      <c r="CC204" s="71"/>
      <c r="CD204" s="178"/>
      <c r="CE204" s="215">
        <v>45090</v>
      </c>
      <c r="CF204" s="1">
        <v>10993315</v>
      </c>
      <c r="CG204" s="1">
        <v>28338</v>
      </c>
      <c r="CH204" s="1">
        <v>11021653</v>
      </c>
      <c r="CI204" s="71">
        <f t="shared" si="77"/>
        <v>99.742887931601544</v>
      </c>
      <c r="CJ204" s="71">
        <f t="shared" si="80"/>
        <v>11.021653000000001</v>
      </c>
      <c r="CL204" s="140">
        <v>44991</v>
      </c>
      <c r="CM204" t="s">
        <v>240</v>
      </c>
      <c r="CN204">
        <v>5744</v>
      </c>
    </row>
    <row r="205" spans="1:92" hidden="1" x14ac:dyDescent="0.25">
      <c r="A205" s="215">
        <v>45091</v>
      </c>
      <c r="B205" s="48">
        <v>5250142</v>
      </c>
      <c r="C205" s="48">
        <v>11872</v>
      </c>
      <c r="D205" s="48">
        <v>5262014</v>
      </c>
      <c r="E205" s="48">
        <v>99.77</v>
      </c>
      <c r="F205" s="71">
        <f t="shared" si="84"/>
        <v>5.2620139999999997</v>
      </c>
      <c r="H205" s="215">
        <v>45091</v>
      </c>
      <c r="I205" s="48">
        <v>1569622</v>
      </c>
      <c r="J205" s="48">
        <v>2200</v>
      </c>
      <c r="K205" s="48">
        <v>1571822</v>
      </c>
      <c r="L205" s="48">
        <v>99.86</v>
      </c>
      <c r="M205" s="71">
        <f t="shared" si="85"/>
        <v>1.5718220000000001</v>
      </c>
      <c r="O205" s="215">
        <v>45091</v>
      </c>
      <c r="P205" s="48">
        <v>537412</v>
      </c>
      <c r="Q205" s="48">
        <v>4212</v>
      </c>
      <c r="R205" s="48">
        <v>541624</v>
      </c>
      <c r="S205" s="48">
        <v>99.22</v>
      </c>
      <c r="T205" s="71">
        <f t="shared" si="81"/>
        <v>0.54162399999999999</v>
      </c>
      <c r="V205" s="215">
        <v>45091</v>
      </c>
      <c r="W205" s="48">
        <v>997012</v>
      </c>
      <c r="X205" s="48">
        <v>158</v>
      </c>
      <c r="Y205" s="48">
        <v>997170</v>
      </c>
      <c r="Z205" s="48">
        <v>99.98</v>
      </c>
      <c r="AA205" s="71">
        <f t="shared" si="78"/>
        <v>0.99717</v>
      </c>
      <c r="AC205" s="215">
        <v>45091</v>
      </c>
      <c r="AD205" s="48">
        <v>674510</v>
      </c>
      <c r="AE205" s="48">
        <v>44</v>
      </c>
      <c r="AF205" s="48">
        <v>674554</v>
      </c>
      <c r="AG205" s="48">
        <v>99.99</v>
      </c>
      <c r="AH205" s="71">
        <f t="shared" si="82"/>
        <v>0.67455399999999999</v>
      </c>
      <c r="AJ205" s="215">
        <v>45091</v>
      </c>
      <c r="AK205" s="48">
        <v>30</v>
      </c>
      <c r="AL205" s="48">
        <v>0</v>
      </c>
      <c r="AM205" s="48">
        <v>30</v>
      </c>
      <c r="AN205" s="48">
        <v>100</v>
      </c>
      <c r="AO205" s="246">
        <f t="shared" si="79"/>
        <v>3.0000000000000001E-5</v>
      </c>
      <c r="AQ205" s="215">
        <v>45091</v>
      </c>
      <c r="AR205" s="48">
        <v>2524</v>
      </c>
      <c r="AS205" s="48">
        <v>38</v>
      </c>
      <c r="AT205" s="48">
        <v>2562</v>
      </c>
      <c r="AU205" s="48">
        <v>98.52</v>
      </c>
      <c r="AV205" s="246">
        <f t="shared" si="76"/>
        <v>2.562E-3</v>
      </c>
      <c r="AX205" s="215">
        <v>45091</v>
      </c>
      <c r="AY205" s="48">
        <v>2138</v>
      </c>
      <c r="AZ205" s="48">
        <v>88</v>
      </c>
      <c r="BA205" s="48">
        <v>2226</v>
      </c>
      <c r="BB205" s="48">
        <v>96.05</v>
      </c>
      <c r="BC205" s="246">
        <f t="shared" si="75"/>
        <v>2.2260000000000001E-3</v>
      </c>
      <c r="BE205" s="215">
        <v>45091</v>
      </c>
      <c r="BF205" s="48">
        <v>3850</v>
      </c>
      <c r="BG205" s="48">
        <v>74</v>
      </c>
      <c r="BH205" s="48">
        <v>3924</v>
      </c>
      <c r="BI205" s="48">
        <v>98.11</v>
      </c>
      <c r="BJ205" s="71">
        <f t="shared" si="83"/>
        <v>3.9240000000000004E-3</v>
      </c>
      <c r="BL205" s="215">
        <v>45091</v>
      </c>
      <c r="BM205" s="48">
        <v>3138</v>
      </c>
      <c r="BN205" s="48">
        <v>0</v>
      </c>
      <c r="BO205" s="48">
        <v>3138</v>
      </c>
      <c r="BP205" s="48">
        <v>100</v>
      </c>
      <c r="BQ205" s="71">
        <f t="shared" si="74"/>
        <v>3.1380000000000002E-3</v>
      </c>
      <c r="BR205" s="178"/>
      <c r="BS205" s="71"/>
      <c r="BT205" s="71"/>
      <c r="BU205" s="71"/>
      <c r="BV205" s="71"/>
      <c r="BW205" s="71"/>
      <c r="BX205" s="178"/>
      <c r="BY205" s="178"/>
      <c r="BZ205" s="71"/>
      <c r="CA205" s="48"/>
      <c r="CB205" s="48"/>
      <c r="CC205" s="71"/>
      <c r="CD205" s="178"/>
      <c r="CE205" s="215">
        <v>45091</v>
      </c>
      <c r="CF205" s="1">
        <v>10277002</v>
      </c>
      <c r="CG205" s="1">
        <v>37994</v>
      </c>
      <c r="CH205" s="1">
        <v>10314996</v>
      </c>
      <c r="CI205" s="71">
        <f t="shared" si="77"/>
        <v>99.631662484406192</v>
      </c>
      <c r="CJ205" s="71">
        <f t="shared" si="80"/>
        <v>10.314996000000001</v>
      </c>
      <c r="CL205" s="140">
        <v>44991</v>
      </c>
      <c r="CM205" t="s">
        <v>239</v>
      </c>
      <c r="CN205">
        <v>3854</v>
      </c>
    </row>
    <row r="206" spans="1:92" hidden="1" x14ac:dyDescent="0.25">
      <c r="A206" s="215">
        <v>45092</v>
      </c>
      <c r="B206" s="48">
        <v>5579612</v>
      </c>
      <c r="C206" s="48">
        <v>18850</v>
      </c>
      <c r="D206" s="48">
        <v>5598462</v>
      </c>
      <c r="E206" s="48">
        <v>99.66</v>
      </c>
      <c r="F206" s="71">
        <f t="shared" si="84"/>
        <v>5.5984619999999996</v>
      </c>
      <c r="H206" s="215">
        <v>45092</v>
      </c>
      <c r="I206" s="48">
        <v>1711674</v>
      </c>
      <c r="J206" s="48">
        <v>2308</v>
      </c>
      <c r="K206" s="48">
        <v>1713982</v>
      </c>
      <c r="L206" s="48">
        <v>99.87</v>
      </c>
      <c r="M206" s="71">
        <f t="shared" si="85"/>
        <v>1.7139819999999999</v>
      </c>
      <c r="O206" s="215">
        <v>45092</v>
      </c>
      <c r="P206" s="48">
        <v>613754</v>
      </c>
      <c r="Q206" s="48">
        <v>4740</v>
      </c>
      <c r="R206" s="48">
        <v>618494</v>
      </c>
      <c r="S206" s="48">
        <v>99.23</v>
      </c>
      <c r="T206" s="71">
        <f t="shared" si="81"/>
        <v>0.61849399999999999</v>
      </c>
      <c r="V206" s="215">
        <v>45092</v>
      </c>
      <c r="W206" s="48">
        <v>1138606</v>
      </c>
      <c r="X206" s="48">
        <v>266</v>
      </c>
      <c r="Y206" s="48">
        <v>1138872</v>
      </c>
      <c r="Z206" s="48">
        <v>99.98</v>
      </c>
      <c r="AA206" s="71">
        <f t="shared" si="78"/>
        <v>1.1388720000000001</v>
      </c>
      <c r="AC206" s="215">
        <v>45092</v>
      </c>
      <c r="AD206" s="48">
        <v>758662</v>
      </c>
      <c r="AE206" s="48">
        <v>294</v>
      </c>
      <c r="AF206" s="48">
        <v>758956</v>
      </c>
      <c r="AG206" s="48">
        <v>99.96</v>
      </c>
      <c r="AH206" s="71">
        <f t="shared" si="82"/>
        <v>0.75895599999999996</v>
      </c>
      <c r="AJ206" s="215">
        <v>45092</v>
      </c>
      <c r="AK206" s="48">
        <v>164</v>
      </c>
      <c r="AL206" s="48">
        <v>4</v>
      </c>
      <c r="AM206" s="48">
        <v>168</v>
      </c>
      <c r="AN206" s="48">
        <v>97.62</v>
      </c>
      <c r="AO206" s="246">
        <f t="shared" si="79"/>
        <v>1.6799999999999999E-4</v>
      </c>
      <c r="AQ206" s="215">
        <v>45092</v>
      </c>
      <c r="AR206" s="48">
        <v>2616</v>
      </c>
      <c r="AS206" s="48">
        <v>78</v>
      </c>
      <c r="AT206" s="48">
        <v>2694</v>
      </c>
      <c r="AU206" s="48">
        <v>97.1</v>
      </c>
      <c r="AV206" s="246">
        <f t="shared" si="76"/>
        <v>2.6940000000000002E-3</v>
      </c>
      <c r="AX206" s="215">
        <v>45092</v>
      </c>
      <c r="AY206" s="48">
        <v>1288</v>
      </c>
      <c r="AZ206" s="48">
        <v>50</v>
      </c>
      <c r="BA206" s="48">
        <v>1338</v>
      </c>
      <c r="BB206" s="48">
        <v>96.26</v>
      </c>
      <c r="BC206" s="246">
        <f t="shared" si="75"/>
        <v>1.338E-3</v>
      </c>
      <c r="BE206" s="215">
        <v>45092</v>
      </c>
      <c r="BF206" s="48">
        <v>3522</v>
      </c>
      <c r="BG206" s="48">
        <v>28</v>
      </c>
      <c r="BH206" s="48">
        <v>3550</v>
      </c>
      <c r="BI206" s="48">
        <v>99.21</v>
      </c>
      <c r="BJ206" s="71">
        <f t="shared" si="83"/>
        <v>3.5500000000000002E-3</v>
      </c>
      <c r="BL206" s="215">
        <v>45092</v>
      </c>
      <c r="BM206" s="48">
        <v>3380</v>
      </c>
      <c r="BN206" s="48">
        <v>0</v>
      </c>
      <c r="BO206" s="48">
        <v>3380</v>
      </c>
      <c r="BP206" s="48">
        <v>100</v>
      </c>
      <c r="BQ206" s="71">
        <f t="shared" si="74"/>
        <v>3.3800000000000002E-3</v>
      </c>
      <c r="BR206" s="178"/>
      <c r="BS206" s="71"/>
      <c r="BT206" s="71"/>
      <c r="BU206" s="71"/>
      <c r="BV206" s="71"/>
      <c r="BW206" s="71"/>
      <c r="BX206" s="178"/>
      <c r="BY206" s="178"/>
      <c r="BZ206" s="71"/>
      <c r="CA206" s="48"/>
      <c r="CB206" s="48"/>
      <c r="CC206" s="71"/>
      <c r="CD206" s="178"/>
      <c r="CE206" s="215">
        <v>45092</v>
      </c>
      <c r="CF206" s="1">
        <v>11356446</v>
      </c>
      <c r="CG206" s="1">
        <v>58826</v>
      </c>
      <c r="CH206" s="1">
        <v>11415272</v>
      </c>
      <c r="CI206" s="71">
        <f t="shared" si="77"/>
        <v>99.484672813753363</v>
      </c>
      <c r="CJ206" s="71">
        <f t="shared" si="80"/>
        <v>11.415272</v>
      </c>
      <c r="CL206" s="140">
        <v>44991</v>
      </c>
      <c r="CM206" t="s">
        <v>237</v>
      </c>
      <c r="CN206">
        <v>3140</v>
      </c>
    </row>
    <row r="207" spans="1:92" hidden="1" x14ac:dyDescent="0.25">
      <c r="A207" s="215">
        <v>45093</v>
      </c>
      <c r="B207" s="48">
        <v>5672112</v>
      </c>
      <c r="C207" s="48">
        <v>19356</v>
      </c>
      <c r="D207" s="48">
        <v>5691468</v>
      </c>
      <c r="E207" s="48">
        <v>99.66</v>
      </c>
      <c r="F207" s="71">
        <f t="shared" si="84"/>
        <v>5.6914680000000004</v>
      </c>
      <c r="H207" s="215">
        <v>45093</v>
      </c>
      <c r="I207" s="48">
        <v>1856122</v>
      </c>
      <c r="J207" s="48">
        <v>7136</v>
      </c>
      <c r="K207" s="48">
        <v>1863258</v>
      </c>
      <c r="L207" s="48">
        <v>99.62</v>
      </c>
      <c r="M207" s="71">
        <f t="shared" si="85"/>
        <v>1.8632580000000001</v>
      </c>
      <c r="O207" s="215">
        <v>45093</v>
      </c>
      <c r="P207" s="48">
        <v>574932</v>
      </c>
      <c r="Q207" s="48">
        <v>4372</v>
      </c>
      <c r="R207" s="48">
        <v>579304</v>
      </c>
      <c r="S207" s="48">
        <v>99.25</v>
      </c>
      <c r="T207" s="71">
        <f t="shared" si="81"/>
        <v>0.57930400000000004</v>
      </c>
      <c r="V207" s="215">
        <v>45093</v>
      </c>
      <c r="W207" s="48">
        <v>1070980</v>
      </c>
      <c r="X207" s="48">
        <v>206</v>
      </c>
      <c r="Y207" s="48">
        <v>1071186</v>
      </c>
      <c r="Z207" s="48">
        <v>99.98</v>
      </c>
      <c r="AA207" s="71">
        <f t="shared" si="78"/>
        <v>1.071186</v>
      </c>
      <c r="AC207" s="215">
        <v>45093</v>
      </c>
      <c r="AD207" s="48">
        <v>696640</v>
      </c>
      <c r="AE207" s="48">
        <v>98</v>
      </c>
      <c r="AF207" s="48">
        <v>696738</v>
      </c>
      <c r="AG207" s="48">
        <v>99.99</v>
      </c>
      <c r="AH207" s="71">
        <f t="shared" si="82"/>
        <v>0.69673799999999997</v>
      </c>
      <c r="AJ207" s="215">
        <v>45093</v>
      </c>
      <c r="AK207" s="48">
        <v>90</v>
      </c>
      <c r="AL207" s="48">
        <v>0</v>
      </c>
      <c r="AM207" s="48">
        <v>90</v>
      </c>
      <c r="AN207" s="48">
        <v>100</v>
      </c>
      <c r="AO207" s="246">
        <f t="shared" si="79"/>
        <v>9.0000000000000006E-5</v>
      </c>
      <c r="AQ207" s="215">
        <v>45093</v>
      </c>
      <c r="AR207" s="48">
        <v>4496</v>
      </c>
      <c r="AS207" s="48">
        <v>408</v>
      </c>
      <c r="AT207" s="48">
        <v>4904</v>
      </c>
      <c r="AU207" s="48">
        <v>91.68</v>
      </c>
      <c r="AV207" s="246">
        <f t="shared" si="76"/>
        <v>4.9040000000000004E-3</v>
      </c>
      <c r="AX207" s="215">
        <v>45093</v>
      </c>
      <c r="AY207" s="48">
        <v>1282</v>
      </c>
      <c r="AZ207" s="48">
        <v>66</v>
      </c>
      <c r="BA207" s="48">
        <v>1348</v>
      </c>
      <c r="BB207" s="48">
        <v>95.1</v>
      </c>
      <c r="BC207" s="246">
        <f t="shared" si="75"/>
        <v>1.348E-3</v>
      </c>
      <c r="BE207" s="215">
        <v>45093</v>
      </c>
      <c r="BF207" s="48">
        <v>3342</v>
      </c>
      <c r="BG207" s="48">
        <v>34</v>
      </c>
      <c r="BH207" s="48">
        <v>3376</v>
      </c>
      <c r="BI207" s="48">
        <v>98.99</v>
      </c>
      <c r="BJ207" s="71">
        <f t="shared" si="83"/>
        <v>3.3760000000000001E-3</v>
      </c>
      <c r="BL207" s="215">
        <v>45093</v>
      </c>
      <c r="BM207" s="48">
        <v>2292</v>
      </c>
      <c r="BN207" s="48">
        <v>0</v>
      </c>
      <c r="BO207" s="48">
        <v>2292</v>
      </c>
      <c r="BP207" s="48">
        <v>100</v>
      </c>
      <c r="BQ207" s="71">
        <f t="shared" si="74"/>
        <v>2.2920000000000002E-3</v>
      </c>
      <c r="BR207" s="178"/>
      <c r="BS207" s="71"/>
      <c r="BT207" s="71"/>
      <c r="BU207" s="71"/>
      <c r="BV207" s="71"/>
      <c r="BW207" s="71"/>
      <c r="BX207" s="178"/>
      <c r="BY207" s="178"/>
      <c r="BZ207" s="71"/>
      <c r="CA207" s="48"/>
      <c r="CB207" s="48"/>
      <c r="CC207" s="71"/>
      <c r="CD207" s="178"/>
      <c r="CE207" s="215">
        <v>45093</v>
      </c>
      <c r="CF207" s="1">
        <v>11273666</v>
      </c>
      <c r="CG207" s="1">
        <v>45282</v>
      </c>
      <c r="CH207" s="1">
        <v>11318948</v>
      </c>
      <c r="CI207" s="71">
        <f t="shared" si="77"/>
        <v>99.599945153913595</v>
      </c>
      <c r="CJ207" s="71">
        <f t="shared" si="80"/>
        <v>11.318948000000001</v>
      </c>
      <c r="CL207" s="140">
        <v>44991</v>
      </c>
      <c r="CM207" t="s">
        <v>244</v>
      </c>
      <c r="CN207">
        <v>580</v>
      </c>
    </row>
    <row r="208" spans="1:92" hidden="1" x14ac:dyDescent="0.25">
      <c r="A208" s="215">
        <v>45094</v>
      </c>
      <c r="B208" s="48">
        <v>5213680</v>
      </c>
      <c r="C208" s="48">
        <v>15212</v>
      </c>
      <c r="D208" s="48">
        <v>5228892</v>
      </c>
      <c r="E208" s="48">
        <v>99.71</v>
      </c>
      <c r="F208" s="71">
        <f t="shared" si="84"/>
        <v>5.2288920000000001</v>
      </c>
      <c r="H208" s="215">
        <v>45094</v>
      </c>
      <c r="I208" s="48">
        <v>1571792</v>
      </c>
      <c r="J208" s="48">
        <v>1948</v>
      </c>
      <c r="K208" s="48">
        <v>1573740</v>
      </c>
      <c r="L208" s="48">
        <v>99.88</v>
      </c>
      <c r="M208" s="71">
        <f t="shared" si="85"/>
        <v>1.5737399999999999</v>
      </c>
      <c r="O208" s="215">
        <v>45094</v>
      </c>
      <c r="P208" s="48">
        <v>554982</v>
      </c>
      <c r="Q208" s="48">
        <v>4060</v>
      </c>
      <c r="R208" s="48">
        <v>559042</v>
      </c>
      <c r="S208" s="48">
        <v>99.27</v>
      </c>
      <c r="T208" s="71">
        <f t="shared" si="81"/>
        <v>0.55904200000000004</v>
      </c>
      <c r="V208" s="215">
        <v>45094</v>
      </c>
      <c r="W208" s="48">
        <v>1003708</v>
      </c>
      <c r="X208" s="48">
        <v>170</v>
      </c>
      <c r="Y208" s="48">
        <v>1003878</v>
      </c>
      <c r="Z208" s="48">
        <v>99.98</v>
      </c>
      <c r="AA208" s="71">
        <f t="shared" si="78"/>
        <v>1.003878</v>
      </c>
      <c r="AC208" s="215">
        <v>45094</v>
      </c>
      <c r="AD208" s="48">
        <v>672394</v>
      </c>
      <c r="AE208" s="48">
        <v>96</v>
      </c>
      <c r="AF208" s="48">
        <v>672490</v>
      </c>
      <c r="AG208" s="48">
        <v>99.99</v>
      </c>
      <c r="AH208" s="71">
        <f t="shared" si="82"/>
        <v>0.67249000000000003</v>
      </c>
      <c r="AJ208" s="215">
        <v>45094</v>
      </c>
      <c r="AK208" s="48">
        <v>62</v>
      </c>
      <c r="AL208" s="48">
        <v>0</v>
      </c>
      <c r="AM208" s="48">
        <v>62</v>
      </c>
      <c r="AN208" s="48">
        <v>100</v>
      </c>
      <c r="AO208" s="246">
        <f t="shared" si="79"/>
        <v>6.2000000000000003E-5</v>
      </c>
      <c r="AQ208" s="215">
        <v>45094</v>
      </c>
      <c r="AR208" s="48">
        <v>1466</v>
      </c>
      <c r="AS208" s="48">
        <v>2</v>
      </c>
      <c r="AT208" s="48">
        <v>1468</v>
      </c>
      <c r="AU208" s="48">
        <v>99.86</v>
      </c>
      <c r="AV208" s="246">
        <f t="shared" si="76"/>
        <v>1.4679999999999999E-3</v>
      </c>
      <c r="AX208" s="215">
        <v>45094</v>
      </c>
      <c r="AY208" s="48">
        <v>880</v>
      </c>
      <c r="AZ208" s="48">
        <v>8</v>
      </c>
      <c r="BA208" s="48">
        <v>888</v>
      </c>
      <c r="BB208" s="48">
        <v>99.1</v>
      </c>
      <c r="BC208" s="246">
        <f t="shared" si="75"/>
        <v>8.8800000000000001E-4</v>
      </c>
      <c r="BE208" s="215">
        <v>45094</v>
      </c>
      <c r="BF208" s="48">
        <v>2610</v>
      </c>
      <c r="BG208" s="48">
        <v>8</v>
      </c>
      <c r="BH208" s="48">
        <v>2618</v>
      </c>
      <c r="BI208" s="48">
        <v>99.69</v>
      </c>
      <c r="BJ208" s="71">
        <f t="shared" si="83"/>
        <v>2.6180000000000001E-3</v>
      </c>
      <c r="BL208" s="215">
        <v>45094</v>
      </c>
      <c r="BM208" s="48">
        <v>5384</v>
      </c>
      <c r="BN208" s="48">
        <v>0</v>
      </c>
      <c r="BO208" s="48">
        <v>5384</v>
      </c>
      <c r="BP208" s="48">
        <v>100</v>
      </c>
      <c r="BQ208" s="71">
        <f t="shared" si="74"/>
        <v>5.3839999999999999E-3</v>
      </c>
      <c r="BR208" s="178"/>
      <c r="BS208" s="71"/>
      <c r="BT208" s="71"/>
      <c r="BU208" s="71"/>
      <c r="BV208" s="71"/>
      <c r="BW208" s="71"/>
      <c r="BX208" s="178"/>
      <c r="BY208" s="178"/>
      <c r="BZ208" s="71"/>
      <c r="CA208" s="48"/>
      <c r="CB208" s="48"/>
      <c r="CC208" s="71"/>
      <c r="CD208" s="178"/>
      <c r="CE208" s="215">
        <v>45094</v>
      </c>
      <c r="CF208" s="1">
        <v>10379510</v>
      </c>
      <c r="CG208" s="1">
        <v>35714</v>
      </c>
      <c r="CH208" s="1">
        <v>10415224</v>
      </c>
      <c r="CI208" s="71">
        <f t="shared" si="77"/>
        <v>99.657098109459767</v>
      </c>
      <c r="CJ208" s="71">
        <f t="shared" si="80"/>
        <v>10.415224</v>
      </c>
      <c r="CL208" s="140">
        <v>44992</v>
      </c>
      <c r="CM208" t="s">
        <v>245</v>
      </c>
      <c r="CN208">
        <v>15502</v>
      </c>
    </row>
    <row r="209" spans="1:93" hidden="1" x14ac:dyDescent="0.25">
      <c r="A209" s="215">
        <v>45095</v>
      </c>
      <c r="B209" s="48">
        <v>4568600</v>
      </c>
      <c r="C209" s="48">
        <v>30304</v>
      </c>
      <c r="D209" s="48">
        <v>4598904</v>
      </c>
      <c r="E209" s="48">
        <v>99.34</v>
      </c>
      <c r="F209" s="71">
        <f t="shared" si="84"/>
        <v>4.5989040000000001</v>
      </c>
      <c r="H209" s="215">
        <v>45095</v>
      </c>
      <c r="I209" s="48">
        <v>1706294</v>
      </c>
      <c r="J209" s="48">
        <v>2440</v>
      </c>
      <c r="K209" s="48">
        <v>1708734</v>
      </c>
      <c r="L209" s="48">
        <v>99.86</v>
      </c>
      <c r="M209" s="71">
        <f t="shared" si="85"/>
        <v>1.708734</v>
      </c>
      <c r="O209" s="215">
        <v>45095</v>
      </c>
      <c r="P209" s="48">
        <v>572030</v>
      </c>
      <c r="Q209" s="48">
        <v>19082</v>
      </c>
      <c r="R209" s="48">
        <v>591112</v>
      </c>
      <c r="S209" s="48">
        <v>96.77</v>
      </c>
      <c r="T209" s="71">
        <f t="shared" si="81"/>
        <v>0.59111199999999997</v>
      </c>
      <c r="V209" s="215">
        <v>45095</v>
      </c>
      <c r="W209" s="48">
        <v>983576</v>
      </c>
      <c r="X209" s="48">
        <v>158</v>
      </c>
      <c r="Y209" s="48">
        <v>983734</v>
      </c>
      <c r="Z209" s="48">
        <v>99.98</v>
      </c>
      <c r="AA209" s="71">
        <f t="shared" si="78"/>
        <v>0.983734</v>
      </c>
      <c r="AC209" s="215">
        <v>45095</v>
      </c>
      <c r="AD209" s="48">
        <v>723510</v>
      </c>
      <c r="AE209" s="48">
        <v>96</v>
      </c>
      <c r="AF209" s="48">
        <v>723606</v>
      </c>
      <c r="AG209" s="48">
        <v>99.99</v>
      </c>
      <c r="AH209" s="71">
        <f t="shared" si="82"/>
        <v>0.72360599999999997</v>
      </c>
      <c r="AJ209" s="215">
        <v>45095</v>
      </c>
      <c r="AK209" s="48">
        <v>44</v>
      </c>
      <c r="AL209" s="48">
        <v>0</v>
      </c>
      <c r="AM209" s="48">
        <v>44</v>
      </c>
      <c r="AN209" s="48">
        <v>100</v>
      </c>
      <c r="AO209" s="246">
        <f t="shared" si="79"/>
        <v>4.3999999999999999E-5</v>
      </c>
      <c r="AQ209" s="215">
        <v>45095</v>
      </c>
      <c r="AR209" s="48">
        <v>958</v>
      </c>
      <c r="AS209" s="48">
        <v>0</v>
      </c>
      <c r="AT209" s="48">
        <v>958</v>
      </c>
      <c r="AU209" s="48">
        <v>100</v>
      </c>
      <c r="AV209" s="246">
        <f t="shared" si="76"/>
        <v>9.5799999999999998E-4</v>
      </c>
      <c r="AX209" s="215">
        <v>45095</v>
      </c>
      <c r="AY209" s="48">
        <v>0</v>
      </c>
      <c r="AZ209" s="48">
        <v>156</v>
      </c>
      <c r="BA209" s="48">
        <v>156</v>
      </c>
      <c r="BB209" s="48">
        <v>0</v>
      </c>
      <c r="BC209" s="246">
        <f t="shared" si="75"/>
        <v>1.56E-4</v>
      </c>
      <c r="BE209" s="215">
        <v>45095</v>
      </c>
      <c r="BF209" s="48">
        <v>2276</v>
      </c>
      <c r="BG209" s="48">
        <v>26</v>
      </c>
      <c r="BH209" s="48">
        <v>2302</v>
      </c>
      <c r="BI209" s="48">
        <v>98.87</v>
      </c>
      <c r="BJ209" s="71">
        <f t="shared" si="83"/>
        <v>2.3019999999999998E-3</v>
      </c>
      <c r="BL209" s="215">
        <v>45095</v>
      </c>
      <c r="BM209" s="48">
        <v>3118</v>
      </c>
      <c r="BN209" s="48">
        <v>0</v>
      </c>
      <c r="BO209" s="48">
        <v>3118</v>
      </c>
      <c r="BP209" s="48">
        <v>100</v>
      </c>
      <c r="BQ209" s="71">
        <f t="shared" si="74"/>
        <v>3.1180000000000001E-3</v>
      </c>
      <c r="BR209" s="178"/>
      <c r="BS209" s="71"/>
      <c r="BT209" s="71"/>
      <c r="BU209" s="71"/>
      <c r="BV209" s="71"/>
      <c r="BW209" s="71"/>
      <c r="BX209" s="178"/>
      <c r="BY209" s="178"/>
      <c r="BZ209" s="71"/>
      <c r="CA209" s="48"/>
      <c r="CB209" s="48"/>
      <c r="CC209" s="71"/>
      <c r="CD209" s="178"/>
      <c r="CE209" s="215">
        <v>45095</v>
      </c>
      <c r="CF209" s="1">
        <v>9816362</v>
      </c>
      <c r="CG209" s="1">
        <v>69426</v>
      </c>
      <c r="CH209" s="1">
        <v>9885788</v>
      </c>
      <c r="CI209" s="71">
        <f t="shared" si="77"/>
        <v>99.297719109493343</v>
      </c>
      <c r="CJ209" s="71">
        <f t="shared" si="80"/>
        <v>9.8857879999999998</v>
      </c>
      <c r="CL209" s="140">
        <v>44992</v>
      </c>
      <c r="CM209" t="s">
        <v>240</v>
      </c>
      <c r="CN209">
        <v>5540</v>
      </c>
    </row>
    <row r="210" spans="1:93" hidden="1" x14ac:dyDescent="0.25">
      <c r="A210" s="215">
        <v>45096</v>
      </c>
      <c r="B210" s="48">
        <v>5144112</v>
      </c>
      <c r="C210" s="48">
        <v>43200</v>
      </c>
      <c r="D210" s="48">
        <v>5187312</v>
      </c>
      <c r="E210" s="48">
        <v>99.17</v>
      </c>
      <c r="F210" s="71">
        <f t="shared" si="84"/>
        <v>5.1873120000000004</v>
      </c>
      <c r="H210" s="215">
        <v>45096</v>
      </c>
      <c r="I210" s="48">
        <v>1724252</v>
      </c>
      <c r="J210" s="48">
        <v>2552</v>
      </c>
      <c r="K210" s="48">
        <v>1726804</v>
      </c>
      <c r="L210" s="48">
        <v>99.85</v>
      </c>
      <c r="M210" s="71">
        <f t="shared" si="85"/>
        <v>1.726804</v>
      </c>
      <c r="O210" s="215">
        <v>45096</v>
      </c>
      <c r="P210" s="48">
        <v>589216</v>
      </c>
      <c r="Q210" s="48">
        <v>4388</v>
      </c>
      <c r="R210" s="48">
        <v>593604</v>
      </c>
      <c r="S210" s="48">
        <v>99.26</v>
      </c>
      <c r="T210" s="71">
        <f t="shared" si="81"/>
        <v>0.59360400000000002</v>
      </c>
      <c r="V210" s="215">
        <v>45096</v>
      </c>
      <c r="W210" s="48">
        <v>987878</v>
      </c>
      <c r="X210" s="48">
        <v>166</v>
      </c>
      <c r="Y210" s="48">
        <v>988044</v>
      </c>
      <c r="Z210" s="48">
        <v>99.98</v>
      </c>
      <c r="AA210" s="71">
        <f t="shared" si="78"/>
        <v>0.98804400000000003</v>
      </c>
      <c r="AC210" s="215">
        <v>45096</v>
      </c>
      <c r="AD210" s="48">
        <v>647276</v>
      </c>
      <c r="AE210" s="48">
        <v>44</v>
      </c>
      <c r="AF210" s="48">
        <v>647320</v>
      </c>
      <c r="AG210" s="48">
        <v>99.99</v>
      </c>
      <c r="AH210" s="71">
        <f t="shared" si="82"/>
        <v>0.64732000000000001</v>
      </c>
      <c r="AJ210" s="215">
        <v>45096</v>
      </c>
      <c r="AK210" s="48">
        <v>64</v>
      </c>
      <c r="AL210" s="48">
        <v>0</v>
      </c>
      <c r="AM210" s="48">
        <v>64</v>
      </c>
      <c r="AN210" s="48">
        <v>100</v>
      </c>
      <c r="AO210" s="246">
        <f t="shared" si="79"/>
        <v>6.3999999999999997E-5</v>
      </c>
      <c r="AQ210" s="215">
        <v>45096</v>
      </c>
      <c r="AR210" s="48">
        <v>1428</v>
      </c>
      <c r="AS210" s="48">
        <v>2</v>
      </c>
      <c r="AT210" s="48">
        <v>1430</v>
      </c>
      <c r="AU210" s="48">
        <v>99.86</v>
      </c>
      <c r="AV210" s="246">
        <f t="shared" si="76"/>
        <v>1.4300000000000001E-3</v>
      </c>
      <c r="AX210" s="215">
        <v>45096</v>
      </c>
      <c r="AY210" s="48">
        <v>2006</v>
      </c>
      <c r="AZ210" s="48">
        <v>62</v>
      </c>
      <c r="BA210" s="48">
        <v>2068</v>
      </c>
      <c r="BB210" s="48">
        <v>97</v>
      </c>
      <c r="BC210" s="246">
        <f t="shared" si="75"/>
        <v>2.068E-3</v>
      </c>
      <c r="BE210" s="215">
        <v>45096</v>
      </c>
      <c r="BF210" s="48">
        <v>2802</v>
      </c>
      <c r="BG210" s="48">
        <v>22</v>
      </c>
      <c r="BH210" s="48">
        <v>2824</v>
      </c>
      <c r="BI210" s="48">
        <v>99.22</v>
      </c>
      <c r="BJ210" s="71">
        <f t="shared" si="83"/>
        <v>2.8240000000000001E-3</v>
      </c>
      <c r="BL210" s="215">
        <v>45096</v>
      </c>
      <c r="BM210" s="48">
        <v>3466</v>
      </c>
      <c r="BN210" s="48">
        <v>0</v>
      </c>
      <c r="BO210" s="48">
        <v>3466</v>
      </c>
      <c r="BP210" s="48">
        <v>100</v>
      </c>
      <c r="BQ210" s="71">
        <f t="shared" si="74"/>
        <v>3.4659999999999999E-3</v>
      </c>
      <c r="BR210" s="178"/>
      <c r="BS210" s="71"/>
      <c r="BT210" s="71"/>
      <c r="BU210" s="71"/>
      <c r="BV210" s="71"/>
      <c r="BW210" s="71"/>
      <c r="BX210" s="178"/>
      <c r="BY210" s="178"/>
      <c r="BZ210" s="71"/>
      <c r="CA210" s="48"/>
      <c r="CB210" s="48"/>
      <c r="CC210" s="71"/>
      <c r="CD210" s="178"/>
      <c r="CE210" s="215">
        <v>45096</v>
      </c>
      <c r="CF210" s="1">
        <v>10412072</v>
      </c>
      <c r="CG210" s="1">
        <v>74064</v>
      </c>
      <c r="CH210" s="1">
        <v>10486136</v>
      </c>
      <c r="CI210" s="71">
        <f t="shared" si="77"/>
        <v>99.293695981055365</v>
      </c>
      <c r="CJ210" s="71">
        <f t="shared" si="80"/>
        <v>10.486136</v>
      </c>
      <c r="CL210" s="140">
        <v>44992</v>
      </c>
      <c r="CM210" t="s">
        <v>237</v>
      </c>
      <c r="CN210">
        <v>3334</v>
      </c>
    </row>
    <row r="211" spans="1:93" hidden="1" x14ac:dyDescent="0.25">
      <c r="A211" s="215">
        <v>45097</v>
      </c>
      <c r="B211" s="48">
        <v>5427556</v>
      </c>
      <c r="C211" s="48">
        <v>37134</v>
      </c>
      <c r="D211" s="48">
        <v>5464690</v>
      </c>
      <c r="E211" s="48">
        <v>99.32</v>
      </c>
      <c r="F211" s="71">
        <f t="shared" si="84"/>
        <v>5.46469</v>
      </c>
      <c r="H211" s="215">
        <v>45097</v>
      </c>
      <c r="I211" s="48">
        <v>2057222</v>
      </c>
      <c r="J211" s="48">
        <v>2798</v>
      </c>
      <c r="K211" s="48">
        <v>2060020</v>
      </c>
      <c r="L211" s="48">
        <v>99.86</v>
      </c>
      <c r="M211" s="71">
        <f t="shared" si="85"/>
        <v>2.0600200000000002</v>
      </c>
      <c r="O211" s="215">
        <v>45097</v>
      </c>
      <c r="P211" s="48">
        <v>617810</v>
      </c>
      <c r="Q211" s="48">
        <v>6300</v>
      </c>
      <c r="R211" s="48">
        <v>624110</v>
      </c>
      <c r="S211" s="48">
        <v>98.99</v>
      </c>
      <c r="T211" s="71">
        <f t="shared" si="81"/>
        <v>0.62411000000000005</v>
      </c>
      <c r="V211" s="215">
        <v>45097</v>
      </c>
      <c r="W211" s="48">
        <v>1013486</v>
      </c>
      <c r="X211" s="48">
        <v>178</v>
      </c>
      <c r="Y211" s="48">
        <v>1013664</v>
      </c>
      <c r="Z211" s="48">
        <v>99.98</v>
      </c>
      <c r="AA211" s="71">
        <f t="shared" si="78"/>
        <v>1.0136639999999999</v>
      </c>
      <c r="AC211" s="215">
        <v>45097</v>
      </c>
      <c r="AD211" s="48">
        <v>638056</v>
      </c>
      <c r="AE211" s="48">
        <v>50</v>
      </c>
      <c r="AF211" s="48">
        <v>638106</v>
      </c>
      <c r="AG211" s="48">
        <v>99.99</v>
      </c>
      <c r="AH211" s="71">
        <f t="shared" si="82"/>
        <v>0.63810599999999995</v>
      </c>
      <c r="AJ211" s="215">
        <v>45097</v>
      </c>
      <c r="AK211" s="48">
        <v>104</v>
      </c>
      <c r="AL211" s="48">
        <v>0</v>
      </c>
      <c r="AM211" s="48">
        <v>104</v>
      </c>
      <c r="AN211" s="48">
        <v>100</v>
      </c>
      <c r="AO211" s="246">
        <f t="shared" si="79"/>
        <v>1.0399999999999999E-4</v>
      </c>
      <c r="AQ211" s="215">
        <v>45097</v>
      </c>
      <c r="AR211" s="48">
        <v>2106</v>
      </c>
      <c r="AS211" s="48">
        <v>8</v>
      </c>
      <c r="AT211" s="48">
        <v>2114</v>
      </c>
      <c r="AU211" s="48">
        <v>99.62</v>
      </c>
      <c r="AV211" s="246">
        <f t="shared" si="76"/>
        <v>2.114E-3</v>
      </c>
      <c r="AX211" s="215">
        <v>45097</v>
      </c>
      <c r="AY211" s="48">
        <v>1738</v>
      </c>
      <c r="AZ211" s="48">
        <v>12</v>
      </c>
      <c r="BA211" s="48">
        <v>1750</v>
      </c>
      <c r="BB211" s="48">
        <v>99.31</v>
      </c>
      <c r="BC211" s="246">
        <f t="shared" si="75"/>
        <v>1.75E-3</v>
      </c>
      <c r="BE211" s="215">
        <v>45097</v>
      </c>
      <c r="BF211" s="48">
        <v>3160</v>
      </c>
      <c r="BG211" s="48">
        <v>34</v>
      </c>
      <c r="BH211" s="48">
        <v>3194</v>
      </c>
      <c r="BI211" s="48">
        <v>98.94</v>
      </c>
      <c r="BJ211" s="71">
        <f t="shared" si="83"/>
        <v>3.1939999999999998E-3</v>
      </c>
      <c r="BL211" s="215">
        <v>45097</v>
      </c>
      <c r="BM211" s="48">
        <v>2860</v>
      </c>
      <c r="BN211" s="48">
        <v>0</v>
      </c>
      <c r="BO211" s="48">
        <v>2860</v>
      </c>
      <c r="BP211" s="48">
        <v>100</v>
      </c>
      <c r="BQ211" s="71">
        <f t="shared" si="74"/>
        <v>2.8600000000000001E-3</v>
      </c>
      <c r="BR211" s="178"/>
      <c r="BS211" s="71"/>
      <c r="BT211" s="71"/>
      <c r="BU211" s="71"/>
      <c r="BV211" s="71"/>
      <c r="BW211" s="71"/>
      <c r="BX211" s="178"/>
      <c r="BY211" s="178"/>
      <c r="BZ211" s="71"/>
      <c r="CA211" s="48"/>
      <c r="CB211" s="48"/>
      <c r="CC211" s="71"/>
      <c r="CD211" s="178"/>
      <c r="CE211" s="215">
        <v>45097</v>
      </c>
      <c r="CF211" s="1">
        <v>11087938</v>
      </c>
      <c r="CG211" s="1">
        <v>64786</v>
      </c>
      <c r="CH211" s="1">
        <v>11152724</v>
      </c>
      <c r="CI211" s="71">
        <f t="shared" si="77"/>
        <v>99.419101557610489</v>
      </c>
      <c r="CJ211" s="71">
        <f t="shared" si="80"/>
        <v>11.152723999999999</v>
      </c>
      <c r="CL211" s="140">
        <v>44992</v>
      </c>
      <c r="CM211" t="s">
        <v>239</v>
      </c>
      <c r="CN211">
        <v>2642</v>
      </c>
    </row>
    <row r="212" spans="1:93" hidden="1" x14ac:dyDescent="0.25">
      <c r="A212" s="215">
        <v>45098</v>
      </c>
      <c r="B212" s="48">
        <v>5044648</v>
      </c>
      <c r="C212" s="48">
        <v>23072</v>
      </c>
      <c r="D212" s="48">
        <v>5067720</v>
      </c>
      <c r="E212" s="48">
        <v>99.54</v>
      </c>
      <c r="F212" s="71">
        <f t="shared" si="84"/>
        <v>5.0677199999999996</v>
      </c>
      <c r="H212" s="215">
        <v>45098</v>
      </c>
      <c r="I212" s="48">
        <v>1533220</v>
      </c>
      <c r="J212" s="48">
        <v>1946</v>
      </c>
      <c r="K212" s="48">
        <v>1535166</v>
      </c>
      <c r="L212" s="48">
        <v>99.87</v>
      </c>
      <c r="M212" s="71">
        <f t="shared" si="85"/>
        <v>1.535166</v>
      </c>
      <c r="O212" s="215">
        <v>45098</v>
      </c>
      <c r="P212" s="48">
        <v>544806</v>
      </c>
      <c r="Q212" s="48">
        <v>4358</v>
      </c>
      <c r="R212" s="48">
        <v>549164</v>
      </c>
      <c r="S212" s="48">
        <v>99.21</v>
      </c>
      <c r="T212" s="71">
        <f t="shared" si="81"/>
        <v>0.54916399999999999</v>
      </c>
      <c r="V212" s="215">
        <v>45098</v>
      </c>
      <c r="W212" s="48">
        <v>948740</v>
      </c>
      <c r="X212" s="48">
        <v>174</v>
      </c>
      <c r="Y212" s="48">
        <v>948914</v>
      </c>
      <c r="Z212" s="48">
        <v>99.98</v>
      </c>
      <c r="AA212" s="71">
        <f t="shared" si="78"/>
        <v>0.94891400000000004</v>
      </c>
      <c r="AC212" s="215">
        <v>45098</v>
      </c>
      <c r="AD212" s="48">
        <v>658440</v>
      </c>
      <c r="AE212" s="48">
        <v>64</v>
      </c>
      <c r="AF212" s="48">
        <v>658504</v>
      </c>
      <c r="AG212" s="48">
        <v>99.99</v>
      </c>
      <c r="AH212" s="71">
        <f t="shared" si="82"/>
        <v>0.65850399999999998</v>
      </c>
      <c r="AJ212" s="215">
        <v>45098</v>
      </c>
      <c r="AK212" s="48">
        <v>122</v>
      </c>
      <c r="AL212" s="48">
        <v>2</v>
      </c>
      <c r="AM212" s="48">
        <v>124</v>
      </c>
      <c r="AN212" s="48">
        <v>98.39</v>
      </c>
      <c r="AO212" s="246">
        <f t="shared" si="79"/>
        <v>1.2400000000000001E-4</v>
      </c>
      <c r="AQ212" s="215">
        <v>45098</v>
      </c>
      <c r="AR212" s="48">
        <v>2102</v>
      </c>
      <c r="AS212" s="48">
        <v>10</v>
      </c>
      <c r="AT212" s="48">
        <v>2112</v>
      </c>
      <c r="AU212" s="48">
        <v>99.53</v>
      </c>
      <c r="AV212" s="246">
        <f t="shared" si="76"/>
        <v>2.1120000000000002E-3</v>
      </c>
      <c r="AX212" s="215">
        <v>45098</v>
      </c>
      <c r="AY212" s="48">
        <v>1480</v>
      </c>
      <c r="AZ212" s="48">
        <v>108</v>
      </c>
      <c r="BA212" s="48">
        <v>1588</v>
      </c>
      <c r="BB212" s="48">
        <v>93.2</v>
      </c>
      <c r="BC212" s="246">
        <f t="shared" si="75"/>
        <v>1.588E-3</v>
      </c>
      <c r="BE212" s="215">
        <v>45098</v>
      </c>
      <c r="BF212" s="48">
        <v>3618</v>
      </c>
      <c r="BG212" s="48">
        <v>22</v>
      </c>
      <c r="BH212" s="48">
        <v>3640</v>
      </c>
      <c r="BI212" s="48">
        <v>99.4</v>
      </c>
      <c r="BJ212" s="71">
        <f t="shared" si="83"/>
        <v>3.64E-3</v>
      </c>
      <c r="BL212" s="215">
        <v>45098</v>
      </c>
      <c r="BM212" s="48">
        <v>3192</v>
      </c>
      <c r="BN212" s="48">
        <v>0</v>
      </c>
      <c r="BO212" s="48">
        <v>3192</v>
      </c>
      <c r="BP212" s="48">
        <v>100</v>
      </c>
      <c r="BQ212" s="71">
        <f t="shared" si="74"/>
        <v>3.192E-3</v>
      </c>
      <c r="BR212" s="178"/>
      <c r="BS212" s="71"/>
      <c r="BT212" s="71"/>
      <c r="BU212" s="71"/>
      <c r="BV212" s="71"/>
      <c r="BW212" s="71"/>
      <c r="BX212" s="178"/>
      <c r="BY212" s="178"/>
      <c r="BZ212" s="71"/>
      <c r="CA212" s="48"/>
      <c r="CB212" s="48"/>
      <c r="CC212" s="71"/>
      <c r="CD212" s="178"/>
      <c r="CE212" s="215">
        <v>45098</v>
      </c>
      <c r="CF212" s="1">
        <v>9935390</v>
      </c>
      <c r="CG212" s="1">
        <v>42146</v>
      </c>
      <c r="CH212" s="1">
        <v>9977536</v>
      </c>
      <c r="CI212" s="71">
        <f t="shared" si="77"/>
        <v>99.57759110064849</v>
      </c>
      <c r="CJ212" s="71">
        <f t="shared" si="80"/>
        <v>9.9775360000000006</v>
      </c>
      <c r="CL212" s="140">
        <v>44992</v>
      </c>
      <c r="CM212" t="s">
        <v>244</v>
      </c>
      <c r="CN212">
        <v>528</v>
      </c>
    </row>
    <row r="213" spans="1:93" hidden="1" x14ac:dyDescent="0.25">
      <c r="A213" s="215">
        <v>45099</v>
      </c>
      <c r="B213" s="48">
        <v>3058308</v>
      </c>
      <c r="C213" s="48">
        <v>11078</v>
      </c>
      <c r="D213" s="48">
        <v>3069386</v>
      </c>
      <c r="E213" s="48">
        <v>99.64</v>
      </c>
      <c r="F213" s="71">
        <f t="shared" si="84"/>
        <v>3.0693860000000002</v>
      </c>
      <c r="H213" s="215">
        <v>45099</v>
      </c>
      <c r="I213" s="48">
        <v>825624</v>
      </c>
      <c r="J213" s="48">
        <v>1114</v>
      </c>
      <c r="K213" s="48">
        <v>826738</v>
      </c>
      <c r="L213" s="48">
        <v>99.87</v>
      </c>
      <c r="M213" s="71">
        <f t="shared" si="85"/>
        <v>0.82673799999999997</v>
      </c>
      <c r="O213" s="215">
        <v>45099</v>
      </c>
      <c r="P213" s="48">
        <v>283906</v>
      </c>
      <c r="Q213" s="48">
        <v>2286</v>
      </c>
      <c r="R213" s="48">
        <v>286192</v>
      </c>
      <c r="S213" s="48">
        <v>99.2</v>
      </c>
      <c r="T213" s="71">
        <f t="shared" si="81"/>
        <v>0.286192</v>
      </c>
      <c r="V213" s="215">
        <v>45099</v>
      </c>
      <c r="W213" s="48">
        <v>475292</v>
      </c>
      <c r="X213" s="48">
        <v>94</v>
      </c>
      <c r="Y213" s="48">
        <v>475386</v>
      </c>
      <c r="Z213" s="48">
        <v>99.98</v>
      </c>
      <c r="AA213" s="71">
        <f t="shared" si="78"/>
        <v>0.47538599999999998</v>
      </c>
      <c r="AC213" s="215">
        <v>45099</v>
      </c>
      <c r="AD213" s="48">
        <v>398126</v>
      </c>
      <c r="AE213" s="48">
        <v>48</v>
      </c>
      <c r="AF213" s="48">
        <v>398174</v>
      </c>
      <c r="AG213" s="48">
        <v>99.99</v>
      </c>
      <c r="AH213" s="71">
        <f t="shared" si="82"/>
        <v>0.39817399999999997</v>
      </c>
      <c r="AJ213" s="215">
        <v>45099</v>
      </c>
      <c r="AK213" s="48">
        <v>96</v>
      </c>
      <c r="AL213" s="48">
        <v>2</v>
      </c>
      <c r="AM213" s="48">
        <v>98</v>
      </c>
      <c r="AN213" s="48">
        <v>97.96</v>
      </c>
      <c r="AO213" s="246">
        <f t="shared" si="79"/>
        <v>9.7999999999999997E-5</v>
      </c>
      <c r="AQ213" s="215">
        <v>45099</v>
      </c>
      <c r="AR213" s="48">
        <v>1242</v>
      </c>
      <c r="AS213" s="48">
        <v>2</v>
      </c>
      <c r="AT213" s="48">
        <v>1244</v>
      </c>
      <c r="AU213" s="48">
        <v>99.84</v>
      </c>
      <c r="AV213" s="246">
        <f t="shared" si="76"/>
        <v>1.2440000000000001E-3</v>
      </c>
      <c r="AX213" s="215">
        <v>45099</v>
      </c>
      <c r="AY213" s="48">
        <v>974</v>
      </c>
      <c r="AZ213" s="48">
        <v>38</v>
      </c>
      <c r="BA213" s="48">
        <v>1012</v>
      </c>
      <c r="BB213" s="48">
        <v>96.25</v>
      </c>
      <c r="BC213" s="246">
        <f t="shared" si="75"/>
        <v>1.0120000000000001E-3</v>
      </c>
      <c r="BE213" s="215">
        <v>45099</v>
      </c>
      <c r="BF213" s="48">
        <v>2062</v>
      </c>
      <c r="BG213" s="48">
        <v>34</v>
      </c>
      <c r="BH213" s="48">
        <v>2096</v>
      </c>
      <c r="BI213" s="48">
        <v>98.38</v>
      </c>
      <c r="BJ213" s="71">
        <f t="shared" si="83"/>
        <v>2.0960000000000002E-3</v>
      </c>
      <c r="BL213" s="215">
        <v>45099</v>
      </c>
      <c r="BM213" s="48">
        <v>1746</v>
      </c>
      <c r="BN213" s="48">
        <v>0</v>
      </c>
      <c r="BO213" s="48">
        <v>1746</v>
      </c>
      <c r="BP213" s="48">
        <v>100</v>
      </c>
      <c r="BQ213" s="71">
        <f t="shared" si="74"/>
        <v>1.7459999999999999E-3</v>
      </c>
      <c r="BR213" s="178"/>
      <c r="BS213" s="71"/>
      <c r="BT213" s="71"/>
      <c r="BU213" s="71"/>
      <c r="BV213" s="71"/>
      <c r="BW213" s="71"/>
      <c r="BX213" s="178"/>
      <c r="BY213" s="178"/>
      <c r="BZ213" s="71"/>
      <c r="CA213" s="48"/>
      <c r="CB213" s="48"/>
      <c r="CC213" s="71"/>
      <c r="CD213" s="178"/>
      <c r="CE213" s="215">
        <v>45099</v>
      </c>
      <c r="CF213" s="1">
        <v>5724744</v>
      </c>
      <c r="CG213" s="1">
        <v>22114</v>
      </c>
      <c r="CH213" s="1">
        <v>5746858</v>
      </c>
      <c r="CI213" s="71">
        <f t="shared" si="77"/>
        <v>99.61519842668811</v>
      </c>
      <c r="CJ213" s="71">
        <f t="shared" si="80"/>
        <v>5.7468579999999996</v>
      </c>
      <c r="CL213" s="140">
        <v>44993</v>
      </c>
      <c r="CM213" t="s">
        <v>239</v>
      </c>
      <c r="CN213">
        <v>123376</v>
      </c>
    </row>
    <row r="214" spans="1:93" hidden="1" x14ac:dyDescent="0.25">
      <c r="A214" s="215">
        <v>45100</v>
      </c>
      <c r="B214" s="48">
        <v>5118180</v>
      </c>
      <c r="C214" s="48">
        <v>48206</v>
      </c>
      <c r="D214" s="48">
        <v>5166386</v>
      </c>
      <c r="E214" s="48">
        <v>99.07</v>
      </c>
      <c r="F214" s="71">
        <f t="shared" si="84"/>
        <v>5.1663860000000001</v>
      </c>
      <c r="H214" s="215">
        <v>45100</v>
      </c>
      <c r="I214" s="48">
        <v>1942431</v>
      </c>
      <c r="J214" s="48">
        <v>8386</v>
      </c>
      <c r="K214" s="48">
        <v>1950817</v>
      </c>
      <c r="L214" s="48">
        <v>99.57</v>
      </c>
      <c r="M214" s="71">
        <f t="shared" si="85"/>
        <v>1.950817</v>
      </c>
      <c r="O214" s="215">
        <v>45100</v>
      </c>
      <c r="P214" s="48">
        <v>539852</v>
      </c>
      <c r="Q214" s="48">
        <v>4321</v>
      </c>
      <c r="R214" s="48">
        <v>544173</v>
      </c>
      <c r="S214" s="48">
        <v>99.21</v>
      </c>
      <c r="T214" s="71">
        <f t="shared" si="81"/>
        <v>0.54417300000000002</v>
      </c>
      <c r="V214" s="215">
        <v>45100</v>
      </c>
      <c r="W214" s="48">
        <v>969533</v>
      </c>
      <c r="X214" s="48">
        <v>228</v>
      </c>
      <c r="Y214" s="48">
        <v>969761</v>
      </c>
      <c r="Z214" s="48">
        <v>99.98</v>
      </c>
      <c r="AA214" s="71">
        <f t="shared" si="78"/>
        <v>0.96976099999999998</v>
      </c>
      <c r="AC214" s="215">
        <v>45100</v>
      </c>
      <c r="AD214" s="48">
        <v>640602</v>
      </c>
      <c r="AE214" s="48">
        <v>194</v>
      </c>
      <c r="AF214" s="48">
        <v>640796</v>
      </c>
      <c r="AG214" s="48">
        <v>99.97</v>
      </c>
      <c r="AH214" s="71">
        <f t="shared" si="82"/>
        <v>0.64079600000000003</v>
      </c>
      <c r="AJ214" s="215">
        <v>45100</v>
      </c>
      <c r="AK214" s="48">
        <v>129</v>
      </c>
      <c r="AL214" s="48">
        <v>0</v>
      </c>
      <c r="AM214" s="48">
        <v>129</v>
      </c>
      <c r="AN214" s="48">
        <v>100</v>
      </c>
      <c r="AO214" s="246">
        <f t="shared" si="79"/>
        <v>1.2899999999999999E-4</v>
      </c>
      <c r="AQ214" s="215">
        <v>45100</v>
      </c>
      <c r="AR214" s="48">
        <v>1668</v>
      </c>
      <c r="AS214" s="48">
        <v>6</v>
      </c>
      <c r="AT214" s="48">
        <v>1674</v>
      </c>
      <c r="AU214" s="48">
        <v>99.64</v>
      </c>
      <c r="AV214" s="246">
        <f t="shared" si="76"/>
        <v>1.6739999999999999E-3</v>
      </c>
      <c r="AX214" s="215">
        <v>45100</v>
      </c>
      <c r="AY214" s="48">
        <v>1262</v>
      </c>
      <c r="AZ214" s="48">
        <v>102</v>
      </c>
      <c r="BA214" s="48">
        <v>1364</v>
      </c>
      <c r="BB214" s="48">
        <v>92.52</v>
      </c>
      <c r="BC214" s="246">
        <f t="shared" si="75"/>
        <v>1.364E-3</v>
      </c>
      <c r="BE214" s="215">
        <v>45100</v>
      </c>
      <c r="BF214" s="48">
        <v>4012</v>
      </c>
      <c r="BG214" s="48">
        <v>27</v>
      </c>
      <c r="BH214" s="48">
        <v>4039</v>
      </c>
      <c r="BI214" s="48">
        <v>99.33</v>
      </c>
      <c r="BJ214" s="71">
        <f t="shared" si="83"/>
        <v>4.0390000000000001E-3</v>
      </c>
      <c r="BL214" s="215">
        <v>45100</v>
      </c>
      <c r="BM214" s="48">
        <v>3233</v>
      </c>
      <c r="BN214" s="48">
        <v>0</v>
      </c>
      <c r="BO214" s="48">
        <v>3233</v>
      </c>
      <c r="BP214" s="48">
        <v>100</v>
      </c>
      <c r="BQ214" s="71">
        <f t="shared" si="74"/>
        <v>3.2330000000000002E-3</v>
      </c>
      <c r="BR214" s="178"/>
      <c r="BS214" s="71"/>
      <c r="BT214" s="71"/>
      <c r="BU214" s="71"/>
      <c r="BV214" s="71"/>
      <c r="BW214" s="71"/>
      <c r="BX214" s="178"/>
      <c r="BY214" s="178"/>
      <c r="BZ214" s="71"/>
      <c r="CA214" s="48"/>
      <c r="CB214" s="48"/>
      <c r="CC214" s="71"/>
      <c r="CD214" s="178"/>
      <c r="CE214" s="215">
        <v>45100</v>
      </c>
      <c r="CF214" s="1">
        <v>10529903</v>
      </c>
      <c r="CG214" s="1">
        <v>100384</v>
      </c>
      <c r="CH214" s="1">
        <v>10630287</v>
      </c>
      <c r="CI214" s="71">
        <f t="shared" si="77"/>
        <v>99.055679305742174</v>
      </c>
      <c r="CJ214" s="71">
        <f t="shared" si="80"/>
        <v>10.630286999999999</v>
      </c>
      <c r="CL214" s="140">
        <v>44993</v>
      </c>
      <c r="CM214" t="s">
        <v>245</v>
      </c>
      <c r="CN214">
        <v>16416</v>
      </c>
    </row>
    <row r="215" spans="1:93" hidden="1" x14ac:dyDescent="0.25">
      <c r="A215" s="215">
        <v>45101</v>
      </c>
      <c r="B215" s="48">
        <v>5442678</v>
      </c>
      <c r="C215" s="48">
        <v>40468</v>
      </c>
      <c r="D215" s="48">
        <v>5483146</v>
      </c>
      <c r="E215" s="48">
        <v>99.26</v>
      </c>
      <c r="F215" s="71">
        <f t="shared" si="84"/>
        <v>5.4831459999999996</v>
      </c>
      <c r="H215" s="215">
        <v>45101</v>
      </c>
      <c r="I215" s="48">
        <v>1740794</v>
      </c>
      <c r="J215" s="48">
        <v>2390</v>
      </c>
      <c r="K215" s="48">
        <v>1743184</v>
      </c>
      <c r="L215" s="48">
        <v>99.86</v>
      </c>
      <c r="M215" s="71">
        <f t="shared" si="85"/>
        <v>1.7431840000000001</v>
      </c>
      <c r="O215" s="215">
        <v>45101</v>
      </c>
      <c r="P215" s="48">
        <v>565754</v>
      </c>
      <c r="Q215" s="48">
        <v>4644</v>
      </c>
      <c r="R215" s="48">
        <v>570398</v>
      </c>
      <c r="S215" s="48">
        <v>99.19</v>
      </c>
      <c r="T215" s="71">
        <f t="shared" si="81"/>
        <v>0.57039799999999996</v>
      </c>
      <c r="V215" s="215">
        <v>45101</v>
      </c>
      <c r="W215" s="48">
        <v>991974</v>
      </c>
      <c r="X215" s="48">
        <v>192</v>
      </c>
      <c r="Y215" s="48">
        <v>992166</v>
      </c>
      <c r="Z215" s="48">
        <v>99.98</v>
      </c>
      <c r="AA215" s="71">
        <f t="shared" si="78"/>
        <v>0.99216599999999999</v>
      </c>
      <c r="AC215" s="215">
        <v>45101</v>
      </c>
      <c r="AD215" s="48">
        <v>688060</v>
      </c>
      <c r="AE215" s="48">
        <v>64</v>
      </c>
      <c r="AF215" s="48">
        <v>688124</v>
      </c>
      <c r="AG215" s="48">
        <v>99.99</v>
      </c>
      <c r="AH215" s="71">
        <f t="shared" si="82"/>
        <v>0.68812399999999996</v>
      </c>
      <c r="AJ215" s="215">
        <v>45101</v>
      </c>
      <c r="AK215" s="48">
        <v>146</v>
      </c>
      <c r="AL215" s="48">
        <v>0</v>
      </c>
      <c r="AM215" s="48">
        <v>146</v>
      </c>
      <c r="AN215" s="48">
        <v>100</v>
      </c>
      <c r="AO215" s="246">
        <f t="shared" si="79"/>
        <v>1.46E-4</v>
      </c>
      <c r="AQ215" s="215">
        <v>45101</v>
      </c>
      <c r="AR215" s="48">
        <v>1524</v>
      </c>
      <c r="AS215" s="48">
        <v>4</v>
      </c>
      <c r="AT215" s="48">
        <v>1528</v>
      </c>
      <c r="AU215" s="48">
        <v>99.74</v>
      </c>
      <c r="AV215" s="246">
        <f t="shared" si="76"/>
        <v>1.5280000000000001E-3</v>
      </c>
      <c r="AX215" s="215">
        <v>45101</v>
      </c>
      <c r="AY215" s="48">
        <v>1286</v>
      </c>
      <c r="AZ215" s="48">
        <v>256</v>
      </c>
      <c r="BA215" s="48">
        <v>1542</v>
      </c>
      <c r="BB215" s="48">
        <v>83.4</v>
      </c>
      <c r="BC215" s="246">
        <f t="shared" si="75"/>
        <v>1.542E-3</v>
      </c>
      <c r="BE215" s="215">
        <v>45101</v>
      </c>
      <c r="BF215" s="48">
        <v>4692</v>
      </c>
      <c r="BG215" s="48">
        <v>48</v>
      </c>
      <c r="BH215" s="48">
        <v>4740</v>
      </c>
      <c r="BI215" s="48">
        <v>98.99</v>
      </c>
      <c r="BJ215" s="71">
        <f t="shared" si="83"/>
        <v>4.7400000000000003E-3</v>
      </c>
      <c r="BL215" s="215">
        <v>45101</v>
      </c>
      <c r="BM215" s="48">
        <v>8874</v>
      </c>
      <c r="BN215" s="48">
        <v>0</v>
      </c>
      <c r="BO215" s="48">
        <v>8874</v>
      </c>
      <c r="BP215" s="48">
        <v>100</v>
      </c>
      <c r="BQ215" s="71">
        <f t="shared" si="74"/>
        <v>8.8739999999999999E-3</v>
      </c>
      <c r="BR215" s="178"/>
      <c r="BS215" s="71"/>
      <c r="BT215" s="71"/>
      <c r="BU215" s="71"/>
      <c r="BV215" s="71"/>
      <c r="BW215" s="71"/>
      <c r="BX215" s="178"/>
      <c r="BY215" s="178"/>
      <c r="BZ215" s="71"/>
      <c r="CA215" s="48"/>
      <c r="CB215" s="48"/>
      <c r="CC215" s="71"/>
      <c r="CD215" s="178"/>
      <c r="CE215" s="215">
        <v>45101</v>
      </c>
      <c r="CF215" s="1">
        <v>10882408</v>
      </c>
      <c r="CG215" s="1">
        <v>76890</v>
      </c>
      <c r="CH215" s="1">
        <v>10959298</v>
      </c>
      <c r="CI215" s="71">
        <f t="shared" si="77"/>
        <v>99.298403967115419</v>
      </c>
      <c r="CJ215" s="71">
        <f t="shared" si="80"/>
        <v>10.959298</v>
      </c>
      <c r="CL215" s="140">
        <v>44993</v>
      </c>
      <c r="CM215" t="s">
        <v>246</v>
      </c>
      <c r="CN215">
        <v>8420</v>
      </c>
    </row>
    <row r="216" spans="1:93" hidden="1" x14ac:dyDescent="0.25">
      <c r="A216" s="215">
        <v>45102</v>
      </c>
      <c r="B216" s="48">
        <v>4450232</v>
      </c>
      <c r="C216" s="48">
        <v>44014</v>
      </c>
      <c r="D216" s="48">
        <v>4494246</v>
      </c>
      <c r="E216" s="48">
        <v>99.02</v>
      </c>
      <c r="F216" s="71">
        <f t="shared" si="84"/>
        <v>4.4942460000000004</v>
      </c>
      <c r="H216" s="215">
        <v>45102</v>
      </c>
      <c r="I216" s="48">
        <v>1680660</v>
      </c>
      <c r="J216" s="48">
        <v>2462</v>
      </c>
      <c r="K216" s="48">
        <v>1683122</v>
      </c>
      <c r="L216" s="48">
        <v>99.85</v>
      </c>
      <c r="M216" s="71">
        <f t="shared" si="85"/>
        <v>1.683122</v>
      </c>
      <c r="O216" s="215">
        <v>45102</v>
      </c>
      <c r="P216" s="48">
        <v>560660</v>
      </c>
      <c r="Q216" s="48">
        <v>4370</v>
      </c>
      <c r="R216" s="48">
        <v>565030</v>
      </c>
      <c r="S216" s="48">
        <v>99.23</v>
      </c>
      <c r="T216" s="71">
        <f t="shared" si="81"/>
        <v>0.56503000000000003</v>
      </c>
      <c r="V216" s="215">
        <v>45102</v>
      </c>
      <c r="W216" s="48">
        <v>910210</v>
      </c>
      <c r="X216" s="48">
        <v>186</v>
      </c>
      <c r="Y216" s="48">
        <v>910396</v>
      </c>
      <c r="Z216" s="48">
        <v>99.98</v>
      </c>
      <c r="AA216" s="71">
        <f t="shared" si="78"/>
        <v>0.91039599999999998</v>
      </c>
      <c r="AC216" s="215">
        <v>45102</v>
      </c>
      <c r="AD216" s="48">
        <v>614516</v>
      </c>
      <c r="AE216" s="48">
        <v>100</v>
      </c>
      <c r="AF216" s="48">
        <v>614616</v>
      </c>
      <c r="AG216" s="48">
        <v>99.98</v>
      </c>
      <c r="AH216" s="71">
        <f t="shared" si="82"/>
        <v>0.61461600000000005</v>
      </c>
      <c r="AJ216" s="215">
        <v>45102</v>
      </c>
      <c r="AK216" s="48">
        <v>106</v>
      </c>
      <c r="AL216" s="48">
        <v>0</v>
      </c>
      <c r="AM216" s="48">
        <v>106</v>
      </c>
      <c r="AN216" s="48">
        <v>100</v>
      </c>
      <c r="AO216" s="246">
        <f t="shared" si="79"/>
        <v>1.06E-4</v>
      </c>
      <c r="AQ216" s="215">
        <v>45102</v>
      </c>
      <c r="AR216" s="48">
        <v>730</v>
      </c>
      <c r="AS216" s="48">
        <v>0</v>
      </c>
      <c r="AT216" s="48">
        <v>730</v>
      </c>
      <c r="AU216" s="48">
        <v>100</v>
      </c>
      <c r="AV216" s="246">
        <f t="shared" si="76"/>
        <v>7.2999999999999996E-4</v>
      </c>
      <c r="AX216" s="215">
        <v>45102</v>
      </c>
      <c r="AY216" s="48">
        <v>56</v>
      </c>
      <c r="AZ216" s="48">
        <v>140</v>
      </c>
      <c r="BA216" s="48">
        <v>196</v>
      </c>
      <c r="BB216" s="48">
        <v>28.57</v>
      </c>
      <c r="BC216" s="246">
        <f t="shared" si="75"/>
        <v>1.9599999999999999E-4</v>
      </c>
      <c r="BE216" s="215">
        <v>45102</v>
      </c>
      <c r="BF216" s="48">
        <v>3072</v>
      </c>
      <c r="BG216" s="48">
        <v>36</v>
      </c>
      <c r="BH216" s="48">
        <v>3108</v>
      </c>
      <c r="BI216" s="48">
        <v>98.84</v>
      </c>
      <c r="BJ216" s="71">
        <f t="shared" si="83"/>
        <v>3.1080000000000001E-3</v>
      </c>
      <c r="BL216" s="215">
        <v>45102</v>
      </c>
      <c r="BM216" s="48">
        <v>3756</v>
      </c>
      <c r="BN216" s="48">
        <v>0</v>
      </c>
      <c r="BO216" s="48">
        <v>3756</v>
      </c>
      <c r="BP216" s="48">
        <v>100</v>
      </c>
      <c r="BQ216" s="71">
        <f t="shared" si="74"/>
        <v>3.7559999999999998E-3</v>
      </c>
      <c r="BR216" s="178"/>
      <c r="BS216" s="71"/>
      <c r="BT216" s="71"/>
      <c r="BU216" s="71"/>
      <c r="BV216" s="71"/>
      <c r="BW216" s="71"/>
      <c r="BX216" s="178"/>
      <c r="BY216" s="178"/>
      <c r="BZ216" s="71"/>
      <c r="CA216" s="48"/>
      <c r="CB216" s="48"/>
      <c r="CC216" s="71"/>
      <c r="CD216" s="178"/>
      <c r="CE216" s="215">
        <v>45102</v>
      </c>
      <c r="CF216" s="1">
        <v>9541764</v>
      </c>
      <c r="CG216" s="1">
        <v>81688</v>
      </c>
      <c r="CH216" s="1">
        <v>9623452</v>
      </c>
      <c r="CI216" s="71">
        <f t="shared" si="77"/>
        <v>99.151156986079414</v>
      </c>
      <c r="CJ216" s="71">
        <f t="shared" si="80"/>
        <v>9.6234520000000003</v>
      </c>
      <c r="CL216" s="140">
        <v>44993</v>
      </c>
      <c r="CM216" t="s">
        <v>240</v>
      </c>
      <c r="CN216">
        <v>5098</v>
      </c>
    </row>
    <row r="217" spans="1:93" hidden="1" x14ac:dyDescent="0.25">
      <c r="A217" s="215">
        <v>45103</v>
      </c>
      <c r="B217" s="48">
        <v>6006154</v>
      </c>
      <c r="C217" s="48">
        <v>56972</v>
      </c>
      <c r="D217" s="48">
        <v>6063126</v>
      </c>
      <c r="E217" s="48">
        <v>99.06</v>
      </c>
      <c r="F217" s="71">
        <f t="shared" si="84"/>
        <v>6.0631259999999996</v>
      </c>
      <c r="H217" s="215">
        <v>45103</v>
      </c>
      <c r="I217" s="48">
        <v>1820914</v>
      </c>
      <c r="J217" s="48">
        <v>2096</v>
      </c>
      <c r="K217" s="48">
        <v>1823010</v>
      </c>
      <c r="L217" s="48">
        <v>99.89</v>
      </c>
      <c r="M217" s="71">
        <f t="shared" si="85"/>
        <v>1.82301</v>
      </c>
      <c r="O217" s="215">
        <v>45103</v>
      </c>
      <c r="P217" s="48">
        <v>592634</v>
      </c>
      <c r="Q217" s="48">
        <v>4826</v>
      </c>
      <c r="R217" s="48">
        <v>597460</v>
      </c>
      <c r="S217" s="48">
        <v>99.19</v>
      </c>
      <c r="T217" s="71">
        <f t="shared" si="81"/>
        <v>0.59745999999999999</v>
      </c>
      <c r="V217" s="215">
        <v>45103</v>
      </c>
      <c r="W217" s="48">
        <v>1090800</v>
      </c>
      <c r="X217" s="48">
        <v>172</v>
      </c>
      <c r="Y217" s="48">
        <v>1090972</v>
      </c>
      <c r="Z217" s="48">
        <v>99.98</v>
      </c>
      <c r="AA217" s="71">
        <f t="shared" si="78"/>
        <v>1.0909720000000001</v>
      </c>
      <c r="AC217" s="215">
        <v>45103</v>
      </c>
      <c r="AD217" s="48">
        <v>659146</v>
      </c>
      <c r="AE217" s="48">
        <v>76</v>
      </c>
      <c r="AF217" s="48">
        <v>659222</v>
      </c>
      <c r="AG217" s="48">
        <v>99.99</v>
      </c>
      <c r="AH217" s="71">
        <f t="shared" si="82"/>
        <v>0.65922199999999997</v>
      </c>
      <c r="AJ217" s="215">
        <v>45103</v>
      </c>
      <c r="AK217" s="48">
        <v>302</v>
      </c>
      <c r="AL217" s="48">
        <v>0</v>
      </c>
      <c r="AM217" s="48">
        <v>302</v>
      </c>
      <c r="AN217" s="48">
        <v>100</v>
      </c>
      <c r="AO217" s="246">
        <f t="shared" si="79"/>
        <v>3.0200000000000002E-4</v>
      </c>
      <c r="AQ217" s="215">
        <v>45103</v>
      </c>
      <c r="AR217" s="48">
        <v>1434</v>
      </c>
      <c r="AS217" s="48">
        <v>16</v>
      </c>
      <c r="AT217" s="48">
        <v>1450</v>
      </c>
      <c r="AU217" s="48">
        <v>98.9</v>
      </c>
      <c r="AV217" s="246">
        <f t="shared" si="76"/>
        <v>1.4499999999999999E-3</v>
      </c>
      <c r="AX217" s="215">
        <v>45103</v>
      </c>
      <c r="AY217" s="48">
        <v>1876</v>
      </c>
      <c r="AZ217" s="48">
        <v>30</v>
      </c>
      <c r="BA217" s="48">
        <v>1906</v>
      </c>
      <c r="BB217" s="48">
        <v>98.43</v>
      </c>
      <c r="BC217" s="246">
        <f t="shared" si="75"/>
        <v>1.9059999999999999E-3</v>
      </c>
      <c r="BE217" s="215">
        <v>45103</v>
      </c>
      <c r="BF217" s="48">
        <v>4174</v>
      </c>
      <c r="BG217" s="48">
        <v>58</v>
      </c>
      <c r="BH217" s="48">
        <v>4232</v>
      </c>
      <c r="BI217" s="48">
        <v>98.63</v>
      </c>
      <c r="BJ217" s="71">
        <f t="shared" si="83"/>
        <v>4.2319999999999997E-3</v>
      </c>
      <c r="BL217" s="215">
        <v>45103</v>
      </c>
      <c r="BM217" s="48">
        <v>4792</v>
      </c>
      <c r="BN217" s="48">
        <v>0</v>
      </c>
      <c r="BO217" s="48">
        <v>4792</v>
      </c>
      <c r="BP217" s="48">
        <v>100</v>
      </c>
      <c r="BQ217" s="71">
        <f t="shared" si="74"/>
        <v>4.7920000000000003E-3</v>
      </c>
      <c r="BR217" s="178"/>
      <c r="BS217" s="71"/>
      <c r="BT217" s="71"/>
      <c r="BU217" s="71"/>
      <c r="BV217" s="71"/>
      <c r="BW217" s="71"/>
      <c r="BX217" s="178"/>
      <c r="BY217" s="178"/>
      <c r="BZ217" s="71"/>
      <c r="CA217" s="48"/>
      <c r="CB217" s="48"/>
      <c r="CC217" s="71"/>
      <c r="CD217" s="178"/>
      <c r="CE217" s="215">
        <v>45103</v>
      </c>
      <c r="CF217" s="1">
        <v>11602816</v>
      </c>
      <c r="CG217" s="1">
        <v>101074</v>
      </c>
      <c r="CH217" s="1">
        <v>11703890</v>
      </c>
      <c r="CI217" s="71">
        <f t="shared" si="77"/>
        <v>99.136406784410994</v>
      </c>
      <c r="CJ217" s="71">
        <f t="shared" si="80"/>
        <v>11.703889999999999</v>
      </c>
      <c r="CL217" s="140">
        <v>44993</v>
      </c>
      <c r="CM217" t="s">
        <v>237</v>
      </c>
      <c r="CN217">
        <v>2714</v>
      </c>
    </row>
    <row r="218" spans="1:93" hidden="1" x14ac:dyDescent="0.25">
      <c r="A218" s="215">
        <v>45104</v>
      </c>
      <c r="B218" s="48">
        <v>6834398</v>
      </c>
      <c r="C218" s="48">
        <v>57556</v>
      </c>
      <c r="D218" s="48">
        <v>6891954</v>
      </c>
      <c r="E218" s="48">
        <v>99.16</v>
      </c>
      <c r="F218" s="71">
        <f t="shared" si="84"/>
        <v>6.8919540000000001</v>
      </c>
      <c r="H218" s="215">
        <v>45104</v>
      </c>
      <c r="I218" s="48">
        <v>2348845</v>
      </c>
      <c r="J218" s="48">
        <v>8186</v>
      </c>
      <c r="K218" s="48">
        <v>2357031</v>
      </c>
      <c r="L218" s="48">
        <v>99.65</v>
      </c>
      <c r="M218" s="71">
        <f t="shared" si="85"/>
        <v>2.3570310000000001</v>
      </c>
      <c r="O218" s="215">
        <v>45104</v>
      </c>
      <c r="P218" s="48">
        <v>641005</v>
      </c>
      <c r="Q218" s="48">
        <v>7454</v>
      </c>
      <c r="R218" s="48">
        <v>648459</v>
      </c>
      <c r="S218" s="48">
        <v>98.85</v>
      </c>
      <c r="T218" s="71">
        <f t="shared" si="81"/>
        <v>0.64845900000000001</v>
      </c>
      <c r="V218" s="215">
        <v>45104</v>
      </c>
      <c r="W218" s="48">
        <v>1222499</v>
      </c>
      <c r="X218" s="48">
        <v>1300</v>
      </c>
      <c r="Y218" s="48">
        <v>1223799</v>
      </c>
      <c r="Z218" s="48">
        <v>99.89</v>
      </c>
      <c r="AA218" s="71">
        <f t="shared" si="78"/>
        <v>1.2237990000000001</v>
      </c>
      <c r="AC218" s="215">
        <v>45104</v>
      </c>
      <c r="AD218" s="48">
        <v>685221</v>
      </c>
      <c r="AE218" s="48">
        <v>85</v>
      </c>
      <c r="AF218" s="48">
        <v>685306</v>
      </c>
      <c r="AG218" s="48">
        <v>99.99</v>
      </c>
      <c r="AH218" s="71">
        <f t="shared" si="82"/>
        <v>0.68530599999999997</v>
      </c>
      <c r="AJ218" s="215">
        <v>45104</v>
      </c>
      <c r="AK218" s="48">
        <v>278</v>
      </c>
      <c r="AL218" s="48">
        <v>0</v>
      </c>
      <c r="AM218" s="48">
        <v>278</v>
      </c>
      <c r="AN218" s="48">
        <v>100</v>
      </c>
      <c r="AO218" s="246">
        <f t="shared" si="79"/>
        <v>2.7799999999999998E-4</v>
      </c>
      <c r="AQ218" s="215">
        <v>45104</v>
      </c>
      <c r="AR218" s="48">
        <v>2016</v>
      </c>
      <c r="AS218" s="48">
        <v>42</v>
      </c>
      <c r="AT218" s="48">
        <v>2058</v>
      </c>
      <c r="AU218" s="48">
        <v>97.96</v>
      </c>
      <c r="AV218" s="246">
        <f t="shared" si="76"/>
        <v>2.0579999999999999E-3</v>
      </c>
      <c r="AX218" s="215">
        <v>45104</v>
      </c>
      <c r="AY218" s="48">
        <v>1774</v>
      </c>
      <c r="AZ218" s="48">
        <v>100</v>
      </c>
      <c r="BA218" s="48">
        <v>1874</v>
      </c>
      <c r="BB218" s="48">
        <v>94.66</v>
      </c>
      <c r="BC218" s="246">
        <f t="shared" si="75"/>
        <v>1.874E-3</v>
      </c>
      <c r="BE218" s="215">
        <v>45104</v>
      </c>
      <c r="BF218" s="48">
        <v>4384</v>
      </c>
      <c r="BG218" s="48">
        <v>91</v>
      </c>
      <c r="BH218" s="48">
        <v>4475</v>
      </c>
      <c r="BI218" s="48">
        <v>97.97</v>
      </c>
      <c r="BJ218" s="71">
        <f t="shared" si="83"/>
        <v>4.4749999999999998E-3</v>
      </c>
      <c r="BL218" s="215">
        <v>45104</v>
      </c>
      <c r="BM218" s="48">
        <v>5558</v>
      </c>
      <c r="BN218" s="48">
        <v>0</v>
      </c>
      <c r="BO218" s="48">
        <v>5558</v>
      </c>
      <c r="BP218" s="48">
        <v>100</v>
      </c>
      <c r="BQ218" s="71">
        <f t="shared" si="74"/>
        <v>5.5579999999999996E-3</v>
      </c>
      <c r="BR218" s="178"/>
      <c r="BS218" s="71"/>
      <c r="BT218" s="71"/>
      <c r="BU218" s="71"/>
      <c r="BV218" s="71"/>
      <c r="BW218" s="71"/>
      <c r="BX218" s="178"/>
      <c r="BY218" s="178"/>
      <c r="BZ218" s="71"/>
      <c r="CA218" s="48"/>
      <c r="CB218" s="48"/>
      <c r="CC218" s="71"/>
      <c r="CD218" s="178"/>
      <c r="CE218" s="215">
        <v>45104</v>
      </c>
      <c r="CF218" s="1">
        <v>13250151</v>
      </c>
      <c r="CG218" s="1">
        <v>108011</v>
      </c>
      <c r="CH218" s="1">
        <v>13358162</v>
      </c>
      <c r="CI218" s="71">
        <f t="shared" si="77"/>
        <v>99.19142319130431</v>
      </c>
      <c r="CJ218" s="71">
        <f t="shared" si="80"/>
        <v>13.358162</v>
      </c>
      <c r="CL218" s="140">
        <v>44994</v>
      </c>
      <c r="CM218" s="252" t="s">
        <v>238</v>
      </c>
      <c r="CN218">
        <v>16166</v>
      </c>
      <c r="CO218">
        <v>503</v>
      </c>
    </row>
    <row r="219" spans="1:93" hidden="1" x14ac:dyDescent="0.25">
      <c r="A219" s="215">
        <v>45105</v>
      </c>
      <c r="B219" s="48">
        <v>4696190</v>
      </c>
      <c r="C219" s="48">
        <v>1166</v>
      </c>
      <c r="D219" s="48">
        <v>4697356</v>
      </c>
      <c r="E219" s="48">
        <v>99.98</v>
      </c>
      <c r="F219" s="71">
        <f t="shared" si="84"/>
        <v>4.6973560000000001</v>
      </c>
      <c r="H219" s="215">
        <v>45105</v>
      </c>
      <c r="I219" s="48">
        <v>1758331</v>
      </c>
      <c r="J219" s="48">
        <v>1923</v>
      </c>
      <c r="K219" s="48">
        <v>1760254</v>
      </c>
      <c r="L219" s="48">
        <v>99.89</v>
      </c>
      <c r="M219" s="71">
        <f t="shared" si="85"/>
        <v>1.760254</v>
      </c>
      <c r="O219" s="215">
        <v>45105</v>
      </c>
      <c r="P219" s="48">
        <v>587709</v>
      </c>
      <c r="Q219" s="48">
        <v>4883</v>
      </c>
      <c r="R219" s="48">
        <v>592592</v>
      </c>
      <c r="S219" s="48">
        <v>99.18</v>
      </c>
      <c r="T219" s="71">
        <f t="shared" si="81"/>
        <v>0.59259200000000001</v>
      </c>
      <c r="V219" s="215">
        <v>45105</v>
      </c>
      <c r="W219" s="48">
        <v>1169025</v>
      </c>
      <c r="X219" s="48">
        <v>198</v>
      </c>
      <c r="Y219" s="48">
        <v>1169223</v>
      </c>
      <c r="Z219" s="48">
        <v>99.98</v>
      </c>
      <c r="AA219" s="71">
        <f t="shared" si="78"/>
        <v>1.1692229999999999</v>
      </c>
      <c r="AC219" s="215">
        <v>45105</v>
      </c>
      <c r="AD219" s="48">
        <v>634008</v>
      </c>
      <c r="AE219" s="48">
        <v>51</v>
      </c>
      <c r="AF219" s="48">
        <v>634059</v>
      </c>
      <c r="AG219" s="48">
        <v>99.99</v>
      </c>
      <c r="AH219" s="71">
        <f t="shared" si="82"/>
        <v>0.63405900000000004</v>
      </c>
      <c r="AJ219" s="215">
        <v>45105</v>
      </c>
      <c r="AK219" s="48">
        <v>171</v>
      </c>
      <c r="AL219" s="48">
        <v>0</v>
      </c>
      <c r="AM219" s="48">
        <v>171</v>
      </c>
      <c r="AN219" s="48">
        <v>100</v>
      </c>
      <c r="AO219" s="246">
        <f t="shared" si="79"/>
        <v>1.7100000000000001E-4</v>
      </c>
      <c r="AQ219" s="215">
        <v>45105</v>
      </c>
      <c r="AR219" s="48">
        <v>1322</v>
      </c>
      <c r="AS219" s="48">
        <v>6</v>
      </c>
      <c r="AT219" s="48">
        <v>1328</v>
      </c>
      <c r="AU219" s="48">
        <v>99.55</v>
      </c>
      <c r="AV219" s="246">
        <f t="shared" si="76"/>
        <v>1.328E-3</v>
      </c>
      <c r="AX219" s="215">
        <v>45105</v>
      </c>
      <c r="AY219" s="48">
        <v>466</v>
      </c>
      <c r="AZ219" s="48">
        <v>19</v>
      </c>
      <c r="BA219" s="48">
        <v>485</v>
      </c>
      <c r="BB219" s="48">
        <v>96.08</v>
      </c>
      <c r="BC219" s="246">
        <f t="shared" si="75"/>
        <v>4.8500000000000003E-4</v>
      </c>
      <c r="BE219" s="215">
        <v>45105</v>
      </c>
      <c r="BF219" s="48">
        <v>3916</v>
      </c>
      <c r="BG219" s="48">
        <v>52</v>
      </c>
      <c r="BH219" s="48">
        <v>3968</v>
      </c>
      <c r="BI219" s="48">
        <v>98.69</v>
      </c>
      <c r="BJ219" s="71">
        <f t="shared" si="83"/>
        <v>3.9680000000000002E-3</v>
      </c>
      <c r="BL219" s="215">
        <v>45105</v>
      </c>
      <c r="BM219" s="48">
        <v>4872</v>
      </c>
      <c r="BN219" s="48">
        <v>0</v>
      </c>
      <c r="BO219" s="48">
        <v>4872</v>
      </c>
      <c r="BP219" s="48">
        <v>100</v>
      </c>
      <c r="BQ219" s="71">
        <f t="shared" si="74"/>
        <v>4.8719999999999996E-3</v>
      </c>
      <c r="BR219" s="178"/>
      <c r="BS219" s="71"/>
      <c r="BT219" s="71"/>
      <c r="BU219" s="71"/>
      <c r="BV219" s="71"/>
      <c r="BW219" s="71"/>
      <c r="BX219" s="178"/>
      <c r="BY219" s="178"/>
      <c r="BZ219" s="71"/>
      <c r="CA219" s="48"/>
      <c r="CB219" s="48"/>
      <c r="CC219" s="71"/>
      <c r="CD219" s="178"/>
      <c r="CE219" s="215">
        <v>45105</v>
      </c>
      <c r="CF219" s="1">
        <v>10281862</v>
      </c>
      <c r="CG219" s="1">
        <v>12716</v>
      </c>
      <c r="CH219" s="1">
        <v>10294578</v>
      </c>
      <c r="CI219" s="71">
        <f t="shared" si="77"/>
        <v>99.876478666731174</v>
      </c>
      <c r="CJ219" s="71">
        <f t="shared" si="80"/>
        <v>10.294578</v>
      </c>
      <c r="CL219" s="140">
        <v>44994</v>
      </c>
      <c r="CM219" s="252" t="s">
        <v>240</v>
      </c>
      <c r="CN219">
        <v>4192</v>
      </c>
      <c r="CO219">
        <v>516</v>
      </c>
    </row>
    <row r="220" spans="1:93" hidden="1" x14ac:dyDescent="0.25">
      <c r="A220" s="215">
        <v>45106</v>
      </c>
      <c r="B220" s="48">
        <v>4733206</v>
      </c>
      <c r="C220" s="48">
        <v>1270</v>
      </c>
      <c r="D220" s="48">
        <v>4734476</v>
      </c>
      <c r="E220" s="48">
        <v>99.97</v>
      </c>
      <c r="F220" s="71">
        <f t="shared" si="84"/>
        <v>4.7344759999999999</v>
      </c>
      <c r="H220" s="215">
        <v>45106</v>
      </c>
      <c r="I220" s="48">
        <v>1799022</v>
      </c>
      <c r="J220" s="48">
        <v>2133</v>
      </c>
      <c r="K220" s="48">
        <v>1801155</v>
      </c>
      <c r="L220" s="48">
        <v>99.88</v>
      </c>
      <c r="M220" s="71">
        <f t="shared" si="85"/>
        <v>1.8011550000000001</v>
      </c>
      <c r="O220" s="215">
        <v>45106</v>
      </c>
      <c r="P220" s="48">
        <v>615243</v>
      </c>
      <c r="Q220" s="48">
        <v>5062</v>
      </c>
      <c r="R220" s="48">
        <v>620305</v>
      </c>
      <c r="S220" s="48">
        <v>99.18</v>
      </c>
      <c r="T220" s="71">
        <f t="shared" si="81"/>
        <v>0.620305</v>
      </c>
      <c r="V220" s="215">
        <v>45106</v>
      </c>
      <c r="W220" s="48">
        <v>1046049</v>
      </c>
      <c r="X220" s="48">
        <v>164</v>
      </c>
      <c r="Y220" s="48">
        <v>1046213</v>
      </c>
      <c r="Z220" s="48">
        <v>99.98</v>
      </c>
      <c r="AA220" s="71">
        <f t="shared" si="78"/>
        <v>1.0462130000000001</v>
      </c>
      <c r="AC220" s="215">
        <v>45106</v>
      </c>
      <c r="AD220" s="48">
        <v>647376</v>
      </c>
      <c r="AE220" s="48">
        <v>194</v>
      </c>
      <c r="AF220" s="48">
        <v>647570</v>
      </c>
      <c r="AG220" s="48">
        <v>99.97</v>
      </c>
      <c r="AH220" s="71">
        <f t="shared" si="82"/>
        <v>0.64756999999999998</v>
      </c>
      <c r="AJ220" s="215">
        <v>45106</v>
      </c>
      <c r="AK220" s="48">
        <v>132</v>
      </c>
      <c r="AL220" s="48">
        <v>0</v>
      </c>
      <c r="AM220" s="48">
        <v>132</v>
      </c>
      <c r="AN220" s="48">
        <v>100</v>
      </c>
      <c r="AO220" s="246">
        <f t="shared" si="79"/>
        <v>1.3200000000000001E-4</v>
      </c>
      <c r="AQ220" s="215">
        <v>45106</v>
      </c>
      <c r="AR220" s="48">
        <v>1280</v>
      </c>
      <c r="AS220" s="48">
        <v>0</v>
      </c>
      <c r="AT220" s="48">
        <v>1280</v>
      </c>
      <c r="AU220" s="48">
        <v>100</v>
      </c>
      <c r="AV220" s="246">
        <f t="shared" si="76"/>
        <v>1.2800000000000001E-3</v>
      </c>
      <c r="AX220" s="215">
        <v>45106</v>
      </c>
      <c r="AY220" s="48">
        <v>1032</v>
      </c>
      <c r="AZ220" s="48">
        <v>18</v>
      </c>
      <c r="BA220" s="48">
        <v>1050</v>
      </c>
      <c r="BB220" s="48">
        <v>98.29</v>
      </c>
      <c r="BC220" s="246">
        <f t="shared" si="75"/>
        <v>1.0499999999999999E-3</v>
      </c>
      <c r="BE220" s="215">
        <v>45106</v>
      </c>
      <c r="BF220" s="48">
        <v>4162</v>
      </c>
      <c r="BG220" s="48">
        <v>67</v>
      </c>
      <c r="BH220" s="48">
        <v>4229</v>
      </c>
      <c r="BI220" s="48">
        <v>98.42</v>
      </c>
      <c r="BJ220" s="71">
        <f t="shared" si="83"/>
        <v>4.2290000000000001E-3</v>
      </c>
      <c r="BL220" s="215">
        <v>45106</v>
      </c>
      <c r="BM220" s="48">
        <v>3806</v>
      </c>
      <c r="BN220" s="48">
        <v>0</v>
      </c>
      <c r="BO220" s="48">
        <v>3806</v>
      </c>
      <c r="BP220" s="48">
        <v>100</v>
      </c>
      <c r="BQ220" s="71">
        <f t="shared" si="74"/>
        <v>3.8059999999999999E-3</v>
      </c>
      <c r="BR220" s="178"/>
      <c r="BS220" s="71"/>
      <c r="BT220" s="71"/>
      <c r="BU220" s="71"/>
      <c r="BV220" s="71"/>
      <c r="BW220" s="71"/>
      <c r="BX220" s="178"/>
      <c r="BY220" s="178"/>
      <c r="BZ220" s="71"/>
      <c r="CA220" s="48"/>
      <c r="CB220" s="48"/>
      <c r="CC220" s="71"/>
      <c r="CD220" s="178"/>
      <c r="CE220" s="215">
        <v>45106</v>
      </c>
      <c r="CF220" s="1">
        <v>10268349</v>
      </c>
      <c r="CG220" s="1">
        <v>14533</v>
      </c>
      <c r="CH220" s="1">
        <v>10282882</v>
      </c>
      <c r="CI220" s="71">
        <f t="shared" si="77"/>
        <v>99.858668027115343</v>
      </c>
      <c r="CJ220" s="71">
        <f t="shared" si="80"/>
        <v>10.282882000000001</v>
      </c>
      <c r="CL220" s="140">
        <v>44994</v>
      </c>
      <c r="CM220" s="252" t="s">
        <v>239</v>
      </c>
      <c r="CN220">
        <v>2784</v>
      </c>
      <c r="CO220">
        <v>504</v>
      </c>
    </row>
    <row r="221" spans="1:93" hidden="1" x14ac:dyDescent="0.25">
      <c r="A221" s="215">
        <v>45107</v>
      </c>
      <c r="B221" s="48">
        <v>5383989</v>
      </c>
      <c r="C221" s="48">
        <v>2630</v>
      </c>
      <c r="D221" s="48">
        <v>5386619</v>
      </c>
      <c r="E221" s="48">
        <v>99.95</v>
      </c>
      <c r="F221" s="71">
        <f t="shared" si="84"/>
        <v>5.3866189999999996</v>
      </c>
      <c r="H221" s="215">
        <v>45107</v>
      </c>
      <c r="I221" s="48">
        <v>1965318</v>
      </c>
      <c r="J221" s="48">
        <v>5951</v>
      </c>
      <c r="K221" s="48">
        <v>1971269</v>
      </c>
      <c r="L221" s="48">
        <v>99.7</v>
      </c>
      <c r="M221" s="71">
        <f t="shared" si="85"/>
        <v>1.9712689999999999</v>
      </c>
      <c r="O221" s="215">
        <v>45107</v>
      </c>
      <c r="P221" s="48">
        <v>576169</v>
      </c>
      <c r="Q221" s="48">
        <v>5375</v>
      </c>
      <c r="R221" s="48">
        <v>581544</v>
      </c>
      <c r="S221" s="48">
        <v>99.08</v>
      </c>
      <c r="T221" s="71">
        <f t="shared" si="81"/>
        <v>0.58154399999999995</v>
      </c>
      <c r="V221" s="215">
        <v>45107</v>
      </c>
      <c r="W221" s="48">
        <v>1105991</v>
      </c>
      <c r="X221" s="48">
        <v>404</v>
      </c>
      <c r="Y221" s="48">
        <v>1106395</v>
      </c>
      <c r="Z221" s="48">
        <v>99.96</v>
      </c>
      <c r="AA221" s="71">
        <f t="shared" si="78"/>
        <v>1.106395</v>
      </c>
      <c r="AC221" s="215">
        <v>45107</v>
      </c>
      <c r="AD221" s="48">
        <v>626489</v>
      </c>
      <c r="AE221" s="48">
        <v>82</v>
      </c>
      <c r="AF221" s="48">
        <v>626571</v>
      </c>
      <c r="AG221" s="48">
        <v>99.99</v>
      </c>
      <c r="AH221" s="71">
        <f t="shared" si="82"/>
        <v>0.62657099999999999</v>
      </c>
      <c r="AJ221" s="215">
        <v>45107</v>
      </c>
      <c r="AK221" s="48">
        <v>134</v>
      </c>
      <c r="AL221" s="48">
        <v>0</v>
      </c>
      <c r="AM221" s="48">
        <v>134</v>
      </c>
      <c r="AN221" s="48">
        <v>100</v>
      </c>
      <c r="AO221" s="246">
        <f t="shared" si="79"/>
        <v>1.34E-4</v>
      </c>
      <c r="AQ221" s="215">
        <v>45107</v>
      </c>
      <c r="AR221" s="48">
        <v>1516</v>
      </c>
      <c r="AS221" s="48">
        <v>4</v>
      </c>
      <c r="AT221" s="48">
        <v>1520</v>
      </c>
      <c r="AU221" s="48">
        <v>99.74</v>
      </c>
      <c r="AV221" s="246">
        <f t="shared" si="76"/>
        <v>1.5200000000000001E-3</v>
      </c>
      <c r="AX221" s="215">
        <v>45107</v>
      </c>
      <c r="AY221" s="48">
        <v>1346</v>
      </c>
      <c r="AZ221" s="48">
        <v>67</v>
      </c>
      <c r="BA221" s="48">
        <v>1413</v>
      </c>
      <c r="BB221" s="48">
        <v>95.26</v>
      </c>
      <c r="BC221" s="246">
        <f t="shared" si="75"/>
        <v>1.413E-3</v>
      </c>
      <c r="BE221" s="215">
        <v>45107</v>
      </c>
      <c r="BF221" s="48">
        <v>5484</v>
      </c>
      <c r="BG221" s="48">
        <v>109</v>
      </c>
      <c r="BH221" s="48">
        <v>5593</v>
      </c>
      <c r="BI221" s="48">
        <v>98.05</v>
      </c>
      <c r="BJ221" s="71">
        <f t="shared" si="83"/>
        <v>5.5929999999999999E-3</v>
      </c>
      <c r="BL221" s="215">
        <v>45107</v>
      </c>
      <c r="BM221" s="48">
        <v>3022</v>
      </c>
      <c r="BN221" s="48">
        <v>0</v>
      </c>
      <c r="BO221" s="48">
        <v>3022</v>
      </c>
      <c r="BP221" s="48">
        <v>100</v>
      </c>
      <c r="BQ221" s="71">
        <f t="shared" si="74"/>
        <v>3.0219999999999999E-3</v>
      </c>
      <c r="BR221" s="178"/>
      <c r="BS221" s="71"/>
      <c r="BT221" s="71"/>
      <c r="BU221" s="71"/>
      <c r="BV221" s="71"/>
      <c r="BW221" s="71"/>
      <c r="BX221" s="178"/>
      <c r="BY221" s="178"/>
      <c r="BZ221" s="71"/>
      <c r="CA221" s="48"/>
      <c r="CB221" s="48"/>
      <c r="CC221" s="71"/>
      <c r="CD221" s="178"/>
      <c r="CE221" s="215">
        <v>45107</v>
      </c>
      <c r="CF221" s="1">
        <v>11080338</v>
      </c>
      <c r="CG221" s="1">
        <v>19956</v>
      </c>
      <c r="CH221" s="1">
        <v>11100294</v>
      </c>
      <c r="CI221" s="71">
        <f t="shared" si="77"/>
        <v>99.820220977930859</v>
      </c>
      <c r="CJ221" s="71">
        <f t="shared" si="80"/>
        <v>11.100294</v>
      </c>
      <c r="CL221" s="140">
        <v>44994</v>
      </c>
      <c r="CM221" s="252" t="s">
        <v>247</v>
      </c>
      <c r="CN221">
        <v>2298</v>
      </c>
      <c r="CO221">
        <v>527</v>
      </c>
    </row>
    <row r="222" spans="1:93" hidden="1" x14ac:dyDescent="0.25">
      <c r="A222" s="215">
        <v>45108</v>
      </c>
      <c r="B222" s="48">
        <v>4898478</v>
      </c>
      <c r="C222" s="48">
        <v>1624</v>
      </c>
      <c r="D222" s="48">
        <v>4900102</v>
      </c>
      <c r="E222" s="48">
        <v>99.97</v>
      </c>
      <c r="F222" s="71">
        <f t="shared" si="84"/>
        <v>4.9001020000000004</v>
      </c>
      <c r="H222" s="215">
        <v>45108</v>
      </c>
      <c r="I222" s="48">
        <v>1606540</v>
      </c>
      <c r="J222" s="48">
        <v>2140</v>
      </c>
      <c r="K222" s="48">
        <v>1608680</v>
      </c>
      <c r="L222" s="48">
        <v>99.87</v>
      </c>
      <c r="M222" s="71">
        <f t="shared" si="85"/>
        <v>1.6086800000000001</v>
      </c>
      <c r="O222" s="215">
        <v>45108</v>
      </c>
      <c r="P222" s="48">
        <v>532830</v>
      </c>
      <c r="Q222" s="48">
        <v>3904</v>
      </c>
      <c r="R222" s="48">
        <v>536734</v>
      </c>
      <c r="S222" s="48">
        <v>99.27</v>
      </c>
      <c r="T222" s="71">
        <f t="shared" si="81"/>
        <v>0.53673400000000004</v>
      </c>
      <c r="V222" s="215">
        <v>45108</v>
      </c>
      <c r="W222" s="48">
        <v>1015916</v>
      </c>
      <c r="X222" s="48">
        <v>164</v>
      </c>
      <c r="Y222" s="48">
        <v>1016080</v>
      </c>
      <c r="Z222" s="48">
        <v>99.98</v>
      </c>
      <c r="AA222" s="71">
        <f t="shared" si="78"/>
        <v>1.0160800000000001</v>
      </c>
      <c r="AC222" s="215">
        <v>45108</v>
      </c>
      <c r="AD222" s="48">
        <v>634462</v>
      </c>
      <c r="AE222" s="48">
        <v>268</v>
      </c>
      <c r="AF222" s="48">
        <v>634730</v>
      </c>
      <c r="AG222" s="48">
        <v>99.96</v>
      </c>
      <c r="AH222" s="71">
        <f t="shared" si="82"/>
        <v>0.63473000000000002</v>
      </c>
      <c r="AJ222" s="215">
        <v>45108</v>
      </c>
      <c r="AK222" s="48">
        <v>132</v>
      </c>
      <c r="AL222" s="48">
        <v>2</v>
      </c>
      <c r="AM222" s="48">
        <v>134</v>
      </c>
      <c r="AN222" s="48">
        <v>98.51</v>
      </c>
      <c r="AO222" s="246">
        <f t="shared" si="79"/>
        <v>1.34E-4</v>
      </c>
      <c r="AQ222" s="215">
        <v>45108</v>
      </c>
      <c r="AR222" s="48">
        <v>1944</v>
      </c>
      <c r="AS222" s="48">
        <v>12</v>
      </c>
      <c r="AT222" s="48">
        <v>1956</v>
      </c>
      <c r="AU222" s="48">
        <v>99.39</v>
      </c>
      <c r="AV222" s="246">
        <f t="shared" si="76"/>
        <v>1.9559999999999998E-3</v>
      </c>
      <c r="AX222" s="215">
        <v>45108</v>
      </c>
      <c r="AY222" s="48">
        <v>990</v>
      </c>
      <c r="AZ222" s="48">
        <v>24</v>
      </c>
      <c r="BA222" s="48">
        <v>1014</v>
      </c>
      <c r="BB222" s="48">
        <v>97.63</v>
      </c>
      <c r="BC222" s="246">
        <f t="shared" si="75"/>
        <v>1.0139999999999999E-3</v>
      </c>
      <c r="BE222" s="215">
        <v>45108</v>
      </c>
      <c r="BF222" s="48">
        <v>4958</v>
      </c>
      <c r="BG222" s="48">
        <v>96</v>
      </c>
      <c r="BH222" s="48">
        <v>5054</v>
      </c>
      <c r="BI222" s="48">
        <v>98.1</v>
      </c>
      <c r="BJ222" s="71">
        <f t="shared" si="83"/>
        <v>5.0540000000000003E-3</v>
      </c>
      <c r="BL222" s="215">
        <v>45108</v>
      </c>
      <c r="BM222" s="48">
        <v>5092</v>
      </c>
      <c r="BN222" s="48">
        <v>0</v>
      </c>
      <c r="BO222" s="48">
        <v>5092</v>
      </c>
      <c r="BP222" s="48">
        <v>100</v>
      </c>
      <c r="BQ222" s="71">
        <f t="shared" si="74"/>
        <v>5.0920000000000002E-3</v>
      </c>
      <c r="BR222" s="178"/>
      <c r="BS222" s="71"/>
      <c r="BT222" s="71"/>
      <c r="BU222" s="71"/>
      <c r="BV222" s="71"/>
      <c r="BW222" s="71"/>
      <c r="BX222" s="178"/>
      <c r="BY222" s="178"/>
      <c r="BZ222" s="71"/>
      <c r="CA222" s="48"/>
      <c r="CB222" s="48"/>
      <c r="CC222" s="71"/>
      <c r="CD222" s="178"/>
      <c r="CE222" s="215">
        <v>45108</v>
      </c>
      <c r="CF222" s="1">
        <v>10075056</v>
      </c>
      <c r="CG222" s="1">
        <v>13810</v>
      </c>
      <c r="CH222" s="1">
        <v>10088866</v>
      </c>
      <c r="CI222" s="71">
        <f t="shared" si="77"/>
        <v>99.863116429537271</v>
      </c>
      <c r="CJ222" s="71">
        <f t="shared" si="80"/>
        <v>10.088865999999999</v>
      </c>
      <c r="CL222" s="140">
        <v>44994</v>
      </c>
      <c r="CM222" s="252" t="s">
        <v>244</v>
      </c>
      <c r="CN222">
        <v>484</v>
      </c>
      <c r="CO222">
        <v>513</v>
      </c>
    </row>
    <row r="223" spans="1:93" hidden="1" x14ac:dyDescent="0.25">
      <c r="A223" s="215">
        <v>45109</v>
      </c>
      <c r="B223" s="48">
        <v>4375029</v>
      </c>
      <c r="C223" s="48">
        <v>1146</v>
      </c>
      <c r="D223" s="48">
        <v>4376175</v>
      </c>
      <c r="E223" s="48">
        <v>99.97</v>
      </c>
      <c r="F223" s="71">
        <f t="shared" si="84"/>
        <v>4.3761749999999999</v>
      </c>
      <c r="H223" s="215">
        <v>45109</v>
      </c>
      <c r="I223" s="48">
        <v>1701690</v>
      </c>
      <c r="J223" s="48">
        <v>2247</v>
      </c>
      <c r="K223" s="48">
        <v>1703937</v>
      </c>
      <c r="L223" s="48">
        <v>99.87</v>
      </c>
      <c r="M223" s="71">
        <f t="shared" si="85"/>
        <v>1.703937</v>
      </c>
      <c r="O223" s="215">
        <v>45109</v>
      </c>
      <c r="P223" s="48">
        <v>591769</v>
      </c>
      <c r="Q223" s="48">
        <v>4528</v>
      </c>
      <c r="R223" s="48">
        <v>596297</v>
      </c>
      <c r="S223" s="48">
        <v>99.24</v>
      </c>
      <c r="T223" s="71">
        <f t="shared" si="81"/>
        <v>0.59629699999999997</v>
      </c>
      <c r="V223" s="215">
        <v>45109</v>
      </c>
      <c r="W223" s="48">
        <v>923544</v>
      </c>
      <c r="X223" s="48">
        <v>213</v>
      </c>
      <c r="Y223" s="48">
        <v>923757</v>
      </c>
      <c r="Z223" s="48">
        <v>99.98</v>
      </c>
      <c r="AA223" s="71">
        <f t="shared" si="78"/>
        <v>0.92375700000000005</v>
      </c>
      <c r="AC223" s="215">
        <v>45109</v>
      </c>
      <c r="AD223" s="48">
        <v>643590</v>
      </c>
      <c r="AE223" s="48">
        <v>60</v>
      </c>
      <c r="AF223" s="48">
        <v>643650</v>
      </c>
      <c r="AG223" s="48">
        <v>99.99</v>
      </c>
      <c r="AH223" s="71">
        <f t="shared" si="82"/>
        <v>0.64365000000000006</v>
      </c>
      <c r="AJ223" s="215">
        <v>45109</v>
      </c>
      <c r="AK223" s="48">
        <v>252</v>
      </c>
      <c r="AL223" s="48">
        <v>0</v>
      </c>
      <c r="AM223" s="48">
        <v>252</v>
      </c>
      <c r="AN223" s="48">
        <v>100</v>
      </c>
      <c r="AO223" s="246">
        <f t="shared" si="79"/>
        <v>2.52E-4</v>
      </c>
      <c r="AQ223" s="215">
        <v>45109</v>
      </c>
      <c r="AR223" s="48">
        <v>1326</v>
      </c>
      <c r="AS223" s="48">
        <v>1</v>
      </c>
      <c r="AT223" s="48">
        <v>1327</v>
      </c>
      <c r="AU223" s="48">
        <v>99.92</v>
      </c>
      <c r="AV223" s="246">
        <f t="shared" si="76"/>
        <v>1.3270000000000001E-3</v>
      </c>
      <c r="AX223" s="215">
        <v>45109</v>
      </c>
      <c r="AY223" s="48">
        <v>0</v>
      </c>
      <c r="AZ223" s="48">
        <v>112</v>
      </c>
      <c r="BA223" s="48">
        <v>112</v>
      </c>
      <c r="BB223" s="48">
        <v>0</v>
      </c>
      <c r="BC223" s="246">
        <f t="shared" si="75"/>
        <v>1.12E-4</v>
      </c>
      <c r="BE223" s="215">
        <v>45109</v>
      </c>
      <c r="BF223" s="48">
        <v>3938</v>
      </c>
      <c r="BG223" s="48">
        <v>79</v>
      </c>
      <c r="BH223" s="48">
        <v>4017</v>
      </c>
      <c r="BI223" s="48">
        <v>98.03</v>
      </c>
      <c r="BJ223" s="71">
        <f t="shared" si="83"/>
        <v>4.0169999999999997E-3</v>
      </c>
      <c r="BL223" s="215">
        <v>45109</v>
      </c>
      <c r="BM223" s="48">
        <v>4077</v>
      </c>
      <c r="BN223" s="48">
        <v>0</v>
      </c>
      <c r="BO223" s="48">
        <v>4077</v>
      </c>
      <c r="BP223" s="48">
        <v>100</v>
      </c>
      <c r="BQ223" s="71">
        <f t="shared" si="74"/>
        <v>4.0769999999999999E-3</v>
      </c>
      <c r="BR223" s="178"/>
      <c r="BS223" s="71"/>
      <c r="BT223" s="71"/>
      <c r="BU223" s="71"/>
      <c r="BV223" s="71"/>
      <c r="BW223" s="71"/>
      <c r="BX223" s="178"/>
      <c r="BY223" s="178"/>
      <c r="BZ223" s="71"/>
      <c r="CA223" s="48"/>
      <c r="CB223" s="48"/>
      <c r="CC223" s="71"/>
      <c r="CD223" s="178"/>
      <c r="CE223" s="215">
        <v>45109</v>
      </c>
      <c r="CF223" s="1">
        <v>9616341</v>
      </c>
      <c r="CG223" s="1">
        <v>13040</v>
      </c>
      <c r="CH223" s="1">
        <v>9629381</v>
      </c>
      <c r="CI223" s="71">
        <f t="shared" si="77"/>
        <v>99.864581118973277</v>
      </c>
      <c r="CJ223" s="71">
        <f t="shared" si="80"/>
        <v>9.6293810000000004</v>
      </c>
      <c r="CL223" s="140">
        <v>44995</v>
      </c>
      <c r="CM223" s="252" t="s">
        <v>238</v>
      </c>
      <c r="CN223">
        <v>11584</v>
      </c>
      <c r="CO223">
        <v>503</v>
      </c>
    </row>
    <row r="224" spans="1:93" hidden="1" x14ac:dyDescent="0.25">
      <c r="A224" s="215">
        <v>45110</v>
      </c>
      <c r="B224" s="48">
        <v>5395483</v>
      </c>
      <c r="C224" s="48">
        <v>2512</v>
      </c>
      <c r="D224" s="48">
        <v>5397995</v>
      </c>
      <c r="E224" s="48">
        <v>99.95</v>
      </c>
      <c r="F224" s="71">
        <f t="shared" si="84"/>
        <v>5.3979949999999999</v>
      </c>
      <c r="H224" s="215">
        <v>45110</v>
      </c>
      <c r="I224" s="48">
        <v>1803892</v>
      </c>
      <c r="J224" s="48">
        <v>2313</v>
      </c>
      <c r="K224" s="48">
        <v>1806205</v>
      </c>
      <c r="L224" s="48">
        <v>99.87</v>
      </c>
      <c r="M224" s="71">
        <f t="shared" si="85"/>
        <v>1.8062050000000001</v>
      </c>
      <c r="O224" s="215">
        <v>45110</v>
      </c>
      <c r="P224" s="48">
        <v>594004</v>
      </c>
      <c r="Q224" s="48">
        <v>4658</v>
      </c>
      <c r="R224" s="48">
        <v>598662</v>
      </c>
      <c r="S224" s="48">
        <v>99.22</v>
      </c>
      <c r="T224" s="71">
        <f t="shared" si="81"/>
        <v>0.59866200000000003</v>
      </c>
      <c r="V224" s="215">
        <v>45110</v>
      </c>
      <c r="W224" s="48">
        <v>1050840</v>
      </c>
      <c r="X224" s="48">
        <v>356</v>
      </c>
      <c r="Y224" s="48">
        <v>1051196</v>
      </c>
      <c r="Z224" s="48">
        <v>99.97</v>
      </c>
      <c r="AA224" s="71">
        <f t="shared" si="78"/>
        <v>1.051196</v>
      </c>
      <c r="AC224" s="215">
        <v>45110</v>
      </c>
      <c r="AD224" s="48">
        <v>648064</v>
      </c>
      <c r="AE224" s="48">
        <v>87</v>
      </c>
      <c r="AF224" s="48">
        <v>648151</v>
      </c>
      <c r="AG224" s="48">
        <v>99.99</v>
      </c>
      <c r="AH224" s="71">
        <f t="shared" si="82"/>
        <v>0.64815100000000003</v>
      </c>
      <c r="AJ224" s="215">
        <v>45110</v>
      </c>
      <c r="AK224" s="48">
        <v>208</v>
      </c>
      <c r="AL224" s="48">
        <v>0</v>
      </c>
      <c r="AM224" s="48">
        <v>208</v>
      </c>
      <c r="AN224" s="48">
        <v>100</v>
      </c>
      <c r="AO224" s="246">
        <f t="shared" si="79"/>
        <v>2.0799999999999999E-4</v>
      </c>
      <c r="AQ224" s="215">
        <v>45110</v>
      </c>
      <c r="AR224" s="48">
        <v>2284</v>
      </c>
      <c r="AS224" s="48">
        <v>12</v>
      </c>
      <c r="AT224" s="48">
        <v>2296</v>
      </c>
      <c r="AU224" s="48">
        <v>99.48</v>
      </c>
      <c r="AV224" s="246">
        <f t="shared" si="76"/>
        <v>2.2959999999999999E-3</v>
      </c>
      <c r="AX224" s="215">
        <v>45110</v>
      </c>
      <c r="AY224" s="48">
        <v>1934</v>
      </c>
      <c r="AZ224" s="48">
        <v>41</v>
      </c>
      <c r="BA224" s="48">
        <v>1975</v>
      </c>
      <c r="BB224" s="48">
        <v>97.92</v>
      </c>
      <c r="BC224" s="246">
        <f t="shared" si="75"/>
        <v>1.9750000000000002E-3</v>
      </c>
      <c r="BE224" s="215">
        <v>45110</v>
      </c>
      <c r="BF224" s="48">
        <v>5735</v>
      </c>
      <c r="BG224" s="48">
        <v>134</v>
      </c>
      <c r="BH224" s="48">
        <v>5869</v>
      </c>
      <c r="BI224" s="48">
        <v>97.72</v>
      </c>
      <c r="BJ224" s="71">
        <f t="shared" si="83"/>
        <v>5.8690000000000001E-3</v>
      </c>
      <c r="BL224" s="215">
        <v>45110</v>
      </c>
      <c r="BM224" s="48">
        <v>2966</v>
      </c>
      <c r="BN224" s="48">
        <v>0</v>
      </c>
      <c r="BO224" s="48">
        <v>2966</v>
      </c>
      <c r="BP224" s="48">
        <v>100</v>
      </c>
      <c r="BQ224" s="71">
        <f t="shared" si="74"/>
        <v>2.9659999999999999E-3</v>
      </c>
      <c r="BR224" s="178"/>
      <c r="BS224" s="71"/>
      <c r="BT224" s="71"/>
      <c r="BU224" s="71"/>
      <c r="BV224" s="71"/>
      <c r="BW224" s="71"/>
      <c r="BX224" s="178"/>
      <c r="BY224" s="178"/>
      <c r="BZ224" s="71"/>
      <c r="CA224" s="48"/>
      <c r="CB224" s="48"/>
      <c r="CC224" s="71"/>
      <c r="CD224" s="178"/>
      <c r="CE224" s="215">
        <v>45110</v>
      </c>
      <c r="CF224" s="1">
        <v>10888426</v>
      </c>
      <c r="CG224" s="1">
        <v>14637</v>
      </c>
      <c r="CH224" s="1">
        <v>10903063</v>
      </c>
      <c r="CI224" s="71">
        <f t="shared" si="77"/>
        <v>99.865753320878724</v>
      </c>
      <c r="CJ224" s="71">
        <f t="shared" si="80"/>
        <v>10.903063</v>
      </c>
      <c r="CL224" s="140">
        <v>44995</v>
      </c>
      <c r="CM224" s="252" t="s">
        <v>247</v>
      </c>
      <c r="CN224">
        <v>4072</v>
      </c>
      <c r="CO224">
        <v>527</v>
      </c>
    </row>
    <row r="225" spans="1:93" hidden="1" x14ac:dyDescent="0.25">
      <c r="A225" s="215">
        <v>45111</v>
      </c>
      <c r="B225" s="48">
        <v>5686643</v>
      </c>
      <c r="C225" s="48">
        <v>3684</v>
      </c>
      <c r="D225" s="48">
        <v>5690327</v>
      </c>
      <c r="E225" s="48">
        <v>99.94</v>
      </c>
      <c r="F225" s="71">
        <f t="shared" si="84"/>
        <v>5.6903269999999999</v>
      </c>
      <c r="H225" s="215">
        <v>45111</v>
      </c>
      <c r="I225" s="48">
        <v>2181173</v>
      </c>
      <c r="J225" s="48">
        <v>8453</v>
      </c>
      <c r="K225" s="48">
        <v>2189626</v>
      </c>
      <c r="L225" s="48">
        <v>99.61</v>
      </c>
      <c r="M225" s="71">
        <f t="shared" si="85"/>
        <v>2.1896260000000001</v>
      </c>
      <c r="O225" s="215">
        <v>45111</v>
      </c>
      <c r="P225" s="48">
        <v>652443</v>
      </c>
      <c r="Q225" s="48">
        <v>6647</v>
      </c>
      <c r="R225" s="48">
        <v>659090</v>
      </c>
      <c r="S225" s="48">
        <v>98.99</v>
      </c>
      <c r="T225" s="71">
        <f t="shared" si="81"/>
        <v>0.65908999999999995</v>
      </c>
      <c r="V225" s="215">
        <v>45111</v>
      </c>
      <c r="W225" s="48">
        <v>1082454</v>
      </c>
      <c r="X225" s="48">
        <v>381</v>
      </c>
      <c r="Y225" s="48">
        <v>1082835</v>
      </c>
      <c r="Z225" s="48">
        <v>99.96</v>
      </c>
      <c r="AA225" s="71">
        <f t="shared" si="78"/>
        <v>1.082835</v>
      </c>
      <c r="AC225" s="215">
        <v>45111</v>
      </c>
      <c r="AD225" s="48">
        <v>750673</v>
      </c>
      <c r="AE225" s="48">
        <v>263</v>
      </c>
      <c r="AF225" s="48">
        <v>750936</v>
      </c>
      <c r="AG225" s="48">
        <v>99.96</v>
      </c>
      <c r="AH225" s="71">
        <f t="shared" si="82"/>
        <v>0.75093600000000005</v>
      </c>
      <c r="AJ225" s="215">
        <v>45111</v>
      </c>
      <c r="AK225" s="48">
        <v>203</v>
      </c>
      <c r="AL225" s="48">
        <v>2</v>
      </c>
      <c r="AM225" s="48">
        <v>205</v>
      </c>
      <c r="AN225" s="48">
        <v>99.02</v>
      </c>
      <c r="AO225" s="246">
        <f t="shared" si="79"/>
        <v>2.05E-4</v>
      </c>
      <c r="AQ225" s="215">
        <v>45111</v>
      </c>
      <c r="AR225" s="48">
        <v>2929</v>
      </c>
      <c r="AS225" s="48">
        <v>20</v>
      </c>
      <c r="AT225" s="48">
        <v>2949</v>
      </c>
      <c r="AU225" s="48">
        <v>99.32</v>
      </c>
      <c r="AV225" s="246">
        <f t="shared" si="76"/>
        <v>2.9489999999999998E-3</v>
      </c>
      <c r="AX225" s="215">
        <v>45111</v>
      </c>
      <c r="AY225" s="48">
        <v>1502</v>
      </c>
      <c r="AZ225" s="48">
        <v>58</v>
      </c>
      <c r="BA225" s="48">
        <v>1560</v>
      </c>
      <c r="BB225" s="48">
        <v>96.28</v>
      </c>
      <c r="BC225" s="246">
        <f t="shared" si="75"/>
        <v>1.56E-3</v>
      </c>
      <c r="BE225" s="215">
        <v>45111</v>
      </c>
      <c r="BF225" s="48">
        <v>6601</v>
      </c>
      <c r="BG225" s="48">
        <v>149</v>
      </c>
      <c r="BH225" s="48">
        <v>6750</v>
      </c>
      <c r="BI225" s="48">
        <v>97.79</v>
      </c>
      <c r="BJ225" s="71">
        <f t="shared" si="83"/>
        <v>6.7499999999999999E-3</v>
      </c>
      <c r="BL225" s="215">
        <v>45111</v>
      </c>
      <c r="BM225" s="48">
        <v>2804</v>
      </c>
      <c r="BN225" s="48">
        <v>0</v>
      </c>
      <c r="BO225" s="48">
        <v>2804</v>
      </c>
      <c r="BP225" s="48">
        <v>100</v>
      </c>
      <c r="BQ225" s="71">
        <f t="shared" si="74"/>
        <v>2.8040000000000001E-3</v>
      </c>
      <c r="BR225" s="178"/>
      <c r="BS225" s="71"/>
      <c r="BT225" s="71"/>
      <c r="BU225" s="71"/>
      <c r="BV225" s="71"/>
      <c r="BW225" s="71"/>
      <c r="BX225" s="178"/>
      <c r="BY225" s="178"/>
      <c r="BZ225" s="71"/>
      <c r="CA225" s="48"/>
      <c r="CB225" s="48"/>
      <c r="CC225" s="71"/>
      <c r="CD225" s="178"/>
      <c r="CE225" s="215">
        <v>45111</v>
      </c>
      <c r="CF225" s="1">
        <v>11812989</v>
      </c>
      <c r="CG225" s="1">
        <v>25658</v>
      </c>
      <c r="CH225" s="1">
        <v>11838647</v>
      </c>
      <c r="CI225" s="71">
        <f t="shared" si="77"/>
        <v>99.783269152294181</v>
      </c>
      <c r="CJ225" s="71">
        <f t="shared" si="80"/>
        <v>11.838647</v>
      </c>
      <c r="CL225" s="140">
        <v>44995</v>
      </c>
      <c r="CM225" s="252" t="s">
        <v>240</v>
      </c>
      <c r="CN225">
        <v>3668</v>
      </c>
      <c r="CO225">
        <v>516</v>
      </c>
    </row>
    <row r="226" spans="1:93" hidden="1" x14ac:dyDescent="0.25">
      <c r="A226" s="215">
        <v>45112</v>
      </c>
      <c r="B226" s="48">
        <v>5388968</v>
      </c>
      <c r="C226" s="48">
        <v>2519</v>
      </c>
      <c r="D226" s="48">
        <v>5391487</v>
      </c>
      <c r="E226" s="48">
        <v>99.95</v>
      </c>
      <c r="F226" s="71">
        <f t="shared" si="84"/>
        <v>5.3914869999999997</v>
      </c>
      <c r="H226" s="215">
        <v>45112</v>
      </c>
      <c r="I226" s="48">
        <v>1699825</v>
      </c>
      <c r="J226" s="48">
        <v>3305</v>
      </c>
      <c r="K226" s="48">
        <v>1703130</v>
      </c>
      <c r="L226" s="48">
        <v>99.81</v>
      </c>
      <c r="M226" s="71">
        <f t="shared" si="85"/>
        <v>1.70313</v>
      </c>
      <c r="O226" s="215">
        <v>45112</v>
      </c>
      <c r="P226" s="48">
        <v>595891</v>
      </c>
      <c r="Q226" s="48">
        <v>4710</v>
      </c>
      <c r="R226" s="48">
        <v>600601</v>
      </c>
      <c r="S226" s="48">
        <v>99.22</v>
      </c>
      <c r="T226" s="71">
        <f t="shared" si="81"/>
        <v>0.60060100000000005</v>
      </c>
      <c r="V226" s="215">
        <v>45112</v>
      </c>
      <c r="W226" s="48">
        <v>1108473</v>
      </c>
      <c r="X226" s="48">
        <v>172</v>
      </c>
      <c r="Y226" s="48">
        <v>1108645</v>
      </c>
      <c r="Z226" s="48">
        <v>99.98</v>
      </c>
      <c r="AA226" s="71">
        <f t="shared" si="78"/>
        <v>1.1086450000000001</v>
      </c>
      <c r="AC226" s="215">
        <v>45112</v>
      </c>
      <c r="AD226" s="48">
        <v>720778</v>
      </c>
      <c r="AE226" s="48">
        <v>143</v>
      </c>
      <c r="AF226" s="48">
        <v>720921</v>
      </c>
      <c r="AG226" s="48">
        <v>99.98</v>
      </c>
      <c r="AH226" s="71">
        <f t="shared" si="82"/>
        <v>0.72092100000000003</v>
      </c>
      <c r="AJ226" s="215">
        <v>45112</v>
      </c>
      <c r="AK226" s="48">
        <v>166</v>
      </c>
      <c r="AL226" s="48">
        <v>0</v>
      </c>
      <c r="AM226" s="48">
        <v>166</v>
      </c>
      <c r="AN226" s="48">
        <v>100</v>
      </c>
      <c r="AO226" s="246">
        <f t="shared" si="79"/>
        <v>1.66E-4</v>
      </c>
      <c r="AQ226" s="215">
        <v>45112</v>
      </c>
      <c r="AR226" s="48">
        <v>1635</v>
      </c>
      <c r="AS226" s="48">
        <v>22</v>
      </c>
      <c r="AT226" s="48">
        <v>1657</v>
      </c>
      <c r="AU226" s="48">
        <v>98.67</v>
      </c>
      <c r="AV226" s="246">
        <f t="shared" si="76"/>
        <v>1.6570000000000001E-3</v>
      </c>
      <c r="AX226" s="215">
        <v>45112</v>
      </c>
      <c r="AY226" s="48">
        <v>1372</v>
      </c>
      <c r="AZ226" s="48">
        <v>61</v>
      </c>
      <c r="BA226" s="48">
        <v>1433</v>
      </c>
      <c r="BB226" s="48">
        <v>95.74</v>
      </c>
      <c r="BC226" s="246">
        <f t="shared" si="75"/>
        <v>1.433E-3</v>
      </c>
      <c r="BE226" s="215">
        <v>45112</v>
      </c>
      <c r="BF226" s="48">
        <v>4654</v>
      </c>
      <c r="BG226" s="48">
        <v>110</v>
      </c>
      <c r="BH226" s="48">
        <v>4764</v>
      </c>
      <c r="BI226" s="48">
        <v>97.69</v>
      </c>
      <c r="BJ226" s="71">
        <f t="shared" si="83"/>
        <v>4.764E-3</v>
      </c>
      <c r="BL226" s="215">
        <v>45112</v>
      </c>
      <c r="BM226" s="48">
        <v>2910</v>
      </c>
      <c r="BN226" s="48">
        <v>0</v>
      </c>
      <c r="BO226" s="48">
        <v>2910</v>
      </c>
      <c r="BP226" s="48">
        <v>100</v>
      </c>
      <c r="BQ226" s="71">
        <f t="shared" si="74"/>
        <v>2.9099999999999998E-3</v>
      </c>
      <c r="BR226" s="178"/>
      <c r="BS226" s="71"/>
      <c r="BT226" s="71"/>
      <c r="BU226" s="71"/>
      <c r="BV226" s="71"/>
      <c r="BW226" s="71"/>
      <c r="BX226" s="178"/>
      <c r="BY226" s="178"/>
      <c r="BZ226" s="71"/>
      <c r="CA226" s="48"/>
      <c r="CB226" s="48"/>
      <c r="CC226" s="71"/>
      <c r="CD226" s="178"/>
      <c r="CE226" s="215">
        <v>45112</v>
      </c>
      <c r="CF226" s="1">
        <v>10839050</v>
      </c>
      <c r="CG226" s="1">
        <v>17952</v>
      </c>
      <c r="CH226" s="1">
        <v>10857002</v>
      </c>
      <c r="CI226" s="71">
        <f t="shared" si="77"/>
        <v>99.834650486386565</v>
      </c>
      <c r="CJ226" s="71">
        <f t="shared" si="80"/>
        <v>10.857002</v>
      </c>
      <c r="CL226" s="140">
        <v>44995</v>
      </c>
      <c r="CM226" s="252" t="s">
        <v>239</v>
      </c>
      <c r="CN226">
        <v>3446</v>
      </c>
      <c r="CO226">
        <v>504</v>
      </c>
    </row>
    <row r="227" spans="1:93" hidden="1" x14ac:dyDescent="0.25">
      <c r="A227" s="215">
        <v>45113</v>
      </c>
      <c r="B227" s="104">
        <v>5296066</v>
      </c>
      <c r="C227" s="104">
        <v>2636</v>
      </c>
      <c r="D227" s="104">
        <v>5298702</v>
      </c>
      <c r="E227" s="104">
        <v>99.95</v>
      </c>
      <c r="F227" s="71">
        <f t="shared" si="84"/>
        <v>5.2987019999999996</v>
      </c>
      <c r="H227" s="215">
        <v>45113</v>
      </c>
      <c r="I227" s="104">
        <v>1720040</v>
      </c>
      <c r="J227" s="104">
        <v>2639</v>
      </c>
      <c r="K227" s="104">
        <v>1722679</v>
      </c>
      <c r="L227" s="104">
        <v>99.85</v>
      </c>
      <c r="M227" s="71">
        <f t="shared" si="85"/>
        <v>1.7226790000000001</v>
      </c>
      <c r="O227" s="215">
        <v>45113</v>
      </c>
      <c r="P227" s="104">
        <v>596109</v>
      </c>
      <c r="Q227" s="104">
        <v>4623</v>
      </c>
      <c r="R227" s="104">
        <v>600732</v>
      </c>
      <c r="S227" s="104">
        <v>99.23</v>
      </c>
      <c r="T227" s="71">
        <f t="shared" si="81"/>
        <v>0.60073200000000004</v>
      </c>
      <c r="V227" s="215">
        <v>45113</v>
      </c>
      <c r="W227" s="104">
        <v>1012053</v>
      </c>
      <c r="X227" s="104">
        <v>264</v>
      </c>
      <c r="Y227" s="104">
        <v>1012317</v>
      </c>
      <c r="Z227" s="104">
        <v>99.97</v>
      </c>
      <c r="AA227" s="71">
        <f t="shared" si="78"/>
        <v>1.0123169999999999</v>
      </c>
      <c r="AC227" s="215">
        <v>45113</v>
      </c>
      <c r="AD227" s="104">
        <v>579059</v>
      </c>
      <c r="AE227" s="104">
        <v>125101</v>
      </c>
      <c r="AF227" s="104">
        <v>704160</v>
      </c>
      <c r="AG227" s="104">
        <v>82.23</v>
      </c>
      <c r="AH227" s="71">
        <f t="shared" si="82"/>
        <v>0.70416000000000001</v>
      </c>
      <c r="AJ227" s="215">
        <v>45113</v>
      </c>
      <c r="AK227" s="48">
        <v>121</v>
      </c>
      <c r="AL227" s="48">
        <v>0</v>
      </c>
      <c r="AM227" s="48">
        <v>121</v>
      </c>
      <c r="AN227" s="48">
        <v>100</v>
      </c>
      <c r="AO227" s="246">
        <f>AM226/1000000</f>
        <v>1.66E-4</v>
      </c>
      <c r="AQ227" s="215">
        <v>45113</v>
      </c>
      <c r="AR227" s="104">
        <v>2617</v>
      </c>
      <c r="AS227" s="104">
        <v>18</v>
      </c>
      <c r="AT227" s="104">
        <v>2635</v>
      </c>
      <c r="AU227" s="104">
        <v>99.32</v>
      </c>
      <c r="AV227" s="246">
        <f t="shared" si="76"/>
        <v>2.6350000000000002E-3</v>
      </c>
      <c r="AX227" s="215">
        <v>45113</v>
      </c>
      <c r="AY227" s="104">
        <v>1412</v>
      </c>
      <c r="AZ227" s="104">
        <v>79</v>
      </c>
      <c r="BA227" s="104">
        <v>1491</v>
      </c>
      <c r="BB227" s="104">
        <v>94.7</v>
      </c>
      <c r="BC227" s="246">
        <f t="shared" si="75"/>
        <v>1.4909999999999999E-3</v>
      </c>
      <c r="BE227" s="215">
        <v>45113</v>
      </c>
      <c r="BF227" s="104">
        <v>5356</v>
      </c>
      <c r="BG227" s="104">
        <v>118</v>
      </c>
      <c r="BH227" s="104">
        <v>5474</v>
      </c>
      <c r="BI227" s="104">
        <v>97.84</v>
      </c>
      <c r="BJ227" s="71">
        <f t="shared" si="83"/>
        <v>5.4739999999999997E-3</v>
      </c>
      <c r="BL227" s="215">
        <v>45113</v>
      </c>
      <c r="BM227" s="104">
        <v>3326</v>
      </c>
      <c r="BN227" s="104">
        <v>0</v>
      </c>
      <c r="BO227" s="104">
        <v>3326</v>
      </c>
      <c r="BP227" s="104">
        <v>100</v>
      </c>
      <c r="BQ227" s="71">
        <f t="shared" si="74"/>
        <v>3.326E-3</v>
      </c>
      <c r="BR227" s="178"/>
      <c r="BS227" s="71"/>
      <c r="BT227" s="71"/>
      <c r="BU227" s="71"/>
      <c r="BV227" s="71"/>
      <c r="BW227" s="71"/>
      <c r="BX227" s="178"/>
      <c r="BY227" s="178"/>
      <c r="BZ227" s="71"/>
      <c r="CA227" s="48"/>
      <c r="CB227" s="48"/>
      <c r="CC227" s="71"/>
      <c r="CD227" s="178"/>
      <c r="CE227" s="215">
        <v>45113</v>
      </c>
      <c r="CF227" s="1">
        <v>10537747</v>
      </c>
      <c r="CG227" s="1">
        <v>143455</v>
      </c>
      <c r="CH227" s="1">
        <v>10681202</v>
      </c>
      <c r="CI227" s="71">
        <f t="shared" si="77"/>
        <v>98.656939546691461</v>
      </c>
      <c r="CJ227" s="71">
        <f t="shared" si="80"/>
        <v>10.681202000000001</v>
      </c>
      <c r="CL227" s="140">
        <v>44995</v>
      </c>
      <c r="CM227" s="252" t="s">
        <v>244</v>
      </c>
      <c r="CN227">
        <v>558</v>
      </c>
      <c r="CO227">
        <v>513</v>
      </c>
    </row>
    <row r="228" spans="1:93" hidden="1" x14ac:dyDescent="0.25">
      <c r="A228" s="215">
        <v>45114</v>
      </c>
      <c r="B228" s="104">
        <v>5296066</v>
      </c>
      <c r="C228" s="104">
        <v>2636</v>
      </c>
      <c r="D228" s="104">
        <v>5298702</v>
      </c>
      <c r="E228" s="114">
        <f>B228/D228%</f>
        <v>99.950251967368615</v>
      </c>
      <c r="F228" s="71">
        <f t="shared" si="84"/>
        <v>5.2987019999999996</v>
      </c>
      <c r="H228" s="215">
        <v>45114</v>
      </c>
      <c r="I228" s="104">
        <v>1956215</v>
      </c>
      <c r="J228" s="104">
        <v>5651</v>
      </c>
      <c r="K228" s="104">
        <v>1961866</v>
      </c>
      <c r="L228" s="114">
        <f>I228/K228%</f>
        <v>99.711957901304174</v>
      </c>
      <c r="M228" s="71">
        <f t="shared" si="85"/>
        <v>1.9618660000000001</v>
      </c>
      <c r="O228" s="215">
        <v>45114</v>
      </c>
      <c r="P228" s="104">
        <v>593978</v>
      </c>
      <c r="Q228" s="104">
        <v>5037</v>
      </c>
      <c r="R228" s="104">
        <v>599015</v>
      </c>
      <c r="S228" s="114">
        <f>P228/R228%</f>
        <v>99.159119554602142</v>
      </c>
      <c r="T228" s="71">
        <f t="shared" si="81"/>
        <v>0.59901499999999996</v>
      </c>
      <c r="V228" s="215">
        <v>45114</v>
      </c>
      <c r="W228" s="104">
        <v>1125489</v>
      </c>
      <c r="X228" s="104">
        <v>496</v>
      </c>
      <c r="Y228" s="104">
        <v>1125985</v>
      </c>
      <c r="Z228" s="114">
        <f>W228/Y228%</f>
        <v>99.955949679613852</v>
      </c>
      <c r="AA228" s="71">
        <f t="shared" si="78"/>
        <v>1.125985</v>
      </c>
      <c r="AC228" s="215">
        <v>45114</v>
      </c>
      <c r="AD228" s="104">
        <v>813473</v>
      </c>
      <c r="AE228" s="104">
        <v>153</v>
      </c>
      <c r="AF228" s="104">
        <v>813626</v>
      </c>
      <c r="AG228" s="114">
        <f>AD228/AF228%</f>
        <v>99.981195291202596</v>
      </c>
      <c r="AH228" s="71">
        <f t="shared" si="82"/>
        <v>0.81362599999999996</v>
      </c>
      <c r="AJ228" s="215">
        <v>45114</v>
      </c>
      <c r="AK228" s="48">
        <v>149</v>
      </c>
      <c r="AL228" s="48">
        <v>0</v>
      </c>
      <c r="AM228" s="48">
        <v>149</v>
      </c>
      <c r="AN228" s="48">
        <v>100</v>
      </c>
      <c r="AO228" s="246">
        <f t="shared" ref="AO228:AO241" si="86">AM227/1000000</f>
        <v>1.21E-4</v>
      </c>
      <c r="AQ228" s="215">
        <v>45114</v>
      </c>
      <c r="AR228" s="104">
        <v>1780</v>
      </c>
      <c r="AS228" s="104">
        <v>15</v>
      </c>
      <c r="AT228" s="104">
        <v>1795</v>
      </c>
      <c r="AU228" s="114">
        <f>AR228/AT228%</f>
        <v>99.164345403899731</v>
      </c>
      <c r="AV228" s="246">
        <f t="shared" si="76"/>
        <v>1.7949999999999999E-3</v>
      </c>
      <c r="AX228" s="215">
        <v>45114</v>
      </c>
      <c r="AY228" s="104">
        <v>1444</v>
      </c>
      <c r="AZ228" s="104">
        <v>39</v>
      </c>
      <c r="BA228" s="104">
        <v>1483</v>
      </c>
      <c r="BB228" s="114">
        <f>AY228/BA228%</f>
        <v>97.3701955495617</v>
      </c>
      <c r="BC228" s="246">
        <f t="shared" si="75"/>
        <v>1.4829999999999999E-3</v>
      </c>
      <c r="BE228" s="215">
        <v>45114</v>
      </c>
      <c r="BF228" s="104">
        <v>5452</v>
      </c>
      <c r="BG228" s="104">
        <v>139</v>
      </c>
      <c r="BH228" s="104">
        <v>5591</v>
      </c>
      <c r="BI228" s="114">
        <f>BF228/BH228%</f>
        <v>97.513861563226627</v>
      </c>
      <c r="BJ228" s="71">
        <f t="shared" si="83"/>
        <v>5.5909999999999996E-3</v>
      </c>
      <c r="BL228" s="215">
        <v>45114</v>
      </c>
      <c r="BM228" s="104">
        <v>3231</v>
      </c>
      <c r="BN228" s="104">
        <v>0</v>
      </c>
      <c r="BO228" s="104">
        <v>3231</v>
      </c>
      <c r="BP228" s="104">
        <v>100</v>
      </c>
      <c r="BQ228" s="71">
        <f t="shared" si="74"/>
        <v>3.2309999999999999E-3</v>
      </c>
      <c r="BR228" s="178"/>
      <c r="BS228" s="71"/>
      <c r="BT228" s="71"/>
      <c r="BU228" s="71"/>
      <c r="BV228" s="71"/>
      <c r="BW228" s="71"/>
      <c r="BX228" s="178"/>
      <c r="BY228" s="178"/>
      <c r="BZ228" s="71"/>
      <c r="CA228" s="48"/>
      <c r="CB228" s="48"/>
      <c r="CC228" s="71"/>
      <c r="CD228" s="178"/>
      <c r="CE228" s="215">
        <v>45114</v>
      </c>
      <c r="CF228" s="1">
        <v>11553616</v>
      </c>
      <c r="CG228" s="1">
        <v>25224</v>
      </c>
      <c r="CH228" s="1">
        <v>11578840</v>
      </c>
      <c r="CI228" s="71">
        <f t="shared" si="77"/>
        <v>99.782154343613016</v>
      </c>
      <c r="CJ228" s="71">
        <f t="shared" si="80"/>
        <v>11.57884</v>
      </c>
      <c r="CL228" s="140">
        <v>44996</v>
      </c>
      <c r="CM228" s="252" t="s">
        <v>238</v>
      </c>
      <c r="CN228">
        <v>11962</v>
      </c>
      <c r="CO228">
        <v>503</v>
      </c>
    </row>
    <row r="229" spans="1:93" hidden="1" x14ac:dyDescent="0.25">
      <c r="A229" s="215">
        <v>45115</v>
      </c>
      <c r="B229" s="104">
        <v>5624238</v>
      </c>
      <c r="C229" s="104">
        <v>7654</v>
      </c>
      <c r="D229" s="104">
        <v>5631892</v>
      </c>
      <c r="E229" s="114">
        <f>B229/D229%</f>
        <v>99.864095405238601</v>
      </c>
      <c r="F229" s="71">
        <f t="shared" si="84"/>
        <v>5.6318919999999997</v>
      </c>
      <c r="H229" s="215">
        <v>45115</v>
      </c>
      <c r="I229" s="104">
        <v>1615194</v>
      </c>
      <c r="J229" s="104">
        <v>1988</v>
      </c>
      <c r="K229" s="104">
        <v>1617182</v>
      </c>
      <c r="L229" s="114">
        <f>I229/K229%</f>
        <v>99.877070113320585</v>
      </c>
      <c r="M229" s="71">
        <f t="shared" si="85"/>
        <v>1.6171819999999999</v>
      </c>
      <c r="O229" s="215">
        <v>45115</v>
      </c>
      <c r="P229" s="104">
        <v>543788</v>
      </c>
      <c r="Q229" s="104">
        <v>4280</v>
      </c>
      <c r="R229" s="104">
        <v>548068</v>
      </c>
      <c r="S229" s="114">
        <f>P229/R229%</f>
        <v>99.219075005291316</v>
      </c>
      <c r="T229" s="71">
        <f t="shared" si="81"/>
        <v>0.548068</v>
      </c>
      <c r="V229" s="215">
        <v>45115</v>
      </c>
      <c r="W229" s="104">
        <v>1032108</v>
      </c>
      <c r="X229" s="104">
        <v>168</v>
      </c>
      <c r="Y229" s="104">
        <v>1032276</v>
      </c>
      <c r="Z229" s="114">
        <f>W229/Y229%</f>
        <v>99.983725282773207</v>
      </c>
      <c r="AA229" s="71">
        <f t="shared" si="78"/>
        <v>1.032276</v>
      </c>
      <c r="AC229" s="215">
        <v>45115</v>
      </c>
      <c r="AD229" s="104">
        <v>751062</v>
      </c>
      <c r="AE229" s="104">
        <v>86</v>
      </c>
      <c r="AF229" s="104">
        <v>751148</v>
      </c>
      <c r="AG229" s="114">
        <f>AD229/AF229%</f>
        <v>99.988550858153133</v>
      </c>
      <c r="AH229" s="71">
        <f t="shared" si="82"/>
        <v>0.75114800000000004</v>
      </c>
      <c r="AJ229" s="215">
        <v>45115</v>
      </c>
      <c r="AK229" s="48">
        <v>108</v>
      </c>
      <c r="AL229" s="48">
        <v>0</v>
      </c>
      <c r="AM229" s="48">
        <v>108</v>
      </c>
      <c r="AN229" s="48">
        <v>100</v>
      </c>
      <c r="AO229" s="246">
        <f t="shared" si="86"/>
        <v>1.4899999999999999E-4</v>
      </c>
      <c r="AQ229" s="215">
        <v>45115</v>
      </c>
      <c r="AR229" s="104">
        <v>822</v>
      </c>
      <c r="AS229" s="104">
        <v>4</v>
      </c>
      <c r="AT229" s="104">
        <v>826</v>
      </c>
      <c r="AU229" s="114">
        <f>AR229/AT229%</f>
        <v>99.515738498789347</v>
      </c>
      <c r="AV229" s="246">
        <f t="shared" si="76"/>
        <v>8.2600000000000002E-4</v>
      </c>
      <c r="AX229" s="215">
        <v>45115</v>
      </c>
      <c r="AY229" s="104">
        <v>972</v>
      </c>
      <c r="AZ229" s="104">
        <v>20</v>
      </c>
      <c r="BA229" s="104">
        <v>992</v>
      </c>
      <c r="BB229" s="114">
        <f>AY229/BA229%</f>
        <v>97.983870967741936</v>
      </c>
      <c r="BC229" s="246">
        <f t="shared" si="75"/>
        <v>9.9200000000000004E-4</v>
      </c>
      <c r="BE229" s="215">
        <v>45115</v>
      </c>
      <c r="BF229" s="104">
        <v>4646</v>
      </c>
      <c r="BG229" s="104">
        <v>94</v>
      </c>
      <c r="BH229" s="104">
        <v>4740</v>
      </c>
      <c r="BI229" s="114">
        <f>BF229/BH229%</f>
        <v>98.016877637130804</v>
      </c>
      <c r="BJ229" s="71">
        <f t="shared" si="83"/>
        <v>4.7400000000000003E-3</v>
      </c>
      <c r="BL229" s="215">
        <v>45115</v>
      </c>
      <c r="BM229" s="104">
        <v>26414</v>
      </c>
      <c r="BN229" s="104">
        <v>0</v>
      </c>
      <c r="BO229" s="104">
        <v>26414</v>
      </c>
      <c r="BP229" s="104">
        <v>100</v>
      </c>
      <c r="BQ229" s="71">
        <f t="shared" si="74"/>
        <v>2.6414E-2</v>
      </c>
      <c r="BR229" s="178"/>
      <c r="BS229" s="71"/>
      <c r="BT229" s="71"/>
      <c r="BU229" s="71"/>
      <c r="BV229" s="71"/>
      <c r="BW229" s="71"/>
      <c r="BX229" s="178"/>
      <c r="BY229" s="178"/>
      <c r="BZ229" s="71"/>
      <c r="CA229" s="48"/>
      <c r="CB229" s="48"/>
      <c r="CC229" s="71"/>
      <c r="CD229" s="178"/>
      <c r="CE229" s="215">
        <v>45115</v>
      </c>
      <c r="CF229" s="1">
        <v>10370454</v>
      </c>
      <c r="CG229" s="1">
        <v>11138</v>
      </c>
      <c r="CH229" s="1">
        <v>10381592</v>
      </c>
      <c r="CI229" s="71">
        <f t="shared" si="77"/>
        <v>99.892713949845074</v>
      </c>
      <c r="CJ229" s="71">
        <f t="shared" si="80"/>
        <v>10.381591999999999</v>
      </c>
      <c r="CL229" s="140">
        <v>44996</v>
      </c>
      <c r="CM229" s="252" t="s">
        <v>239</v>
      </c>
      <c r="CN229">
        <v>6402</v>
      </c>
      <c r="CO229">
        <v>504</v>
      </c>
    </row>
    <row r="230" spans="1:93" hidden="1" x14ac:dyDescent="0.25">
      <c r="A230" s="215">
        <v>45116</v>
      </c>
      <c r="B230" s="104">
        <f>5101866+601159</f>
        <v>5703025</v>
      </c>
      <c r="C230" s="104">
        <f>1476+940</f>
        <v>2416</v>
      </c>
      <c r="D230" s="104">
        <f>5103342+602099</f>
        <v>5705441</v>
      </c>
      <c r="E230" s="114">
        <f>B230/D230%</f>
        <v>99.957654456509147</v>
      </c>
      <c r="F230" s="71">
        <f t="shared" si="84"/>
        <v>5.7054410000000004</v>
      </c>
      <c r="H230" s="215">
        <v>45116</v>
      </c>
      <c r="I230" s="104">
        <v>203784</v>
      </c>
      <c r="J230" s="104">
        <v>7501</v>
      </c>
      <c r="K230" s="104">
        <v>211285</v>
      </c>
      <c r="L230" s="114">
        <f>I230/K230%</f>
        <v>96.449818964905234</v>
      </c>
      <c r="M230" s="71">
        <f t="shared" si="85"/>
        <v>0.211285</v>
      </c>
      <c r="O230" s="215">
        <v>45116</v>
      </c>
      <c r="P230" s="104">
        <v>68927</v>
      </c>
      <c r="Q230" s="104">
        <v>556</v>
      </c>
      <c r="R230" s="104">
        <v>69483</v>
      </c>
      <c r="S230" s="114">
        <f>P230/R230%</f>
        <v>99.199804268670022</v>
      </c>
      <c r="T230" s="71">
        <f t="shared" si="81"/>
        <v>6.9483000000000003E-2</v>
      </c>
      <c r="V230" s="215">
        <v>45116</v>
      </c>
      <c r="W230" s="104">
        <v>104809</v>
      </c>
      <c r="X230" s="104">
        <v>36</v>
      </c>
      <c r="Y230" s="104">
        <v>104845</v>
      </c>
      <c r="Z230" s="114">
        <f>W230/Y230%</f>
        <v>99.965663598645619</v>
      </c>
      <c r="AA230" s="71">
        <f t="shared" si="78"/>
        <v>0.10484499999999999</v>
      </c>
      <c r="AC230" s="215">
        <v>45116</v>
      </c>
      <c r="AD230" s="104">
        <v>140894</v>
      </c>
      <c r="AE230" s="104">
        <v>2558</v>
      </c>
      <c r="AF230" s="104">
        <v>143452</v>
      </c>
      <c r="AG230" s="114">
        <f>AD230/AF230%</f>
        <v>98.216825140116555</v>
      </c>
      <c r="AH230" s="71">
        <f t="shared" si="82"/>
        <v>0.143452</v>
      </c>
      <c r="AJ230" s="215">
        <v>45116</v>
      </c>
      <c r="AK230" s="48">
        <v>58</v>
      </c>
      <c r="AL230" s="48">
        <v>0</v>
      </c>
      <c r="AM230" s="48">
        <v>58</v>
      </c>
      <c r="AN230" s="48">
        <v>100</v>
      </c>
      <c r="AO230" s="246">
        <f t="shared" si="86"/>
        <v>1.08E-4</v>
      </c>
      <c r="AQ230" s="215" t="s">
        <v>248</v>
      </c>
      <c r="AR230" s="104">
        <v>185</v>
      </c>
      <c r="AS230" s="104">
        <v>0</v>
      </c>
      <c r="AT230" s="104">
        <v>185</v>
      </c>
      <c r="AU230" s="104">
        <f>AR230/AT230%</f>
        <v>100</v>
      </c>
      <c r="AV230" s="246">
        <f t="shared" si="76"/>
        <v>1.85E-4</v>
      </c>
      <c r="AX230" s="215">
        <v>45116</v>
      </c>
      <c r="AY230" s="104">
        <v>0</v>
      </c>
      <c r="AZ230" s="104">
        <v>10</v>
      </c>
      <c r="BA230" s="104">
        <v>10</v>
      </c>
      <c r="BB230" s="104">
        <f>AY230/BA230%</f>
        <v>0</v>
      </c>
      <c r="BC230" s="246">
        <f t="shared" si="75"/>
        <v>1.0000000000000001E-5</v>
      </c>
      <c r="BE230" s="215">
        <v>45116</v>
      </c>
      <c r="BF230" s="104">
        <v>194</v>
      </c>
      <c r="BG230" s="104">
        <v>0</v>
      </c>
      <c r="BH230" s="104">
        <v>194</v>
      </c>
      <c r="BI230" s="104">
        <f>BF230/BH230%</f>
        <v>100</v>
      </c>
      <c r="BJ230" s="71">
        <f t="shared" si="83"/>
        <v>1.94E-4</v>
      </c>
      <c r="BL230" s="215">
        <v>45116</v>
      </c>
      <c r="BM230" s="104">
        <v>1392</v>
      </c>
      <c r="BN230" s="104"/>
      <c r="BO230" s="104">
        <v>1392</v>
      </c>
      <c r="BP230" s="104">
        <v>100</v>
      </c>
      <c r="BQ230" s="71">
        <f t="shared" si="74"/>
        <v>1.392E-3</v>
      </c>
      <c r="BR230" s="178"/>
      <c r="BS230" s="71"/>
      <c r="BT230" s="71"/>
      <c r="BU230" s="71"/>
      <c r="BV230" s="71"/>
      <c r="BW230" s="71"/>
      <c r="BX230" s="178"/>
      <c r="BY230" s="178"/>
      <c r="BZ230" s="71"/>
      <c r="CA230" s="48"/>
      <c r="CB230" s="48"/>
      <c r="CC230" s="71"/>
      <c r="CD230" s="178"/>
      <c r="CE230" s="215">
        <v>45116</v>
      </c>
      <c r="CF230" s="1">
        <f>2810+1285217</f>
        <v>1288027</v>
      </c>
      <c r="CG230" s="1">
        <v>13548</v>
      </c>
      <c r="CH230" s="1">
        <f>2810+1298765</f>
        <v>1301575</v>
      </c>
      <c r="CI230" s="71">
        <f t="shared" si="77"/>
        <v>98.959107235464728</v>
      </c>
      <c r="CJ230" s="71">
        <f t="shared" si="80"/>
        <v>1.3015749999999999</v>
      </c>
      <c r="CL230" s="140">
        <v>44996</v>
      </c>
      <c r="CM230" s="252" t="s">
        <v>240</v>
      </c>
      <c r="CN230">
        <v>5840</v>
      </c>
      <c r="CO230">
        <v>516</v>
      </c>
    </row>
    <row r="231" spans="1:93" hidden="1" x14ac:dyDescent="0.25">
      <c r="A231" s="215">
        <v>45117</v>
      </c>
      <c r="B231" s="104"/>
      <c r="C231" s="104"/>
      <c r="D231" s="104"/>
      <c r="E231" s="104"/>
      <c r="F231" s="71">
        <f t="shared" si="84"/>
        <v>0</v>
      </c>
      <c r="H231" s="215">
        <v>45117</v>
      </c>
      <c r="I231" s="104"/>
      <c r="J231" s="104"/>
      <c r="K231" s="104"/>
      <c r="L231" s="104"/>
      <c r="M231" s="71">
        <f t="shared" si="85"/>
        <v>0</v>
      </c>
      <c r="O231" s="215">
        <v>45117</v>
      </c>
      <c r="P231" s="104"/>
      <c r="Q231" s="104"/>
      <c r="R231" s="104"/>
      <c r="S231" s="104"/>
      <c r="T231" s="71">
        <f t="shared" si="81"/>
        <v>0</v>
      </c>
      <c r="V231" s="215">
        <v>45117</v>
      </c>
      <c r="W231" s="104"/>
      <c r="X231" s="104"/>
      <c r="Y231" s="104"/>
      <c r="Z231" s="104"/>
      <c r="AA231" s="71">
        <f t="shared" si="78"/>
        <v>0</v>
      </c>
      <c r="AC231" s="215">
        <v>45117</v>
      </c>
      <c r="AD231" s="104"/>
      <c r="AE231" s="104"/>
      <c r="AF231" s="104"/>
      <c r="AG231" s="104"/>
      <c r="AH231" s="71">
        <f t="shared" si="82"/>
        <v>0</v>
      </c>
      <c r="AJ231" s="215">
        <v>45117</v>
      </c>
      <c r="AK231" s="48"/>
      <c r="AL231" s="48"/>
      <c r="AM231" s="48"/>
      <c r="AN231" s="48"/>
      <c r="AO231" s="246">
        <f t="shared" si="86"/>
        <v>5.8E-5</v>
      </c>
      <c r="AQ231" s="215">
        <v>45117</v>
      </c>
      <c r="AR231" s="104"/>
      <c r="AS231" s="104"/>
      <c r="AT231" s="104"/>
      <c r="AU231" s="104"/>
      <c r="AV231" s="246">
        <f t="shared" si="76"/>
        <v>0</v>
      </c>
      <c r="AX231" s="215">
        <v>45117</v>
      </c>
      <c r="AY231" s="104"/>
      <c r="AZ231" s="104"/>
      <c r="BA231" s="104"/>
      <c r="BB231" s="104"/>
      <c r="BC231" s="246">
        <f t="shared" si="75"/>
        <v>0</v>
      </c>
      <c r="BE231" s="215">
        <v>45117</v>
      </c>
      <c r="BF231" s="104"/>
      <c r="BG231" s="104"/>
      <c r="BH231" s="104"/>
      <c r="BI231" s="104"/>
      <c r="BJ231" s="71">
        <f t="shared" si="83"/>
        <v>0</v>
      </c>
      <c r="BL231" s="215">
        <v>45117</v>
      </c>
      <c r="BM231" s="104"/>
      <c r="BN231" s="104"/>
      <c r="BO231" s="104"/>
      <c r="BP231" s="104"/>
      <c r="BQ231" s="71">
        <f t="shared" si="74"/>
        <v>0</v>
      </c>
      <c r="BR231" s="178"/>
      <c r="BS231" s="71"/>
      <c r="BT231" s="71"/>
      <c r="BU231" s="71"/>
      <c r="BV231" s="71"/>
      <c r="BW231" s="71"/>
      <c r="BX231" s="178"/>
      <c r="BY231" s="178"/>
      <c r="BZ231" s="71"/>
      <c r="CA231" s="48"/>
      <c r="CB231" s="48"/>
      <c r="CC231" s="71"/>
      <c r="CD231" s="178"/>
      <c r="CE231" s="215">
        <v>45117</v>
      </c>
      <c r="CF231" s="1"/>
      <c r="CG231" s="1" t="s">
        <v>249</v>
      </c>
      <c r="CH231" s="1"/>
      <c r="CI231" s="71"/>
      <c r="CJ231" s="71">
        <f t="shared" si="80"/>
        <v>0</v>
      </c>
      <c r="CL231" s="140">
        <v>44996</v>
      </c>
      <c r="CM231" s="252" t="s">
        <v>247</v>
      </c>
      <c r="CN231">
        <v>2470</v>
      </c>
      <c r="CO231">
        <v>527</v>
      </c>
    </row>
    <row r="232" spans="1:93" hidden="1" x14ac:dyDescent="0.25">
      <c r="A232" s="215">
        <v>45118</v>
      </c>
      <c r="B232" s="104"/>
      <c r="C232" s="104"/>
      <c r="D232" s="104"/>
      <c r="E232" s="104"/>
      <c r="F232" s="71"/>
      <c r="H232" s="215">
        <v>45118</v>
      </c>
      <c r="I232" s="104"/>
      <c r="J232" s="104"/>
      <c r="K232" s="104"/>
      <c r="L232" s="104"/>
      <c r="M232" s="71"/>
      <c r="O232" s="215">
        <v>45118</v>
      </c>
      <c r="P232" s="104"/>
      <c r="Q232" s="104"/>
      <c r="R232" s="104"/>
      <c r="S232" s="104"/>
      <c r="T232" s="71"/>
      <c r="V232" s="215">
        <v>45118</v>
      </c>
      <c r="W232" s="104"/>
      <c r="X232" s="104"/>
      <c r="Y232" s="104"/>
      <c r="Z232" s="104"/>
      <c r="AA232" s="71"/>
      <c r="AC232" s="215">
        <v>45118</v>
      </c>
      <c r="AD232" s="104"/>
      <c r="AE232" s="104"/>
      <c r="AF232" s="104"/>
      <c r="AG232" s="104"/>
      <c r="AH232" s="71"/>
      <c r="AJ232" s="215">
        <v>45118</v>
      </c>
      <c r="AK232" s="48"/>
      <c r="AL232" s="48"/>
      <c r="AM232" s="48"/>
      <c r="AN232" s="48"/>
      <c r="AO232" s="246"/>
      <c r="AQ232" s="215">
        <v>45118</v>
      </c>
      <c r="AR232" s="104"/>
      <c r="AS232" s="104"/>
      <c r="AT232" s="104"/>
      <c r="AU232" s="104"/>
      <c r="AV232" s="246"/>
      <c r="AX232" s="215">
        <v>45118</v>
      </c>
      <c r="AY232" s="104"/>
      <c r="AZ232" s="104"/>
      <c r="BA232" s="104"/>
      <c r="BB232" s="104"/>
      <c r="BC232" s="246"/>
      <c r="BE232" s="215">
        <v>45118</v>
      </c>
      <c r="BF232" s="104"/>
      <c r="BG232" s="104"/>
      <c r="BH232" s="104"/>
      <c r="BI232" s="104"/>
      <c r="BJ232" s="71"/>
      <c r="BL232" s="215">
        <v>45118</v>
      </c>
      <c r="BM232" s="104"/>
      <c r="BN232" s="104"/>
      <c r="BO232" s="104"/>
      <c r="BP232" s="104"/>
      <c r="BQ232" s="71"/>
      <c r="BR232" s="178"/>
      <c r="BS232" s="71"/>
      <c r="BT232" s="71"/>
      <c r="BU232" s="71"/>
      <c r="BV232" s="71"/>
      <c r="BW232" s="71"/>
      <c r="BX232" s="178"/>
      <c r="BY232" s="178"/>
      <c r="BZ232" s="71"/>
      <c r="CA232" s="48"/>
      <c r="CB232" s="48"/>
      <c r="CC232" s="71"/>
      <c r="CD232" s="178"/>
      <c r="CE232" s="215">
        <v>45118</v>
      </c>
      <c r="CF232" s="1"/>
      <c r="CG232" s="1"/>
      <c r="CH232" s="1"/>
      <c r="CI232" s="71"/>
      <c r="CJ232" s="71"/>
      <c r="CL232" s="140">
        <v>44996</v>
      </c>
      <c r="CM232" s="252" t="s">
        <v>244</v>
      </c>
      <c r="CN232">
        <v>498</v>
      </c>
      <c r="CO232">
        <v>513</v>
      </c>
    </row>
    <row r="233" spans="1:93" hidden="1" x14ac:dyDescent="0.25">
      <c r="A233" s="215">
        <v>45119</v>
      </c>
      <c r="B233" s="104">
        <v>5242216</v>
      </c>
      <c r="C233" s="104">
        <v>2152</v>
      </c>
      <c r="D233" s="104">
        <v>5244368</v>
      </c>
      <c r="E233" s="104">
        <v>99.96</v>
      </c>
      <c r="F233" s="71">
        <f t="shared" si="84"/>
        <v>5.2443679999999997</v>
      </c>
      <c r="H233" s="215">
        <v>45119</v>
      </c>
      <c r="I233" s="104">
        <v>1584910</v>
      </c>
      <c r="J233" s="104">
        <v>3700</v>
      </c>
      <c r="K233" s="104">
        <v>1588610</v>
      </c>
      <c r="L233" s="104">
        <v>99.77</v>
      </c>
      <c r="M233" s="71">
        <f t="shared" si="85"/>
        <v>1.5886100000000001</v>
      </c>
      <c r="O233" s="215">
        <v>45119</v>
      </c>
      <c r="P233" s="104">
        <v>542063</v>
      </c>
      <c r="Q233" s="104">
        <v>4891</v>
      </c>
      <c r="R233" s="104">
        <v>546954</v>
      </c>
      <c r="S233" s="104">
        <v>99.11</v>
      </c>
      <c r="T233" s="71">
        <f t="shared" si="81"/>
        <v>0.54695400000000005</v>
      </c>
      <c r="V233" s="215">
        <v>45119</v>
      </c>
      <c r="W233" s="104">
        <v>991663</v>
      </c>
      <c r="X233" s="104">
        <v>138</v>
      </c>
      <c r="Y233" s="104">
        <v>991801</v>
      </c>
      <c r="Z233" s="104">
        <v>99.99</v>
      </c>
      <c r="AA233" s="71">
        <f t="shared" si="78"/>
        <v>0.99180100000000004</v>
      </c>
      <c r="AC233" s="215">
        <v>45119</v>
      </c>
      <c r="AD233" s="104">
        <v>713584</v>
      </c>
      <c r="AE233" s="104">
        <v>5513</v>
      </c>
      <c r="AF233" s="104">
        <v>719097</v>
      </c>
      <c r="AG233" s="104">
        <v>99.23</v>
      </c>
      <c r="AH233" s="71">
        <f t="shared" si="82"/>
        <v>0.71909699999999999</v>
      </c>
      <c r="AJ233" s="215">
        <v>45119</v>
      </c>
      <c r="AK233" s="48">
        <v>118</v>
      </c>
      <c r="AL233" s="48">
        <v>0</v>
      </c>
      <c r="AM233" s="48">
        <v>118</v>
      </c>
      <c r="AN233" s="48">
        <v>100</v>
      </c>
      <c r="AO233" s="246">
        <f t="shared" si="86"/>
        <v>0</v>
      </c>
      <c r="AQ233" s="215">
        <v>45119</v>
      </c>
      <c r="AR233" s="104">
        <v>8037</v>
      </c>
      <c r="AS233" s="104">
        <v>0</v>
      </c>
      <c r="AT233" s="104">
        <v>8037</v>
      </c>
      <c r="AU233" s="104">
        <v>100</v>
      </c>
      <c r="AV233" s="246">
        <f t="shared" si="76"/>
        <v>8.0370000000000007E-3</v>
      </c>
      <c r="AX233" s="215">
        <v>45119</v>
      </c>
      <c r="AY233" s="104">
        <v>1462</v>
      </c>
      <c r="AZ233" s="104">
        <v>38</v>
      </c>
      <c r="BA233" s="104">
        <v>1500</v>
      </c>
      <c r="BB233" s="104">
        <v>97.47</v>
      </c>
      <c r="BC233" s="246">
        <f t="shared" si="75"/>
        <v>1.5E-3</v>
      </c>
      <c r="BE233" s="215">
        <v>45119</v>
      </c>
      <c r="BF233" s="104">
        <v>3606</v>
      </c>
      <c r="BG233" s="104">
        <v>64</v>
      </c>
      <c r="BH233" s="104">
        <v>3670</v>
      </c>
      <c r="BI233" s="104">
        <v>98.26</v>
      </c>
      <c r="BJ233" s="71">
        <f t="shared" si="83"/>
        <v>3.6700000000000001E-3</v>
      </c>
      <c r="BL233" s="215">
        <v>45119</v>
      </c>
      <c r="BM233" s="104">
        <v>3376</v>
      </c>
      <c r="BN233" s="104">
        <v>0</v>
      </c>
      <c r="BO233" s="104">
        <v>3376</v>
      </c>
      <c r="BP233" s="104">
        <v>100</v>
      </c>
      <c r="BQ233" s="71">
        <f t="shared" ref="BQ233:BQ244" si="87">BO233/1000000</f>
        <v>3.3760000000000001E-3</v>
      </c>
      <c r="BR233" s="178"/>
      <c r="BS233" s="71"/>
      <c r="BT233" s="71"/>
      <c r="BU233" s="71"/>
      <c r="BV233" s="71"/>
      <c r="BW233" s="71"/>
      <c r="BX233" s="178"/>
      <c r="BY233" s="178"/>
      <c r="BZ233" s="71"/>
      <c r="CA233" s="48"/>
      <c r="CB233" s="48"/>
      <c r="CC233" s="71"/>
      <c r="CD233" s="178"/>
      <c r="CE233" s="215">
        <v>45119</v>
      </c>
      <c r="CF233" s="1">
        <v>10360507</v>
      </c>
      <c r="CG233" s="1">
        <v>27994</v>
      </c>
      <c r="CH233" s="1">
        <v>10388501</v>
      </c>
      <c r="CI233" s="71">
        <f>CF233/CH233%</f>
        <v>99.730528976220924</v>
      </c>
      <c r="CJ233" s="71">
        <f t="shared" si="80"/>
        <v>10.388501</v>
      </c>
      <c r="CL233" s="140">
        <v>44997</v>
      </c>
      <c r="CM233" t="s">
        <v>238</v>
      </c>
      <c r="CN233">
        <v>10424</v>
      </c>
      <c r="CO233">
        <v>503</v>
      </c>
    </row>
    <row r="234" spans="1:93" hidden="1" x14ac:dyDescent="0.25">
      <c r="A234" s="215">
        <v>45120</v>
      </c>
      <c r="B234" s="104">
        <v>4999826</v>
      </c>
      <c r="C234" s="104">
        <v>6974</v>
      </c>
      <c r="D234" s="104">
        <v>5006800</v>
      </c>
      <c r="E234" s="104">
        <v>99.86</v>
      </c>
      <c r="F234" s="71">
        <f t="shared" si="84"/>
        <v>5.0068000000000001</v>
      </c>
      <c r="H234" s="215">
        <v>45120</v>
      </c>
      <c r="I234" s="104">
        <v>1641062</v>
      </c>
      <c r="J234" s="104">
        <v>2982</v>
      </c>
      <c r="K234" s="104">
        <v>1644044</v>
      </c>
      <c r="L234" s="104">
        <v>99.82</v>
      </c>
      <c r="M234" s="71">
        <f t="shared" si="85"/>
        <v>1.6440440000000001</v>
      </c>
      <c r="O234" s="215">
        <v>45120</v>
      </c>
      <c r="P234" s="104">
        <v>553726</v>
      </c>
      <c r="Q234" s="104">
        <v>4728</v>
      </c>
      <c r="R234" s="104">
        <v>558454</v>
      </c>
      <c r="S234" s="104">
        <v>99.15</v>
      </c>
      <c r="T234" s="71">
        <f t="shared" si="81"/>
        <v>0.55845400000000001</v>
      </c>
      <c r="V234" s="215">
        <v>45120</v>
      </c>
      <c r="W234" s="104">
        <v>971732</v>
      </c>
      <c r="X234" s="104">
        <v>174</v>
      </c>
      <c r="Y234" s="104">
        <v>971906</v>
      </c>
      <c r="Z234" s="104">
        <v>99.98</v>
      </c>
      <c r="AA234" s="71">
        <f t="shared" si="78"/>
        <v>0.97190600000000005</v>
      </c>
      <c r="AC234" s="215">
        <v>45120</v>
      </c>
      <c r="AD234" s="104">
        <v>728510</v>
      </c>
      <c r="AE234" s="104">
        <v>84</v>
      </c>
      <c r="AF234" s="104">
        <v>728594</v>
      </c>
      <c r="AG234" s="104">
        <v>99.99</v>
      </c>
      <c r="AH234" s="71">
        <f t="shared" si="82"/>
        <v>0.72859399999999996</v>
      </c>
      <c r="AJ234" s="215">
        <v>45120</v>
      </c>
      <c r="AK234" s="48">
        <v>90</v>
      </c>
      <c r="AL234" s="48">
        <v>2</v>
      </c>
      <c r="AM234" s="48">
        <v>92</v>
      </c>
      <c r="AN234" s="48">
        <v>97.83</v>
      </c>
      <c r="AO234" s="246">
        <f t="shared" si="86"/>
        <v>1.18E-4</v>
      </c>
      <c r="AQ234" s="215">
        <v>45120</v>
      </c>
      <c r="AR234" s="104">
        <v>4030</v>
      </c>
      <c r="AS234" s="104">
        <v>12</v>
      </c>
      <c r="AT234" s="104">
        <v>4042</v>
      </c>
      <c r="AU234" s="104">
        <v>99.7</v>
      </c>
      <c r="AV234" s="246">
        <f t="shared" si="76"/>
        <v>4.0419999999999996E-3</v>
      </c>
      <c r="AX234" s="215">
        <v>45120</v>
      </c>
      <c r="AY234" s="104">
        <v>1228</v>
      </c>
      <c r="AZ234" s="104">
        <v>42</v>
      </c>
      <c r="BA234" s="104">
        <v>1270</v>
      </c>
      <c r="BB234" s="104">
        <v>96.69</v>
      </c>
      <c r="BC234" s="246">
        <f t="shared" si="75"/>
        <v>1.2700000000000001E-3</v>
      </c>
      <c r="BE234" s="215">
        <v>45120</v>
      </c>
      <c r="BF234" s="104">
        <v>3738</v>
      </c>
      <c r="BG234" s="104">
        <v>98</v>
      </c>
      <c r="BH234" s="104">
        <v>3836</v>
      </c>
      <c r="BI234" s="104">
        <v>97.45</v>
      </c>
      <c r="BJ234" s="71">
        <f t="shared" si="83"/>
        <v>3.836E-3</v>
      </c>
      <c r="BL234" s="215">
        <v>45120</v>
      </c>
      <c r="BM234" s="104">
        <v>3712</v>
      </c>
      <c r="BN234" s="104">
        <v>0</v>
      </c>
      <c r="BO234" s="104">
        <v>3712</v>
      </c>
      <c r="BP234" s="104">
        <v>100</v>
      </c>
      <c r="BQ234" s="71">
        <f t="shared" si="87"/>
        <v>3.712E-3</v>
      </c>
      <c r="BR234" s="178"/>
      <c r="BS234" s="71"/>
      <c r="BT234" s="71"/>
      <c r="BU234" s="71"/>
      <c r="BV234" s="71"/>
      <c r="BW234" s="71"/>
      <c r="BX234" s="178"/>
      <c r="BY234" s="178"/>
      <c r="BZ234" s="71"/>
      <c r="CA234" s="48"/>
      <c r="CB234" s="48"/>
      <c r="CC234" s="71"/>
      <c r="CD234" s="178"/>
      <c r="CE234" s="215">
        <v>45120</v>
      </c>
      <c r="CF234" s="1">
        <v>10185042</v>
      </c>
      <c r="CG234" s="1">
        <v>29124</v>
      </c>
      <c r="CH234" s="1">
        <v>10214166</v>
      </c>
      <c r="CI234" s="71">
        <f>CF234/CH234%</f>
        <v>99.714866588226585</v>
      </c>
      <c r="CJ234" s="71">
        <f t="shared" si="80"/>
        <v>10.214166000000001</v>
      </c>
      <c r="CL234" s="140">
        <v>44997</v>
      </c>
      <c r="CM234" s="252" t="s">
        <v>240</v>
      </c>
      <c r="CN234">
        <v>3490</v>
      </c>
      <c r="CO234">
        <v>516</v>
      </c>
    </row>
    <row r="235" spans="1:93" hidden="1" x14ac:dyDescent="0.25">
      <c r="A235" s="215">
        <v>45121</v>
      </c>
      <c r="B235" s="104">
        <v>5357086</v>
      </c>
      <c r="C235" s="104">
        <v>2196</v>
      </c>
      <c r="D235" s="104">
        <v>5359282</v>
      </c>
      <c r="E235" s="104">
        <v>99.96</v>
      </c>
      <c r="F235" s="71">
        <f t="shared" si="84"/>
        <v>5.3592820000000003</v>
      </c>
      <c r="H235" s="215">
        <v>45121</v>
      </c>
      <c r="I235" s="104">
        <v>1802804</v>
      </c>
      <c r="J235" s="104">
        <v>5550</v>
      </c>
      <c r="K235" s="104">
        <v>1808354</v>
      </c>
      <c r="L235" s="104">
        <v>99.69</v>
      </c>
      <c r="M235" s="71">
        <f t="shared" si="85"/>
        <v>1.808354</v>
      </c>
      <c r="O235" s="215">
        <v>45121</v>
      </c>
      <c r="P235" s="104">
        <v>540450</v>
      </c>
      <c r="Q235" s="104">
        <v>4796</v>
      </c>
      <c r="R235" s="104">
        <v>545246</v>
      </c>
      <c r="S235" s="104">
        <v>99.12</v>
      </c>
      <c r="T235" s="71">
        <f t="shared" si="81"/>
        <v>0.54524600000000001</v>
      </c>
      <c r="V235" s="215">
        <v>45121</v>
      </c>
      <c r="W235" s="104">
        <v>1009288</v>
      </c>
      <c r="X235" s="104">
        <v>192</v>
      </c>
      <c r="Y235" s="104">
        <v>1009480</v>
      </c>
      <c r="Z235" s="104">
        <v>99.98</v>
      </c>
      <c r="AA235" s="71">
        <f t="shared" si="78"/>
        <v>1.0094799999999999</v>
      </c>
      <c r="AC235" s="215">
        <v>45121</v>
      </c>
      <c r="AD235" s="104">
        <v>751762</v>
      </c>
      <c r="AE235" s="104">
        <v>60</v>
      </c>
      <c r="AF235" s="104">
        <v>751822</v>
      </c>
      <c r="AG235" s="104">
        <v>99.99</v>
      </c>
      <c r="AH235" s="71">
        <f t="shared" si="82"/>
        <v>0.75182199999999999</v>
      </c>
      <c r="AJ235" s="215">
        <v>45121</v>
      </c>
      <c r="AK235" s="48">
        <v>24</v>
      </c>
      <c r="AL235" s="48"/>
      <c r="AM235" s="48">
        <v>24</v>
      </c>
      <c r="AN235" s="48">
        <v>100</v>
      </c>
      <c r="AO235" s="246">
        <f t="shared" si="86"/>
        <v>9.2E-5</v>
      </c>
      <c r="AQ235" s="215">
        <v>45121</v>
      </c>
      <c r="AR235" s="104">
        <v>3712</v>
      </c>
      <c r="AS235" s="104">
        <v>0</v>
      </c>
      <c r="AT235" s="104">
        <v>3712</v>
      </c>
      <c r="AU235" s="104">
        <v>100</v>
      </c>
      <c r="AV235" s="246">
        <f t="shared" si="76"/>
        <v>3.712E-3</v>
      </c>
      <c r="AX235" s="215">
        <v>45121</v>
      </c>
      <c r="AY235" s="104">
        <v>1928</v>
      </c>
      <c r="AZ235" s="104">
        <v>38</v>
      </c>
      <c r="BA235" s="104">
        <v>1966</v>
      </c>
      <c r="BB235" s="104">
        <v>98.07</v>
      </c>
      <c r="BC235" s="246">
        <f t="shared" si="75"/>
        <v>1.9659999999999999E-3</v>
      </c>
      <c r="BE235" s="215">
        <v>45121</v>
      </c>
      <c r="BF235" s="104">
        <v>3668</v>
      </c>
      <c r="BG235" s="104">
        <v>106</v>
      </c>
      <c r="BH235" s="104">
        <v>3774</v>
      </c>
      <c r="BI235" s="104">
        <v>97.19</v>
      </c>
      <c r="BJ235" s="71">
        <f t="shared" si="83"/>
        <v>3.774E-3</v>
      </c>
      <c r="BL235" s="215">
        <v>45121</v>
      </c>
      <c r="BM235" s="104">
        <v>3716</v>
      </c>
      <c r="BN235" s="104">
        <v>0</v>
      </c>
      <c r="BO235" s="104">
        <v>3716</v>
      </c>
      <c r="BP235" s="104">
        <v>100</v>
      </c>
      <c r="BQ235" s="71">
        <f t="shared" si="87"/>
        <v>3.7160000000000001E-3</v>
      </c>
      <c r="BR235" s="178"/>
      <c r="BS235" s="71"/>
      <c r="BT235" s="71"/>
      <c r="BU235" s="71"/>
      <c r="BV235" s="71"/>
      <c r="BW235" s="71"/>
      <c r="BX235" s="178"/>
      <c r="BY235" s="178"/>
      <c r="BZ235" s="71"/>
      <c r="CA235" s="48"/>
      <c r="CB235" s="48"/>
      <c r="CC235" s="71"/>
      <c r="CD235" s="178"/>
      <c r="CE235" s="215">
        <v>45121</v>
      </c>
      <c r="CF235" s="1">
        <v>10786642</v>
      </c>
      <c r="CG235" s="1">
        <v>23858</v>
      </c>
      <c r="CH235" s="1">
        <v>10810500</v>
      </c>
      <c r="CI235" s="71">
        <f t="shared" ref="CI235:CI298" si="88">CF235/CH235%</f>
        <v>99.779307155080716</v>
      </c>
      <c r="CJ235" s="71">
        <f t="shared" si="80"/>
        <v>10.810499999999999</v>
      </c>
      <c r="CL235" s="140">
        <v>44997</v>
      </c>
      <c r="CM235" s="252" t="s">
        <v>239</v>
      </c>
      <c r="CN235">
        <v>2466</v>
      </c>
      <c r="CO235">
        <v>504</v>
      </c>
    </row>
    <row r="236" spans="1:93" hidden="1" x14ac:dyDescent="0.25">
      <c r="A236" s="215">
        <v>45122</v>
      </c>
      <c r="B236" s="104">
        <v>5294146</v>
      </c>
      <c r="C236" s="104">
        <v>4030</v>
      </c>
      <c r="D236" s="104">
        <v>5298176</v>
      </c>
      <c r="E236" s="104">
        <v>99.92</v>
      </c>
      <c r="F236" s="71">
        <f t="shared" si="84"/>
        <v>5.2981759999999998</v>
      </c>
      <c r="H236" s="215">
        <v>45122</v>
      </c>
      <c r="I236" s="104">
        <v>1588424</v>
      </c>
      <c r="J236" s="104">
        <v>2184</v>
      </c>
      <c r="K236" s="104">
        <v>1590608</v>
      </c>
      <c r="L236" s="104">
        <v>99.86</v>
      </c>
      <c r="M236" s="71">
        <f t="shared" si="85"/>
        <v>1.590608</v>
      </c>
      <c r="O236" s="215">
        <v>45122</v>
      </c>
      <c r="P236" s="104">
        <v>523186</v>
      </c>
      <c r="Q236" s="104">
        <v>4476</v>
      </c>
      <c r="R236" s="104">
        <v>527662</v>
      </c>
      <c r="S236" s="104">
        <v>99.15</v>
      </c>
      <c r="T236" s="71">
        <f t="shared" si="81"/>
        <v>0.52766199999999996</v>
      </c>
      <c r="V236" s="215">
        <v>45122</v>
      </c>
      <c r="W236" s="104">
        <v>965362</v>
      </c>
      <c r="X236" s="104">
        <v>498</v>
      </c>
      <c r="Y236" s="104">
        <v>965860</v>
      </c>
      <c r="Z236" s="104">
        <v>99.95</v>
      </c>
      <c r="AA236" s="71">
        <f t="shared" si="78"/>
        <v>0.96586000000000005</v>
      </c>
      <c r="AC236" s="215">
        <v>45122</v>
      </c>
      <c r="AD236" s="104">
        <v>749452</v>
      </c>
      <c r="AE236" s="104">
        <v>66</v>
      </c>
      <c r="AF236" s="104">
        <v>749518</v>
      </c>
      <c r="AG236" s="104">
        <v>99.99</v>
      </c>
      <c r="AH236" s="71">
        <f t="shared" si="82"/>
        <v>0.74951800000000002</v>
      </c>
      <c r="AJ236" s="215">
        <v>45122</v>
      </c>
      <c r="AK236" s="48">
        <v>66</v>
      </c>
      <c r="AL236" s="48">
        <v>0</v>
      </c>
      <c r="AM236" s="48">
        <v>66</v>
      </c>
      <c r="AN236" s="48">
        <v>100</v>
      </c>
      <c r="AO236" s="246">
        <f t="shared" si="86"/>
        <v>2.4000000000000001E-5</v>
      </c>
      <c r="AQ236" s="215">
        <v>45122</v>
      </c>
      <c r="AR236" s="104">
        <v>2376</v>
      </c>
      <c r="AS236" s="104">
        <v>20</v>
      </c>
      <c r="AT236" s="104">
        <v>2396</v>
      </c>
      <c r="AU236" s="104">
        <v>99.17</v>
      </c>
      <c r="AV236" s="246">
        <f t="shared" si="76"/>
        <v>2.3960000000000001E-3</v>
      </c>
      <c r="AX236" s="215">
        <v>45122</v>
      </c>
      <c r="AY236" s="104">
        <v>1306</v>
      </c>
      <c r="AZ236" s="104">
        <v>40</v>
      </c>
      <c r="BA236" s="104">
        <v>1346</v>
      </c>
      <c r="BB236" s="104">
        <v>97.03</v>
      </c>
      <c r="BC236" s="246">
        <f t="shared" ref="BC236:BC241" si="89">BA236/1000000</f>
        <v>1.346E-3</v>
      </c>
      <c r="BE236" s="215">
        <v>45122</v>
      </c>
      <c r="BF236" s="104">
        <v>3628</v>
      </c>
      <c r="BG236" s="104">
        <v>88</v>
      </c>
      <c r="BH236" s="104">
        <v>3716</v>
      </c>
      <c r="BI236" s="104">
        <v>97.63</v>
      </c>
      <c r="BJ236" s="71">
        <f t="shared" si="83"/>
        <v>3.7160000000000001E-3</v>
      </c>
      <c r="BL236" s="215">
        <v>45122</v>
      </c>
      <c r="BM236" s="104">
        <v>6928</v>
      </c>
      <c r="BN236" s="104">
        <v>0</v>
      </c>
      <c r="BO236" s="104">
        <v>6928</v>
      </c>
      <c r="BP236" s="104">
        <v>100</v>
      </c>
      <c r="BQ236" s="71">
        <f t="shared" si="87"/>
        <v>6.9280000000000001E-3</v>
      </c>
      <c r="BR236" s="178"/>
      <c r="BS236" s="71"/>
      <c r="BT236" s="71"/>
      <c r="BU236" s="71"/>
      <c r="BV236" s="71"/>
      <c r="BW236" s="71"/>
      <c r="BX236" s="178"/>
      <c r="BY236" s="178"/>
      <c r="BZ236" s="71"/>
      <c r="CA236" s="48"/>
      <c r="CB236" s="48"/>
      <c r="CC236" s="71"/>
      <c r="CD236" s="178"/>
      <c r="CE236" s="215">
        <v>45122</v>
      </c>
      <c r="CF236" s="1">
        <v>10441806</v>
      </c>
      <c r="CG236" s="1">
        <v>20462</v>
      </c>
      <c r="CH236" s="1">
        <v>10462268</v>
      </c>
      <c r="CI236" s="71">
        <f t="shared" si="88"/>
        <v>99.804420991700852</v>
      </c>
      <c r="CJ236" s="71">
        <f t="shared" si="80"/>
        <v>10.462268</v>
      </c>
      <c r="CL236" s="140">
        <v>44997</v>
      </c>
      <c r="CM236" s="252" t="s">
        <v>247</v>
      </c>
      <c r="CN236">
        <v>1966</v>
      </c>
      <c r="CO236">
        <v>527</v>
      </c>
    </row>
    <row r="237" spans="1:93" hidden="1" x14ac:dyDescent="0.25">
      <c r="A237" s="215">
        <v>45123</v>
      </c>
      <c r="B237" s="104">
        <v>4334787</v>
      </c>
      <c r="C237" s="104">
        <v>1600</v>
      </c>
      <c r="D237" s="104">
        <v>4336387</v>
      </c>
      <c r="E237" s="104">
        <v>99.96</v>
      </c>
      <c r="F237" s="71">
        <f t="shared" si="84"/>
        <v>4.3363870000000002</v>
      </c>
      <c r="H237" s="215">
        <v>45123</v>
      </c>
      <c r="I237" s="104">
        <v>1604617</v>
      </c>
      <c r="J237" s="104">
        <v>2328</v>
      </c>
      <c r="K237" s="104">
        <v>1606945</v>
      </c>
      <c r="L237" s="104">
        <v>99.86</v>
      </c>
      <c r="M237" s="71">
        <f t="shared" si="85"/>
        <v>1.6069450000000001</v>
      </c>
      <c r="O237" s="215">
        <v>45123</v>
      </c>
      <c r="P237" s="104">
        <v>558252</v>
      </c>
      <c r="Q237" s="104">
        <v>4967</v>
      </c>
      <c r="R237" s="104">
        <v>563219</v>
      </c>
      <c r="S237" s="104">
        <v>99.12</v>
      </c>
      <c r="T237" s="71">
        <f t="shared" si="81"/>
        <v>0.56321900000000003</v>
      </c>
      <c r="V237" s="215">
        <v>45123</v>
      </c>
      <c r="W237" s="104">
        <v>882230</v>
      </c>
      <c r="X237" s="104">
        <v>153</v>
      </c>
      <c r="Y237" s="104">
        <v>882383</v>
      </c>
      <c r="Z237" s="104">
        <v>99.98</v>
      </c>
      <c r="AA237" s="71">
        <f t="shared" si="78"/>
        <v>0.88238300000000003</v>
      </c>
      <c r="AC237" s="215">
        <v>45123</v>
      </c>
      <c r="AD237" s="104">
        <v>682289</v>
      </c>
      <c r="AE237" s="104">
        <v>52</v>
      </c>
      <c r="AF237" s="104">
        <v>682341</v>
      </c>
      <c r="AG237" s="104">
        <v>99.99</v>
      </c>
      <c r="AH237" s="71">
        <f t="shared" si="82"/>
        <v>0.68234099999999998</v>
      </c>
      <c r="AJ237" s="215">
        <v>45123</v>
      </c>
      <c r="AK237" s="48">
        <v>225</v>
      </c>
      <c r="AL237" s="48">
        <v>0</v>
      </c>
      <c r="AM237" s="48">
        <v>225</v>
      </c>
      <c r="AN237" s="48">
        <v>100</v>
      </c>
      <c r="AO237" s="246">
        <f t="shared" si="86"/>
        <v>6.6000000000000005E-5</v>
      </c>
      <c r="AQ237" s="215">
        <v>45123</v>
      </c>
      <c r="AR237" s="104">
        <v>1586</v>
      </c>
      <c r="AS237" s="104">
        <v>0</v>
      </c>
      <c r="AT237" s="104">
        <v>1586</v>
      </c>
      <c r="AU237" s="104">
        <v>100</v>
      </c>
      <c r="AV237" s="246">
        <f t="shared" si="76"/>
        <v>1.586E-3</v>
      </c>
      <c r="AX237" s="215">
        <v>45123</v>
      </c>
      <c r="AY237" s="104">
        <v>0</v>
      </c>
      <c r="AZ237" s="104">
        <v>125</v>
      </c>
      <c r="BA237" s="104">
        <v>125</v>
      </c>
      <c r="BB237" s="104">
        <v>0</v>
      </c>
      <c r="BC237" s="246">
        <f t="shared" si="89"/>
        <v>1.25E-4</v>
      </c>
      <c r="BE237" s="215">
        <v>45123</v>
      </c>
      <c r="BF237" s="104">
        <v>2677</v>
      </c>
      <c r="BG237" s="104">
        <v>72</v>
      </c>
      <c r="BH237" s="104">
        <v>2749</v>
      </c>
      <c r="BI237" s="104">
        <v>97.38</v>
      </c>
      <c r="BJ237" s="71">
        <f t="shared" si="83"/>
        <v>2.7490000000000001E-3</v>
      </c>
      <c r="BL237" s="215">
        <v>45123</v>
      </c>
      <c r="BM237" s="104">
        <v>4922</v>
      </c>
      <c r="BN237" s="104">
        <v>0</v>
      </c>
      <c r="BO237" s="104">
        <v>4922</v>
      </c>
      <c r="BP237" s="104">
        <v>100</v>
      </c>
      <c r="BQ237" s="71">
        <f t="shared" si="87"/>
        <v>4.9220000000000002E-3</v>
      </c>
      <c r="BR237" s="178"/>
      <c r="BS237" s="71"/>
      <c r="BT237" s="71"/>
      <c r="BU237" s="71"/>
      <c r="BV237" s="71"/>
      <c r="BW237" s="71"/>
      <c r="BX237" s="178"/>
      <c r="BY237" s="178"/>
      <c r="BZ237" s="71"/>
      <c r="CA237" s="48"/>
      <c r="CB237" s="48"/>
      <c r="CC237" s="71"/>
      <c r="CD237" s="178"/>
      <c r="CE237" s="215">
        <v>45123</v>
      </c>
      <c r="CF237" s="1">
        <v>9356895</v>
      </c>
      <c r="CG237" s="1">
        <v>20209</v>
      </c>
      <c r="CH237" s="1">
        <v>9377104</v>
      </c>
      <c r="CI237" s="71">
        <f t="shared" si="88"/>
        <v>99.784485700489199</v>
      </c>
      <c r="CJ237" s="71">
        <f t="shared" si="80"/>
        <v>9.3771039999999992</v>
      </c>
      <c r="CL237" s="140">
        <v>44997</v>
      </c>
      <c r="CM237" s="252" t="s">
        <v>244</v>
      </c>
      <c r="CN237">
        <v>520</v>
      </c>
      <c r="CO237">
        <v>513</v>
      </c>
    </row>
    <row r="238" spans="1:93" hidden="1" x14ac:dyDescent="0.25">
      <c r="A238" s="215">
        <v>45124</v>
      </c>
      <c r="B238" s="104">
        <v>5501720</v>
      </c>
      <c r="C238" s="104">
        <v>2597</v>
      </c>
      <c r="D238" s="104">
        <v>5504317</v>
      </c>
      <c r="E238" s="104">
        <v>99.95</v>
      </c>
      <c r="F238" s="71">
        <f t="shared" si="84"/>
        <v>5.5043170000000003</v>
      </c>
      <c r="H238" s="215">
        <v>45124</v>
      </c>
      <c r="I238" s="104">
        <v>1800517</v>
      </c>
      <c r="J238" s="104">
        <v>3854</v>
      </c>
      <c r="K238" s="104">
        <v>1804371</v>
      </c>
      <c r="L238" s="104">
        <v>99.79</v>
      </c>
      <c r="M238" s="71">
        <f t="shared" si="85"/>
        <v>1.8043709999999999</v>
      </c>
      <c r="O238" s="215">
        <v>45124</v>
      </c>
      <c r="P238" s="104">
        <v>572031</v>
      </c>
      <c r="Q238" s="104">
        <v>4788</v>
      </c>
      <c r="R238" s="104">
        <v>576819</v>
      </c>
      <c r="S238" s="104">
        <v>99.17</v>
      </c>
      <c r="T238" s="71">
        <f t="shared" si="81"/>
        <v>0.57681899999999997</v>
      </c>
      <c r="V238" s="215">
        <v>45124</v>
      </c>
      <c r="W238" s="104">
        <v>1002125</v>
      </c>
      <c r="X238" s="104">
        <v>171</v>
      </c>
      <c r="Y238" s="104">
        <v>1002296</v>
      </c>
      <c r="Z238" s="104">
        <v>99.98</v>
      </c>
      <c r="AA238" s="71">
        <f t="shared" si="78"/>
        <v>1.0022960000000001</v>
      </c>
      <c r="AC238" s="215">
        <v>45124</v>
      </c>
      <c r="AD238" s="104">
        <v>632852</v>
      </c>
      <c r="AE238" s="104">
        <v>80</v>
      </c>
      <c r="AF238" s="104">
        <v>632932</v>
      </c>
      <c r="AG238" s="104">
        <v>99.99</v>
      </c>
      <c r="AH238" s="71">
        <f t="shared" si="82"/>
        <v>0.63293200000000005</v>
      </c>
      <c r="AJ238" s="215">
        <v>45124</v>
      </c>
      <c r="AK238" s="48">
        <v>63</v>
      </c>
      <c r="AL238" s="48">
        <v>0</v>
      </c>
      <c r="AM238" s="48">
        <v>63</v>
      </c>
      <c r="AN238" s="48">
        <v>100</v>
      </c>
      <c r="AO238" s="246">
        <f t="shared" si="86"/>
        <v>2.2499999999999999E-4</v>
      </c>
      <c r="AQ238" s="215">
        <v>45124</v>
      </c>
      <c r="AR238" s="104">
        <v>4055</v>
      </c>
      <c r="AS238" s="104">
        <v>2</v>
      </c>
      <c r="AT238" s="104">
        <v>4057</v>
      </c>
      <c r="AU238" s="104">
        <v>99.95</v>
      </c>
      <c r="AV238" s="246">
        <f t="shared" si="76"/>
        <v>4.0569999999999998E-3</v>
      </c>
      <c r="AX238" s="215">
        <v>45124</v>
      </c>
      <c r="AY238" s="104">
        <v>1771</v>
      </c>
      <c r="AZ238" s="104">
        <v>57</v>
      </c>
      <c r="BA238" s="104">
        <v>1828</v>
      </c>
      <c r="BB238" s="104">
        <v>96.88</v>
      </c>
      <c r="BC238" s="246">
        <f t="shared" si="89"/>
        <v>1.828E-3</v>
      </c>
      <c r="BE238" s="215">
        <v>45124</v>
      </c>
      <c r="BF238" s="104">
        <v>29415</v>
      </c>
      <c r="BG238" s="104">
        <v>6276</v>
      </c>
      <c r="BH238" s="104">
        <v>35691</v>
      </c>
      <c r="BI238" s="104">
        <v>82.42</v>
      </c>
      <c r="BJ238" s="71">
        <f t="shared" si="83"/>
        <v>3.5691000000000001E-2</v>
      </c>
      <c r="BL238" s="215">
        <v>45124</v>
      </c>
      <c r="BM238" s="104">
        <v>3960</v>
      </c>
      <c r="BN238" s="104">
        <v>0</v>
      </c>
      <c r="BO238" s="104">
        <v>3960</v>
      </c>
      <c r="BP238" s="104">
        <v>100</v>
      </c>
      <c r="BQ238" s="71">
        <f t="shared" si="87"/>
        <v>3.96E-3</v>
      </c>
      <c r="BR238" s="178"/>
      <c r="BS238" s="71"/>
      <c r="BT238" s="71"/>
      <c r="BU238" s="71"/>
      <c r="BV238" s="71"/>
      <c r="BW238" s="71"/>
      <c r="BX238" s="178"/>
      <c r="BY238" s="178"/>
      <c r="BZ238" s="71"/>
      <c r="CA238" s="48"/>
      <c r="CB238" s="48"/>
      <c r="CC238" s="71"/>
      <c r="CD238" s="178"/>
      <c r="CE238" s="215">
        <v>45124</v>
      </c>
      <c r="CF238" s="1">
        <v>10952867</v>
      </c>
      <c r="CG238" s="1">
        <v>28997</v>
      </c>
      <c r="CH238" s="1">
        <v>10981864</v>
      </c>
      <c r="CI238" s="46">
        <f t="shared" si="88"/>
        <v>99.735955571840989</v>
      </c>
      <c r="CJ238" s="71">
        <f t="shared" si="80"/>
        <v>10.981864</v>
      </c>
      <c r="CL238" s="140">
        <v>44998</v>
      </c>
      <c r="CM238" s="252" t="s">
        <v>238</v>
      </c>
      <c r="CN238">
        <v>12110</v>
      </c>
      <c r="CO238">
        <v>503</v>
      </c>
    </row>
    <row r="239" spans="1:93" hidden="1" x14ac:dyDescent="0.25">
      <c r="A239" s="215">
        <v>45125</v>
      </c>
      <c r="B239" s="104">
        <v>5589740</v>
      </c>
      <c r="C239" s="104">
        <v>10618</v>
      </c>
      <c r="D239" s="104">
        <v>5600358</v>
      </c>
      <c r="E239" s="104">
        <v>99.81</v>
      </c>
      <c r="F239" s="71">
        <f t="shared" si="84"/>
        <v>5.6003579999999999</v>
      </c>
      <c r="H239" s="215">
        <v>45125</v>
      </c>
      <c r="I239" s="104">
        <v>2106468</v>
      </c>
      <c r="J239" s="104">
        <v>7696</v>
      </c>
      <c r="K239" s="104">
        <v>2114164</v>
      </c>
      <c r="L239" s="104">
        <v>99.64</v>
      </c>
      <c r="M239" s="71">
        <f t="shared" si="85"/>
        <v>2.1141640000000002</v>
      </c>
      <c r="O239" s="215">
        <v>45125</v>
      </c>
      <c r="P239" s="104">
        <v>589314</v>
      </c>
      <c r="Q239" s="104">
        <v>6714</v>
      </c>
      <c r="R239" s="104">
        <v>596028</v>
      </c>
      <c r="S239" s="104">
        <v>98.87</v>
      </c>
      <c r="T239" s="71">
        <f t="shared" si="81"/>
        <v>0.596028</v>
      </c>
      <c r="V239" s="215">
        <v>45125</v>
      </c>
      <c r="W239" s="104">
        <v>971130</v>
      </c>
      <c r="X239" s="104">
        <v>176</v>
      </c>
      <c r="Y239" s="104">
        <v>971306</v>
      </c>
      <c r="Z239" s="104">
        <v>99.98</v>
      </c>
      <c r="AA239" s="71">
        <f t="shared" si="78"/>
        <v>0.971306</v>
      </c>
      <c r="AC239" s="215">
        <v>45125</v>
      </c>
      <c r="AD239" s="104">
        <v>648076</v>
      </c>
      <c r="AE239" s="104">
        <v>82</v>
      </c>
      <c r="AF239" s="104">
        <v>648158</v>
      </c>
      <c r="AG239" s="104">
        <v>99.99</v>
      </c>
      <c r="AH239" s="71">
        <f t="shared" si="82"/>
        <v>0.64815800000000001</v>
      </c>
      <c r="AJ239" s="215">
        <v>45125</v>
      </c>
      <c r="AK239" s="48">
        <v>60</v>
      </c>
      <c r="AL239" s="48">
        <v>0</v>
      </c>
      <c r="AM239" s="48">
        <v>60</v>
      </c>
      <c r="AN239" s="48">
        <v>100</v>
      </c>
      <c r="AO239" s="246">
        <f t="shared" si="86"/>
        <v>6.3E-5</v>
      </c>
      <c r="AQ239" s="215">
        <v>45125</v>
      </c>
      <c r="AR239" s="104">
        <v>3452</v>
      </c>
      <c r="AS239" s="104">
        <v>6</v>
      </c>
      <c r="AT239" s="104">
        <v>3458</v>
      </c>
      <c r="AU239" s="104">
        <v>99.83</v>
      </c>
      <c r="AV239" s="246">
        <f t="shared" si="76"/>
        <v>3.4580000000000001E-3</v>
      </c>
      <c r="AX239" s="215">
        <v>45125</v>
      </c>
      <c r="AY239" s="104">
        <v>1422</v>
      </c>
      <c r="AZ239" s="104">
        <v>62</v>
      </c>
      <c r="BA239" s="104">
        <v>1484</v>
      </c>
      <c r="BB239" s="104">
        <v>95.82</v>
      </c>
      <c r="BC239" s="246">
        <f t="shared" si="89"/>
        <v>1.4840000000000001E-3</v>
      </c>
      <c r="BE239" s="215">
        <v>45125</v>
      </c>
      <c r="BF239" s="104">
        <v>12318</v>
      </c>
      <c r="BG239" s="104">
        <v>346</v>
      </c>
      <c r="BH239" s="104">
        <v>12664</v>
      </c>
      <c r="BI239" s="104">
        <v>97.27</v>
      </c>
      <c r="BJ239" s="71">
        <f t="shared" si="83"/>
        <v>1.2664E-2</v>
      </c>
      <c r="BL239" s="215">
        <v>45125</v>
      </c>
      <c r="BM239" s="104">
        <v>3552</v>
      </c>
      <c r="BN239" s="104">
        <v>0</v>
      </c>
      <c r="BO239" s="104">
        <v>3552</v>
      </c>
      <c r="BP239" s="104">
        <v>100</v>
      </c>
      <c r="BQ239" s="71">
        <f t="shared" si="87"/>
        <v>3.552E-3</v>
      </c>
      <c r="BR239" s="178"/>
      <c r="BS239" s="71"/>
      <c r="BT239" s="71"/>
      <c r="BU239" s="71"/>
      <c r="BV239" s="71"/>
      <c r="BW239" s="71"/>
      <c r="BX239" s="178"/>
      <c r="BY239" s="178"/>
      <c r="BZ239" s="71"/>
      <c r="CA239" s="48"/>
      <c r="CB239" s="48"/>
      <c r="CC239" s="71"/>
      <c r="CD239" s="178"/>
      <c r="CE239" s="215">
        <v>45125</v>
      </c>
      <c r="CF239" s="1">
        <v>11290358</v>
      </c>
      <c r="CG239" s="1">
        <v>43306</v>
      </c>
      <c r="CH239" s="1">
        <v>11333664</v>
      </c>
      <c r="CI239" s="46">
        <f t="shared" si="88"/>
        <v>99.617899383641515</v>
      </c>
      <c r="CJ239" s="71">
        <f t="shared" si="80"/>
        <v>11.333664000000001</v>
      </c>
      <c r="CL239" s="140">
        <v>44998</v>
      </c>
      <c r="CM239" s="252" t="s">
        <v>247</v>
      </c>
      <c r="CN239">
        <v>5240</v>
      </c>
      <c r="CO239">
        <v>527</v>
      </c>
    </row>
    <row r="240" spans="1:93" hidden="1" x14ac:dyDescent="0.25">
      <c r="A240" s="215">
        <v>45126</v>
      </c>
      <c r="B240" s="104">
        <v>5535092</v>
      </c>
      <c r="C240" s="104">
        <v>5061</v>
      </c>
      <c r="D240" s="104">
        <v>5540153</v>
      </c>
      <c r="E240" s="104">
        <v>99.91</v>
      </c>
      <c r="F240" s="71">
        <f t="shared" si="84"/>
        <v>5.5401530000000001</v>
      </c>
      <c r="H240" s="215">
        <v>45126</v>
      </c>
      <c r="I240" s="104">
        <v>1681554</v>
      </c>
      <c r="J240" s="104">
        <v>3999</v>
      </c>
      <c r="K240" s="104">
        <v>1685553</v>
      </c>
      <c r="L240" s="104">
        <v>99.76</v>
      </c>
      <c r="M240" s="71">
        <f t="shared" si="85"/>
        <v>1.6855530000000001</v>
      </c>
      <c r="O240" s="215">
        <v>45126</v>
      </c>
      <c r="P240" s="104">
        <v>539825</v>
      </c>
      <c r="Q240" s="104">
        <v>4120</v>
      </c>
      <c r="R240" s="104">
        <v>543945</v>
      </c>
      <c r="S240" s="104">
        <v>99.24</v>
      </c>
      <c r="T240" s="71">
        <f t="shared" si="81"/>
        <v>0.54394500000000001</v>
      </c>
      <c r="V240" s="215">
        <v>45126</v>
      </c>
      <c r="W240" s="104">
        <v>937894</v>
      </c>
      <c r="X240" s="104">
        <v>259</v>
      </c>
      <c r="Y240" s="104">
        <v>938153</v>
      </c>
      <c r="Z240" s="104">
        <v>99.97</v>
      </c>
      <c r="AA240" s="71">
        <f t="shared" si="78"/>
        <v>0.93815300000000001</v>
      </c>
      <c r="AC240" s="215">
        <v>45126</v>
      </c>
      <c r="AD240" s="104">
        <v>753500</v>
      </c>
      <c r="AE240" s="104">
        <v>242</v>
      </c>
      <c r="AF240" s="104">
        <v>753742</v>
      </c>
      <c r="AG240" s="104">
        <v>99.97</v>
      </c>
      <c r="AH240" s="71">
        <f t="shared" si="82"/>
        <v>0.75374200000000002</v>
      </c>
      <c r="AJ240" s="215">
        <v>45126</v>
      </c>
      <c r="AK240" s="48">
        <v>53</v>
      </c>
      <c r="AL240" s="48">
        <v>0</v>
      </c>
      <c r="AM240" s="48">
        <v>53</v>
      </c>
      <c r="AN240" s="48">
        <v>100</v>
      </c>
      <c r="AO240" s="246">
        <f t="shared" si="86"/>
        <v>6.0000000000000002E-5</v>
      </c>
      <c r="AQ240" s="215">
        <v>45126</v>
      </c>
      <c r="AR240" s="104">
        <v>2807</v>
      </c>
      <c r="AS240" s="104">
        <v>2</v>
      </c>
      <c r="AT240" s="104">
        <v>2809</v>
      </c>
      <c r="AU240" s="104">
        <v>99.93</v>
      </c>
      <c r="AV240" s="246">
        <f t="shared" si="76"/>
        <v>2.8089999999999999E-3</v>
      </c>
      <c r="AX240" s="215">
        <v>45126</v>
      </c>
      <c r="AY240" s="104">
        <v>1418</v>
      </c>
      <c r="AZ240" s="104">
        <v>62</v>
      </c>
      <c r="BA240" s="104">
        <v>1480</v>
      </c>
      <c r="BB240" s="104">
        <v>95.81</v>
      </c>
      <c r="BC240" s="246">
        <f t="shared" si="89"/>
        <v>1.48E-3</v>
      </c>
      <c r="BE240" s="215">
        <v>45126</v>
      </c>
      <c r="BF240" s="104">
        <v>8719</v>
      </c>
      <c r="BG240" s="104">
        <v>212</v>
      </c>
      <c r="BH240" s="104">
        <v>8931</v>
      </c>
      <c r="BI240" s="104">
        <v>97.63</v>
      </c>
      <c r="BJ240" s="71">
        <f t="shared" si="83"/>
        <v>8.9309999999999997E-3</v>
      </c>
      <c r="BL240" s="215">
        <v>45126</v>
      </c>
      <c r="BM240" s="104">
        <v>3736</v>
      </c>
      <c r="BN240" s="104">
        <v>0</v>
      </c>
      <c r="BO240" s="104">
        <v>3736</v>
      </c>
      <c r="BP240" s="104">
        <v>100</v>
      </c>
      <c r="BQ240" s="71">
        <f t="shared" si="87"/>
        <v>3.7360000000000002E-3</v>
      </c>
      <c r="BR240" s="178"/>
      <c r="BS240" s="71"/>
      <c r="BT240" s="71"/>
      <c r="BU240" s="71"/>
      <c r="BV240" s="71"/>
      <c r="BW240" s="71"/>
      <c r="BX240" s="178"/>
      <c r="BY240" s="178"/>
      <c r="BZ240" s="71"/>
      <c r="CA240" s="48"/>
      <c r="CB240" s="48"/>
      <c r="CC240" s="71"/>
      <c r="CD240" s="178"/>
      <c r="CE240" s="215">
        <v>45126</v>
      </c>
      <c r="CF240" s="1">
        <v>10765800</v>
      </c>
      <c r="CG240" s="1">
        <v>24050</v>
      </c>
      <c r="CH240" s="1">
        <v>10789850</v>
      </c>
      <c r="CI240" s="46">
        <f t="shared" si="88"/>
        <v>99.777105335106612</v>
      </c>
      <c r="CJ240" s="71">
        <f t="shared" si="80"/>
        <v>10.789849999999999</v>
      </c>
      <c r="CL240" s="140">
        <v>44998</v>
      </c>
      <c r="CM240" s="252" t="s">
        <v>240</v>
      </c>
      <c r="CN240">
        <v>4428</v>
      </c>
      <c r="CO240">
        <v>516</v>
      </c>
    </row>
    <row r="241" spans="1:93" hidden="1" x14ac:dyDescent="0.25">
      <c r="A241" s="215">
        <v>45127</v>
      </c>
      <c r="B241" s="104">
        <v>5100488</v>
      </c>
      <c r="C241" s="104">
        <v>2798</v>
      </c>
      <c r="D241" s="104">
        <v>5103286</v>
      </c>
      <c r="E241" s="104">
        <v>99.95</v>
      </c>
      <c r="F241" s="71">
        <f t="shared" si="84"/>
        <v>5.1032859999999998</v>
      </c>
      <c r="H241" s="215">
        <v>45127</v>
      </c>
      <c r="I241" s="104">
        <v>1559974</v>
      </c>
      <c r="J241" s="104">
        <v>5440</v>
      </c>
      <c r="K241" s="104">
        <v>1565414</v>
      </c>
      <c r="L241" s="104">
        <v>99.65</v>
      </c>
      <c r="M241" s="71">
        <f t="shared" si="85"/>
        <v>1.5654140000000001</v>
      </c>
      <c r="O241" s="215">
        <v>45127</v>
      </c>
      <c r="P241" s="104">
        <v>517542</v>
      </c>
      <c r="Q241" s="104">
        <v>3424</v>
      </c>
      <c r="R241" s="104">
        <v>520966</v>
      </c>
      <c r="S241" s="104">
        <v>99.34</v>
      </c>
      <c r="T241" s="71">
        <f t="shared" si="81"/>
        <v>0.52096600000000004</v>
      </c>
      <c r="V241" s="215">
        <v>45127</v>
      </c>
      <c r="W241" s="104">
        <v>932834</v>
      </c>
      <c r="X241" s="104">
        <v>176</v>
      </c>
      <c r="Y241" s="104">
        <v>933010</v>
      </c>
      <c r="Z241" s="104">
        <v>99.98</v>
      </c>
      <c r="AA241" s="71">
        <f t="shared" si="78"/>
        <v>0.93301000000000001</v>
      </c>
      <c r="AC241" s="215">
        <v>45127</v>
      </c>
      <c r="AD241" s="104">
        <v>688480</v>
      </c>
      <c r="AE241" s="104">
        <v>96</v>
      </c>
      <c r="AF241" s="104">
        <v>688576</v>
      </c>
      <c r="AG241" s="104">
        <v>99.99</v>
      </c>
      <c r="AH241" s="71">
        <f t="shared" si="82"/>
        <v>0.68857599999999997</v>
      </c>
      <c r="AJ241" s="215">
        <v>45127</v>
      </c>
      <c r="AK241" s="48">
        <v>32</v>
      </c>
      <c r="AL241" s="48">
        <v>0</v>
      </c>
      <c r="AM241" s="48">
        <v>32</v>
      </c>
      <c r="AN241" s="48">
        <v>100</v>
      </c>
      <c r="AO241" s="246">
        <f t="shared" si="86"/>
        <v>5.3000000000000001E-5</v>
      </c>
      <c r="AQ241" s="215">
        <v>45127</v>
      </c>
      <c r="AR241" s="104">
        <v>2546</v>
      </c>
      <c r="AS241" s="104">
        <v>10</v>
      </c>
      <c r="AT241" s="104">
        <v>2556</v>
      </c>
      <c r="AU241" s="104">
        <v>99.61</v>
      </c>
      <c r="AV241" s="246">
        <f t="shared" si="76"/>
        <v>2.5560000000000001E-3</v>
      </c>
      <c r="AX241" s="215">
        <v>45127</v>
      </c>
      <c r="AY241" s="104">
        <v>1506</v>
      </c>
      <c r="AZ241" s="104">
        <v>26</v>
      </c>
      <c r="BA241" s="104">
        <v>1532</v>
      </c>
      <c r="BB241" s="104">
        <v>98.3</v>
      </c>
      <c r="BC241" s="246">
        <f t="shared" si="89"/>
        <v>1.5319999999999999E-3</v>
      </c>
      <c r="BE241" s="215">
        <v>45127</v>
      </c>
      <c r="BF241" s="104">
        <v>6862</v>
      </c>
      <c r="BG241" s="104">
        <v>188</v>
      </c>
      <c r="BH241" s="104">
        <v>7050</v>
      </c>
      <c r="BI241" s="104">
        <v>97.33</v>
      </c>
      <c r="BJ241" s="71">
        <f t="shared" si="83"/>
        <v>7.0499999999999998E-3</v>
      </c>
      <c r="BL241" s="215">
        <v>45127</v>
      </c>
      <c r="BM241" s="104">
        <v>5942</v>
      </c>
      <c r="BN241" s="104">
        <v>0</v>
      </c>
      <c r="BO241" s="104">
        <v>5942</v>
      </c>
      <c r="BP241" s="104">
        <v>100</v>
      </c>
      <c r="BQ241" s="71">
        <f t="shared" si="87"/>
        <v>5.9420000000000002E-3</v>
      </c>
      <c r="BR241" s="178"/>
      <c r="BS241" s="71"/>
      <c r="BT241" s="71"/>
      <c r="BU241" s="71"/>
      <c r="BV241" s="71"/>
      <c r="BW241" s="71"/>
      <c r="BX241" s="178"/>
      <c r="BY241" s="178"/>
      <c r="BZ241" s="71"/>
      <c r="CA241" s="48"/>
      <c r="CB241" s="48"/>
      <c r="CC241" s="71"/>
      <c r="CD241" s="178"/>
      <c r="CE241" s="215">
        <v>45127</v>
      </c>
      <c r="CF241" s="1">
        <v>10088742</v>
      </c>
      <c r="CG241" s="1">
        <v>24172</v>
      </c>
      <c r="CH241" s="1">
        <v>10112914</v>
      </c>
      <c r="CI241" s="46">
        <f t="shared" si="88"/>
        <v>99.760978883040039</v>
      </c>
      <c r="CJ241" s="71">
        <f t="shared" si="80"/>
        <v>10.112914</v>
      </c>
      <c r="CL241" s="140">
        <v>44998</v>
      </c>
      <c r="CM241" s="252" t="s">
        <v>239</v>
      </c>
      <c r="CN241">
        <v>2634</v>
      </c>
      <c r="CO241">
        <v>504</v>
      </c>
    </row>
    <row r="242" spans="1:93" hidden="1" x14ac:dyDescent="0.25">
      <c r="A242" s="215">
        <v>45128</v>
      </c>
      <c r="B242" s="104">
        <v>5145050</v>
      </c>
      <c r="C242" s="104">
        <v>2732</v>
      </c>
      <c r="D242" s="104">
        <v>5147782</v>
      </c>
      <c r="E242" s="104">
        <v>99.95</v>
      </c>
      <c r="F242" s="71">
        <f t="shared" si="84"/>
        <v>5.1477820000000003</v>
      </c>
      <c r="H242" s="215">
        <v>45128</v>
      </c>
      <c r="I242" s="104">
        <v>1729166</v>
      </c>
      <c r="J242" s="104">
        <v>4986</v>
      </c>
      <c r="K242" s="104">
        <v>1734152</v>
      </c>
      <c r="L242" s="104">
        <v>99.71</v>
      </c>
      <c r="M242" s="71">
        <f t="shared" si="85"/>
        <v>1.7341519999999999</v>
      </c>
      <c r="O242" s="215">
        <v>45128</v>
      </c>
      <c r="P242" s="104">
        <v>509242</v>
      </c>
      <c r="Q242" s="104">
        <v>3488</v>
      </c>
      <c r="R242" s="104">
        <v>512730</v>
      </c>
      <c r="S242" s="104">
        <v>99.32</v>
      </c>
      <c r="T242" s="71">
        <f t="shared" si="81"/>
        <v>0.51273000000000002</v>
      </c>
      <c r="V242" s="215">
        <v>45128</v>
      </c>
      <c r="W242" s="104">
        <v>907554</v>
      </c>
      <c r="X242" s="104">
        <v>192</v>
      </c>
      <c r="Y242" s="104">
        <v>907746</v>
      </c>
      <c r="Z242" s="104">
        <v>99.98</v>
      </c>
      <c r="AA242" s="71">
        <f t="shared" si="78"/>
        <v>0.90774600000000005</v>
      </c>
      <c r="AC242" s="215">
        <v>45128</v>
      </c>
      <c r="AD242" s="104">
        <v>718330</v>
      </c>
      <c r="AE242" s="104">
        <v>122</v>
      </c>
      <c r="AF242" s="104">
        <v>718452</v>
      </c>
      <c r="AG242" s="104">
        <v>99.98</v>
      </c>
      <c r="AH242" s="71">
        <f t="shared" si="82"/>
        <v>0.71845199999999998</v>
      </c>
      <c r="AJ242" s="215">
        <v>45128</v>
      </c>
      <c r="AK242" s="48">
        <v>66</v>
      </c>
      <c r="AL242" s="48">
        <v>0</v>
      </c>
      <c r="AM242" s="48">
        <v>66</v>
      </c>
      <c r="AN242" s="48">
        <v>100</v>
      </c>
      <c r="AO242" s="247"/>
      <c r="AQ242" s="215">
        <v>45128</v>
      </c>
      <c r="AR242" s="104">
        <v>3106</v>
      </c>
      <c r="AS242" s="104">
        <v>14</v>
      </c>
      <c r="AT242" s="104">
        <v>3120</v>
      </c>
      <c r="AU242" s="104">
        <v>99.55</v>
      </c>
      <c r="AV242" s="247"/>
      <c r="AX242" s="215">
        <v>45128</v>
      </c>
      <c r="AY242" s="104">
        <v>1296</v>
      </c>
      <c r="AZ242" s="104">
        <v>26</v>
      </c>
      <c r="BA242" s="104">
        <v>1322</v>
      </c>
      <c r="BB242" s="104">
        <v>98.03</v>
      </c>
      <c r="BC242" s="247"/>
      <c r="BE242" s="215">
        <v>45128</v>
      </c>
      <c r="BF242" s="104">
        <v>5146</v>
      </c>
      <c r="BG242" s="104">
        <v>102</v>
      </c>
      <c r="BH242" s="104">
        <v>5248</v>
      </c>
      <c r="BI242" s="104">
        <v>98.06</v>
      </c>
      <c r="BJ242" s="71">
        <f t="shared" si="83"/>
        <v>5.2480000000000001E-3</v>
      </c>
      <c r="BL242" s="215">
        <v>45128</v>
      </c>
      <c r="BM242" s="104">
        <v>4230</v>
      </c>
      <c r="BN242" s="104">
        <v>0</v>
      </c>
      <c r="BO242" s="104">
        <v>4230</v>
      </c>
      <c r="BP242" s="104">
        <v>100</v>
      </c>
      <c r="BQ242" s="71">
        <f t="shared" si="87"/>
        <v>4.2300000000000003E-3</v>
      </c>
      <c r="BR242" s="178"/>
      <c r="BS242" s="71"/>
      <c r="BT242" s="71"/>
      <c r="BU242" s="71"/>
      <c r="BV242" s="71"/>
      <c r="BW242" s="71"/>
      <c r="BX242" s="178"/>
      <c r="BY242" s="178"/>
      <c r="BZ242" s="71"/>
      <c r="CA242" s="48"/>
      <c r="CB242" s="48"/>
      <c r="CC242" s="71"/>
      <c r="CD242" s="178"/>
      <c r="CE242" s="215">
        <v>45128</v>
      </c>
      <c r="CF242" s="1">
        <v>10368314</v>
      </c>
      <c r="CG242" s="1">
        <v>22158</v>
      </c>
      <c r="CH242" s="1">
        <v>10390472</v>
      </c>
      <c r="CI242" s="46">
        <f t="shared" si="88"/>
        <v>99.786746935076678</v>
      </c>
      <c r="CJ242" s="71">
        <f t="shared" si="80"/>
        <v>10.390472000000001</v>
      </c>
      <c r="CL242" s="140">
        <v>44998</v>
      </c>
      <c r="CM242" s="252" t="s">
        <v>244</v>
      </c>
      <c r="CN242">
        <v>518</v>
      </c>
      <c r="CO242">
        <v>513</v>
      </c>
    </row>
    <row r="243" spans="1:93" hidden="1" x14ac:dyDescent="0.25">
      <c r="A243" s="215">
        <v>45129</v>
      </c>
      <c r="B243" s="104">
        <v>4903666</v>
      </c>
      <c r="C243" s="104">
        <v>3724</v>
      </c>
      <c r="D243" s="104">
        <v>4907390</v>
      </c>
      <c r="E243" s="104">
        <v>99.92</v>
      </c>
      <c r="F243" s="71">
        <f t="shared" si="84"/>
        <v>4.9073900000000004</v>
      </c>
      <c r="H243" s="215">
        <v>45129</v>
      </c>
      <c r="I243" s="104">
        <v>1538350</v>
      </c>
      <c r="J243" s="104">
        <v>2524</v>
      </c>
      <c r="K243" s="104">
        <v>1540874</v>
      </c>
      <c r="L243" s="104">
        <v>99.84</v>
      </c>
      <c r="M243" s="71">
        <f t="shared" si="85"/>
        <v>1.5408740000000001</v>
      </c>
      <c r="O243" s="215">
        <v>45129</v>
      </c>
      <c r="P243" s="104">
        <v>520926</v>
      </c>
      <c r="Q243" s="104">
        <v>3412</v>
      </c>
      <c r="R243" s="104">
        <v>524338</v>
      </c>
      <c r="S243" s="104">
        <v>99.35</v>
      </c>
      <c r="T243" s="71">
        <f t="shared" si="81"/>
        <v>0.52433799999999997</v>
      </c>
      <c r="V243" s="215">
        <v>45129</v>
      </c>
      <c r="W243" s="104">
        <v>869302</v>
      </c>
      <c r="X243" s="104">
        <v>154</v>
      </c>
      <c r="Y243" s="104">
        <v>869456</v>
      </c>
      <c r="Z243" s="104">
        <v>99.98</v>
      </c>
      <c r="AA243" s="71">
        <f t="shared" si="78"/>
        <v>0.86945600000000001</v>
      </c>
      <c r="AC243" s="215">
        <v>45129</v>
      </c>
      <c r="AD243" s="104">
        <v>771310</v>
      </c>
      <c r="AE243" s="104">
        <v>92</v>
      </c>
      <c r="AF243" s="104">
        <v>771402</v>
      </c>
      <c r="AG243" s="104">
        <v>99.99</v>
      </c>
      <c r="AH243" s="71">
        <f t="shared" si="82"/>
        <v>0.77140200000000003</v>
      </c>
      <c r="AJ243" s="215">
        <v>45129</v>
      </c>
      <c r="AK243" s="48">
        <v>66</v>
      </c>
      <c r="AL243" s="48">
        <v>0</v>
      </c>
      <c r="AM243" s="48">
        <v>66</v>
      </c>
      <c r="AN243" s="48">
        <v>100</v>
      </c>
      <c r="AO243" s="247"/>
      <c r="AQ243" s="215">
        <v>45129</v>
      </c>
      <c r="AR243" s="104">
        <v>2226</v>
      </c>
      <c r="AS243" s="104">
        <v>0</v>
      </c>
      <c r="AT243" s="104">
        <v>2226</v>
      </c>
      <c r="AU243" s="104">
        <v>100</v>
      </c>
      <c r="AV243" s="247"/>
      <c r="AX243" s="215">
        <v>45129</v>
      </c>
      <c r="AY243" s="104">
        <v>994</v>
      </c>
      <c r="AZ243" s="104">
        <v>14</v>
      </c>
      <c r="BA243" s="104">
        <v>1008</v>
      </c>
      <c r="BB243" s="104">
        <v>98.61</v>
      </c>
      <c r="BC243" s="247"/>
      <c r="BE243" s="215">
        <v>45129</v>
      </c>
      <c r="BF243" s="104">
        <v>4082</v>
      </c>
      <c r="BG243" s="104">
        <v>62</v>
      </c>
      <c r="BH243" s="104">
        <v>4144</v>
      </c>
      <c r="BI243" s="104">
        <v>98.5</v>
      </c>
      <c r="BJ243" s="71">
        <f t="shared" si="83"/>
        <v>4.1440000000000001E-3</v>
      </c>
      <c r="BL243" s="215">
        <v>45129</v>
      </c>
      <c r="BM243" s="104">
        <v>6686</v>
      </c>
      <c r="BN243" s="104">
        <v>0</v>
      </c>
      <c r="BO243" s="104">
        <v>6686</v>
      </c>
      <c r="BP243" s="104">
        <v>100</v>
      </c>
      <c r="BQ243" s="71">
        <f t="shared" si="87"/>
        <v>6.6860000000000001E-3</v>
      </c>
      <c r="BR243" s="178"/>
      <c r="BS243" s="71"/>
      <c r="BT243" s="71"/>
      <c r="BU243" s="71"/>
      <c r="BV243" s="71"/>
      <c r="BW243" s="71"/>
      <c r="BX243" s="178"/>
      <c r="BY243" s="178"/>
      <c r="BZ243" s="71"/>
      <c r="CA243" s="48"/>
      <c r="CB243" s="48"/>
      <c r="CC243" s="71"/>
      <c r="CD243" s="178"/>
      <c r="CE243" s="215">
        <v>45129</v>
      </c>
      <c r="CF243" s="1">
        <v>9961382</v>
      </c>
      <c r="CG243" s="1">
        <v>18024</v>
      </c>
      <c r="CH243" s="1">
        <v>9979406</v>
      </c>
      <c r="CI243" s="46">
        <f t="shared" si="88"/>
        <v>99.819388047745534</v>
      </c>
      <c r="CJ243" s="71">
        <f t="shared" si="80"/>
        <v>9.9794060000000009</v>
      </c>
      <c r="CL243" s="140">
        <v>44999</v>
      </c>
      <c r="CM243" s="252" t="s">
        <v>247</v>
      </c>
      <c r="CN243">
        <v>3940</v>
      </c>
      <c r="CO243">
        <v>527</v>
      </c>
    </row>
    <row r="244" spans="1:93" hidden="1" x14ac:dyDescent="0.25">
      <c r="A244" s="215">
        <v>45130</v>
      </c>
      <c r="B244" s="104">
        <v>4385609</v>
      </c>
      <c r="C244" s="104">
        <v>2883</v>
      </c>
      <c r="D244" s="104">
        <v>4388492</v>
      </c>
      <c r="E244" s="104">
        <v>99.93</v>
      </c>
      <c r="F244" s="71">
        <f t="shared" si="84"/>
        <v>4.3884920000000003</v>
      </c>
      <c r="H244" s="215">
        <v>45130</v>
      </c>
      <c r="I244" s="104">
        <v>1572937</v>
      </c>
      <c r="J244" s="104">
        <v>2367</v>
      </c>
      <c r="K244" s="104">
        <v>1575304</v>
      </c>
      <c r="L244" s="104">
        <v>99.85</v>
      </c>
      <c r="M244" s="71">
        <f t="shared" si="85"/>
        <v>1.575304</v>
      </c>
      <c r="O244" s="215">
        <v>45130</v>
      </c>
      <c r="P244" s="104">
        <v>526603</v>
      </c>
      <c r="Q244" s="104">
        <v>3417</v>
      </c>
      <c r="R244" s="104">
        <v>530020</v>
      </c>
      <c r="S244" s="104">
        <v>99.36</v>
      </c>
      <c r="T244" s="71">
        <f>R244/1000000</f>
        <v>0.53002000000000005</v>
      </c>
      <c r="V244" s="215">
        <v>45130</v>
      </c>
      <c r="W244" s="104">
        <v>898831</v>
      </c>
      <c r="X244" s="104">
        <v>190</v>
      </c>
      <c r="Y244" s="104">
        <v>899021</v>
      </c>
      <c r="Z244" s="104">
        <v>99.98</v>
      </c>
      <c r="AA244" s="71">
        <f t="shared" si="78"/>
        <v>0.89902099999999996</v>
      </c>
      <c r="AC244" s="215">
        <v>45130</v>
      </c>
      <c r="AD244" s="104">
        <v>682346</v>
      </c>
      <c r="AE244" s="104">
        <v>60</v>
      </c>
      <c r="AF244" s="104">
        <v>682406</v>
      </c>
      <c r="AG244" s="104">
        <v>99.99</v>
      </c>
      <c r="AH244" s="71">
        <f t="shared" si="82"/>
        <v>0.68240599999999996</v>
      </c>
      <c r="AJ244" s="215">
        <v>45130</v>
      </c>
      <c r="AK244" s="48">
        <v>200</v>
      </c>
      <c r="AL244" s="48">
        <v>0</v>
      </c>
      <c r="AM244" s="48">
        <v>200</v>
      </c>
      <c r="AN244" s="48">
        <v>100</v>
      </c>
      <c r="AO244" s="247"/>
      <c r="AQ244" s="215">
        <v>45130</v>
      </c>
      <c r="AR244" s="104">
        <v>1362</v>
      </c>
      <c r="AS244" s="104">
        <v>4</v>
      </c>
      <c r="AT244" s="104">
        <v>1366</v>
      </c>
      <c r="AU244" s="104">
        <v>99.71</v>
      </c>
      <c r="AV244" s="247"/>
      <c r="AX244" s="215">
        <v>45130</v>
      </c>
      <c r="AY244" s="48">
        <v>108</v>
      </c>
      <c r="AZ244" s="48">
        <v>82</v>
      </c>
      <c r="BA244" s="48">
        <v>190</v>
      </c>
      <c r="BB244" s="48">
        <v>56.84</v>
      </c>
      <c r="BC244" s="247"/>
      <c r="BE244" s="215">
        <v>45130</v>
      </c>
      <c r="BF244" s="104">
        <v>4208</v>
      </c>
      <c r="BG244" s="104">
        <v>74</v>
      </c>
      <c r="BH244" s="104">
        <v>4282</v>
      </c>
      <c r="BI244" s="104">
        <v>98.27</v>
      </c>
      <c r="BJ244" s="71">
        <f t="shared" si="83"/>
        <v>4.2820000000000002E-3</v>
      </c>
      <c r="BL244" s="215">
        <v>45130</v>
      </c>
      <c r="BM244" s="104">
        <v>4070</v>
      </c>
      <c r="BN244" s="104">
        <v>0</v>
      </c>
      <c r="BO244" s="104">
        <v>4070</v>
      </c>
      <c r="BP244" s="104">
        <v>100</v>
      </c>
      <c r="BQ244" s="71">
        <f t="shared" si="87"/>
        <v>4.0699999999999998E-3</v>
      </c>
      <c r="BR244" s="178"/>
      <c r="BS244" s="71"/>
      <c r="BT244" s="71"/>
      <c r="BU244" s="71"/>
      <c r="BV244" s="71"/>
      <c r="BW244" s="71"/>
      <c r="BX244" s="178"/>
      <c r="BY244" s="178"/>
      <c r="BZ244" s="71"/>
      <c r="CA244" s="48"/>
      <c r="CB244" s="48"/>
      <c r="CC244" s="71"/>
      <c r="CD244" s="178"/>
      <c r="CE244" s="215">
        <v>45130</v>
      </c>
      <c r="CF244" s="1">
        <v>9382614</v>
      </c>
      <c r="CG244" s="1">
        <v>20352</v>
      </c>
      <c r="CH244" s="1">
        <v>9402966</v>
      </c>
      <c r="CI244" s="46">
        <f t="shared" si="88"/>
        <v>99.783557656169336</v>
      </c>
      <c r="CJ244" s="71">
        <f t="shared" si="80"/>
        <v>9.4029659999999993</v>
      </c>
      <c r="CL244" s="140">
        <v>44999</v>
      </c>
      <c r="CM244" s="252" t="s">
        <v>240</v>
      </c>
      <c r="CN244">
        <v>2606</v>
      </c>
      <c r="CO244">
        <v>516</v>
      </c>
    </row>
    <row r="245" spans="1:93" hidden="1" x14ac:dyDescent="0.25">
      <c r="A245" s="215">
        <v>45131</v>
      </c>
      <c r="B245" s="104">
        <v>5460836</v>
      </c>
      <c r="C245" s="104">
        <v>10094</v>
      </c>
      <c r="D245" s="104">
        <v>5470930</v>
      </c>
      <c r="E245" s="104">
        <v>99.82</v>
      </c>
      <c r="F245" s="71">
        <f t="shared" si="84"/>
        <v>5.4709300000000001</v>
      </c>
      <c r="H245" s="215">
        <v>45131</v>
      </c>
      <c r="I245" s="104">
        <v>1701060</v>
      </c>
      <c r="J245" s="104">
        <v>3406</v>
      </c>
      <c r="K245" s="104">
        <v>1704466</v>
      </c>
      <c r="L245" s="104">
        <v>99.8</v>
      </c>
      <c r="M245" s="71">
        <f t="shared" si="85"/>
        <v>1.704466</v>
      </c>
      <c r="O245" s="215">
        <v>45131</v>
      </c>
      <c r="P245" s="104">
        <v>551328</v>
      </c>
      <c r="Q245" s="104">
        <v>3588</v>
      </c>
      <c r="R245" s="104">
        <v>554916</v>
      </c>
      <c r="S245" s="104">
        <v>99.35</v>
      </c>
      <c r="T245" s="71">
        <f>R245/1000000</f>
        <v>0.55491599999999996</v>
      </c>
      <c r="V245" s="215">
        <v>45131</v>
      </c>
      <c r="W245" s="104">
        <v>1080612</v>
      </c>
      <c r="X245" s="104">
        <v>186</v>
      </c>
      <c r="Y245" s="104">
        <v>1080798</v>
      </c>
      <c r="Z245" s="104">
        <v>99.98</v>
      </c>
      <c r="AA245" s="71">
        <f t="shared" si="78"/>
        <v>1.0807979999999999</v>
      </c>
      <c r="AC245" s="215">
        <v>45131</v>
      </c>
      <c r="AD245" s="104">
        <v>645740</v>
      </c>
      <c r="AE245" s="104">
        <v>112</v>
      </c>
      <c r="AF245" s="104">
        <v>645852</v>
      </c>
      <c r="AG245" s="104">
        <v>99.98</v>
      </c>
      <c r="AH245" s="71">
        <f t="shared" si="82"/>
        <v>0.64585199999999998</v>
      </c>
      <c r="AJ245" s="215">
        <v>45131</v>
      </c>
      <c r="AK245" s="48">
        <v>46</v>
      </c>
      <c r="AL245" s="48">
        <v>0</v>
      </c>
      <c r="AM245" s="48">
        <v>46</v>
      </c>
      <c r="AN245" s="48">
        <v>100</v>
      </c>
      <c r="AO245" s="247"/>
      <c r="AQ245" s="215">
        <v>45131</v>
      </c>
      <c r="AR245" s="104">
        <v>2518</v>
      </c>
      <c r="AS245" s="104">
        <v>0</v>
      </c>
      <c r="AT245" s="104">
        <v>2518</v>
      </c>
      <c r="AU245" s="104">
        <v>100</v>
      </c>
      <c r="AV245" s="247"/>
      <c r="AX245" s="215">
        <v>45131</v>
      </c>
      <c r="AY245" s="104">
        <v>1482</v>
      </c>
      <c r="AZ245" s="104">
        <v>30</v>
      </c>
      <c r="BA245" s="104">
        <v>1512</v>
      </c>
      <c r="BB245" s="104">
        <v>98.02</v>
      </c>
      <c r="BC245" s="247"/>
      <c r="BE245" s="215">
        <v>45131</v>
      </c>
      <c r="BF245" s="104">
        <v>30430</v>
      </c>
      <c r="BG245" s="104">
        <v>6890</v>
      </c>
      <c r="BH245" s="104">
        <v>37320</v>
      </c>
      <c r="BI245" s="104">
        <v>81.540000000000006</v>
      </c>
      <c r="BJ245" s="71">
        <f t="shared" si="83"/>
        <v>3.7319999999999999E-2</v>
      </c>
      <c r="BL245" s="215">
        <v>45131</v>
      </c>
      <c r="BM245" s="104">
        <v>3920</v>
      </c>
      <c r="BN245" s="104">
        <v>0</v>
      </c>
      <c r="BO245" s="104">
        <v>3920</v>
      </c>
      <c r="BP245" s="104">
        <v>100</v>
      </c>
      <c r="BQ245" s="1"/>
      <c r="BS245" s="48"/>
      <c r="BT245" s="48"/>
      <c r="BU245" s="48"/>
      <c r="BV245" s="48"/>
      <c r="BW245" s="48"/>
      <c r="BZ245" s="1"/>
      <c r="CA245" s="1"/>
      <c r="CB245" s="1"/>
      <c r="CC245" s="1"/>
      <c r="CE245" s="215">
        <v>45131</v>
      </c>
      <c r="CF245" s="1">
        <v>10889852</v>
      </c>
      <c r="CG245" s="1">
        <v>33084</v>
      </c>
      <c r="CH245" s="1">
        <v>10922936</v>
      </c>
      <c r="CI245" s="46">
        <f t="shared" si="88"/>
        <v>99.697114402208342</v>
      </c>
      <c r="CJ245" s="71">
        <f t="shared" si="80"/>
        <v>10.922936</v>
      </c>
      <c r="CL245" s="140">
        <v>44999</v>
      </c>
      <c r="CM245" s="252" t="s">
        <v>239</v>
      </c>
      <c r="CN245">
        <v>2312</v>
      </c>
      <c r="CO245">
        <v>504</v>
      </c>
    </row>
    <row r="246" spans="1:93" hidden="1" x14ac:dyDescent="0.25">
      <c r="A246" s="215">
        <v>45132</v>
      </c>
      <c r="B246" s="104">
        <v>5287854</v>
      </c>
      <c r="C246" s="104">
        <v>13536</v>
      </c>
      <c r="D246" s="104">
        <v>5301390</v>
      </c>
      <c r="E246" s="104">
        <v>99.74</v>
      </c>
      <c r="F246" s="71">
        <f t="shared" si="84"/>
        <v>5.3013899999999996</v>
      </c>
      <c r="H246" s="215">
        <v>45132</v>
      </c>
      <c r="I246" s="104">
        <v>1927014</v>
      </c>
      <c r="J246" s="104">
        <v>6396</v>
      </c>
      <c r="K246" s="104">
        <v>1933410</v>
      </c>
      <c r="L246" s="104">
        <v>99.67</v>
      </c>
      <c r="M246" s="71">
        <f t="shared" si="85"/>
        <v>1.9334100000000001</v>
      </c>
      <c r="O246" s="215">
        <v>45132</v>
      </c>
      <c r="P246" s="104">
        <v>558822</v>
      </c>
      <c r="Q246" s="104">
        <v>4962</v>
      </c>
      <c r="R246" s="104">
        <v>563784</v>
      </c>
      <c r="S246" s="104">
        <v>99.12</v>
      </c>
      <c r="T246" s="71">
        <f>R246/1000000</f>
        <v>0.56378399999999995</v>
      </c>
      <c r="V246" s="215">
        <v>45132</v>
      </c>
      <c r="W246" s="104">
        <v>965260</v>
      </c>
      <c r="X246" s="104">
        <v>466</v>
      </c>
      <c r="Y246" s="104">
        <v>965726</v>
      </c>
      <c r="Z246" s="104">
        <v>99.95</v>
      </c>
      <c r="AA246" s="71">
        <f t="shared" si="78"/>
        <v>0.96572599999999997</v>
      </c>
      <c r="AC246" s="215">
        <v>45132</v>
      </c>
      <c r="AD246" s="104">
        <v>668204</v>
      </c>
      <c r="AE246" s="104">
        <v>60</v>
      </c>
      <c r="AF246" s="104">
        <v>668264</v>
      </c>
      <c r="AG246" s="104">
        <v>99.99</v>
      </c>
      <c r="AH246" s="71">
        <f t="shared" si="82"/>
        <v>0.66826399999999997</v>
      </c>
      <c r="AJ246" s="215">
        <v>45132</v>
      </c>
      <c r="AK246" s="48">
        <v>44</v>
      </c>
      <c r="AL246" s="48">
        <v>0</v>
      </c>
      <c r="AM246" s="48">
        <v>44</v>
      </c>
      <c r="AN246" s="48">
        <v>100</v>
      </c>
      <c r="AO246" s="247"/>
      <c r="AQ246" s="215">
        <v>45132</v>
      </c>
      <c r="AR246" s="104">
        <v>2790</v>
      </c>
      <c r="AS246" s="104">
        <v>4</v>
      </c>
      <c r="AT246" s="104">
        <v>2794</v>
      </c>
      <c r="AU246" s="104">
        <v>99.86</v>
      </c>
      <c r="AV246" s="247"/>
      <c r="AX246" s="215">
        <v>45132</v>
      </c>
      <c r="AY246" s="104">
        <v>3964</v>
      </c>
      <c r="AZ246" s="104">
        <v>140</v>
      </c>
      <c r="BA246" s="104">
        <v>4104</v>
      </c>
      <c r="BB246" s="104">
        <v>96.59</v>
      </c>
      <c r="BC246" s="247"/>
      <c r="BE246" s="215">
        <v>45132</v>
      </c>
      <c r="BF246" s="104">
        <v>13602</v>
      </c>
      <c r="BG246" s="104">
        <v>144</v>
      </c>
      <c r="BH246" s="104">
        <v>13746</v>
      </c>
      <c r="BI246" s="104">
        <v>98.95</v>
      </c>
      <c r="BJ246" s="71">
        <f t="shared" si="83"/>
        <v>1.3746E-2</v>
      </c>
      <c r="BL246" s="215">
        <v>45132</v>
      </c>
      <c r="BM246" s="104">
        <v>3564</v>
      </c>
      <c r="BN246" s="104">
        <v>0</v>
      </c>
      <c r="BO246" s="104">
        <v>3564</v>
      </c>
      <c r="BP246" s="104">
        <v>100</v>
      </c>
      <c r="BQ246" s="1"/>
      <c r="BS246" s="48"/>
      <c r="BT246" s="48"/>
      <c r="BU246" s="48"/>
      <c r="BV246" s="48"/>
      <c r="BW246" s="48"/>
      <c r="BZ246" s="1"/>
      <c r="CA246" s="1"/>
      <c r="CB246" s="1"/>
      <c r="CC246" s="1"/>
      <c r="CE246" s="215">
        <v>45132</v>
      </c>
      <c r="CF246" s="1">
        <v>10748892</v>
      </c>
      <c r="CG246" s="1">
        <v>37010</v>
      </c>
      <c r="CH246" s="1">
        <v>10785902</v>
      </c>
      <c r="CI246" s="46">
        <f>CF246/CH246%</f>
        <v>99.656866899031712</v>
      </c>
      <c r="CJ246" s="71">
        <f t="shared" si="80"/>
        <v>10.785902</v>
      </c>
      <c r="CL246" s="140">
        <v>44999</v>
      </c>
      <c r="CM246" s="252" t="s">
        <v>244</v>
      </c>
      <c r="CN246">
        <v>484</v>
      </c>
      <c r="CO246">
        <v>513</v>
      </c>
    </row>
    <row r="247" spans="1:93" hidden="1" x14ac:dyDescent="0.25">
      <c r="A247" s="215">
        <v>45133</v>
      </c>
      <c r="B247" s="104">
        <v>5260620</v>
      </c>
      <c r="C247" s="104">
        <v>2796</v>
      </c>
      <c r="D247" s="104">
        <v>5263416</v>
      </c>
      <c r="E247" s="104">
        <v>99.95</v>
      </c>
      <c r="F247" s="71">
        <f t="shared" si="84"/>
        <v>5.2634160000000003</v>
      </c>
      <c r="H247" s="215">
        <v>45133</v>
      </c>
      <c r="I247" s="104">
        <v>1549790</v>
      </c>
      <c r="J247" s="104">
        <v>3280</v>
      </c>
      <c r="K247" s="104">
        <v>1553070</v>
      </c>
      <c r="L247" s="104">
        <v>99.79</v>
      </c>
      <c r="M247" s="71">
        <f t="shared" si="85"/>
        <v>1.55307</v>
      </c>
      <c r="O247" s="215">
        <v>45133</v>
      </c>
      <c r="P247" s="104">
        <v>500628</v>
      </c>
      <c r="Q247" s="104">
        <v>3682</v>
      </c>
      <c r="R247" s="104">
        <v>504310</v>
      </c>
      <c r="S247" s="104">
        <v>99.27</v>
      </c>
      <c r="T247" s="71">
        <f>R247/1000000</f>
        <v>0.50431000000000004</v>
      </c>
      <c r="V247" s="215">
        <v>45133</v>
      </c>
      <c r="W247" s="104">
        <v>932916</v>
      </c>
      <c r="X247" s="104">
        <v>314</v>
      </c>
      <c r="Y247" s="104">
        <v>933230</v>
      </c>
      <c r="Z247" s="104">
        <v>99.97</v>
      </c>
      <c r="AA247" s="71">
        <f t="shared" si="78"/>
        <v>0.93323</v>
      </c>
      <c r="AC247" s="215">
        <v>45133</v>
      </c>
      <c r="AD247" s="104">
        <v>683848</v>
      </c>
      <c r="AE247" s="104">
        <v>108</v>
      </c>
      <c r="AF247" s="104">
        <v>683956</v>
      </c>
      <c r="AG247" s="104">
        <v>99.98</v>
      </c>
      <c r="AH247" s="71">
        <f t="shared" si="82"/>
        <v>0.68395600000000001</v>
      </c>
      <c r="AJ247" s="215">
        <v>45133</v>
      </c>
      <c r="AK247" s="48">
        <v>86</v>
      </c>
      <c r="AL247" s="48">
        <v>0</v>
      </c>
      <c r="AM247" s="48">
        <v>86</v>
      </c>
      <c r="AN247" s="48">
        <v>100</v>
      </c>
      <c r="AO247" s="247"/>
      <c r="AQ247" s="215">
        <v>45133</v>
      </c>
      <c r="AR247" s="104">
        <v>2234</v>
      </c>
      <c r="AS247" s="104">
        <v>0</v>
      </c>
      <c r="AT247" s="104">
        <v>2234</v>
      </c>
      <c r="AU247" s="104">
        <v>100</v>
      </c>
      <c r="AV247" s="247"/>
      <c r="AX247" s="215">
        <v>45133</v>
      </c>
      <c r="AY247" s="104">
        <v>1576</v>
      </c>
      <c r="AZ247" s="104">
        <v>24</v>
      </c>
      <c r="BA247" s="104">
        <v>1600</v>
      </c>
      <c r="BB247" s="104">
        <v>98.5</v>
      </c>
      <c r="BC247" s="247"/>
      <c r="BE247" s="215">
        <v>45133</v>
      </c>
      <c r="BF247" s="104">
        <v>9604</v>
      </c>
      <c r="BG247" s="104">
        <v>116</v>
      </c>
      <c r="BH247" s="104">
        <v>9720</v>
      </c>
      <c r="BI247" s="104">
        <v>98.81</v>
      </c>
      <c r="BJ247" s="71">
        <f t="shared" si="83"/>
        <v>9.7199999999999995E-3</v>
      </c>
      <c r="BL247" s="215">
        <v>45133</v>
      </c>
      <c r="BM247" s="104">
        <v>5974</v>
      </c>
      <c r="BN247" s="104">
        <v>0</v>
      </c>
      <c r="BO247" s="104">
        <v>5974</v>
      </c>
      <c r="BP247" s="104">
        <v>100</v>
      </c>
      <c r="BQ247" s="1"/>
      <c r="BS247" s="48"/>
      <c r="BT247" s="48"/>
      <c r="BU247" s="48"/>
      <c r="BV247" s="48"/>
      <c r="BW247" s="48"/>
      <c r="BZ247" s="1"/>
      <c r="CA247" s="1"/>
      <c r="CB247" s="1"/>
      <c r="CC247" s="1"/>
      <c r="CE247" s="215">
        <v>45133</v>
      </c>
      <c r="CF247" s="1">
        <v>10215776</v>
      </c>
      <c r="CG247" s="1">
        <v>17154</v>
      </c>
      <c r="CH247" s="1">
        <v>10232930</v>
      </c>
      <c r="CI247" s="46">
        <f t="shared" si="88"/>
        <v>99.832364728381805</v>
      </c>
      <c r="CJ247" s="71">
        <f t="shared" si="80"/>
        <v>10.23293</v>
      </c>
      <c r="CL247" s="140">
        <v>44999</v>
      </c>
      <c r="CM247" s="252" t="s">
        <v>243</v>
      </c>
      <c r="CN247">
        <v>280</v>
      </c>
      <c r="CO247">
        <v>540</v>
      </c>
    </row>
    <row r="248" spans="1:93" hidden="1" x14ac:dyDescent="0.25">
      <c r="A248" s="215">
        <v>45134</v>
      </c>
      <c r="B248" s="104">
        <v>5285018</v>
      </c>
      <c r="C248" s="104">
        <v>3030</v>
      </c>
      <c r="D248" s="104">
        <v>5288048</v>
      </c>
      <c r="E248" s="104">
        <v>99.94</v>
      </c>
      <c r="F248" s="71">
        <f t="shared" si="84"/>
        <v>5.2880479999999999</v>
      </c>
      <c r="H248" s="215">
        <v>45134</v>
      </c>
      <c r="I248" s="104">
        <v>1496330</v>
      </c>
      <c r="J248" s="104">
        <v>2388</v>
      </c>
      <c r="K248" s="104">
        <v>1498718</v>
      </c>
      <c r="L248" s="104">
        <v>99.84</v>
      </c>
      <c r="M248" s="71">
        <f t="shared" si="85"/>
        <v>1.498718</v>
      </c>
      <c r="O248" s="215">
        <v>45134</v>
      </c>
      <c r="P248" s="104">
        <v>522412</v>
      </c>
      <c r="Q248" s="104">
        <v>3766</v>
      </c>
      <c r="R248" s="104">
        <v>526178</v>
      </c>
      <c r="S248" s="104">
        <v>99.28</v>
      </c>
      <c r="T248" s="71">
        <f>R248/1000000</f>
        <v>0.52617800000000003</v>
      </c>
      <c r="V248" s="215">
        <v>45134</v>
      </c>
      <c r="W248" s="104">
        <v>942840</v>
      </c>
      <c r="X248" s="104">
        <v>160</v>
      </c>
      <c r="Y248" s="104">
        <v>943000</v>
      </c>
      <c r="Z248" s="104">
        <v>99.98</v>
      </c>
      <c r="AA248" s="71">
        <f t="shared" si="78"/>
        <v>0.94299999999999995</v>
      </c>
      <c r="AC248" s="215">
        <v>45134</v>
      </c>
      <c r="AD248" s="104">
        <v>714398</v>
      </c>
      <c r="AE248" s="104">
        <v>262</v>
      </c>
      <c r="AF248" s="104">
        <v>714660</v>
      </c>
      <c r="AG248" s="104">
        <v>99.96</v>
      </c>
      <c r="AH248" s="71">
        <f t="shared" si="82"/>
        <v>0.71465999999999996</v>
      </c>
      <c r="AJ248" s="215">
        <v>45134</v>
      </c>
      <c r="AK248" s="48">
        <v>110</v>
      </c>
      <c r="AL248" s="48">
        <v>0</v>
      </c>
      <c r="AM248" s="48">
        <v>110</v>
      </c>
      <c r="AN248" s="48">
        <v>100</v>
      </c>
      <c r="AO248" s="247"/>
      <c r="AQ248" s="215">
        <v>45134</v>
      </c>
      <c r="AR248" s="104">
        <v>2316</v>
      </c>
      <c r="AS248" s="104">
        <v>20</v>
      </c>
      <c r="AT248" s="104">
        <v>2336</v>
      </c>
      <c r="AU248" s="104">
        <v>99.14</v>
      </c>
      <c r="AV248" s="247"/>
      <c r="AX248" s="215">
        <v>45134</v>
      </c>
      <c r="AY248" s="104">
        <v>1814</v>
      </c>
      <c r="AZ248" s="104">
        <v>46</v>
      </c>
      <c r="BA248" s="104">
        <v>1860</v>
      </c>
      <c r="BB248" s="104">
        <v>97.53</v>
      </c>
      <c r="BC248" s="247"/>
      <c r="BE248" s="215">
        <v>45134</v>
      </c>
      <c r="BF248" s="104">
        <v>9606</v>
      </c>
      <c r="BG248" s="104">
        <v>104</v>
      </c>
      <c r="BH248" s="104">
        <v>9710</v>
      </c>
      <c r="BI248" s="104">
        <v>98.93</v>
      </c>
      <c r="BJ248" s="71">
        <f t="shared" si="83"/>
        <v>9.7099999999999999E-3</v>
      </c>
      <c r="BL248" s="215">
        <v>45134</v>
      </c>
      <c r="BM248" s="104">
        <v>8678</v>
      </c>
      <c r="BN248" s="104">
        <v>0</v>
      </c>
      <c r="BO248" s="104">
        <v>8678</v>
      </c>
      <c r="BP248" s="104">
        <v>100</v>
      </c>
      <c r="BQ248" s="1"/>
      <c r="BS248" s="48"/>
      <c r="BT248" s="48"/>
      <c r="BU248" s="48"/>
      <c r="BV248" s="48"/>
      <c r="BW248" s="48"/>
      <c r="BZ248" s="1"/>
      <c r="CA248" s="1"/>
      <c r="CB248" s="1"/>
      <c r="CC248" s="1"/>
      <c r="CE248" s="215">
        <v>45134</v>
      </c>
      <c r="CF248" s="1">
        <v>10299320</v>
      </c>
      <c r="CG248" s="1">
        <v>18482</v>
      </c>
      <c r="CH248" s="1">
        <v>10317802</v>
      </c>
      <c r="CI248" s="46">
        <f t="shared" si="88"/>
        <v>99.820872701375734</v>
      </c>
      <c r="CJ248" s="71">
        <f t="shared" si="80"/>
        <v>10.317802</v>
      </c>
      <c r="CL248" s="140">
        <v>45000</v>
      </c>
      <c r="CM248" s="252" t="s">
        <v>238</v>
      </c>
      <c r="CN248">
        <v>13662</v>
      </c>
      <c r="CO248">
        <v>503</v>
      </c>
    </row>
    <row r="249" spans="1:93" hidden="1" x14ac:dyDescent="0.25">
      <c r="A249" s="215">
        <v>45135</v>
      </c>
      <c r="B249" s="104">
        <v>5324132</v>
      </c>
      <c r="C249" s="104">
        <v>2180</v>
      </c>
      <c r="D249" s="104">
        <v>5326312</v>
      </c>
      <c r="E249" s="104">
        <v>99.96</v>
      </c>
      <c r="F249" s="71">
        <f t="shared" si="84"/>
        <v>5.3263119999999997</v>
      </c>
      <c r="H249" s="215">
        <v>45135</v>
      </c>
      <c r="I249" s="104">
        <v>1839668</v>
      </c>
      <c r="J249" s="104">
        <v>4450</v>
      </c>
      <c r="K249" s="104">
        <v>1844118</v>
      </c>
      <c r="L249" s="104">
        <v>99.76</v>
      </c>
      <c r="M249" s="71">
        <f t="shared" si="85"/>
        <v>1.8441179999999999</v>
      </c>
      <c r="O249" s="215">
        <v>45135</v>
      </c>
      <c r="P249" s="104">
        <v>535954</v>
      </c>
      <c r="Q249" s="104">
        <v>3892</v>
      </c>
      <c r="R249" s="104">
        <v>539846</v>
      </c>
      <c r="S249" s="104">
        <v>99.28</v>
      </c>
      <c r="T249" s="71">
        <f t="shared" ref="T249:T264" si="90">R249/1000000</f>
        <v>0.53984600000000005</v>
      </c>
      <c r="V249" s="215">
        <v>45135</v>
      </c>
      <c r="W249" s="104">
        <v>954420</v>
      </c>
      <c r="X249" s="104">
        <v>134</v>
      </c>
      <c r="Y249" s="104">
        <v>954554</v>
      </c>
      <c r="Z249" s="104">
        <v>99.99</v>
      </c>
      <c r="AA249" s="71">
        <f t="shared" si="78"/>
        <v>0.95455400000000001</v>
      </c>
      <c r="AC249" s="215">
        <v>45135</v>
      </c>
      <c r="AD249" s="104">
        <v>739982</v>
      </c>
      <c r="AE249" s="104">
        <v>178</v>
      </c>
      <c r="AF249" s="104">
        <v>740160</v>
      </c>
      <c r="AG249" s="104">
        <v>99.98</v>
      </c>
      <c r="AH249" s="71">
        <f t="shared" si="82"/>
        <v>0.74016000000000004</v>
      </c>
      <c r="AJ249" s="215">
        <v>45135</v>
      </c>
      <c r="AK249" s="48">
        <v>148</v>
      </c>
      <c r="AL249" s="48">
        <v>0</v>
      </c>
      <c r="AM249" s="48">
        <v>148</v>
      </c>
      <c r="AN249" s="48">
        <v>100</v>
      </c>
      <c r="AO249" s="247"/>
      <c r="AQ249" s="215">
        <v>45135</v>
      </c>
      <c r="AR249" s="104">
        <v>2646</v>
      </c>
      <c r="AS249" s="104">
        <v>16</v>
      </c>
      <c r="AT249" s="104">
        <v>2662</v>
      </c>
      <c r="AU249" s="104">
        <v>99.4</v>
      </c>
      <c r="AV249" s="247"/>
      <c r="AX249" s="215">
        <v>45135</v>
      </c>
      <c r="AY249" s="104">
        <v>1218</v>
      </c>
      <c r="AZ249" s="104">
        <v>28</v>
      </c>
      <c r="BA249" s="104">
        <v>1246</v>
      </c>
      <c r="BB249" s="104">
        <v>97.75</v>
      </c>
      <c r="BC249" s="253"/>
      <c r="BE249" s="215">
        <v>45135</v>
      </c>
      <c r="BF249" s="104">
        <v>8158</v>
      </c>
      <c r="BG249" s="104">
        <v>66</v>
      </c>
      <c r="BH249" s="104">
        <v>8224</v>
      </c>
      <c r="BI249" s="104">
        <v>99.2</v>
      </c>
      <c r="BJ249" s="71">
        <f t="shared" si="83"/>
        <v>8.2240000000000004E-3</v>
      </c>
      <c r="BL249" s="215">
        <v>45135</v>
      </c>
      <c r="BM249" s="104">
        <v>5632</v>
      </c>
      <c r="BN249" s="104">
        <v>0</v>
      </c>
      <c r="BO249" s="104">
        <v>5632</v>
      </c>
      <c r="BP249" s="104">
        <v>100</v>
      </c>
      <c r="BQ249" s="1"/>
      <c r="BS249" s="48"/>
      <c r="BT249" s="48"/>
      <c r="BU249" s="48"/>
      <c r="BV249" s="48"/>
      <c r="BW249" s="48"/>
      <c r="BZ249" s="1"/>
      <c r="CA249" s="1"/>
      <c r="CB249" s="1"/>
      <c r="CC249" s="1"/>
      <c r="CE249" s="215">
        <v>45135</v>
      </c>
      <c r="CF249" s="1">
        <v>10737176</v>
      </c>
      <c r="CG249" s="1">
        <v>21214</v>
      </c>
      <c r="CH249" s="1">
        <v>10758390</v>
      </c>
      <c r="CI249" s="46">
        <f t="shared" si="88"/>
        <v>99.802814361628464</v>
      </c>
      <c r="CJ249" s="71">
        <f t="shared" si="80"/>
        <v>10.75839</v>
      </c>
      <c r="CL249" s="140">
        <v>45000</v>
      </c>
      <c r="CM249" s="252" t="s">
        <v>239</v>
      </c>
      <c r="CN249">
        <v>2622</v>
      </c>
      <c r="CO249">
        <v>504</v>
      </c>
    </row>
    <row r="250" spans="1:93" hidden="1" x14ac:dyDescent="0.25">
      <c r="A250" s="215">
        <v>45136</v>
      </c>
      <c r="B250" s="104">
        <v>5215248</v>
      </c>
      <c r="C250" s="104">
        <v>2738</v>
      </c>
      <c r="D250" s="104">
        <v>5217986</v>
      </c>
      <c r="E250" s="104">
        <v>99.95</v>
      </c>
      <c r="F250" s="71">
        <f t="shared" si="84"/>
        <v>5.2179859999999998</v>
      </c>
      <c r="H250" s="215">
        <v>45136</v>
      </c>
      <c r="I250" s="104">
        <v>1450234</v>
      </c>
      <c r="J250" s="104">
        <v>1788</v>
      </c>
      <c r="K250" s="104">
        <v>1452022</v>
      </c>
      <c r="L250" s="104">
        <v>99.88</v>
      </c>
      <c r="M250" s="71">
        <f t="shared" si="85"/>
        <v>1.4520219999999999</v>
      </c>
      <c r="O250" s="215">
        <v>45136</v>
      </c>
      <c r="P250" s="104">
        <v>495426</v>
      </c>
      <c r="Q250" s="104">
        <v>3286</v>
      </c>
      <c r="R250" s="104">
        <v>498712</v>
      </c>
      <c r="S250" s="104">
        <v>99.34</v>
      </c>
      <c r="T250" s="71">
        <f t="shared" si="90"/>
        <v>0.49871199999999999</v>
      </c>
      <c r="V250" s="215">
        <v>45136</v>
      </c>
      <c r="W250" s="104">
        <v>932490</v>
      </c>
      <c r="X250" s="104">
        <v>150</v>
      </c>
      <c r="Y250" s="104">
        <v>932640</v>
      </c>
      <c r="Z250" s="104">
        <v>99.98</v>
      </c>
      <c r="AA250" s="71">
        <f t="shared" si="78"/>
        <v>0.93264000000000002</v>
      </c>
      <c r="AC250" s="215">
        <v>45136</v>
      </c>
      <c r="AD250" s="104">
        <v>755422</v>
      </c>
      <c r="AE250" s="104">
        <v>948</v>
      </c>
      <c r="AF250" s="104">
        <v>756370</v>
      </c>
      <c r="AG250" s="104">
        <v>99.87</v>
      </c>
      <c r="AH250" s="71">
        <f t="shared" si="82"/>
        <v>0.75636999999999999</v>
      </c>
      <c r="AJ250" s="215">
        <v>45136</v>
      </c>
      <c r="AK250" s="48">
        <v>190</v>
      </c>
      <c r="AL250" s="48">
        <v>0</v>
      </c>
      <c r="AM250" s="48">
        <v>190</v>
      </c>
      <c r="AN250" s="48">
        <v>100</v>
      </c>
      <c r="AO250" s="247"/>
      <c r="AQ250" s="215">
        <v>45136</v>
      </c>
      <c r="AR250" s="104">
        <v>1794</v>
      </c>
      <c r="AS250" s="104">
        <v>2</v>
      </c>
      <c r="AT250" s="104">
        <v>1796</v>
      </c>
      <c r="AU250" s="104">
        <v>99.89</v>
      </c>
      <c r="AV250" s="247"/>
      <c r="AX250" s="215">
        <v>45136</v>
      </c>
      <c r="AY250" s="104">
        <v>1134</v>
      </c>
      <c r="AZ250" s="104">
        <v>16</v>
      </c>
      <c r="BA250" s="104">
        <v>1150</v>
      </c>
      <c r="BB250" s="104">
        <v>98.61</v>
      </c>
      <c r="BC250" s="247"/>
      <c r="BE250" s="215">
        <v>45136</v>
      </c>
      <c r="BF250" s="104">
        <v>7492</v>
      </c>
      <c r="BG250" s="104">
        <v>94</v>
      </c>
      <c r="BH250" s="104">
        <v>7586</v>
      </c>
      <c r="BI250" s="104">
        <v>98.76</v>
      </c>
      <c r="BJ250" s="71">
        <f t="shared" si="83"/>
        <v>7.5859999999999999E-3</v>
      </c>
      <c r="BL250" s="215">
        <v>45136</v>
      </c>
      <c r="BM250" s="104">
        <v>6430</v>
      </c>
      <c r="BN250" s="104">
        <v>0</v>
      </c>
      <c r="BO250" s="104">
        <v>6430</v>
      </c>
      <c r="BP250" s="104">
        <v>100</v>
      </c>
      <c r="BQ250" s="1"/>
      <c r="BS250" s="48"/>
      <c r="BT250" s="48"/>
      <c r="BU250" s="48"/>
      <c r="BV250" s="48"/>
      <c r="BW250" s="48"/>
      <c r="BZ250" s="1"/>
      <c r="CA250" s="1"/>
      <c r="CB250" s="1"/>
      <c r="CC250" s="1"/>
      <c r="CE250" s="215">
        <v>45136</v>
      </c>
      <c r="CF250" s="1">
        <v>10205448</v>
      </c>
      <c r="CG250" s="1">
        <v>19540</v>
      </c>
      <c r="CH250" s="1">
        <v>10224988</v>
      </c>
      <c r="CI250" s="46">
        <f t="shared" si="88"/>
        <v>99.808899531226828</v>
      </c>
      <c r="CJ250" s="71">
        <f t="shared" si="80"/>
        <v>10.224988</v>
      </c>
      <c r="CL250" s="140">
        <v>45000</v>
      </c>
      <c r="CM250" s="252" t="s">
        <v>240</v>
      </c>
      <c r="CN250">
        <v>2574</v>
      </c>
      <c r="CO250">
        <v>516</v>
      </c>
    </row>
    <row r="251" spans="1:93" hidden="1" x14ac:dyDescent="0.25">
      <c r="A251" s="215">
        <v>45137</v>
      </c>
      <c r="B251" s="104">
        <v>4390517</v>
      </c>
      <c r="C251" s="104">
        <v>1487</v>
      </c>
      <c r="D251" s="104">
        <v>4392004</v>
      </c>
      <c r="E251" s="104">
        <v>99.97</v>
      </c>
      <c r="F251" s="71">
        <f t="shared" si="84"/>
        <v>4.392004</v>
      </c>
      <c r="H251" s="215">
        <v>45137</v>
      </c>
      <c r="I251" s="104">
        <v>1410658</v>
      </c>
      <c r="J251" s="104">
        <v>1912</v>
      </c>
      <c r="K251" s="104">
        <v>1412570</v>
      </c>
      <c r="L251" s="104">
        <v>99.86</v>
      </c>
      <c r="M251" s="71">
        <f t="shared" si="85"/>
        <v>1.4125700000000001</v>
      </c>
      <c r="O251" s="215">
        <v>45137</v>
      </c>
      <c r="P251" s="104">
        <v>497778</v>
      </c>
      <c r="Q251" s="104">
        <v>3190</v>
      </c>
      <c r="R251" s="104">
        <v>500968</v>
      </c>
      <c r="S251" s="104">
        <v>99.36</v>
      </c>
      <c r="T251" s="71">
        <f t="shared" si="90"/>
        <v>0.50096799999999997</v>
      </c>
      <c r="V251" s="215">
        <v>45137</v>
      </c>
      <c r="W251" s="104">
        <v>899489</v>
      </c>
      <c r="X251" s="104">
        <v>198</v>
      </c>
      <c r="Y251" s="104">
        <v>899687</v>
      </c>
      <c r="Z251" s="104">
        <v>99.98</v>
      </c>
      <c r="AA251" s="71">
        <f t="shared" si="78"/>
        <v>0.89968700000000001</v>
      </c>
      <c r="AC251" s="215">
        <v>45137</v>
      </c>
      <c r="AD251" s="104">
        <v>683535</v>
      </c>
      <c r="AE251" s="104">
        <v>238</v>
      </c>
      <c r="AF251" s="104">
        <v>683773</v>
      </c>
      <c r="AG251" s="104">
        <v>99.97</v>
      </c>
      <c r="AH251" s="71">
        <f t="shared" si="82"/>
        <v>0.68377299999999996</v>
      </c>
      <c r="AJ251" s="215">
        <v>45137</v>
      </c>
      <c r="AK251" s="48">
        <v>148</v>
      </c>
      <c r="AL251" s="48">
        <v>0</v>
      </c>
      <c r="AM251" s="48">
        <v>148</v>
      </c>
      <c r="AN251" s="48">
        <v>100</v>
      </c>
      <c r="AO251" s="247"/>
      <c r="AQ251" s="215">
        <v>45137</v>
      </c>
      <c r="AR251" s="104">
        <v>1146</v>
      </c>
      <c r="AS251" s="104">
        <v>4</v>
      </c>
      <c r="AT251" s="104">
        <v>1150</v>
      </c>
      <c r="AU251" s="104">
        <v>99.65</v>
      </c>
      <c r="AV251" s="247"/>
      <c r="AX251" s="215">
        <v>45137</v>
      </c>
      <c r="AY251" s="48">
        <v>24</v>
      </c>
      <c r="AZ251" s="48">
        <v>76</v>
      </c>
      <c r="BA251" s="48">
        <v>100</v>
      </c>
      <c r="BB251" s="104">
        <v>98.61</v>
      </c>
      <c r="BC251" s="247"/>
      <c r="BE251" s="215">
        <v>45137</v>
      </c>
      <c r="BF251" s="104">
        <v>6555</v>
      </c>
      <c r="BG251" s="104">
        <v>88</v>
      </c>
      <c r="BH251" s="104">
        <v>6643</v>
      </c>
      <c r="BI251" s="104">
        <v>98.68</v>
      </c>
      <c r="BJ251" s="71">
        <f t="shared" si="83"/>
        <v>6.6429999999999996E-3</v>
      </c>
      <c r="BL251" s="215">
        <v>45137</v>
      </c>
      <c r="BM251" s="104">
        <v>4175</v>
      </c>
      <c r="BN251" s="104">
        <v>0</v>
      </c>
      <c r="BO251" s="104">
        <v>4175</v>
      </c>
      <c r="BP251" s="104">
        <v>100</v>
      </c>
      <c r="BQ251" s="1"/>
      <c r="BS251" s="48"/>
      <c r="BT251" s="48"/>
      <c r="BU251" s="48"/>
      <c r="BV251" s="48"/>
      <c r="BW251" s="48"/>
      <c r="BZ251" s="1"/>
      <c r="CA251" s="1"/>
      <c r="CB251" s="1"/>
      <c r="CC251" s="1"/>
      <c r="CE251" s="215">
        <v>45137</v>
      </c>
      <c r="CF251" s="1">
        <v>9147962</v>
      </c>
      <c r="CG251" s="1">
        <v>16350</v>
      </c>
      <c r="CH251" s="1">
        <v>9164312</v>
      </c>
      <c r="CI251" s="46">
        <f t="shared" si="88"/>
        <v>99.821590535110545</v>
      </c>
      <c r="CJ251" s="71">
        <f t="shared" si="80"/>
        <v>9.1643120000000007</v>
      </c>
      <c r="CL251" s="140">
        <v>45000</v>
      </c>
      <c r="CM251" s="252" t="s">
        <v>247</v>
      </c>
      <c r="CN251">
        <v>2160</v>
      </c>
      <c r="CO251">
        <v>527</v>
      </c>
    </row>
    <row r="252" spans="1:93" hidden="1" x14ac:dyDescent="0.25">
      <c r="A252" s="215">
        <v>45138</v>
      </c>
      <c r="B252" s="104">
        <v>5454112</v>
      </c>
      <c r="C252" s="104">
        <v>5366</v>
      </c>
      <c r="D252" s="104">
        <v>5459478</v>
      </c>
      <c r="E252" s="104">
        <v>99.9</v>
      </c>
      <c r="F252" s="71">
        <f t="shared" si="84"/>
        <v>5.4594779999999998</v>
      </c>
      <c r="H252" s="215">
        <v>45138</v>
      </c>
      <c r="I252" s="104">
        <v>1605328</v>
      </c>
      <c r="J252" s="104">
        <v>2064</v>
      </c>
      <c r="K252" s="104">
        <v>1607392</v>
      </c>
      <c r="L252" s="104">
        <v>99.87</v>
      </c>
      <c r="M252" s="71">
        <f t="shared" si="85"/>
        <v>1.6073919999999999</v>
      </c>
      <c r="O252" s="215">
        <v>45138</v>
      </c>
      <c r="P252" s="104">
        <v>523388</v>
      </c>
      <c r="Q252" s="104">
        <v>3568</v>
      </c>
      <c r="R252" s="104">
        <v>526956</v>
      </c>
      <c r="S252" s="104">
        <v>99.32</v>
      </c>
      <c r="T252" s="71">
        <f t="shared" si="90"/>
        <v>0.52695599999999998</v>
      </c>
      <c r="V252" s="215">
        <v>45138</v>
      </c>
      <c r="W252" s="104">
        <v>960424</v>
      </c>
      <c r="X252" s="104">
        <v>380</v>
      </c>
      <c r="Y252" s="104">
        <v>960804</v>
      </c>
      <c r="Z252" s="104">
        <v>99.96</v>
      </c>
      <c r="AA252" s="71">
        <f t="shared" si="78"/>
        <v>0.96080399999999999</v>
      </c>
      <c r="AC252" s="215">
        <v>45138</v>
      </c>
      <c r="AD252" s="104">
        <v>703744</v>
      </c>
      <c r="AE252" s="104">
        <v>228</v>
      </c>
      <c r="AF252" s="104">
        <v>703972</v>
      </c>
      <c r="AG252" s="104">
        <v>99.97</v>
      </c>
      <c r="AH252" s="71">
        <f t="shared" si="82"/>
        <v>0.70397200000000004</v>
      </c>
      <c r="AJ252" s="215">
        <v>45138</v>
      </c>
      <c r="AK252" s="48">
        <v>240</v>
      </c>
      <c r="AL252" s="48">
        <v>2</v>
      </c>
      <c r="AM252" s="48">
        <v>242</v>
      </c>
      <c r="AN252" s="48">
        <v>99.17</v>
      </c>
      <c r="AO252" s="247"/>
      <c r="AQ252" s="215">
        <v>45138</v>
      </c>
      <c r="AR252" s="104">
        <v>2156</v>
      </c>
      <c r="AS252" s="104">
        <v>0</v>
      </c>
      <c r="AT252" s="104">
        <v>2156</v>
      </c>
      <c r="AU252" s="104">
        <v>100</v>
      </c>
      <c r="AV252" s="247"/>
      <c r="AX252" s="215">
        <v>45138</v>
      </c>
      <c r="AY252" s="104">
        <v>1332</v>
      </c>
      <c r="AZ252" s="104">
        <v>58</v>
      </c>
      <c r="BA252" s="104">
        <v>1390</v>
      </c>
      <c r="BB252" s="104">
        <v>95.83</v>
      </c>
      <c r="BC252" s="247"/>
      <c r="BE252" s="215">
        <v>45138</v>
      </c>
      <c r="BF252" s="104">
        <v>34800</v>
      </c>
      <c r="BG252" s="104">
        <v>13630</v>
      </c>
      <c r="BH252" s="104">
        <v>48430</v>
      </c>
      <c r="BI252" s="104">
        <v>71.86</v>
      </c>
      <c r="BJ252" s="71">
        <f t="shared" si="83"/>
        <v>4.8430000000000001E-2</v>
      </c>
      <c r="BL252" s="215">
        <v>45138</v>
      </c>
      <c r="BM252" s="104">
        <v>11634</v>
      </c>
      <c r="BN252" s="104">
        <v>12</v>
      </c>
      <c r="BO252" s="104">
        <v>11646</v>
      </c>
      <c r="BP252" s="104">
        <v>99.9</v>
      </c>
      <c r="BQ252" s="1"/>
      <c r="BS252" s="48"/>
      <c r="BT252" s="48"/>
      <c r="BU252" s="48"/>
      <c r="BV252" s="48"/>
      <c r="BW252" s="48"/>
      <c r="BZ252" s="1"/>
      <c r="CA252" s="1"/>
      <c r="CB252" s="1"/>
      <c r="CC252" s="1"/>
      <c r="CE252" s="215">
        <v>45138</v>
      </c>
      <c r="CF252" s="1">
        <v>10702522</v>
      </c>
      <c r="CG252" s="1">
        <v>37444</v>
      </c>
      <c r="CH252" s="1">
        <v>10739966</v>
      </c>
      <c r="CI252" s="46">
        <f t="shared" si="88"/>
        <v>99.651358300389404</v>
      </c>
      <c r="CJ252" s="71">
        <f t="shared" si="80"/>
        <v>10.739966000000001</v>
      </c>
      <c r="CL252" s="140">
        <v>45000</v>
      </c>
      <c r="CM252" s="252" t="s">
        <v>244</v>
      </c>
      <c r="CN252">
        <v>498</v>
      </c>
      <c r="CO252">
        <v>513</v>
      </c>
    </row>
    <row r="253" spans="1:93" hidden="1" x14ac:dyDescent="0.25">
      <c r="A253" s="215">
        <v>45139</v>
      </c>
      <c r="B253" s="104">
        <v>5478608</v>
      </c>
      <c r="C253" s="104">
        <v>3082</v>
      </c>
      <c r="D253" s="104">
        <v>5481690</v>
      </c>
      <c r="E253" s="104">
        <v>99.94</v>
      </c>
      <c r="F253" s="71">
        <f t="shared" si="84"/>
        <v>5.4816900000000004</v>
      </c>
      <c r="H253" s="215">
        <v>45139</v>
      </c>
      <c r="I253" s="104">
        <v>1946786</v>
      </c>
      <c r="J253" s="104">
        <v>6358</v>
      </c>
      <c r="K253" s="104">
        <v>1953144</v>
      </c>
      <c r="L253" s="104">
        <v>99.67</v>
      </c>
      <c r="M253" s="71">
        <f t="shared" si="85"/>
        <v>1.953144</v>
      </c>
      <c r="O253" s="215">
        <v>45139</v>
      </c>
      <c r="P253" s="104">
        <v>498478</v>
      </c>
      <c r="Q253" s="104">
        <v>4450</v>
      </c>
      <c r="R253" s="104">
        <v>502928</v>
      </c>
      <c r="S253" s="104">
        <v>99.12</v>
      </c>
      <c r="T253" s="71">
        <f t="shared" si="90"/>
        <v>0.50292800000000004</v>
      </c>
      <c r="V253" s="215">
        <v>45139</v>
      </c>
      <c r="W253" s="104">
        <v>972548</v>
      </c>
      <c r="X253" s="104">
        <v>142</v>
      </c>
      <c r="Y253" s="104">
        <v>972690</v>
      </c>
      <c r="Z253" s="104">
        <v>99.99</v>
      </c>
      <c r="AA253" s="71">
        <f t="shared" si="78"/>
        <v>0.97269000000000005</v>
      </c>
      <c r="AC253" s="215">
        <v>45139</v>
      </c>
      <c r="AD253" s="104">
        <v>732124</v>
      </c>
      <c r="AE253" s="104">
        <v>232</v>
      </c>
      <c r="AF253" s="104">
        <v>732356</v>
      </c>
      <c r="AG253" s="104">
        <v>99.97</v>
      </c>
      <c r="AH253" s="71">
        <f t="shared" si="82"/>
        <v>0.73235600000000001</v>
      </c>
      <c r="AJ253" s="215">
        <v>45139</v>
      </c>
      <c r="AK253" s="48">
        <v>310</v>
      </c>
      <c r="AL253" s="48">
        <v>0</v>
      </c>
      <c r="AM253" s="48">
        <v>310</v>
      </c>
      <c r="AN253" s="48">
        <v>100</v>
      </c>
      <c r="AO253" s="247"/>
      <c r="AQ253" s="215">
        <v>45139</v>
      </c>
      <c r="AR253" s="104">
        <v>3348</v>
      </c>
      <c r="AS253" s="104">
        <v>2</v>
      </c>
      <c r="AT253" s="104">
        <v>3350</v>
      </c>
      <c r="AU253" s="104">
        <v>99.94</v>
      </c>
      <c r="AV253" s="247"/>
      <c r="AX253" s="215">
        <v>45139</v>
      </c>
      <c r="AY253" s="104">
        <v>1638</v>
      </c>
      <c r="AZ253" s="104">
        <v>68</v>
      </c>
      <c r="BA253" s="104">
        <v>1706</v>
      </c>
      <c r="BB253" s="104">
        <v>96.01</v>
      </c>
      <c r="BC253" s="247"/>
      <c r="BE253" s="215">
        <v>45139</v>
      </c>
      <c r="BF253" s="104">
        <v>16388</v>
      </c>
      <c r="BG253" s="104">
        <v>140</v>
      </c>
      <c r="BH253" s="104">
        <v>16528</v>
      </c>
      <c r="BI253" s="104">
        <v>99.15</v>
      </c>
      <c r="BJ253" s="71">
        <f t="shared" si="83"/>
        <v>1.6528000000000001E-2</v>
      </c>
      <c r="BL253" s="215">
        <v>45139</v>
      </c>
      <c r="BM253" s="104">
        <v>7346</v>
      </c>
      <c r="BN253" s="104">
        <v>0</v>
      </c>
      <c r="BO253" s="104">
        <v>7346</v>
      </c>
      <c r="BP253" s="104">
        <v>100</v>
      </c>
      <c r="BQ253" s="1"/>
      <c r="BS253" s="48"/>
      <c r="BT253" s="48"/>
      <c r="BU253" s="48"/>
      <c r="BV253" s="48"/>
      <c r="BW253" s="48"/>
      <c r="BZ253" s="1"/>
      <c r="CA253" s="1"/>
      <c r="CB253" s="1"/>
      <c r="CC253" s="1"/>
      <c r="CE253" s="215">
        <v>45139</v>
      </c>
      <c r="CF253" s="1">
        <v>11113872</v>
      </c>
      <c r="CG253" s="1">
        <v>28742</v>
      </c>
      <c r="CH253" s="1">
        <v>11142614</v>
      </c>
      <c r="CI253" s="46">
        <f t="shared" si="88"/>
        <v>99.742053345830698</v>
      </c>
      <c r="CJ253" s="71">
        <f t="shared" si="80"/>
        <v>11.142614</v>
      </c>
      <c r="CL253" s="140">
        <v>45001</v>
      </c>
      <c r="CM253" s="252" t="s">
        <v>238</v>
      </c>
      <c r="CN253">
        <v>16712</v>
      </c>
      <c r="CO253">
        <v>503</v>
      </c>
    </row>
    <row r="254" spans="1:93" hidden="1" x14ac:dyDescent="0.25">
      <c r="A254" s="215">
        <v>45140</v>
      </c>
      <c r="B254" s="104">
        <v>5648822</v>
      </c>
      <c r="C254" s="104">
        <v>6756</v>
      </c>
      <c r="D254" s="104">
        <v>5655578</v>
      </c>
      <c r="E254" s="104">
        <v>99.88</v>
      </c>
      <c r="F254" s="71">
        <f t="shared" si="84"/>
        <v>5.6555780000000002</v>
      </c>
      <c r="H254" s="215">
        <v>45140</v>
      </c>
      <c r="I254" s="104">
        <v>1367112</v>
      </c>
      <c r="J254" s="104">
        <v>3056</v>
      </c>
      <c r="K254" s="104">
        <v>1370168</v>
      </c>
      <c r="L254" s="104">
        <v>99.78</v>
      </c>
      <c r="M254" s="71">
        <f t="shared" si="85"/>
        <v>1.3701680000000001</v>
      </c>
      <c r="O254" s="215">
        <v>45140</v>
      </c>
      <c r="P254" s="104">
        <v>480198</v>
      </c>
      <c r="Q254" s="104">
        <v>1620</v>
      </c>
      <c r="R254" s="104">
        <v>481818</v>
      </c>
      <c r="S254" s="104">
        <v>99.66</v>
      </c>
      <c r="T254" s="71">
        <f t="shared" si="90"/>
        <v>0.48181800000000002</v>
      </c>
      <c r="V254" s="215">
        <v>45140</v>
      </c>
      <c r="W254" s="104">
        <v>923206</v>
      </c>
      <c r="X254" s="104">
        <v>158</v>
      </c>
      <c r="Y254" s="104">
        <v>923364</v>
      </c>
      <c r="Z254" s="104">
        <v>99.98</v>
      </c>
      <c r="AA254" s="71">
        <f t="shared" si="78"/>
        <v>0.92336399999999996</v>
      </c>
      <c r="AC254" s="215">
        <v>45140</v>
      </c>
      <c r="AD254" s="104">
        <v>923206</v>
      </c>
      <c r="AE254" s="104">
        <v>158</v>
      </c>
      <c r="AF254" s="104">
        <v>923364</v>
      </c>
      <c r="AG254" s="104">
        <v>99.98</v>
      </c>
      <c r="AH254" s="71">
        <f t="shared" si="82"/>
        <v>0.92336399999999996</v>
      </c>
      <c r="AJ254" s="215">
        <v>45140</v>
      </c>
      <c r="AK254" s="48">
        <v>250</v>
      </c>
      <c r="AL254" s="48">
        <v>0</v>
      </c>
      <c r="AM254" s="48">
        <v>250</v>
      </c>
      <c r="AN254" s="48">
        <v>100</v>
      </c>
      <c r="AO254" s="247"/>
      <c r="AQ254" s="215">
        <v>45140</v>
      </c>
      <c r="AR254" s="104">
        <v>2526</v>
      </c>
      <c r="AS254" s="104">
        <v>2</v>
      </c>
      <c r="AT254" s="104">
        <v>2528</v>
      </c>
      <c r="AU254" s="104">
        <v>99.92</v>
      </c>
      <c r="AV254" s="247"/>
      <c r="AX254" s="215">
        <v>45140</v>
      </c>
      <c r="AY254" s="104">
        <v>1278</v>
      </c>
      <c r="AZ254" s="104">
        <v>38</v>
      </c>
      <c r="BA254" s="104">
        <v>1316</v>
      </c>
      <c r="BB254" s="104">
        <v>97.11</v>
      </c>
      <c r="BC254" s="247"/>
      <c r="BE254" s="215">
        <v>45140</v>
      </c>
      <c r="BF254" s="104">
        <v>11276</v>
      </c>
      <c r="BG254" s="104">
        <v>94</v>
      </c>
      <c r="BH254" s="104">
        <v>11370</v>
      </c>
      <c r="BI254" s="104">
        <v>99.17</v>
      </c>
      <c r="BJ254" s="71">
        <f t="shared" si="83"/>
        <v>1.137E-2</v>
      </c>
      <c r="BL254" s="215">
        <v>45140</v>
      </c>
      <c r="BM254" s="104">
        <v>4952</v>
      </c>
      <c r="BN254" s="104">
        <v>0</v>
      </c>
      <c r="BO254" s="104">
        <v>4952</v>
      </c>
      <c r="BP254" s="104">
        <v>100</v>
      </c>
      <c r="BQ254" s="1"/>
      <c r="BS254" s="48"/>
      <c r="BT254" s="48"/>
      <c r="BU254" s="48"/>
      <c r="BV254" s="48"/>
      <c r="BW254" s="48"/>
      <c r="BZ254" s="1"/>
      <c r="CA254" s="1"/>
      <c r="CB254" s="1"/>
      <c r="CC254" s="1"/>
      <c r="CE254" s="215">
        <v>45140</v>
      </c>
      <c r="CF254" s="1">
        <v>10548152</v>
      </c>
      <c r="CG254" s="1">
        <v>24588</v>
      </c>
      <c r="CH254" s="1">
        <v>10572740</v>
      </c>
      <c r="CI254" s="46">
        <f t="shared" si="88"/>
        <v>99.767439660863701</v>
      </c>
      <c r="CJ254" s="71">
        <f t="shared" ref="CJ254:CJ285" si="91">CH254/1000000</f>
        <v>10.57274</v>
      </c>
      <c r="CL254" s="140">
        <v>45001</v>
      </c>
      <c r="CM254" s="252" t="s">
        <v>240</v>
      </c>
      <c r="CN254">
        <v>2834</v>
      </c>
      <c r="CO254">
        <v>516</v>
      </c>
    </row>
    <row r="255" spans="1:93" hidden="1" x14ac:dyDescent="0.25">
      <c r="A255" s="215">
        <v>45141</v>
      </c>
      <c r="B255" s="104">
        <v>5381266</v>
      </c>
      <c r="C255" s="104">
        <v>15820</v>
      </c>
      <c r="D255" s="104">
        <v>5397086</v>
      </c>
      <c r="E255" s="104">
        <v>99.71</v>
      </c>
      <c r="F255" s="71">
        <f t="shared" si="84"/>
        <v>5.3970859999999998</v>
      </c>
      <c r="H255" s="215">
        <v>45141</v>
      </c>
      <c r="I255" s="104">
        <v>1455816</v>
      </c>
      <c r="J255" s="104">
        <v>2268</v>
      </c>
      <c r="K255" s="104">
        <v>1458084</v>
      </c>
      <c r="L255" s="104">
        <v>99.84</v>
      </c>
      <c r="M255" s="71">
        <f t="shared" si="85"/>
        <v>1.4580839999999999</v>
      </c>
      <c r="O255" s="215">
        <v>45141</v>
      </c>
      <c r="P255" s="104">
        <v>488668</v>
      </c>
      <c r="Q255" s="104">
        <v>1892</v>
      </c>
      <c r="R255" s="104">
        <v>490560</v>
      </c>
      <c r="S255" s="104">
        <v>99.61</v>
      </c>
      <c r="T255" s="71">
        <f t="shared" si="90"/>
        <v>0.49056</v>
      </c>
      <c r="V255" s="215">
        <v>45141</v>
      </c>
      <c r="W255" s="104">
        <v>949620</v>
      </c>
      <c r="X255" s="104">
        <v>788</v>
      </c>
      <c r="Y255" s="104">
        <v>950408</v>
      </c>
      <c r="Z255" s="104">
        <v>99.92</v>
      </c>
      <c r="AA255" s="71">
        <f t="shared" ref="AA255:AA324" si="92">Y255/1000000</f>
        <v>0.95040800000000003</v>
      </c>
      <c r="AC255" s="215">
        <v>45141</v>
      </c>
      <c r="AD255" s="104">
        <v>745474</v>
      </c>
      <c r="AE255" s="104">
        <v>1118</v>
      </c>
      <c r="AF255" s="104">
        <v>746592</v>
      </c>
      <c r="AG255" s="104">
        <v>99.85</v>
      </c>
      <c r="AH255" s="71">
        <f t="shared" si="82"/>
        <v>0.74659200000000003</v>
      </c>
      <c r="AJ255" s="215">
        <v>45141</v>
      </c>
      <c r="AK255" s="48">
        <v>168</v>
      </c>
      <c r="AL255" s="48">
        <v>0</v>
      </c>
      <c r="AM255" s="48">
        <v>168</v>
      </c>
      <c r="AN255" s="48">
        <v>100</v>
      </c>
      <c r="AO255" s="247"/>
      <c r="AQ255" s="215">
        <v>45141</v>
      </c>
      <c r="AR255" s="104">
        <v>2464</v>
      </c>
      <c r="AS255" s="104">
        <v>4</v>
      </c>
      <c r="AT255" s="104">
        <v>2468</v>
      </c>
      <c r="AU255" s="104">
        <v>99.84</v>
      </c>
      <c r="AV255" s="247"/>
      <c r="AX255" s="215">
        <v>45141</v>
      </c>
      <c r="AY255" s="104">
        <v>1120</v>
      </c>
      <c r="AZ255" s="104">
        <v>28</v>
      </c>
      <c r="BA255" s="104">
        <v>1148</v>
      </c>
      <c r="BB255" s="104">
        <v>97.56</v>
      </c>
      <c r="BC255" s="247"/>
      <c r="BE255" s="215">
        <v>45141</v>
      </c>
      <c r="BF255" s="104">
        <v>10410</v>
      </c>
      <c r="BG255" s="104">
        <v>124</v>
      </c>
      <c r="BH255" s="104">
        <v>10534</v>
      </c>
      <c r="BI255" s="104">
        <v>98.82</v>
      </c>
      <c r="BJ255" s="71">
        <f t="shared" si="83"/>
        <v>1.0534E-2</v>
      </c>
      <c r="BL255" s="215">
        <v>45141</v>
      </c>
      <c r="BM255" s="104">
        <v>4824</v>
      </c>
      <c r="BN255" s="104">
        <v>0</v>
      </c>
      <c r="BO255" s="104">
        <v>4824</v>
      </c>
      <c r="BP255" s="104">
        <v>100</v>
      </c>
      <c r="BQ255" s="1"/>
      <c r="BS255" s="48"/>
      <c r="BT255" s="48"/>
      <c r="BU255" s="48"/>
      <c r="BV255" s="48"/>
      <c r="BW255" s="48"/>
      <c r="BZ255" s="1"/>
      <c r="CA255" s="1"/>
      <c r="CB255" s="1"/>
      <c r="CC255" s="1"/>
      <c r="CE255" s="215">
        <v>45141</v>
      </c>
      <c r="CF255" s="1">
        <v>10410796</v>
      </c>
      <c r="CG255" s="1">
        <v>39822</v>
      </c>
      <c r="CH255" s="1">
        <v>10450618</v>
      </c>
      <c r="CI255" s="46">
        <f t="shared" si="88"/>
        <v>99.618950764442843</v>
      </c>
      <c r="CJ255" s="71">
        <f t="shared" si="91"/>
        <v>10.450618</v>
      </c>
      <c r="CL255" s="140">
        <v>45001</v>
      </c>
      <c r="CM255" s="252" t="s">
        <v>247</v>
      </c>
      <c r="CN255">
        <v>1164</v>
      </c>
      <c r="CO255">
        <v>527</v>
      </c>
    </row>
    <row r="256" spans="1:93" hidden="1" x14ac:dyDescent="0.25">
      <c r="A256" s="215">
        <v>45142</v>
      </c>
      <c r="B256" s="104">
        <v>5668946</v>
      </c>
      <c r="C256" s="104">
        <v>1940</v>
      </c>
      <c r="D256" s="104">
        <v>5670886</v>
      </c>
      <c r="E256" s="104">
        <v>99.97</v>
      </c>
      <c r="F256" s="71">
        <f t="shared" si="84"/>
        <v>5.6708860000000003</v>
      </c>
      <c r="H256" s="215">
        <v>45142</v>
      </c>
      <c r="I256" s="104">
        <v>1715132</v>
      </c>
      <c r="J256" s="104">
        <v>4640</v>
      </c>
      <c r="K256" s="104">
        <v>1719772</v>
      </c>
      <c r="L256" s="104">
        <v>99.73</v>
      </c>
      <c r="M256" s="71">
        <f t="shared" si="85"/>
        <v>1.7197720000000001</v>
      </c>
      <c r="O256" s="215">
        <v>45142</v>
      </c>
      <c r="P256" s="104">
        <v>484278</v>
      </c>
      <c r="Q256" s="104">
        <v>2230</v>
      </c>
      <c r="R256" s="104">
        <v>486508</v>
      </c>
      <c r="S256" s="104">
        <v>99.54</v>
      </c>
      <c r="T256" s="71">
        <f t="shared" si="90"/>
        <v>0.486508</v>
      </c>
      <c r="V256" s="215">
        <v>45142</v>
      </c>
      <c r="W256" s="104">
        <v>1021346</v>
      </c>
      <c r="X256" s="104">
        <v>184</v>
      </c>
      <c r="Y256" s="104">
        <v>1021530</v>
      </c>
      <c r="Z256" s="104">
        <v>99.98</v>
      </c>
      <c r="AA256" s="71">
        <f t="shared" si="92"/>
        <v>1.02153</v>
      </c>
      <c r="AC256" s="215">
        <v>45142</v>
      </c>
      <c r="AD256" s="104">
        <v>762400</v>
      </c>
      <c r="AE256" s="104">
        <v>198</v>
      </c>
      <c r="AF256" s="104">
        <v>762598</v>
      </c>
      <c r="AG256" s="104">
        <v>99.97</v>
      </c>
      <c r="AH256" s="71">
        <f t="shared" si="82"/>
        <v>0.762598</v>
      </c>
      <c r="AJ256" s="215">
        <v>45142</v>
      </c>
      <c r="AK256" s="48">
        <v>118</v>
      </c>
      <c r="AL256" s="48">
        <v>0</v>
      </c>
      <c r="AM256" s="48">
        <v>118</v>
      </c>
      <c r="AN256" s="48">
        <v>100</v>
      </c>
      <c r="AO256" s="247"/>
      <c r="AQ256" s="215">
        <v>45142</v>
      </c>
      <c r="AR256" s="104">
        <v>2814</v>
      </c>
      <c r="AS256" s="104">
        <v>2</v>
      </c>
      <c r="AT256" s="104">
        <v>2816</v>
      </c>
      <c r="AU256" s="104">
        <v>99.93</v>
      </c>
      <c r="AV256" s="247"/>
      <c r="AX256" s="215">
        <v>45142</v>
      </c>
      <c r="AY256" s="104">
        <v>1642</v>
      </c>
      <c r="AZ256" s="104">
        <v>30</v>
      </c>
      <c r="BA256" s="104">
        <v>1672</v>
      </c>
      <c r="BB256" s="104">
        <v>98.21</v>
      </c>
      <c r="BC256" s="247"/>
      <c r="BE256" s="215">
        <v>45142</v>
      </c>
      <c r="BF256" s="104">
        <v>9244</v>
      </c>
      <c r="BG256" s="104">
        <v>112</v>
      </c>
      <c r="BH256" s="104">
        <v>9356</v>
      </c>
      <c r="BI256" s="104">
        <v>98.8</v>
      </c>
      <c r="BJ256" s="71">
        <f t="shared" si="83"/>
        <v>9.3559999999999997E-3</v>
      </c>
      <c r="BL256" s="215">
        <v>45142</v>
      </c>
      <c r="BM256" s="104">
        <v>4098</v>
      </c>
      <c r="BN256" s="104">
        <v>0</v>
      </c>
      <c r="BO256" s="104">
        <v>4098</v>
      </c>
      <c r="BP256" s="104">
        <v>100</v>
      </c>
      <c r="BQ256" s="1"/>
      <c r="BS256" s="48"/>
      <c r="BT256" s="48"/>
      <c r="BU256" s="48"/>
      <c r="BV256" s="48"/>
      <c r="BW256" s="48"/>
      <c r="BZ256" s="1"/>
      <c r="CA256" s="1"/>
      <c r="CB256" s="1"/>
      <c r="CC256" s="1"/>
      <c r="CE256" s="215">
        <v>45142</v>
      </c>
      <c r="CF256" s="1">
        <v>11084774</v>
      </c>
      <c r="CG256" s="1">
        <v>20146</v>
      </c>
      <c r="CH256" s="1">
        <v>11104920</v>
      </c>
      <c r="CI256" s="46">
        <f t="shared" si="88"/>
        <v>99.818584915514933</v>
      </c>
      <c r="CJ256" s="71">
        <f t="shared" si="91"/>
        <v>11.10492</v>
      </c>
      <c r="CL256" s="140">
        <v>45001</v>
      </c>
      <c r="CM256" s="252" t="s">
        <v>244</v>
      </c>
      <c r="CN256">
        <v>596</v>
      </c>
      <c r="CO256">
        <v>513</v>
      </c>
    </row>
    <row r="257" spans="1:93" hidden="1" x14ac:dyDescent="0.25">
      <c r="A257" s="215">
        <v>45143</v>
      </c>
      <c r="B257" s="104">
        <v>5303456</v>
      </c>
      <c r="C257" s="104">
        <v>1638</v>
      </c>
      <c r="D257" s="104">
        <v>5305094</v>
      </c>
      <c r="E257" s="104">
        <v>99.97</v>
      </c>
      <c r="F257" s="71">
        <f t="shared" si="84"/>
        <v>5.3050940000000004</v>
      </c>
      <c r="H257" s="215">
        <v>45143</v>
      </c>
      <c r="I257" s="104">
        <v>1439860</v>
      </c>
      <c r="J257" s="104">
        <v>1880</v>
      </c>
      <c r="K257" s="104">
        <v>1441740</v>
      </c>
      <c r="L257" s="104">
        <v>99.87</v>
      </c>
      <c r="M257" s="71">
        <f t="shared" si="85"/>
        <v>1.44174</v>
      </c>
      <c r="O257" s="215">
        <v>45143</v>
      </c>
      <c r="P257" s="104">
        <v>456534</v>
      </c>
      <c r="Q257" s="104">
        <v>2158</v>
      </c>
      <c r="R257" s="104">
        <v>458692</v>
      </c>
      <c r="S257" s="104">
        <v>99.53</v>
      </c>
      <c r="T257" s="71">
        <f t="shared" si="90"/>
        <v>0.45869199999999999</v>
      </c>
      <c r="V257" s="215">
        <v>45143</v>
      </c>
      <c r="W257" s="104">
        <v>979728</v>
      </c>
      <c r="X257" s="104">
        <v>162</v>
      </c>
      <c r="Y257" s="104">
        <v>979890</v>
      </c>
      <c r="Z257" s="104">
        <v>99.98</v>
      </c>
      <c r="AA257" s="71">
        <f t="shared" si="92"/>
        <v>0.97989000000000004</v>
      </c>
      <c r="AC257" s="215">
        <v>45143</v>
      </c>
      <c r="AD257" s="104">
        <v>781250</v>
      </c>
      <c r="AE257" s="104">
        <v>132</v>
      </c>
      <c r="AF257" s="104">
        <v>781382</v>
      </c>
      <c r="AG257" s="104">
        <v>99.98</v>
      </c>
      <c r="AH257" s="71">
        <f t="shared" si="82"/>
        <v>0.78138200000000002</v>
      </c>
      <c r="AJ257" s="215">
        <v>45143</v>
      </c>
      <c r="AK257" s="48">
        <v>160</v>
      </c>
      <c r="AL257" s="48">
        <v>0</v>
      </c>
      <c r="AM257" s="48">
        <v>160</v>
      </c>
      <c r="AN257" s="48">
        <v>100</v>
      </c>
      <c r="AO257" s="247"/>
      <c r="AQ257" s="215">
        <v>45143</v>
      </c>
      <c r="AR257" s="104">
        <v>2008</v>
      </c>
      <c r="AS257" s="104">
        <v>0</v>
      </c>
      <c r="AT257" s="104">
        <v>2008</v>
      </c>
      <c r="AU257" s="104">
        <v>100</v>
      </c>
      <c r="AV257" s="247"/>
      <c r="AX257" s="215">
        <v>45143</v>
      </c>
      <c r="AY257" s="104">
        <v>874</v>
      </c>
      <c r="AZ257" s="104">
        <v>24</v>
      </c>
      <c r="BA257" s="104">
        <v>898</v>
      </c>
      <c r="BB257" s="104">
        <v>97.33</v>
      </c>
      <c r="BC257" s="247"/>
      <c r="BE257" s="215">
        <v>45143</v>
      </c>
      <c r="BF257" s="104">
        <v>7794</v>
      </c>
      <c r="BG257" s="104">
        <v>64</v>
      </c>
      <c r="BH257" s="104">
        <v>7858</v>
      </c>
      <c r="BI257" s="104">
        <v>99.19</v>
      </c>
      <c r="BJ257" s="71">
        <f t="shared" si="83"/>
        <v>7.8580000000000004E-3</v>
      </c>
      <c r="BL257" s="215">
        <v>45143</v>
      </c>
      <c r="BM257" s="104">
        <v>6828</v>
      </c>
      <c r="BN257" s="104">
        <v>0</v>
      </c>
      <c r="BO257" s="104">
        <v>6828</v>
      </c>
      <c r="BP257" s="104">
        <v>100</v>
      </c>
      <c r="BQ257" s="1"/>
      <c r="BS257" s="48"/>
      <c r="BT257" s="48"/>
      <c r="BU257" s="48"/>
      <c r="BV257" s="48"/>
      <c r="BW257" s="48"/>
      <c r="BZ257" s="1"/>
      <c r="CA257" s="1"/>
      <c r="CB257" s="1"/>
      <c r="CC257" s="1"/>
      <c r="CE257" s="215">
        <v>45143</v>
      </c>
      <c r="CF257" s="1">
        <v>10302030</v>
      </c>
      <c r="CG257" s="1">
        <v>14276</v>
      </c>
      <c r="CH257" s="1">
        <v>10316306</v>
      </c>
      <c r="CI257" s="46">
        <f t="shared" si="88"/>
        <v>99.861617133109476</v>
      </c>
      <c r="CJ257" s="71">
        <f t="shared" si="91"/>
        <v>10.316306000000001</v>
      </c>
      <c r="CL257" s="140">
        <v>45001</v>
      </c>
      <c r="CM257" s="252" t="s">
        <v>243</v>
      </c>
      <c r="CN257">
        <v>368</v>
      </c>
      <c r="CO257">
        <v>540</v>
      </c>
    </row>
    <row r="258" spans="1:93" hidden="1" x14ac:dyDescent="0.25">
      <c r="A258" s="215">
        <v>45144</v>
      </c>
      <c r="B258" s="104">
        <v>4550769</v>
      </c>
      <c r="C258" s="104">
        <v>1614</v>
      </c>
      <c r="D258" s="104">
        <v>4552383</v>
      </c>
      <c r="E258" s="104">
        <v>99.96</v>
      </c>
      <c r="F258" s="71">
        <f t="shared" si="84"/>
        <v>4.5523829999999998</v>
      </c>
      <c r="H258" s="215">
        <v>45144</v>
      </c>
      <c r="I258" s="104">
        <v>1412522</v>
      </c>
      <c r="J258" s="104">
        <v>1792</v>
      </c>
      <c r="K258" s="104">
        <v>1414314</v>
      </c>
      <c r="L258" s="104">
        <v>99.87</v>
      </c>
      <c r="M258" s="71">
        <f t="shared" si="85"/>
        <v>1.4143140000000001</v>
      </c>
      <c r="O258" s="215">
        <v>45144</v>
      </c>
      <c r="P258" s="104">
        <v>483040</v>
      </c>
      <c r="Q258" s="104">
        <v>2138</v>
      </c>
      <c r="R258" s="104">
        <v>485178</v>
      </c>
      <c r="S258" s="104">
        <v>99.56</v>
      </c>
      <c r="T258" s="71">
        <f t="shared" si="90"/>
        <v>0.485178</v>
      </c>
      <c r="V258" s="215">
        <v>45144</v>
      </c>
      <c r="W258" s="104">
        <v>945839</v>
      </c>
      <c r="X258" s="104">
        <v>156</v>
      </c>
      <c r="Y258" s="104">
        <v>945995</v>
      </c>
      <c r="Z258" s="104">
        <v>99.98</v>
      </c>
      <c r="AA258" s="71">
        <f t="shared" si="92"/>
        <v>0.94599500000000003</v>
      </c>
      <c r="AC258" s="215">
        <v>45144</v>
      </c>
      <c r="AD258" s="104">
        <v>781519</v>
      </c>
      <c r="AE258" s="104">
        <v>85</v>
      </c>
      <c r="AF258" s="104">
        <v>781604</v>
      </c>
      <c r="AG258" s="104">
        <v>99.99</v>
      </c>
      <c r="AH258" s="71">
        <f t="shared" ref="AH258:AH326" si="93">AF258/1000000</f>
        <v>0.78160399999999997</v>
      </c>
      <c r="AJ258" s="215">
        <v>45144</v>
      </c>
      <c r="AK258" s="48">
        <v>273</v>
      </c>
      <c r="AL258" s="48">
        <v>0</v>
      </c>
      <c r="AM258" s="48">
        <v>273</v>
      </c>
      <c r="AN258" s="48">
        <v>100</v>
      </c>
      <c r="AO258" s="247"/>
      <c r="AQ258" s="215">
        <v>45144</v>
      </c>
      <c r="AR258" s="104">
        <v>1156</v>
      </c>
      <c r="AS258" s="104">
        <v>10</v>
      </c>
      <c r="AT258" s="104">
        <v>1166</v>
      </c>
      <c r="AU258" s="104">
        <v>99.14</v>
      </c>
      <c r="AV258" s="247"/>
      <c r="AX258" s="215">
        <v>45144</v>
      </c>
      <c r="AY258" s="104">
        <v>0</v>
      </c>
      <c r="AZ258" s="104">
        <v>109</v>
      </c>
      <c r="BA258" s="104">
        <v>109</v>
      </c>
      <c r="BB258" s="104">
        <v>0</v>
      </c>
      <c r="BC258" s="247"/>
      <c r="BE258" s="215">
        <v>45144</v>
      </c>
      <c r="BF258" s="104">
        <v>8322</v>
      </c>
      <c r="BG258" s="104">
        <v>114</v>
      </c>
      <c r="BH258" s="104">
        <v>8436</v>
      </c>
      <c r="BI258" s="104">
        <v>98.65</v>
      </c>
      <c r="BJ258" s="71">
        <f t="shared" ref="BJ258:BJ265" si="94">BH258/1000000</f>
        <v>8.4360000000000008E-3</v>
      </c>
      <c r="BL258" s="215">
        <v>45144</v>
      </c>
      <c r="BM258" s="104">
        <v>5144</v>
      </c>
      <c r="BN258" s="104">
        <v>0</v>
      </c>
      <c r="BO258" s="104">
        <v>5144</v>
      </c>
      <c r="BP258" s="104">
        <v>100</v>
      </c>
      <c r="BQ258" s="1"/>
      <c r="BS258" s="48"/>
      <c r="BT258" s="48"/>
      <c r="BU258" s="48"/>
      <c r="BV258" s="48"/>
      <c r="BW258" s="48"/>
      <c r="BZ258" s="1"/>
      <c r="CA258" s="1"/>
      <c r="CB258" s="1"/>
      <c r="CC258" s="1"/>
      <c r="CE258" s="215">
        <v>45144</v>
      </c>
      <c r="CF258" s="1">
        <v>9523248</v>
      </c>
      <c r="CG258" s="1">
        <v>14292</v>
      </c>
      <c r="CH258" s="1">
        <v>9537540</v>
      </c>
      <c r="CI258" s="46">
        <f t="shared" si="88"/>
        <v>99.850150038689222</v>
      </c>
      <c r="CJ258" s="71">
        <f t="shared" si="91"/>
        <v>9.5375399999999999</v>
      </c>
      <c r="CL258" s="140">
        <v>45002</v>
      </c>
      <c r="CM258" s="252" t="s">
        <v>238</v>
      </c>
      <c r="CN258">
        <v>11072</v>
      </c>
      <c r="CO258">
        <v>503</v>
      </c>
    </row>
    <row r="259" spans="1:93" hidden="1" x14ac:dyDescent="0.25">
      <c r="A259" s="215">
        <v>45145</v>
      </c>
      <c r="B259" s="104">
        <v>5260162</v>
      </c>
      <c r="C259" s="104">
        <v>1786</v>
      </c>
      <c r="D259" s="104">
        <v>5261948</v>
      </c>
      <c r="E259" s="104">
        <v>99.97</v>
      </c>
      <c r="F259" s="71">
        <f t="shared" si="84"/>
        <v>5.2619480000000003</v>
      </c>
      <c r="H259" s="215">
        <v>45145</v>
      </c>
      <c r="I259" s="104">
        <v>1549522</v>
      </c>
      <c r="J259" s="104">
        <v>1866</v>
      </c>
      <c r="K259" s="104">
        <v>1551388</v>
      </c>
      <c r="L259" s="104">
        <v>99.88</v>
      </c>
      <c r="M259" s="71">
        <f t="shared" si="85"/>
        <v>1.551388</v>
      </c>
      <c r="O259" s="215">
        <v>45145</v>
      </c>
      <c r="P259" s="104">
        <v>495944</v>
      </c>
      <c r="Q259" s="104">
        <v>2156</v>
      </c>
      <c r="R259" s="104">
        <v>498100</v>
      </c>
      <c r="S259" s="104">
        <v>99.57</v>
      </c>
      <c r="T259" s="71">
        <f t="shared" si="90"/>
        <v>0.49809999999999999</v>
      </c>
      <c r="V259" s="215">
        <v>45145</v>
      </c>
      <c r="W259" s="104">
        <v>1072022</v>
      </c>
      <c r="X259" s="104">
        <v>200</v>
      </c>
      <c r="Y259" s="104">
        <v>1072222</v>
      </c>
      <c r="Z259" s="104">
        <v>99.98</v>
      </c>
      <c r="AA259" s="71">
        <f t="shared" si="92"/>
        <v>1.072222</v>
      </c>
      <c r="AC259" s="215">
        <v>45145</v>
      </c>
      <c r="AD259" s="104">
        <v>839036</v>
      </c>
      <c r="AE259" s="104">
        <v>178</v>
      </c>
      <c r="AF259" s="104">
        <v>839214</v>
      </c>
      <c r="AG259" s="104">
        <v>99.98</v>
      </c>
      <c r="AH259" s="71">
        <f t="shared" si="93"/>
        <v>0.83921400000000002</v>
      </c>
      <c r="AJ259" s="215">
        <v>45145</v>
      </c>
      <c r="AK259" s="48">
        <v>206</v>
      </c>
      <c r="AL259" s="48">
        <v>0</v>
      </c>
      <c r="AM259" s="48">
        <v>206</v>
      </c>
      <c r="AN259" s="48">
        <v>100</v>
      </c>
      <c r="AO259" s="247"/>
      <c r="AQ259" s="215">
        <v>45145</v>
      </c>
      <c r="AR259" s="104">
        <v>2304</v>
      </c>
      <c r="AS259" s="104">
        <v>4</v>
      </c>
      <c r="AT259" s="104">
        <v>2308</v>
      </c>
      <c r="AU259" s="104">
        <v>99.83</v>
      </c>
      <c r="AV259" s="247"/>
      <c r="AX259" s="215">
        <v>45145</v>
      </c>
      <c r="AY259" s="104">
        <v>588</v>
      </c>
      <c r="AZ259" s="104">
        <v>16</v>
      </c>
      <c r="BA259" s="104">
        <v>604</v>
      </c>
      <c r="BB259" s="104">
        <v>97.35</v>
      </c>
      <c r="BC259" s="247"/>
      <c r="BE259" s="215">
        <v>45145</v>
      </c>
      <c r="BF259" s="104">
        <v>7240</v>
      </c>
      <c r="BG259" s="104">
        <v>92</v>
      </c>
      <c r="BH259" s="104">
        <v>7332</v>
      </c>
      <c r="BI259" s="104">
        <v>98.75</v>
      </c>
      <c r="BJ259" s="71">
        <f t="shared" si="94"/>
        <v>7.332E-3</v>
      </c>
      <c r="BL259" s="215">
        <v>45145</v>
      </c>
      <c r="BM259" s="104">
        <v>6272</v>
      </c>
      <c r="BN259" s="104">
        <v>0</v>
      </c>
      <c r="BO259" s="104">
        <v>6272</v>
      </c>
      <c r="BP259" s="104">
        <v>100</v>
      </c>
      <c r="BQ259" s="1"/>
      <c r="BS259" s="48"/>
      <c r="BT259" s="48"/>
      <c r="BU259" s="48"/>
      <c r="BV259" s="48"/>
      <c r="BW259" s="48"/>
      <c r="BZ259" s="1"/>
      <c r="CA259" s="1"/>
      <c r="CB259" s="1"/>
      <c r="CC259" s="1"/>
      <c r="CE259" s="215">
        <v>45145</v>
      </c>
      <c r="CF259" s="1">
        <v>10667876</v>
      </c>
      <c r="CG259" s="1">
        <v>15550</v>
      </c>
      <c r="CH259" s="1">
        <v>10683426</v>
      </c>
      <c r="CI259" s="46">
        <f t="shared" si="88"/>
        <v>99.854447440362307</v>
      </c>
      <c r="CJ259" s="71">
        <f t="shared" si="91"/>
        <v>10.683426000000001</v>
      </c>
      <c r="CL259" s="140">
        <v>45002</v>
      </c>
      <c r="CM259" s="252" t="s">
        <v>240</v>
      </c>
      <c r="CN259">
        <v>3204</v>
      </c>
      <c r="CO259">
        <v>516</v>
      </c>
    </row>
    <row r="260" spans="1:93" hidden="1" x14ac:dyDescent="0.25">
      <c r="A260" s="215">
        <v>45146</v>
      </c>
      <c r="B260" s="104">
        <v>5815948</v>
      </c>
      <c r="C260" s="104">
        <v>2336</v>
      </c>
      <c r="D260" s="104">
        <v>5818284</v>
      </c>
      <c r="E260" s="104">
        <v>99.96</v>
      </c>
      <c r="F260" s="71">
        <f t="shared" si="84"/>
        <v>5.8182840000000002</v>
      </c>
      <c r="H260" s="215">
        <v>45146</v>
      </c>
      <c r="I260" s="104">
        <v>1761482</v>
      </c>
      <c r="J260" s="104">
        <v>5831</v>
      </c>
      <c r="K260" s="104">
        <v>1767313</v>
      </c>
      <c r="L260" s="104">
        <v>99.67</v>
      </c>
      <c r="M260" s="71">
        <f t="shared" si="85"/>
        <v>1.7673129999999999</v>
      </c>
      <c r="O260" s="215">
        <v>45146</v>
      </c>
      <c r="P260" s="104">
        <v>488970</v>
      </c>
      <c r="Q260" s="104">
        <v>2804</v>
      </c>
      <c r="R260" s="104">
        <v>491774</v>
      </c>
      <c r="S260" s="104">
        <v>99.43</v>
      </c>
      <c r="T260" s="71">
        <f t="shared" si="90"/>
        <v>0.49177399999999999</v>
      </c>
      <c r="V260" s="215">
        <v>45146</v>
      </c>
      <c r="W260" s="104">
        <v>1037486</v>
      </c>
      <c r="X260" s="104">
        <v>164</v>
      </c>
      <c r="Y260" s="104">
        <v>1037650</v>
      </c>
      <c r="Z260" s="104">
        <v>99.98</v>
      </c>
      <c r="AA260" s="71">
        <f t="shared" si="92"/>
        <v>1.03765</v>
      </c>
      <c r="AC260" s="215">
        <v>45146</v>
      </c>
      <c r="AD260" s="104">
        <v>736464</v>
      </c>
      <c r="AE260" s="104">
        <v>233</v>
      </c>
      <c r="AF260" s="104">
        <v>736697</v>
      </c>
      <c r="AG260" s="104">
        <v>99.97</v>
      </c>
      <c r="AH260" s="71">
        <f t="shared" si="93"/>
        <v>0.73669700000000005</v>
      </c>
      <c r="AJ260" s="215">
        <v>45146</v>
      </c>
      <c r="AK260" s="48">
        <v>140</v>
      </c>
      <c r="AL260" s="48">
        <v>0</v>
      </c>
      <c r="AM260" s="48">
        <v>140</v>
      </c>
      <c r="AN260" s="48">
        <v>100</v>
      </c>
      <c r="AO260" s="247"/>
      <c r="AQ260" s="215">
        <v>45146</v>
      </c>
      <c r="AR260" s="104">
        <v>2274</v>
      </c>
      <c r="AS260" s="104">
        <v>6</v>
      </c>
      <c r="AT260" s="104">
        <v>2280</v>
      </c>
      <c r="AU260" s="104">
        <v>99.74</v>
      </c>
      <c r="AV260" s="247"/>
      <c r="AX260" s="215">
        <v>45146</v>
      </c>
      <c r="AY260" s="104">
        <v>1588</v>
      </c>
      <c r="AZ260" s="104">
        <v>12</v>
      </c>
      <c r="BA260" s="104">
        <v>1600</v>
      </c>
      <c r="BB260" s="104">
        <v>99.25</v>
      </c>
      <c r="BC260" s="247"/>
      <c r="BE260" s="215">
        <v>45146</v>
      </c>
      <c r="BF260" s="104">
        <v>36564</v>
      </c>
      <c r="BG260" s="104">
        <v>3471</v>
      </c>
      <c r="BH260" s="104">
        <v>40035</v>
      </c>
      <c r="BI260" s="104">
        <v>91.33</v>
      </c>
      <c r="BJ260" s="71">
        <f t="shared" si="94"/>
        <v>4.0035000000000001E-2</v>
      </c>
      <c r="BL260" s="215">
        <v>45146</v>
      </c>
      <c r="BM260" s="104">
        <v>3804</v>
      </c>
      <c r="BN260" s="104">
        <v>0</v>
      </c>
      <c r="BO260" s="104">
        <v>3804</v>
      </c>
      <c r="BP260" s="104">
        <v>100</v>
      </c>
      <c r="BQ260" s="1"/>
      <c r="BS260" s="48"/>
      <c r="BT260" s="48"/>
      <c r="BU260" s="48"/>
      <c r="BV260" s="48"/>
      <c r="BW260" s="48"/>
      <c r="BZ260" s="1"/>
      <c r="CA260" s="1"/>
      <c r="CB260" s="1"/>
      <c r="CC260" s="1"/>
      <c r="CE260" s="215">
        <v>45146</v>
      </c>
      <c r="CF260" s="1">
        <v>11351309</v>
      </c>
      <c r="CG260" s="1">
        <v>24976</v>
      </c>
      <c r="CH260" s="1">
        <v>11376285</v>
      </c>
      <c r="CI260" s="46">
        <f t="shared" si="88"/>
        <v>99.780455570513567</v>
      </c>
      <c r="CJ260" s="71">
        <f t="shared" si="91"/>
        <v>11.376284999999999</v>
      </c>
      <c r="CL260" s="140">
        <v>45002</v>
      </c>
      <c r="CM260" s="252" t="s">
        <v>247</v>
      </c>
      <c r="CN260">
        <v>2202</v>
      </c>
      <c r="CO260">
        <v>527</v>
      </c>
    </row>
    <row r="261" spans="1:93" hidden="1" x14ac:dyDescent="0.25">
      <c r="A261" s="215">
        <v>45147</v>
      </c>
      <c r="B261" s="104">
        <v>5193788</v>
      </c>
      <c r="C261" s="104">
        <v>1736</v>
      </c>
      <c r="D261" s="104">
        <v>5195524</v>
      </c>
      <c r="E261" s="104">
        <v>99.97</v>
      </c>
      <c r="F261" s="71">
        <f t="shared" si="84"/>
        <v>5.1955239999999998</v>
      </c>
      <c r="H261" s="215">
        <v>45147</v>
      </c>
      <c r="I261" s="104">
        <v>1377900</v>
      </c>
      <c r="J261" s="104">
        <v>3748</v>
      </c>
      <c r="K261" s="104">
        <v>1381648</v>
      </c>
      <c r="L261" s="104">
        <v>99.73</v>
      </c>
      <c r="M261" s="71">
        <f t="shared" si="85"/>
        <v>1.381648</v>
      </c>
      <c r="O261" s="215">
        <v>45147</v>
      </c>
      <c r="P261" s="104">
        <v>449512</v>
      </c>
      <c r="Q261" s="104">
        <v>1992</v>
      </c>
      <c r="R261" s="104">
        <v>451504</v>
      </c>
      <c r="S261" s="104">
        <v>99.56</v>
      </c>
      <c r="T261" s="71">
        <f t="shared" si="90"/>
        <v>0.45150400000000002</v>
      </c>
      <c r="V261" s="215">
        <v>45147</v>
      </c>
      <c r="W261" s="104">
        <v>941452</v>
      </c>
      <c r="X261" s="104">
        <v>170</v>
      </c>
      <c r="Y261" s="104">
        <v>941622</v>
      </c>
      <c r="Z261" s="104">
        <v>99.98</v>
      </c>
      <c r="AA261" s="71">
        <f t="shared" si="92"/>
        <v>0.94162199999999996</v>
      </c>
      <c r="AC261" s="215">
        <v>45147</v>
      </c>
      <c r="AD261" s="104">
        <v>653338</v>
      </c>
      <c r="AE261" s="104">
        <v>812</v>
      </c>
      <c r="AF261" s="104">
        <v>654150</v>
      </c>
      <c r="AG261" s="104">
        <v>99.88</v>
      </c>
      <c r="AH261" s="71">
        <f t="shared" si="93"/>
        <v>0.65415000000000001</v>
      </c>
      <c r="AJ261" s="215">
        <v>45147</v>
      </c>
      <c r="AK261" s="48">
        <v>142</v>
      </c>
      <c r="AL261" s="48">
        <v>0</v>
      </c>
      <c r="AM261" s="48">
        <v>142</v>
      </c>
      <c r="AN261" s="48">
        <v>100</v>
      </c>
      <c r="AO261" s="247"/>
      <c r="AQ261" s="215">
        <v>45147</v>
      </c>
      <c r="AR261" s="104">
        <v>2724</v>
      </c>
      <c r="AS261" s="104">
        <v>20</v>
      </c>
      <c r="AT261" s="104">
        <v>2744</v>
      </c>
      <c r="AU261" s="104">
        <v>99.27</v>
      </c>
      <c r="AV261" s="247"/>
      <c r="AX261" s="215">
        <v>45147</v>
      </c>
      <c r="AY261" s="104">
        <v>1348</v>
      </c>
      <c r="AZ261" s="104">
        <v>48</v>
      </c>
      <c r="BA261" s="104">
        <v>1396</v>
      </c>
      <c r="BB261" s="104">
        <v>96.56</v>
      </c>
      <c r="BC261" s="247"/>
      <c r="BE261" s="215">
        <v>45147</v>
      </c>
      <c r="BF261" s="104">
        <v>9932</v>
      </c>
      <c r="BG261" s="104">
        <v>182</v>
      </c>
      <c r="BH261" s="104">
        <v>10114</v>
      </c>
      <c r="BI261" s="104">
        <v>98.2</v>
      </c>
      <c r="BJ261" s="71">
        <f t="shared" si="94"/>
        <v>1.0114E-2</v>
      </c>
      <c r="BL261" s="215">
        <v>45147</v>
      </c>
      <c r="BM261" s="104">
        <v>3536</v>
      </c>
      <c r="BN261" s="104">
        <v>0</v>
      </c>
      <c r="BO261" s="104">
        <v>3536</v>
      </c>
      <c r="BP261" s="104">
        <v>100</v>
      </c>
      <c r="BQ261" s="1"/>
      <c r="BS261" s="48"/>
      <c r="BT261" s="48"/>
      <c r="BU261" s="48"/>
      <c r="BV261" s="48"/>
      <c r="BW261" s="48"/>
      <c r="BZ261" s="1"/>
      <c r="CA261" s="1"/>
      <c r="CB261" s="1"/>
      <c r="CC261" s="1"/>
      <c r="CE261" s="215">
        <v>45147</v>
      </c>
      <c r="CF261" s="1">
        <v>10008836</v>
      </c>
      <c r="CG261" s="1">
        <v>17466</v>
      </c>
      <c r="CH261" s="1">
        <v>10026302</v>
      </c>
      <c r="CI261" s="46">
        <f t="shared" si="88"/>
        <v>99.8257981856122</v>
      </c>
      <c r="CJ261" s="71">
        <f t="shared" si="91"/>
        <v>10.026301999999999</v>
      </c>
      <c r="CL261" s="140">
        <v>45002</v>
      </c>
      <c r="CM261" s="252" t="s">
        <v>244</v>
      </c>
      <c r="CN261">
        <v>544</v>
      </c>
      <c r="CO261">
        <v>513</v>
      </c>
    </row>
    <row r="262" spans="1:93" hidden="1" x14ac:dyDescent="0.25">
      <c r="A262" s="215">
        <v>45148</v>
      </c>
      <c r="B262" s="104">
        <v>5213120</v>
      </c>
      <c r="C262" s="104">
        <v>2704</v>
      </c>
      <c r="D262" s="104">
        <v>5215824</v>
      </c>
      <c r="E262" s="104">
        <v>99.95</v>
      </c>
      <c r="F262" s="71">
        <f t="shared" si="84"/>
        <v>5.2158239999999996</v>
      </c>
      <c r="H262" s="215">
        <v>45148</v>
      </c>
      <c r="I262" s="104">
        <v>1462272</v>
      </c>
      <c r="J262" s="104">
        <v>2780</v>
      </c>
      <c r="K262" s="104">
        <v>1465052</v>
      </c>
      <c r="L262" s="104">
        <v>99.81</v>
      </c>
      <c r="M262" s="71">
        <f t="shared" si="85"/>
        <v>1.465052</v>
      </c>
      <c r="O262" s="215">
        <v>45148</v>
      </c>
      <c r="P262" s="104">
        <v>465294</v>
      </c>
      <c r="Q262" s="104">
        <v>2180</v>
      </c>
      <c r="R262" s="104">
        <v>467474</v>
      </c>
      <c r="S262" s="104">
        <v>99.53</v>
      </c>
      <c r="T262" s="71">
        <f t="shared" si="90"/>
        <v>0.467474</v>
      </c>
      <c r="V262" s="215">
        <v>45148</v>
      </c>
      <c r="W262" s="104">
        <v>981160</v>
      </c>
      <c r="X262" s="104">
        <v>158</v>
      </c>
      <c r="Y262" s="104">
        <v>981318</v>
      </c>
      <c r="Z262" s="104">
        <v>99.98</v>
      </c>
      <c r="AA262" s="71">
        <f t="shared" si="92"/>
        <v>0.98131800000000002</v>
      </c>
      <c r="AC262" s="215">
        <v>45148</v>
      </c>
      <c r="AD262" s="104">
        <v>811362</v>
      </c>
      <c r="AE262" s="104">
        <v>312</v>
      </c>
      <c r="AF262" s="104">
        <v>811674</v>
      </c>
      <c r="AG262" s="104">
        <v>99.96</v>
      </c>
      <c r="AH262" s="71">
        <f t="shared" si="93"/>
        <v>0.81167400000000001</v>
      </c>
      <c r="AJ262" s="215">
        <v>45148</v>
      </c>
      <c r="AK262" s="48">
        <v>116</v>
      </c>
      <c r="AL262" s="48">
        <v>0</v>
      </c>
      <c r="AM262" s="48">
        <v>116</v>
      </c>
      <c r="AN262" s="48">
        <v>100</v>
      </c>
      <c r="AO262" s="247"/>
      <c r="AQ262" s="215">
        <v>45148</v>
      </c>
      <c r="AR262" s="104">
        <v>15000</v>
      </c>
      <c r="AS262" s="104">
        <v>158</v>
      </c>
      <c r="AT262" s="104">
        <v>15158</v>
      </c>
      <c r="AU262" s="104">
        <v>98.96</v>
      </c>
      <c r="AV262" s="247"/>
      <c r="AX262" s="215">
        <v>45148</v>
      </c>
      <c r="AY262" s="104">
        <v>1490</v>
      </c>
      <c r="AZ262" s="104">
        <v>14</v>
      </c>
      <c r="BA262" s="104">
        <v>1504</v>
      </c>
      <c r="BB262" s="104">
        <v>99.07</v>
      </c>
      <c r="BC262" s="247"/>
      <c r="BE262" s="215">
        <v>45148</v>
      </c>
      <c r="BF262" s="104">
        <v>9020</v>
      </c>
      <c r="BG262" s="104">
        <v>84</v>
      </c>
      <c r="BH262" s="104">
        <v>9104</v>
      </c>
      <c r="BI262" s="104">
        <v>99.08</v>
      </c>
      <c r="BJ262" s="71">
        <f t="shared" si="94"/>
        <v>9.1039999999999992E-3</v>
      </c>
      <c r="BL262" s="215">
        <v>45148</v>
      </c>
      <c r="BM262" s="104">
        <v>5456</v>
      </c>
      <c r="BN262" s="104">
        <v>0</v>
      </c>
      <c r="BO262" s="104">
        <v>5456</v>
      </c>
      <c r="BP262" s="104">
        <v>100</v>
      </c>
      <c r="BQ262" s="1"/>
      <c r="BS262" s="48"/>
      <c r="BT262" s="48"/>
      <c r="BU262" s="48"/>
      <c r="BV262" s="48"/>
      <c r="BW262" s="48"/>
      <c r="BZ262" s="1"/>
      <c r="CA262" s="1"/>
      <c r="CB262" s="1"/>
      <c r="CC262" s="1"/>
      <c r="CE262" s="215">
        <v>45148</v>
      </c>
      <c r="CF262" s="1">
        <v>10419448</v>
      </c>
      <c r="CG262" s="1">
        <v>17634</v>
      </c>
      <c r="CH262" s="1">
        <v>10437082</v>
      </c>
      <c r="CI262" s="46">
        <f t="shared" si="88"/>
        <v>99.831044730701549</v>
      </c>
      <c r="CJ262" s="71">
        <f t="shared" si="91"/>
        <v>10.437082</v>
      </c>
      <c r="CL262" s="140">
        <v>45002</v>
      </c>
      <c r="CM262" s="252" t="s">
        <v>243</v>
      </c>
      <c r="CN262">
        <v>336</v>
      </c>
      <c r="CO262">
        <v>540</v>
      </c>
    </row>
    <row r="263" spans="1:93" hidden="1" x14ac:dyDescent="0.25">
      <c r="A263" s="215">
        <v>45149</v>
      </c>
      <c r="B263" s="104">
        <v>5489364</v>
      </c>
      <c r="C263" s="104">
        <v>6048</v>
      </c>
      <c r="D263" s="104">
        <v>5495412</v>
      </c>
      <c r="E263" s="104">
        <v>99.89</v>
      </c>
      <c r="F263" s="71">
        <f t="shared" si="84"/>
        <v>5.495412</v>
      </c>
      <c r="H263" s="215">
        <v>45149</v>
      </c>
      <c r="I263" s="104">
        <v>1644004</v>
      </c>
      <c r="J263" s="104">
        <v>4700</v>
      </c>
      <c r="K263" s="104">
        <v>1648704</v>
      </c>
      <c r="L263" s="104">
        <v>99.71</v>
      </c>
      <c r="M263" s="71">
        <f t="shared" si="85"/>
        <v>1.6487039999999999</v>
      </c>
      <c r="O263" s="215">
        <v>45149</v>
      </c>
      <c r="P263" s="104">
        <v>466244</v>
      </c>
      <c r="Q263" s="104">
        <v>2244</v>
      </c>
      <c r="R263" s="104">
        <v>468488</v>
      </c>
      <c r="S263" s="104">
        <v>99.52</v>
      </c>
      <c r="T263" s="71">
        <f t="shared" si="90"/>
        <v>0.46848800000000002</v>
      </c>
      <c r="V263" s="215">
        <v>45149</v>
      </c>
      <c r="W263" s="104">
        <v>1044714</v>
      </c>
      <c r="X263" s="104">
        <v>556</v>
      </c>
      <c r="Y263" s="104">
        <v>1045270</v>
      </c>
      <c r="Z263" s="104">
        <v>99.95</v>
      </c>
      <c r="AA263" s="71">
        <f t="shared" si="92"/>
        <v>1.0452699999999999</v>
      </c>
      <c r="AC263" s="215">
        <v>45149</v>
      </c>
      <c r="AD263" s="104">
        <v>737826</v>
      </c>
      <c r="AE263" s="104">
        <v>666</v>
      </c>
      <c r="AF263" s="104">
        <v>738492</v>
      </c>
      <c r="AG263" s="104">
        <v>99.91</v>
      </c>
      <c r="AH263" s="71">
        <f t="shared" si="93"/>
        <v>0.73849200000000004</v>
      </c>
      <c r="AJ263" s="215">
        <v>45149</v>
      </c>
      <c r="AK263" s="48">
        <v>120</v>
      </c>
      <c r="AL263" s="48">
        <v>0</v>
      </c>
      <c r="AM263" s="48">
        <v>120</v>
      </c>
      <c r="AN263" s="48">
        <v>100</v>
      </c>
      <c r="AO263" s="247"/>
      <c r="AQ263" s="215">
        <v>45149</v>
      </c>
      <c r="AR263" s="104">
        <v>4088</v>
      </c>
      <c r="AS263" s="104">
        <v>160</v>
      </c>
      <c r="AT263" s="104">
        <v>4248</v>
      </c>
      <c r="AU263" s="104">
        <v>96.23</v>
      </c>
      <c r="AV263" s="247"/>
      <c r="AX263" s="215">
        <v>45149</v>
      </c>
      <c r="AY263" s="104">
        <v>1062</v>
      </c>
      <c r="AZ263" s="104">
        <v>24</v>
      </c>
      <c r="BA263" s="104">
        <v>1086</v>
      </c>
      <c r="BB263" s="104">
        <v>97.79</v>
      </c>
      <c r="BC263" s="247"/>
      <c r="BE263" s="215">
        <v>45149</v>
      </c>
      <c r="BF263" s="104">
        <v>8626</v>
      </c>
      <c r="BG263" s="104">
        <v>96</v>
      </c>
      <c r="BH263" s="104">
        <v>8722</v>
      </c>
      <c r="BI263" s="104">
        <v>98.9</v>
      </c>
      <c r="BJ263" s="71">
        <f t="shared" si="94"/>
        <v>8.7220000000000006E-3</v>
      </c>
      <c r="BL263" s="215">
        <v>45149</v>
      </c>
      <c r="BM263" s="104">
        <v>2662</v>
      </c>
      <c r="BN263" s="104">
        <v>0</v>
      </c>
      <c r="BO263" s="104">
        <v>2662</v>
      </c>
      <c r="BP263" s="104">
        <v>100</v>
      </c>
      <c r="BQ263" s="1"/>
      <c r="BS263" s="48"/>
      <c r="BT263" s="48"/>
      <c r="BU263" s="48"/>
      <c r="BV263" s="48"/>
      <c r="BW263" s="48"/>
      <c r="BZ263" s="1"/>
      <c r="CA263" s="1"/>
      <c r="CB263" s="1"/>
      <c r="CC263" s="1"/>
      <c r="CE263" s="215">
        <v>45149</v>
      </c>
      <c r="CF263" s="1">
        <v>10887100</v>
      </c>
      <c r="CG263" s="1">
        <v>24390</v>
      </c>
      <c r="CH263" s="1">
        <v>10911490</v>
      </c>
      <c r="CI263" s="46">
        <f t="shared" si="88"/>
        <v>99.776474157058303</v>
      </c>
      <c r="CJ263" s="71">
        <f t="shared" si="91"/>
        <v>10.911490000000001</v>
      </c>
      <c r="CL263" s="140">
        <v>45003</v>
      </c>
    </row>
    <row r="264" spans="1:93" hidden="1" x14ac:dyDescent="0.25">
      <c r="A264" s="215">
        <v>45150</v>
      </c>
      <c r="B264" s="104">
        <v>5128992</v>
      </c>
      <c r="C264" s="104">
        <v>1692</v>
      </c>
      <c r="D264" s="104">
        <v>5130684</v>
      </c>
      <c r="E264" s="104">
        <v>99.97</v>
      </c>
      <c r="F264" s="71">
        <f t="shared" si="84"/>
        <v>5.1306839999999996</v>
      </c>
      <c r="H264" s="215">
        <v>45150</v>
      </c>
      <c r="I264" s="104">
        <v>1383728</v>
      </c>
      <c r="J264" s="104">
        <v>1876</v>
      </c>
      <c r="K264" s="104">
        <v>1385604</v>
      </c>
      <c r="L264" s="104">
        <v>99.86</v>
      </c>
      <c r="M264" s="71">
        <f t="shared" si="85"/>
        <v>1.3856040000000001</v>
      </c>
      <c r="O264" s="215">
        <v>45150</v>
      </c>
      <c r="P264" s="104">
        <v>455626</v>
      </c>
      <c r="Q264" s="104">
        <v>2066</v>
      </c>
      <c r="R264" s="104">
        <v>457692</v>
      </c>
      <c r="S264" s="104">
        <v>99.55</v>
      </c>
      <c r="T264" s="71">
        <f t="shared" si="90"/>
        <v>0.45769199999999999</v>
      </c>
      <c r="V264" s="215">
        <v>45150</v>
      </c>
      <c r="W264" s="104">
        <v>972658</v>
      </c>
      <c r="X264" s="104">
        <v>142</v>
      </c>
      <c r="Y264" s="104">
        <v>972800</v>
      </c>
      <c r="Z264" s="104">
        <v>99.99</v>
      </c>
      <c r="AA264" s="71">
        <f t="shared" si="92"/>
        <v>0.9728</v>
      </c>
      <c r="AC264" s="215">
        <v>45150</v>
      </c>
      <c r="AD264" s="104">
        <v>726258</v>
      </c>
      <c r="AE264" s="104">
        <v>124</v>
      </c>
      <c r="AF264" s="104">
        <v>726382</v>
      </c>
      <c r="AG264" s="104">
        <v>99.98</v>
      </c>
      <c r="AH264" s="71">
        <f t="shared" si="93"/>
        <v>0.72638199999999997</v>
      </c>
      <c r="AJ264" s="215">
        <v>45150</v>
      </c>
      <c r="AK264" s="48">
        <v>168</v>
      </c>
      <c r="AL264" s="48">
        <v>2</v>
      </c>
      <c r="AM264" s="48">
        <v>170</v>
      </c>
      <c r="AN264" s="48">
        <v>98.82</v>
      </c>
      <c r="AO264" s="247"/>
      <c r="AQ264" s="215">
        <v>45150</v>
      </c>
      <c r="AR264" s="104">
        <v>2232</v>
      </c>
      <c r="AS264" s="104">
        <v>96</v>
      </c>
      <c r="AT264" s="104">
        <v>2328</v>
      </c>
      <c r="AU264" s="104">
        <v>95.88</v>
      </c>
      <c r="AV264" s="247"/>
      <c r="AX264" s="215">
        <v>45150</v>
      </c>
      <c r="AY264" s="104">
        <v>858</v>
      </c>
      <c r="AZ264" s="104">
        <v>24</v>
      </c>
      <c r="BA264" s="104">
        <v>882</v>
      </c>
      <c r="BB264" s="104">
        <v>97.28</v>
      </c>
      <c r="BC264" s="247"/>
      <c r="BE264" s="215">
        <v>45150</v>
      </c>
      <c r="BF264" s="104">
        <v>6812</v>
      </c>
      <c r="BG264" s="104">
        <v>54</v>
      </c>
      <c r="BH264" s="104">
        <v>6866</v>
      </c>
      <c r="BI264" s="104">
        <v>99.21</v>
      </c>
      <c r="BJ264" s="71">
        <f t="shared" si="94"/>
        <v>6.8659999999999997E-3</v>
      </c>
      <c r="BL264" s="215">
        <v>45150</v>
      </c>
      <c r="BM264" s="104">
        <v>6184</v>
      </c>
      <c r="BN264" s="104">
        <v>0</v>
      </c>
      <c r="BO264" s="104">
        <v>6184</v>
      </c>
      <c r="BP264" s="104">
        <v>100</v>
      </c>
      <c r="BQ264" s="1"/>
      <c r="BS264" s="48"/>
      <c r="BT264" s="48"/>
      <c r="BU264" s="48"/>
      <c r="BV264" s="48"/>
      <c r="BW264" s="48"/>
      <c r="BZ264" s="1"/>
      <c r="CA264" s="1"/>
      <c r="CB264" s="1"/>
      <c r="CC264" s="1"/>
      <c r="CE264" s="215">
        <v>45150</v>
      </c>
      <c r="CF264" s="1">
        <v>10206486</v>
      </c>
      <c r="CG264" s="1">
        <v>10548</v>
      </c>
      <c r="CH264" s="1">
        <v>10217034</v>
      </c>
      <c r="CI264" s="46">
        <f t="shared" si="88"/>
        <v>99.89676064501694</v>
      </c>
      <c r="CJ264" s="71">
        <f t="shared" si="91"/>
        <v>10.217034</v>
      </c>
      <c r="CL264" s="140">
        <v>45003</v>
      </c>
    </row>
    <row r="265" spans="1:93" hidden="1" x14ac:dyDescent="0.25">
      <c r="A265" s="215">
        <v>45151</v>
      </c>
      <c r="B265" s="104">
        <v>4492549</v>
      </c>
      <c r="C265" s="104">
        <v>1424</v>
      </c>
      <c r="D265" s="104">
        <v>4493973</v>
      </c>
      <c r="E265" s="104">
        <v>99.97</v>
      </c>
      <c r="F265" s="71">
        <f t="shared" si="84"/>
        <v>4.4939730000000004</v>
      </c>
      <c r="H265" s="215">
        <v>45151</v>
      </c>
      <c r="I265" s="104">
        <v>1358114</v>
      </c>
      <c r="J265" s="104">
        <v>2098</v>
      </c>
      <c r="K265" s="104">
        <v>1360212</v>
      </c>
      <c r="L265" s="104">
        <v>99.85</v>
      </c>
      <c r="M265" s="71">
        <f t="shared" si="85"/>
        <v>1.360212</v>
      </c>
      <c r="O265" s="215">
        <v>45151</v>
      </c>
      <c r="P265" s="104">
        <v>457296</v>
      </c>
      <c r="Q265" s="104">
        <v>1940</v>
      </c>
      <c r="R265" s="104">
        <v>459236</v>
      </c>
      <c r="S265" s="104">
        <v>99.58</v>
      </c>
      <c r="T265" s="71">
        <f>R265/1000000</f>
        <v>0.45923599999999998</v>
      </c>
      <c r="V265" s="215">
        <v>45151</v>
      </c>
      <c r="W265" s="104">
        <v>923508</v>
      </c>
      <c r="X265" s="104">
        <v>190</v>
      </c>
      <c r="Y265" s="104">
        <v>923698</v>
      </c>
      <c r="Z265" s="104">
        <v>99.98</v>
      </c>
      <c r="AA265" s="71">
        <f t="shared" si="92"/>
        <v>0.92369800000000002</v>
      </c>
      <c r="AC265" s="215">
        <v>45151</v>
      </c>
      <c r="AD265" s="104">
        <v>672277</v>
      </c>
      <c r="AE265" s="104">
        <v>1715</v>
      </c>
      <c r="AF265" s="104">
        <v>673992</v>
      </c>
      <c r="AG265" s="104">
        <v>99.75</v>
      </c>
      <c r="AH265" s="71">
        <f t="shared" si="93"/>
        <v>0.67399200000000004</v>
      </c>
      <c r="AJ265" s="215">
        <v>45151</v>
      </c>
      <c r="AK265" s="48">
        <v>150</v>
      </c>
      <c r="AL265" s="48">
        <v>4</v>
      </c>
      <c r="AM265" s="48">
        <v>154</v>
      </c>
      <c r="AN265" s="48">
        <v>97.4</v>
      </c>
      <c r="AO265" s="247"/>
      <c r="AQ265" s="215">
        <v>45151</v>
      </c>
      <c r="AR265" s="104">
        <v>2289</v>
      </c>
      <c r="AS265" s="104">
        <v>50</v>
      </c>
      <c r="AT265" s="104">
        <v>2339</v>
      </c>
      <c r="AU265" s="104">
        <v>97.86</v>
      </c>
      <c r="AV265" s="247"/>
      <c r="AX265" s="215">
        <v>45151</v>
      </c>
      <c r="AY265" s="104">
        <v>0</v>
      </c>
      <c r="AZ265" s="104">
        <v>105</v>
      </c>
      <c r="BA265" s="104">
        <v>105</v>
      </c>
      <c r="BB265" s="104">
        <v>0</v>
      </c>
      <c r="BC265" s="247"/>
      <c r="BE265" s="215">
        <v>45151</v>
      </c>
      <c r="BF265" s="104">
        <v>7622</v>
      </c>
      <c r="BG265" s="104">
        <v>74</v>
      </c>
      <c r="BH265" s="104">
        <v>7696</v>
      </c>
      <c r="BI265" s="104">
        <v>99.04</v>
      </c>
      <c r="BJ265" s="71">
        <f t="shared" si="94"/>
        <v>7.6959999999999997E-3</v>
      </c>
      <c r="BL265" s="215">
        <v>45151</v>
      </c>
      <c r="BM265" s="104">
        <v>3471</v>
      </c>
      <c r="BN265" s="104">
        <v>0</v>
      </c>
      <c r="BO265" s="104">
        <v>3471</v>
      </c>
      <c r="BP265" s="104">
        <v>100</v>
      </c>
      <c r="BQ265" s="1"/>
      <c r="BS265" s="48"/>
      <c r="BT265" s="48"/>
      <c r="BU265" s="48"/>
      <c r="BV265" s="48"/>
      <c r="BW265" s="48"/>
      <c r="BZ265" s="1"/>
      <c r="CA265" s="1"/>
      <c r="CB265" s="1"/>
      <c r="CC265" s="1"/>
      <c r="CE265" s="215">
        <v>45151</v>
      </c>
      <c r="CF265" s="1">
        <v>9348773</v>
      </c>
      <c r="CG265" s="1">
        <v>12381</v>
      </c>
      <c r="CH265" s="1">
        <v>9361154</v>
      </c>
      <c r="CI265" s="46">
        <f t="shared" si="88"/>
        <v>99.867740665306869</v>
      </c>
      <c r="CJ265" s="71">
        <f t="shared" si="91"/>
        <v>9.3611540000000009</v>
      </c>
      <c r="CL265" s="140">
        <v>45003</v>
      </c>
    </row>
    <row r="266" spans="1:93" hidden="1" x14ac:dyDescent="0.25">
      <c r="A266" s="215">
        <v>45152</v>
      </c>
      <c r="B266" s="104">
        <v>5445166</v>
      </c>
      <c r="C266" s="104">
        <v>1884</v>
      </c>
      <c r="D266" s="104">
        <v>5447050</v>
      </c>
      <c r="E266" s="104">
        <v>99.97</v>
      </c>
      <c r="F266" s="71">
        <f t="shared" si="84"/>
        <v>5.4470499999999999</v>
      </c>
      <c r="H266" s="215">
        <v>45152</v>
      </c>
      <c r="I266" s="104">
        <v>1481810</v>
      </c>
      <c r="J266" s="104">
        <v>2054</v>
      </c>
      <c r="K266" s="104">
        <v>1483864</v>
      </c>
      <c r="L266" s="104">
        <v>99.86</v>
      </c>
      <c r="M266" s="71">
        <f t="shared" si="85"/>
        <v>1.4838640000000001</v>
      </c>
      <c r="O266" s="215">
        <v>45152</v>
      </c>
      <c r="P266" s="104">
        <v>469484</v>
      </c>
      <c r="Q266" s="104">
        <v>2094</v>
      </c>
      <c r="R266" s="104">
        <v>471578</v>
      </c>
      <c r="S266" s="104">
        <v>99.56</v>
      </c>
      <c r="T266" s="71">
        <f>R266/1000000</f>
        <v>0.471578</v>
      </c>
      <c r="V266" s="215">
        <v>45152</v>
      </c>
      <c r="W266" s="104">
        <v>1043334</v>
      </c>
      <c r="X266" s="104">
        <v>210</v>
      </c>
      <c r="Y266" s="104">
        <v>1043544</v>
      </c>
      <c r="Z266" s="104">
        <v>99.98</v>
      </c>
      <c r="AA266" s="71">
        <f t="shared" si="92"/>
        <v>1.043544</v>
      </c>
      <c r="AC266" s="215">
        <v>45152</v>
      </c>
      <c r="AD266" s="104">
        <v>675524</v>
      </c>
      <c r="AE266" s="104">
        <v>302</v>
      </c>
      <c r="AF266" s="104">
        <v>675826</v>
      </c>
      <c r="AG266" s="104">
        <v>99.96</v>
      </c>
      <c r="AH266" s="71">
        <f t="shared" si="93"/>
        <v>0.67582600000000004</v>
      </c>
      <c r="AJ266" s="215">
        <v>45152</v>
      </c>
      <c r="AK266" s="48">
        <v>140</v>
      </c>
      <c r="AL266" s="48">
        <v>0</v>
      </c>
      <c r="AM266" s="48">
        <v>140</v>
      </c>
      <c r="AN266" s="48">
        <v>100</v>
      </c>
      <c r="AQ266" s="215">
        <v>45152</v>
      </c>
      <c r="AR266" s="104">
        <v>3896</v>
      </c>
      <c r="AS266" s="104">
        <v>104</v>
      </c>
      <c r="AT266" s="104">
        <v>4000</v>
      </c>
      <c r="AU266" s="104">
        <v>97.4</v>
      </c>
      <c r="AX266" s="215">
        <v>45152</v>
      </c>
      <c r="AY266" s="104">
        <v>2144</v>
      </c>
      <c r="AZ266" s="104">
        <v>50</v>
      </c>
      <c r="BA266" s="104">
        <v>2194</v>
      </c>
      <c r="BB266" s="104">
        <v>97.72</v>
      </c>
      <c r="BE266" s="215">
        <v>45152</v>
      </c>
      <c r="BF266" s="104">
        <v>8104</v>
      </c>
      <c r="BG266" s="104">
        <v>88</v>
      </c>
      <c r="BH266" s="104">
        <v>8192</v>
      </c>
      <c r="BI266" s="104">
        <v>98.93</v>
      </c>
      <c r="BL266" s="215">
        <v>45152</v>
      </c>
      <c r="BM266" s="104">
        <v>2910</v>
      </c>
      <c r="BN266" s="104">
        <v>0</v>
      </c>
      <c r="BO266" s="104">
        <v>2910</v>
      </c>
      <c r="BP266" s="104">
        <v>100</v>
      </c>
      <c r="BS266" s="48"/>
      <c r="BT266" s="48"/>
      <c r="BU266" s="48"/>
      <c r="BV266" s="48"/>
      <c r="BW266" s="48"/>
      <c r="BZ266" s="1"/>
      <c r="CA266" s="1"/>
      <c r="CB266" s="1"/>
      <c r="CC266" s="1"/>
      <c r="CE266" s="215">
        <v>45152</v>
      </c>
      <c r="CF266" s="1">
        <v>10669744</v>
      </c>
      <c r="CG266" s="1">
        <v>14676</v>
      </c>
      <c r="CH266" s="1">
        <v>10684420</v>
      </c>
      <c r="CI266" s="46">
        <f t="shared" si="88"/>
        <v>99.862641116691407</v>
      </c>
      <c r="CJ266" s="71">
        <f t="shared" si="91"/>
        <v>10.684419999999999</v>
      </c>
      <c r="CL266" s="140">
        <v>45003</v>
      </c>
    </row>
    <row r="267" spans="1:93" hidden="1" x14ac:dyDescent="0.25">
      <c r="A267" s="215">
        <v>45153</v>
      </c>
      <c r="B267" s="104">
        <v>5133938</v>
      </c>
      <c r="C267" s="104">
        <v>2166</v>
      </c>
      <c r="D267" s="104">
        <v>5136104</v>
      </c>
      <c r="E267" s="104">
        <v>99.96</v>
      </c>
      <c r="F267" s="71">
        <f t="shared" si="84"/>
        <v>5.1361039999999996</v>
      </c>
      <c r="H267" s="215">
        <v>45153</v>
      </c>
      <c r="I267" s="104">
        <v>1675810</v>
      </c>
      <c r="J267" s="104">
        <v>4000</v>
      </c>
      <c r="K267" s="104">
        <v>1679810</v>
      </c>
      <c r="L267" s="104">
        <v>99.76</v>
      </c>
      <c r="M267" s="71">
        <f t="shared" si="85"/>
        <v>1.67981</v>
      </c>
      <c r="O267" s="215">
        <v>45153</v>
      </c>
      <c r="P267" s="104">
        <v>503472</v>
      </c>
      <c r="Q267" s="104">
        <v>3092</v>
      </c>
      <c r="R267" s="104">
        <v>506564</v>
      </c>
      <c r="S267" s="104">
        <v>99.39</v>
      </c>
      <c r="T267" s="71">
        <f>R267/1000000</f>
        <v>0.50656400000000001</v>
      </c>
      <c r="V267" s="215">
        <v>45153</v>
      </c>
      <c r="W267" s="104">
        <v>1022194</v>
      </c>
      <c r="X267" s="104">
        <v>184</v>
      </c>
      <c r="Y267" s="104">
        <v>1022378</v>
      </c>
      <c r="Z267" s="104">
        <v>99.98</v>
      </c>
      <c r="AA267" s="71">
        <f t="shared" si="92"/>
        <v>1.022378</v>
      </c>
      <c r="AC267" s="215">
        <v>45153</v>
      </c>
      <c r="AD267" s="104">
        <v>719462</v>
      </c>
      <c r="AE267" s="104">
        <v>108</v>
      </c>
      <c r="AF267" s="104">
        <v>719570</v>
      </c>
      <c r="AG267" s="104">
        <v>99.98</v>
      </c>
      <c r="AH267" s="71">
        <f t="shared" si="93"/>
        <v>0.71957000000000004</v>
      </c>
      <c r="AJ267" s="215">
        <v>45153</v>
      </c>
      <c r="AK267" s="48">
        <v>196</v>
      </c>
      <c r="AL267" s="48">
        <v>0</v>
      </c>
      <c r="AM267" s="48">
        <v>196</v>
      </c>
      <c r="AN267" s="48">
        <v>100</v>
      </c>
      <c r="AQ267" s="215">
        <v>45153</v>
      </c>
      <c r="AR267" s="104">
        <v>3972</v>
      </c>
      <c r="AS267" s="104">
        <v>108</v>
      </c>
      <c r="AT267" s="104">
        <v>4080</v>
      </c>
      <c r="AU267" s="104">
        <v>97.35</v>
      </c>
      <c r="AX267" s="215">
        <v>45153</v>
      </c>
      <c r="AY267" s="104">
        <v>712</v>
      </c>
      <c r="AZ267" s="104">
        <v>16</v>
      </c>
      <c r="BA267" s="104">
        <v>728</v>
      </c>
      <c r="BB267" s="104">
        <v>97.8</v>
      </c>
      <c r="BE267" s="215">
        <v>45153</v>
      </c>
      <c r="BF267" s="104">
        <v>7798</v>
      </c>
      <c r="BG267" s="104">
        <v>106</v>
      </c>
      <c r="BH267" s="104">
        <v>7904</v>
      </c>
      <c r="BI267" s="104">
        <v>98.66</v>
      </c>
      <c r="BL267" s="215">
        <v>45153</v>
      </c>
      <c r="BM267" s="104">
        <v>5186</v>
      </c>
      <c r="BN267" s="104">
        <v>0</v>
      </c>
      <c r="BO267" s="104">
        <v>5186</v>
      </c>
      <c r="BP267" s="104">
        <v>100</v>
      </c>
      <c r="BS267" s="48"/>
      <c r="BT267" s="48"/>
      <c r="BU267" s="48"/>
      <c r="BV267" s="48"/>
      <c r="BW267" s="48"/>
      <c r="BZ267" s="1"/>
      <c r="CA267" s="1"/>
      <c r="CB267" s="1"/>
      <c r="CC267" s="1"/>
      <c r="CE267" s="215">
        <v>45153</v>
      </c>
      <c r="CF267" s="1">
        <v>10619598</v>
      </c>
      <c r="CG267" s="1">
        <v>14732</v>
      </c>
      <c r="CH267" s="1">
        <v>10634330</v>
      </c>
      <c r="CI267" s="46">
        <f t="shared" si="88"/>
        <v>99.861467530159402</v>
      </c>
      <c r="CJ267" s="71">
        <f t="shared" si="91"/>
        <v>10.63433</v>
      </c>
      <c r="CL267" s="140">
        <v>45003</v>
      </c>
    </row>
    <row r="268" spans="1:93" hidden="1" x14ac:dyDescent="0.25">
      <c r="A268" s="215">
        <v>45154</v>
      </c>
      <c r="B268" s="104">
        <v>5342860</v>
      </c>
      <c r="C268" s="104">
        <v>1920</v>
      </c>
      <c r="D268" s="104">
        <v>5344780</v>
      </c>
      <c r="E268" s="104">
        <v>99.96</v>
      </c>
      <c r="F268" s="71">
        <f t="shared" si="84"/>
        <v>5.3447800000000001</v>
      </c>
      <c r="H268" s="215">
        <v>45154</v>
      </c>
      <c r="I268" s="104">
        <v>1423264</v>
      </c>
      <c r="J268" s="104">
        <v>3628</v>
      </c>
      <c r="K268" s="104">
        <v>1426892</v>
      </c>
      <c r="L268" s="104">
        <v>99.75</v>
      </c>
      <c r="M268" s="71">
        <f t="shared" si="85"/>
        <v>1.426892</v>
      </c>
      <c r="O268" s="215">
        <v>45154</v>
      </c>
      <c r="P268" s="104">
        <v>445110</v>
      </c>
      <c r="Q268" s="104">
        <v>2148</v>
      </c>
      <c r="R268" s="104">
        <v>447258</v>
      </c>
      <c r="S268" s="104">
        <v>99.52</v>
      </c>
      <c r="T268" s="71">
        <f>R268/1000000</f>
        <v>0.44725799999999999</v>
      </c>
      <c r="V268" s="215">
        <v>45154</v>
      </c>
      <c r="W268" s="104">
        <v>993968</v>
      </c>
      <c r="X268" s="104">
        <v>148</v>
      </c>
      <c r="Y268" s="104">
        <v>994116</v>
      </c>
      <c r="Z268" s="104">
        <v>99.99</v>
      </c>
      <c r="AA268" s="71">
        <f t="shared" si="92"/>
        <v>0.994116</v>
      </c>
      <c r="AC268" s="215">
        <v>45154</v>
      </c>
      <c r="AD268" s="104">
        <v>708982</v>
      </c>
      <c r="AE268" s="104">
        <v>344</v>
      </c>
      <c r="AF268" s="104">
        <v>709326</v>
      </c>
      <c r="AG268" s="104">
        <v>99.95</v>
      </c>
      <c r="AH268" s="71">
        <f t="shared" si="93"/>
        <v>0.70932600000000001</v>
      </c>
      <c r="AJ268" s="215">
        <v>45154</v>
      </c>
      <c r="AK268" s="48">
        <v>136</v>
      </c>
      <c r="AL268" s="48">
        <v>2</v>
      </c>
      <c r="AM268" s="48">
        <v>138</v>
      </c>
      <c r="AN268" s="48">
        <v>98.45</v>
      </c>
      <c r="AQ268" s="215">
        <v>45154</v>
      </c>
      <c r="AR268" s="104">
        <v>3846</v>
      </c>
      <c r="AS268" s="104">
        <v>128</v>
      </c>
      <c r="AT268" s="104">
        <v>3974</v>
      </c>
      <c r="AU268" s="104">
        <v>96.78</v>
      </c>
      <c r="AX268" s="215">
        <v>45154</v>
      </c>
      <c r="AY268" s="104">
        <v>1776</v>
      </c>
      <c r="AZ268" s="104">
        <v>20</v>
      </c>
      <c r="BA268" s="104">
        <v>1796</v>
      </c>
      <c r="BB268" s="104">
        <v>98.89</v>
      </c>
      <c r="BE268" s="215">
        <v>45154</v>
      </c>
      <c r="BF268" s="104">
        <v>7750</v>
      </c>
      <c r="BG268" s="104">
        <v>80</v>
      </c>
      <c r="BH268" s="104">
        <v>7830</v>
      </c>
      <c r="BI268" s="104">
        <v>98.98</v>
      </c>
      <c r="BL268" s="215">
        <v>45154</v>
      </c>
      <c r="BM268" s="104">
        <v>5748</v>
      </c>
      <c r="BN268" s="104">
        <v>0</v>
      </c>
      <c r="BO268" s="104">
        <v>5748</v>
      </c>
      <c r="BP268" s="104">
        <v>100</v>
      </c>
      <c r="BS268" s="48"/>
      <c r="BT268" s="48"/>
      <c r="BU268" s="48"/>
      <c r="BV268" s="48"/>
      <c r="BW268" s="48"/>
      <c r="BZ268" s="1"/>
      <c r="CA268" s="1"/>
      <c r="CB268" s="1"/>
      <c r="CC268" s="1"/>
      <c r="CE268" s="215">
        <v>45154</v>
      </c>
      <c r="CF268" s="1">
        <v>10436104</v>
      </c>
      <c r="CG268" s="1">
        <v>13842</v>
      </c>
      <c r="CH268" s="1">
        <v>10449946</v>
      </c>
      <c r="CI268" s="46">
        <f t="shared" si="88"/>
        <v>99.86753998537408</v>
      </c>
      <c r="CJ268" s="71">
        <f t="shared" si="91"/>
        <v>10.449946000000001</v>
      </c>
      <c r="CL268" s="140">
        <v>45004</v>
      </c>
      <c r="CM268" s="252" t="s">
        <v>238</v>
      </c>
      <c r="CN268">
        <v>10590</v>
      </c>
      <c r="CO268">
        <v>503</v>
      </c>
    </row>
    <row r="269" spans="1:93" hidden="1" x14ac:dyDescent="0.25">
      <c r="A269" s="215">
        <v>45155</v>
      </c>
      <c r="B269" s="104">
        <v>5003954</v>
      </c>
      <c r="C269" s="104">
        <v>1536</v>
      </c>
      <c r="D269" s="104">
        <v>5005490</v>
      </c>
      <c r="E269" s="104">
        <v>99.97</v>
      </c>
      <c r="F269" s="71">
        <f t="shared" si="84"/>
        <v>5.00549</v>
      </c>
      <c r="H269" s="215">
        <v>45155</v>
      </c>
      <c r="I269" s="104">
        <v>1458472</v>
      </c>
      <c r="J269" s="104">
        <v>2706</v>
      </c>
      <c r="K269" s="104">
        <v>1461178</v>
      </c>
      <c r="L269" s="104">
        <v>99.81</v>
      </c>
      <c r="M269" s="71">
        <f t="shared" si="85"/>
        <v>1.4611780000000001</v>
      </c>
      <c r="O269" s="215">
        <v>45155</v>
      </c>
      <c r="P269" s="104">
        <v>475926</v>
      </c>
      <c r="Q269" s="104">
        <v>2718</v>
      </c>
      <c r="R269" s="104">
        <v>478644</v>
      </c>
      <c r="S269" s="104">
        <v>99.43</v>
      </c>
      <c r="T269" s="71">
        <f>R269/1000000</f>
        <v>0.47864400000000001</v>
      </c>
      <c r="V269" s="215">
        <v>45155</v>
      </c>
      <c r="W269" s="104">
        <v>909558</v>
      </c>
      <c r="X269" s="104">
        <v>192</v>
      </c>
      <c r="Y269" s="104">
        <v>909750</v>
      </c>
      <c r="Z269" s="104">
        <v>99.98</v>
      </c>
      <c r="AA269" s="71">
        <f t="shared" si="92"/>
        <v>0.90974999999999995</v>
      </c>
      <c r="AC269" s="215">
        <v>45155</v>
      </c>
      <c r="AD269" s="104">
        <v>681232</v>
      </c>
      <c r="AE269" s="104">
        <v>484</v>
      </c>
      <c r="AF269" s="104">
        <v>681716</v>
      </c>
      <c r="AG269" s="104">
        <v>99.93</v>
      </c>
      <c r="AH269" s="71">
        <f t="shared" si="93"/>
        <v>0.68171599999999999</v>
      </c>
      <c r="AJ269" s="215">
        <v>45155</v>
      </c>
      <c r="AK269" s="48">
        <v>314</v>
      </c>
      <c r="AL269" s="48">
        <v>0</v>
      </c>
      <c r="AM269" s="48">
        <v>314</v>
      </c>
      <c r="AN269" s="48">
        <v>100</v>
      </c>
      <c r="AQ269" s="215">
        <v>45155</v>
      </c>
      <c r="AR269" s="104">
        <v>3104</v>
      </c>
      <c r="AS269" s="104">
        <v>6</v>
      </c>
      <c r="AT269" s="104">
        <v>3110</v>
      </c>
      <c r="AU269" s="104">
        <v>99.81</v>
      </c>
      <c r="AX269" s="215">
        <v>45155</v>
      </c>
      <c r="AY269" s="104">
        <v>1228</v>
      </c>
      <c r="AZ269" s="104">
        <v>12</v>
      </c>
      <c r="BA269" s="104">
        <v>1240</v>
      </c>
      <c r="BB269" s="104">
        <v>99.03</v>
      </c>
      <c r="BE269" s="215">
        <v>45155</v>
      </c>
      <c r="BF269" s="104">
        <v>8438</v>
      </c>
      <c r="BG269" s="104">
        <v>100</v>
      </c>
      <c r="BH269" s="104">
        <v>8538</v>
      </c>
      <c r="BI269" s="104">
        <v>98.83</v>
      </c>
      <c r="BL269" s="215">
        <v>45155</v>
      </c>
      <c r="BM269" s="104">
        <v>4016</v>
      </c>
      <c r="BN269" s="104">
        <v>0</v>
      </c>
      <c r="BO269" s="104">
        <v>4016</v>
      </c>
      <c r="BP269" s="104">
        <v>100</v>
      </c>
      <c r="BS269" s="48"/>
      <c r="BT269" s="48"/>
      <c r="BU269" s="48"/>
      <c r="BV269" s="48"/>
      <c r="BW269" s="48"/>
      <c r="BZ269" s="1"/>
      <c r="CA269" s="1"/>
      <c r="CB269" s="1"/>
      <c r="CC269" s="1"/>
      <c r="CE269" s="215">
        <v>45155</v>
      </c>
      <c r="CF269" s="1">
        <v>10098516</v>
      </c>
      <c r="CG269" s="1">
        <v>13882</v>
      </c>
      <c r="CH269" s="1">
        <v>10112398</v>
      </c>
      <c r="CI269" s="46">
        <f t="shared" si="88"/>
        <v>99.862722966402231</v>
      </c>
      <c r="CJ269" s="71">
        <f t="shared" si="91"/>
        <v>10.112398000000001</v>
      </c>
      <c r="CL269" s="140">
        <v>45004</v>
      </c>
      <c r="CM269" s="252" t="s">
        <v>240</v>
      </c>
      <c r="CN269">
        <v>5064</v>
      </c>
      <c r="CO269">
        <v>516</v>
      </c>
    </row>
    <row r="270" spans="1:93" hidden="1" x14ac:dyDescent="0.25">
      <c r="A270" s="215">
        <v>45156</v>
      </c>
      <c r="B270" s="104">
        <v>5421922</v>
      </c>
      <c r="C270" s="104">
        <v>1774</v>
      </c>
      <c r="D270" s="104">
        <v>5423696</v>
      </c>
      <c r="E270" s="104">
        <v>99.97</v>
      </c>
      <c r="F270" s="71">
        <f t="shared" si="84"/>
        <v>5.4236959999999996</v>
      </c>
      <c r="H270" s="215">
        <v>45156</v>
      </c>
      <c r="I270" s="104">
        <v>1696713</v>
      </c>
      <c r="J270" s="104">
        <v>4821</v>
      </c>
      <c r="K270" s="104">
        <v>1701534</v>
      </c>
      <c r="L270" s="104">
        <v>99.72</v>
      </c>
      <c r="M270" s="71">
        <f t="shared" si="85"/>
        <v>1.7015340000000001</v>
      </c>
      <c r="O270" s="215">
        <v>45156</v>
      </c>
      <c r="P270" s="104">
        <v>507346</v>
      </c>
      <c r="Q270" s="104">
        <v>3019</v>
      </c>
      <c r="R270" s="104">
        <v>510365</v>
      </c>
      <c r="S270" s="104">
        <v>99.41</v>
      </c>
      <c r="T270" s="71">
        <f t="shared" ref="T270:T333" si="95">R270/1000000</f>
        <v>0.51036499999999996</v>
      </c>
      <c r="V270" s="215">
        <v>45156</v>
      </c>
      <c r="W270" s="104">
        <v>1068036</v>
      </c>
      <c r="X270" s="104">
        <v>189</v>
      </c>
      <c r="Y270" s="104">
        <v>1068225</v>
      </c>
      <c r="Z270" s="104">
        <v>99.98</v>
      </c>
      <c r="AA270" s="71">
        <f t="shared" si="92"/>
        <v>1.068225</v>
      </c>
      <c r="AC270" s="215">
        <v>45156</v>
      </c>
      <c r="AD270" s="104">
        <v>726950</v>
      </c>
      <c r="AE270" s="104">
        <v>324</v>
      </c>
      <c r="AF270" s="104">
        <v>727274</v>
      </c>
      <c r="AG270" s="104">
        <v>99.96</v>
      </c>
      <c r="AH270" s="71">
        <f t="shared" si="93"/>
        <v>0.72727399999999998</v>
      </c>
      <c r="AJ270" s="215">
        <v>45156</v>
      </c>
      <c r="AK270" s="48">
        <v>200</v>
      </c>
      <c r="AL270" s="48">
        <v>0</v>
      </c>
      <c r="AM270" s="48">
        <v>200</v>
      </c>
      <c r="AN270" s="48">
        <v>100</v>
      </c>
      <c r="AQ270" s="215">
        <v>45156</v>
      </c>
      <c r="AR270" s="104">
        <v>2068</v>
      </c>
      <c r="AS270" s="104">
        <v>20</v>
      </c>
      <c r="AT270" s="104">
        <v>2088</v>
      </c>
      <c r="AU270" s="104">
        <v>99.04</v>
      </c>
      <c r="AX270" s="215">
        <v>45156</v>
      </c>
      <c r="AY270" s="104">
        <v>1396</v>
      </c>
      <c r="AZ270" s="104">
        <v>26</v>
      </c>
      <c r="BA270" s="104">
        <v>1422</v>
      </c>
      <c r="BB270" s="104">
        <v>98.17</v>
      </c>
      <c r="BE270" s="215">
        <v>45156</v>
      </c>
      <c r="BF270" s="104">
        <v>9045</v>
      </c>
      <c r="BG270" s="104">
        <v>97</v>
      </c>
      <c r="BH270" s="104">
        <v>9142</v>
      </c>
      <c r="BI270" s="104">
        <v>98.94</v>
      </c>
      <c r="BL270" s="215">
        <v>45156</v>
      </c>
      <c r="BM270" s="104">
        <v>3409</v>
      </c>
      <c r="BN270" s="104">
        <v>0</v>
      </c>
      <c r="BO270" s="104">
        <v>3409</v>
      </c>
      <c r="BP270" s="104">
        <v>100</v>
      </c>
      <c r="BS270" s="48"/>
      <c r="BT270" s="48"/>
      <c r="BU270" s="48"/>
      <c r="BV270" s="48"/>
      <c r="BW270" s="48"/>
      <c r="BZ270" s="1"/>
      <c r="CA270" s="1"/>
      <c r="CB270" s="1"/>
      <c r="CC270" s="1"/>
      <c r="CE270" s="215">
        <v>45156</v>
      </c>
      <c r="CF270" s="1">
        <v>11095104</v>
      </c>
      <c r="CG270" s="1">
        <v>17727</v>
      </c>
      <c r="CH270" s="1">
        <v>11112831</v>
      </c>
      <c r="CI270" s="46">
        <f t="shared" si="88"/>
        <v>99.840481691838917</v>
      </c>
      <c r="CJ270" s="71">
        <f t="shared" si="91"/>
        <v>11.112831</v>
      </c>
      <c r="CL270" s="140">
        <v>45004</v>
      </c>
      <c r="CM270" s="252" t="s">
        <v>247</v>
      </c>
      <c r="CN270">
        <v>1082</v>
      </c>
      <c r="CO270">
        <v>527</v>
      </c>
    </row>
    <row r="271" spans="1:93" hidden="1" x14ac:dyDescent="0.25">
      <c r="A271" s="215">
        <v>45157</v>
      </c>
      <c r="B271" s="104">
        <v>5433106</v>
      </c>
      <c r="C271" s="104">
        <v>1642</v>
      </c>
      <c r="D271" s="104">
        <v>5434748</v>
      </c>
      <c r="E271" s="104">
        <v>99.97</v>
      </c>
      <c r="F271" s="71">
        <f t="shared" si="84"/>
        <v>5.4347479999999999</v>
      </c>
      <c r="H271" s="215">
        <v>45157</v>
      </c>
      <c r="I271" s="104">
        <v>1435300</v>
      </c>
      <c r="J271" s="104">
        <v>2026</v>
      </c>
      <c r="K271" s="104">
        <v>1437326</v>
      </c>
      <c r="L271" s="104">
        <v>99.86</v>
      </c>
      <c r="M271" s="71">
        <f t="shared" ref="M271:M334" si="96">K271/1000000</f>
        <v>1.4373260000000001</v>
      </c>
      <c r="O271" s="215">
        <v>45157</v>
      </c>
      <c r="P271" s="104">
        <v>474088</v>
      </c>
      <c r="Q271" s="104">
        <v>2670</v>
      </c>
      <c r="R271" s="104">
        <v>476758</v>
      </c>
      <c r="S271" s="104">
        <v>99.44</v>
      </c>
      <c r="T271" s="71">
        <f t="shared" si="95"/>
        <v>0.47675800000000002</v>
      </c>
      <c r="V271" s="215">
        <v>45157</v>
      </c>
      <c r="W271" s="104">
        <v>1052864</v>
      </c>
      <c r="X271" s="104">
        <v>178</v>
      </c>
      <c r="Y271" s="104">
        <v>1053042</v>
      </c>
      <c r="Z271" s="104">
        <v>99.98</v>
      </c>
      <c r="AA271" s="71">
        <f t="shared" si="92"/>
        <v>1.053042</v>
      </c>
      <c r="AC271" s="215">
        <v>45157</v>
      </c>
      <c r="AD271" s="104">
        <v>735368</v>
      </c>
      <c r="AE271" s="104">
        <v>116</v>
      </c>
      <c r="AF271" s="104">
        <v>735484</v>
      </c>
      <c r="AG271" s="104">
        <v>99.98</v>
      </c>
      <c r="AH271" s="71">
        <f t="shared" si="93"/>
        <v>0.73548400000000003</v>
      </c>
      <c r="AJ271" s="215">
        <v>45157</v>
      </c>
      <c r="AK271" s="48">
        <v>154</v>
      </c>
      <c r="AL271" s="48">
        <v>0</v>
      </c>
      <c r="AM271" s="48">
        <v>154</v>
      </c>
      <c r="AN271" s="48">
        <v>100</v>
      </c>
      <c r="AQ271" s="215">
        <v>45157</v>
      </c>
      <c r="AR271" s="104">
        <v>2170</v>
      </c>
      <c r="AS271" s="104">
        <v>6</v>
      </c>
      <c r="AT271" s="104">
        <v>2176</v>
      </c>
      <c r="AU271" s="104">
        <v>99.72</v>
      </c>
      <c r="AX271" s="215">
        <v>45157</v>
      </c>
      <c r="AY271" s="104">
        <v>908</v>
      </c>
      <c r="AZ271" s="104">
        <v>10</v>
      </c>
      <c r="BA271" s="104">
        <v>918</v>
      </c>
      <c r="BB271" s="104">
        <v>98.91</v>
      </c>
      <c r="BE271" s="215">
        <v>45157</v>
      </c>
      <c r="BF271" s="104">
        <v>7760</v>
      </c>
      <c r="BG271" s="104">
        <v>92</v>
      </c>
      <c r="BH271" s="104">
        <v>7852</v>
      </c>
      <c r="BI271" s="104">
        <v>98.83</v>
      </c>
      <c r="BL271" s="215">
        <v>45157</v>
      </c>
      <c r="BM271" s="104">
        <v>5688</v>
      </c>
      <c r="BN271" s="104">
        <v>0</v>
      </c>
      <c r="BO271" s="104">
        <v>5688</v>
      </c>
      <c r="BP271" s="104">
        <v>100</v>
      </c>
      <c r="BS271" s="48"/>
      <c r="BT271" s="48"/>
      <c r="BU271" s="48"/>
      <c r="BV271" s="48"/>
      <c r="BW271" s="48"/>
      <c r="BZ271" s="1"/>
      <c r="CA271" s="1"/>
      <c r="CB271" s="1"/>
      <c r="CC271" s="1"/>
      <c r="CE271" s="215">
        <v>45157</v>
      </c>
      <c r="CF271" s="1">
        <v>10723880</v>
      </c>
      <c r="CG271" s="1">
        <v>11724</v>
      </c>
      <c r="CH271" s="1">
        <v>10735604</v>
      </c>
      <c r="CI271" s="46">
        <f t="shared" si="88"/>
        <v>99.890793289320285</v>
      </c>
      <c r="CJ271" s="71">
        <f t="shared" si="91"/>
        <v>10.735604</v>
      </c>
      <c r="CL271" s="140">
        <v>45004</v>
      </c>
      <c r="CM271" s="252" t="s">
        <v>244</v>
      </c>
      <c r="CN271">
        <v>544</v>
      </c>
      <c r="CO271">
        <v>513</v>
      </c>
    </row>
    <row r="272" spans="1:93" hidden="1" x14ac:dyDescent="0.25">
      <c r="A272" s="215">
        <v>45158</v>
      </c>
      <c r="B272" s="104">
        <v>4630554</v>
      </c>
      <c r="C272" s="104">
        <v>1492</v>
      </c>
      <c r="D272" s="104">
        <v>4632046</v>
      </c>
      <c r="E272" s="104">
        <v>99.97</v>
      </c>
      <c r="F272" s="71">
        <f t="shared" ref="F272:F335" si="97">D272/1000000</f>
        <v>4.6320459999999999</v>
      </c>
      <c r="H272" s="215">
        <v>45158</v>
      </c>
      <c r="I272" s="104">
        <v>1343748</v>
      </c>
      <c r="J272" s="104">
        <v>8340</v>
      </c>
      <c r="K272" s="104">
        <v>1352088</v>
      </c>
      <c r="L272" s="104">
        <v>99.38</v>
      </c>
      <c r="M272" s="71">
        <f t="shared" si="96"/>
        <v>1.352088</v>
      </c>
      <c r="O272" s="215">
        <v>45158</v>
      </c>
      <c r="P272" s="104">
        <v>471910</v>
      </c>
      <c r="Q272" s="104">
        <v>2512</v>
      </c>
      <c r="R272" s="104">
        <v>474422</v>
      </c>
      <c r="S272" s="104">
        <v>99.47</v>
      </c>
      <c r="T272" s="71">
        <f t="shared" si="95"/>
        <v>0.47442200000000001</v>
      </c>
      <c r="V272" s="215">
        <v>45158</v>
      </c>
      <c r="W272" s="104">
        <v>950302</v>
      </c>
      <c r="X272" s="104">
        <v>162</v>
      </c>
      <c r="Y272" s="104">
        <v>950464</v>
      </c>
      <c r="Z272" s="104">
        <v>99.98</v>
      </c>
      <c r="AA272" s="71">
        <f t="shared" si="92"/>
        <v>0.95046399999999998</v>
      </c>
      <c r="AC272" s="215">
        <v>45158</v>
      </c>
      <c r="AD272" s="104">
        <v>669140</v>
      </c>
      <c r="AE272" s="104">
        <v>194</v>
      </c>
      <c r="AF272" s="104">
        <v>669334</v>
      </c>
      <c r="AG272" s="104">
        <v>99.97</v>
      </c>
      <c r="AH272" s="71">
        <f t="shared" si="93"/>
        <v>0.66933399999999998</v>
      </c>
      <c r="AJ272" s="215">
        <v>45158</v>
      </c>
      <c r="AK272" s="48">
        <v>144</v>
      </c>
      <c r="AL272" s="48">
        <v>0</v>
      </c>
      <c r="AM272" s="48">
        <v>144</v>
      </c>
      <c r="AN272" s="48">
        <v>100</v>
      </c>
      <c r="AQ272" s="215">
        <v>45158</v>
      </c>
      <c r="AR272" s="104">
        <v>1344</v>
      </c>
      <c r="AS272" s="104">
        <v>0</v>
      </c>
      <c r="AT272" s="104">
        <v>1344</v>
      </c>
      <c r="AU272" s="104">
        <v>100</v>
      </c>
      <c r="AX272" s="215">
        <v>45158</v>
      </c>
      <c r="AY272" s="104">
        <v>0</v>
      </c>
      <c r="AZ272" s="104">
        <v>124</v>
      </c>
      <c r="BA272" s="104">
        <v>124</v>
      </c>
      <c r="BB272" s="104">
        <v>0</v>
      </c>
      <c r="BE272" s="215">
        <v>45158</v>
      </c>
      <c r="BF272" s="104">
        <v>7756</v>
      </c>
      <c r="BG272" s="104">
        <v>74</v>
      </c>
      <c r="BH272" s="104">
        <v>7830</v>
      </c>
      <c r="BI272" s="104">
        <v>99.05</v>
      </c>
      <c r="BL272" s="215">
        <v>45158</v>
      </c>
      <c r="BM272" s="104">
        <v>2966</v>
      </c>
      <c r="BN272" s="104">
        <v>0</v>
      </c>
      <c r="BO272" s="104">
        <v>2966</v>
      </c>
      <c r="BP272" s="104">
        <v>100</v>
      </c>
      <c r="BS272" s="48"/>
      <c r="BT272" s="48"/>
      <c r="BU272" s="48"/>
      <c r="BV272" s="48"/>
      <c r="BW272" s="48"/>
      <c r="BZ272" s="1"/>
      <c r="CA272" s="1"/>
      <c r="CB272" s="1"/>
      <c r="CC272" s="1"/>
      <c r="CE272" s="215">
        <v>45158</v>
      </c>
      <c r="CF272" s="1">
        <v>9552626</v>
      </c>
      <c r="CG272" s="1">
        <v>23148</v>
      </c>
      <c r="CH272" s="1">
        <v>9575774</v>
      </c>
      <c r="CI272" s="46">
        <f t="shared" si="88"/>
        <v>99.758264971583486</v>
      </c>
      <c r="CJ272" s="71">
        <f t="shared" si="91"/>
        <v>9.5757739999999991</v>
      </c>
      <c r="CL272" s="140">
        <v>45004</v>
      </c>
      <c r="CM272" s="252" t="s">
        <v>243</v>
      </c>
      <c r="CN272">
        <v>314</v>
      </c>
      <c r="CO272">
        <v>540</v>
      </c>
    </row>
    <row r="273" spans="1:93" hidden="1" x14ac:dyDescent="0.25">
      <c r="A273" s="215">
        <v>45159</v>
      </c>
      <c r="B273" s="104">
        <v>5575194</v>
      </c>
      <c r="C273" s="104">
        <v>1490</v>
      </c>
      <c r="D273" s="104">
        <v>5576684</v>
      </c>
      <c r="E273" s="104">
        <v>99.97</v>
      </c>
      <c r="F273" s="71">
        <f t="shared" si="97"/>
        <v>5.5766840000000002</v>
      </c>
      <c r="H273" s="215">
        <v>45159</v>
      </c>
      <c r="I273" s="104">
        <v>1441510</v>
      </c>
      <c r="J273" s="104">
        <v>1944</v>
      </c>
      <c r="K273" s="104">
        <v>1443454</v>
      </c>
      <c r="L273" s="104">
        <v>99.87</v>
      </c>
      <c r="M273" s="71">
        <f t="shared" si="96"/>
        <v>1.443454</v>
      </c>
      <c r="O273" s="215">
        <v>45159</v>
      </c>
      <c r="P273" s="104">
        <v>476468</v>
      </c>
      <c r="Q273" s="104">
        <v>2552</v>
      </c>
      <c r="R273" s="104">
        <v>479020</v>
      </c>
      <c r="S273" s="104">
        <v>99.47</v>
      </c>
      <c r="T273" s="71">
        <f t="shared" si="95"/>
        <v>0.47902</v>
      </c>
      <c r="V273" s="215">
        <v>45159</v>
      </c>
      <c r="W273" s="104">
        <v>1075808</v>
      </c>
      <c r="X273" s="104">
        <v>176</v>
      </c>
      <c r="Y273" s="104">
        <v>1075984</v>
      </c>
      <c r="Z273" s="104">
        <v>99.98</v>
      </c>
      <c r="AA273" s="71">
        <f t="shared" si="92"/>
        <v>1.0759840000000001</v>
      </c>
      <c r="AC273" s="215">
        <v>45159</v>
      </c>
      <c r="AD273" s="104">
        <v>703694</v>
      </c>
      <c r="AE273" s="104">
        <v>122</v>
      </c>
      <c r="AF273" s="104">
        <v>703816</v>
      </c>
      <c r="AG273" s="104">
        <v>99.98</v>
      </c>
      <c r="AH273" s="71">
        <f t="shared" si="93"/>
        <v>0.703816</v>
      </c>
      <c r="AJ273" s="215">
        <v>45159</v>
      </c>
      <c r="AK273" s="48">
        <v>224</v>
      </c>
      <c r="AL273" s="48">
        <v>0</v>
      </c>
      <c r="AM273" s="48">
        <v>224</v>
      </c>
      <c r="AN273" s="48">
        <v>100</v>
      </c>
      <c r="AQ273" s="215">
        <v>45159</v>
      </c>
      <c r="AR273" s="104">
        <v>2256</v>
      </c>
      <c r="AS273" s="104">
        <v>18</v>
      </c>
      <c r="AT273" s="104">
        <v>2274</v>
      </c>
      <c r="AU273" s="104">
        <v>99.21</v>
      </c>
      <c r="AX273" s="215">
        <v>45159</v>
      </c>
      <c r="AY273" s="104">
        <v>2394</v>
      </c>
      <c r="AZ273" s="104">
        <v>48</v>
      </c>
      <c r="BA273" s="104">
        <v>2442</v>
      </c>
      <c r="BB273" s="104">
        <v>98.03</v>
      </c>
      <c r="BE273" s="215">
        <v>45159</v>
      </c>
      <c r="BF273" s="104">
        <v>8824</v>
      </c>
      <c r="BG273" s="104">
        <v>162</v>
      </c>
      <c r="BH273" s="104">
        <v>8986</v>
      </c>
      <c r="BI273" s="104">
        <v>98.2</v>
      </c>
      <c r="BL273" s="215">
        <v>45159</v>
      </c>
      <c r="BM273" s="104">
        <v>3794</v>
      </c>
      <c r="BN273" s="104">
        <v>0</v>
      </c>
      <c r="BO273" s="104">
        <v>3794</v>
      </c>
      <c r="BP273" s="104">
        <v>100</v>
      </c>
      <c r="BS273" s="48"/>
      <c r="BT273" s="48"/>
      <c r="BU273" s="48"/>
      <c r="BV273" s="48"/>
      <c r="BW273" s="48"/>
      <c r="BZ273" s="1"/>
      <c r="CA273" s="1"/>
      <c r="CB273" s="1"/>
      <c r="CC273" s="1"/>
      <c r="CE273" s="215">
        <v>45159</v>
      </c>
      <c r="CF273" s="1">
        <v>10893912</v>
      </c>
      <c r="CG273" s="1">
        <v>12828</v>
      </c>
      <c r="CH273" s="1">
        <v>10906740</v>
      </c>
      <c r="CI273" s="46">
        <f t="shared" si="88"/>
        <v>99.882384653892913</v>
      </c>
      <c r="CJ273" s="71">
        <f t="shared" si="91"/>
        <v>10.906739999999999</v>
      </c>
      <c r="CL273" s="140">
        <v>45005</v>
      </c>
      <c r="CM273" s="252" t="s">
        <v>238</v>
      </c>
      <c r="CN273">
        <v>12324</v>
      </c>
      <c r="CO273">
        <v>503</v>
      </c>
    </row>
    <row r="274" spans="1:93" hidden="1" x14ac:dyDescent="0.25">
      <c r="A274" s="215">
        <v>45160</v>
      </c>
      <c r="B274" s="104">
        <v>6281145</v>
      </c>
      <c r="C274" s="104">
        <v>1963</v>
      </c>
      <c r="D274" s="104">
        <v>6283108</v>
      </c>
      <c r="E274" s="104">
        <v>99.97</v>
      </c>
      <c r="F274" s="71">
        <f t="shared" si="97"/>
        <v>6.2831080000000004</v>
      </c>
      <c r="H274" s="215">
        <v>45160</v>
      </c>
      <c r="I274" s="104">
        <v>1838819</v>
      </c>
      <c r="J274" s="104">
        <v>4286</v>
      </c>
      <c r="K274" s="104">
        <v>1843105</v>
      </c>
      <c r="L274" s="104">
        <v>99.77</v>
      </c>
      <c r="M274" s="71">
        <f t="shared" si="96"/>
        <v>1.843105</v>
      </c>
      <c r="O274" s="215">
        <v>45160</v>
      </c>
      <c r="P274" s="104">
        <v>532378</v>
      </c>
      <c r="Q274" s="104">
        <v>3684</v>
      </c>
      <c r="R274" s="104">
        <v>536062</v>
      </c>
      <c r="S274" s="104">
        <v>99.31</v>
      </c>
      <c r="T274" s="71">
        <f t="shared" si="95"/>
        <v>0.53606200000000004</v>
      </c>
      <c r="V274" s="215">
        <v>45160</v>
      </c>
      <c r="W274" s="104">
        <v>1199442</v>
      </c>
      <c r="X274" s="104">
        <v>250</v>
      </c>
      <c r="Y274" s="104">
        <v>1199692</v>
      </c>
      <c r="Z274" s="104">
        <v>99.98</v>
      </c>
      <c r="AA274" s="71">
        <f t="shared" si="92"/>
        <v>1.199692</v>
      </c>
      <c r="AC274" s="215">
        <v>45160</v>
      </c>
      <c r="AD274" s="104">
        <v>689912</v>
      </c>
      <c r="AE274" s="104">
        <v>303</v>
      </c>
      <c r="AF274" s="104">
        <v>690215</v>
      </c>
      <c r="AG274" s="104">
        <v>99.96</v>
      </c>
      <c r="AH274" s="71">
        <f t="shared" si="93"/>
        <v>0.69021500000000002</v>
      </c>
      <c r="AJ274" s="215">
        <v>45160</v>
      </c>
      <c r="AK274" s="48">
        <v>159</v>
      </c>
      <c r="AL274" s="48">
        <v>2</v>
      </c>
      <c r="AM274" s="48">
        <v>161</v>
      </c>
      <c r="AN274" s="48">
        <v>98.76</v>
      </c>
      <c r="AQ274" s="215">
        <v>45160</v>
      </c>
      <c r="AR274" s="104">
        <v>2595</v>
      </c>
      <c r="AS274" s="104">
        <v>95</v>
      </c>
      <c r="AT274" s="104">
        <v>2690</v>
      </c>
      <c r="AU274" s="104">
        <v>96.47</v>
      </c>
      <c r="AX274" s="215">
        <v>45160</v>
      </c>
      <c r="AY274" s="104">
        <v>2636</v>
      </c>
      <c r="AZ274" s="104">
        <v>23</v>
      </c>
      <c r="BA274" s="104">
        <v>2659</v>
      </c>
      <c r="BB274" s="104">
        <v>99.14</v>
      </c>
      <c r="BE274" s="215">
        <v>45160</v>
      </c>
      <c r="BF274" s="104">
        <v>10394</v>
      </c>
      <c r="BG274" s="104">
        <v>102</v>
      </c>
      <c r="BH274" s="104">
        <v>10496</v>
      </c>
      <c r="BI274" s="104">
        <v>99.03</v>
      </c>
      <c r="BL274" s="215">
        <v>45160</v>
      </c>
      <c r="BM274" s="104">
        <v>11353</v>
      </c>
      <c r="BN274" s="104">
        <v>0</v>
      </c>
      <c r="BO274" s="104">
        <v>11353</v>
      </c>
      <c r="BP274" s="104">
        <v>100</v>
      </c>
      <c r="BS274" s="48"/>
      <c r="BT274" s="48"/>
      <c r="BU274" s="48"/>
      <c r="BV274" s="48"/>
      <c r="BW274" s="48"/>
      <c r="BZ274" s="1"/>
      <c r="CA274" s="1"/>
      <c r="CB274" s="1"/>
      <c r="CC274" s="1"/>
      <c r="CE274" s="215">
        <v>45160</v>
      </c>
      <c r="CF274" s="1">
        <v>12291893</v>
      </c>
      <c r="CG274" s="1">
        <v>16210</v>
      </c>
      <c r="CH274" s="1">
        <v>12308103</v>
      </c>
      <c r="CI274" s="46">
        <f t="shared" si="88"/>
        <v>99.868298144726282</v>
      </c>
      <c r="CJ274" s="71">
        <f t="shared" si="91"/>
        <v>12.308102999999999</v>
      </c>
      <c r="CL274" s="140">
        <v>45005</v>
      </c>
      <c r="CM274" s="252" t="s">
        <v>240</v>
      </c>
      <c r="CN274">
        <v>3312</v>
      </c>
      <c r="CO274">
        <v>516</v>
      </c>
    </row>
    <row r="275" spans="1:93" hidden="1" x14ac:dyDescent="0.25">
      <c r="A275" s="215">
        <v>45161</v>
      </c>
      <c r="B275" s="104">
        <v>5466148</v>
      </c>
      <c r="C275" s="104">
        <v>3044</v>
      </c>
      <c r="D275" s="104">
        <v>5469192</v>
      </c>
      <c r="E275" s="104">
        <v>99.94</v>
      </c>
      <c r="F275" s="71">
        <f t="shared" si="97"/>
        <v>5.4691919999999996</v>
      </c>
      <c r="H275" s="215">
        <v>45161</v>
      </c>
      <c r="I275" s="104">
        <v>1322782</v>
      </c>
      <c r="J275" s="104">
        <v>2500</v>
      </c>
      <c r="K275" s="104">
        <v>1325282</v>
      </c>
      <c r="L275" s="104">
        <v>99.81</v>
      </c>
      <c r="M275" s="71">
        <f t="shared" si="96"/>
        <v>1.3252820000000001</v>
      </c>
      <c r="O275" s="215">
        <v>45161</v>
      </c>
      <c r="P275" s="104">
        <v>441520</v>
      </c>
      <c r="Q275" s="104">
        <v>2192</v>
      </c>
      <c r="R275" s="104">
        <v>443712</v>
      </c>
      <c r="S275" s="104">
        <v>99.51</v>
      </c>
      <c r="T275" s="71">
        <f t="shared" si="95"/>
        <v>0.443712</v>
      </c>
      <c r="V275" s="215">
        <v>45161</v>
      </c>
      <c r="W275" s="104">
        <v>978362</v>
      </c>
      <c r="X275" s="104">
        <v>166</v>
      </c>
      <c r="Y275" s="104">
        <v>978528</v>
      </c>
      <c r="Z275" s="104">
        <v>99.98</v>
      </c>
      <c r="AA275" s="71">
        <f t="shared" si="92"/>
        <v>0.97852799999999995</v>
      </c>
      <c r="AC275" s="215">
        <v>45161</v>
      </c>
      <c r="AD275" s="104">
        <v>655208</v>
      </c>
      <c r="AE275" s="104">
        <v>24070</v>
      </c>
      <c r="AF275" s="104">
        <v>679278</v>
      </c>
      <c r="AG275" s="104">
        <v>96.46</v>
      </c>
      <c r="AH275" s="71">
        <f t="shared" si="93"/>
        <v>0.67927800000000005</v>
      </c>
      <c r="AJ275" s="215">
        <v>45161</v>
      </c>
      <c r="AK275" s="48">
        <v>98</v>
      </c>
      <c r="AL275" s="48">
        <v>0</v>
      </c>
      <c r="AM275" s="48">
        <v>98</v>
      </c>
      <c r="AN275" s="48">
        <v>100</v>
      </c>
      <c r="AQ275" s="215">
        <v>45161</v>
      </c>
      <c r="AR275" s="104">
        <v>1904</v>
      </c>
      <c r="AS275" s="104">
        <v>48</v>
      </c>
      <c r="AT275" s="104">
        <v>1952</v>
      </c>
      <c r="AU275" s="104">
        <v>97.54</v>
      </c>
      <c r="AX275" s="215">
        <v>45161</v>
      </c>
      <c r="AY275" s="104">
        <v>1896</v>
      </c>
      <c r="AZ275" s="104">
        <v>36</v>
      </c>
      <c r="BA275" s="104">
        <v>1932</v>
      </c>
      <c r="BB275" s="104">
        <v>98.14</v>
      </c>
      <c r="BE275" s="215">
        <v>45161</v>
      </c>
      <c r="BF275" s="104">
        <v>8918</v>
      </c>
      <c r="BG275" s="104">
        <v>108</v>
      </c>
      <c r="BH275" s="104">
        <v>9026</v>
      </c>
      <c r="BI275" s="104">
        <v>98.8</v>
      </c>
      <c r="BL275" s="215">
        <v>45161</v>
      </c>
      <c r="BM275" s="104">
        <v>4436</v>
      </c>
      <c r="BN275" s="104">
        <v>0</v>
      </c>
      <c r="BO275" s="104">
        <v>4436</v>
      </c>
      <c r="BP275" s="104">
        <v>100</v>
      </c>
      <c r="BS275" s="48"/>
      <c r="BT275" s="48"/>
      <c r="BU275" s="48"/>
      <c r="BV275" s="48"/>
      <c r="BW275" s="48"/>
      <c r="BZ275" s="1"/>
      <c r="CA275" s="1"/>
      <c r="CB275" s="1"/>
      <c r="CC275" s="1"/>
      <c r="CE275" s="215">
        <v>45161</v>
      </c>
      <c r="CF275" s="1">
        <v>10379000</v>
      </c>
      <c r="CG275" s="1">
        <v>39638</v>
      </c>
      <c r="CH275" s="1">
        <v>10418638</v>
      </c>
      <c r="CI275" s="46">
        <f t="shared" si="88"/>
        <v>99.619547199931503</v>
      </c>
      <c r="CJ275" s="71">
        <f t="shared" si="91"/>
        <v>10.418638</v>
      </c>
      <c r="CL275" s="140">
        <v>45005</v>
      </c>
      <c r="CM275" s="252" t="s">
        <v>247</v>
      </c>
      <c r="CN275">
        <v>3024</v>
      </c>
      <c r="CO275">
        <v>527</v>
      </c>
    </row>
    <row r="276" spans="1:93" hidden="1" x14ac:dyDescent="0.25">
      <c r="A276" s="215">
        <v>45162</v>
      </c>
      <c r="B276" s="104">
        <v>5545130</v>
      </c>
      <c r="C276" s="104">
        <v>5054</v>
      </c>
      <c r="D276" s="104">
        <v>5550184</v>
      </c>
      <c r="E276" s="104">
        <v>99.91</v>
      </c>
      <c r="F276" s="71">
        <f t="shared" si="97"/>
        <v>5.5501839999999998</v>
      </c>
      <c r="H276" s="215">
        <v>45162</v>
      </c>
      <c r="I276" s="101">
        <v>1403418</v>
      </c>
      <c r="J276" s="101">
        <v>2244</v>
      </c>
      <c r="K276" s="101">
        <v>1405662</v>
      </c>
      <c r="L276" s="101">
        <v>99.84</v>
      </c>
      <c r="M276" s="71">
        <f t="shared" si="96"/>
        <v>1.405662</v>
      </c>
      <c r="O276" s="215">
        <v>45162</v>
      </c>
      <c r="P276" s="101">
        <v>460350</v>
      </c>
      <c r="Q276" s="101">
        <v>2544</v>
      </c>
      <c r="R276" s="101">
        <v>462894</v>
      </c>
      <c r="S276" s="101">
        <v>99.45</v>
      </c>
      <c r="T276" s="71">
        <f t="shared" si="95"/>
        <v>0.46289400000000003</v>
      </c>
      <c r="V276" s="215">
        <v>45162</v>
      </c>
      <c r="W276" s="101">
        <v>1042610</v>
      </c>
      <c r="X276" s="101">
        <v>162</v>
      </c>
      <c r="Y276" s="101">
        <v>1042772</v>
      </c>
      <c r="Z276" s="101">
        <v>99.98</v>
      </c>
      <c r="AA276" s="71">
        <f t="shared" si="92"/>
        <v>1.042772</v>
      </c>
      <c r="AC276" s="215">
        <v>45162</v>
      </c>
      <c r="AD276" s="101">
        <v>715046</v>
      </c>
      <c r="AE276" s="101">
        <v>194</v>
      </c>
      <c r="AF276" s="101">
        <v>715240</v>
      </c>
      <c r="AG276" s="101">
        <v>99.97</v>
      </c>
      <c r="AH276" s="71">
        <f t="shared" si="93"/>
        <v>0.71523999999999999</v>
      </c>
      <c r="AJ276" s="215">
        <v>45162</v>
      </c>
      <c r="AK276" s="48">
        <v>136</v>
      </c>
      <c r="AL276" s="48">
        <v>8</v>
      </c>
      <c r="AM276" s="48">
        <v>144</v>
      </c>
      <c r="AN276" s="48">
        <v>94.44</v>
      </c>
      <c r="AQ276" s="215">
        <v>45162</v>
      </c>
      <c r="AR276" s="104">
        <v>1516</v>
      </c>
      <c r="AS276" s="104">
        <v>128</v>
      </c>
      <c r="AT276" s="104">
        <v>1644</v>
      </c>
      <c r="AU276" s="104">
        <v>92.21</v>
      </c>
      <c r="AX276" s="215">
        <v>45162</v>
      </c>
      <c r="AY276" s="104">
        <v>1652</v>
      </c>
      <c r="AZ276" s="104">
        <v>154</v>
      </c>
      <c r="BA276" s="104">
        <v>1806</v>
      </c>
      <c r="BB276" s="104">
        <v>91.47</v>
      </c>
      <c r="BE276" s="215">
        <v>45162</v>
      </c>
      <c r="BF276" s="101">
        <v>8790</v>
      </c>
      <c r="BG276" s="101">
        <v>90</v>
      </c>
      <c r="BH276" s="101">
        <v>8880</v>
      </c>
      <c r="BI276" s="101">
        <v>98.99</v>
      </c>
      <c r="BL276" s="215">
        <v>45162</v>
      </c>
      <c r="BM276" s="101">
        <v>5202</v>
      </c>
      <c r="BN276" s="101">
        <v>0</v>
      </c>
      <c r="BO276" s="101">
        <v>5202</v>
      </c>
      <c r="BP276" s="101">
        <v>100</v>
      </c>
      <c r="BS276" s="48"/>
      <c r="BT276" s="48"/>
      <c r="BU276" s="48"/>
      <c r="BV276" s="48"/>
      <c r="BW276" s="48"/>
      <c r="BZ276" s="1"/>
      <c r="CA276" s="1"/>
      <c r="CB276" s="1"/>
      <c r="CC276" s="1"/>
      <c r="CE276" s="215">
        <v>45162</v>
      </c>
      <c r="CF276" s="1">
        <v>10760594</v>
      </c>
      <c r="CG276" s="1">
        <v>20232</v>
      </c>
      <c r="CH276" s="1">
        <v>10780826</v>
      </c>
      <c r="CI276" s="46">
        <f t="shared" si="88"/>
        <v>99.812333489103722</v>
      </c>
      <c r="CJ276" s="71">
        <f t="shared" si="91"/>
        <v>10.780825999999999</v>
      </c>
      <c r="CL276" s="140">
        <v>45005</v>
      </c>
      <c r="CM276" s="252" t="s">
        <v>243</v>
      </c>
      <c r="CN276">
        <v>870</v>
      </c>
      <c r="CO276">
        <v>540</v>
      </c>
    </row>
    <row r="277" spans="1:93" hidden="1" x14ac:dyDescent="0.25">
      <c r="A277" s="215">
        <v>45163</v>
      </c>
      <c r="B277" s="104">
        <v>5855688</v>
      </c>
      <c r="C277" s="104">
        <v>5013</v>
      </c>
      <c r="D277" s="104">
        <v>5860701</v>
      </c>
      <c r="E277" s="104">
        <v>99.91</v>
      </c>
      <c r="F277" s="71">
        <f t="shared" si="97"/>
        <v>5.8607009999999997</v>
      </c>
      <c r="H277" s="215">
        <v>45163</v>
      </c>
      <c r="I277" s="101">
        <v>1591091</v>
      </c>
      <c r="J277" s="101">
        <v>4246</v>
      </c>
      <c r="K277" s="101">
        <v>1595337</v>
      </c>
      <c r="L277" s="101">
        <v>99.73</v>
      </c>
      <c r="M277" s="71">
        <f t="shared" si="96"/>
        <v>1.595337</v>
      </c>
      <c r="O277" s="215">
        <v>45163</v>
      </c>
      <c r="P277" s="101">
        <v>465218</v>
      </c>
      <c r="Q277" s="101">
        <v>2725</v>
      </c>
      <c r="R277" s="101">
        <v>467943</v>
      </c>
      <c r="S277" s="101">
        <v>99.42</v>
      </c>
      <c r="T277" s="71">
        <f t="shared" si="95"/>
        <v>0.467943</v>
      </c>
      <c r="V277" s="215">
        <v>45163</v>
      </c>
      <c r="W277" s="101">
        <v>1088533</v>
      </c>
      <c r="X277" s="101">
        <v>193</v>
      </c>
      <c r="Y277" s="101">
        <v>1088726</v>
      </c>
      <c r="Z277" s="101">
        <v>99.98</v>
      </c>
      <c r="AA277" s="71">
        <f t="shared" si="92"/>
        <v>1.0887260000000001</v>
      </c>
      <c r="AC277" s="215">
        <v>45163</v>
      </c>
      <c r="AD277" s="101">
        <v>659836</v>
      </c>
      <c r="AE277" s="101">
        <v>147</v>
      </c>
      <c r="AF277" s="101">
        <v>659983</v>
      </c>
      <c r="AG277" s="101">
        <v>99.98</v>
      </c>
      <c r="AH277" s="71">
        <f t="shared" si="93"/>
        <v>0.65998299999999999</v>
      </c>
      <c r="AJ277" s="215">
        <v>45163</v>
      </c>
      <c r="AK277" s="48">
        <v>222</v>
      </c>
      <c r="AL277" s="48">
        <v>0</v>
      </c>
      <c r="AM277" s="48">
        <v>222</v>
      </c>
      <c r="AN277" s="48">
        <v>100</v>
      </c>
      <c r="AQ277" s="215">
        <v>45163</v>
      </c>
      <c r="AR277" s="104">
        <v>1597</v>
      </c>
      <c r="AS277" s="104">
        <v>10</v>
      </c>
      <c r="AT277" s="104">
        <v>1607</v>
      </c>
      <c r="AU277" s="104">
        <v>99.38</v>
      </c>
      <c r="AX277" s="215">
        <v>45163</v>
      </c>
      <c r="AY277" s="104">
        <v>2517</v>
      </c>
      <c r="AZ277" s="104">
        <v>34</v>
      </c>
      <c r="BA277" s="104">
        <v>2551</v>
      </c>
      <c r="BB277" s="104">
        <v>98.67</v>
      </c>
      <c r="BE277" s="215">
        <v>45163</v>
      </c>
      <c r="BF277" s="101">
        <v>8497</v>
      </c>
      <c r="BG277" s="101">
        <v>97</v>
      </c>
      <c r="BH277" s="101">
        <v>8594</v>
      </c>
      <c r="BI277" s="101">
        <v>98.87</v>
      </c>
      <c r="BL277" s="215">
        <v>45163</v>
      </c>
      <c r="BM277" s="101">
        <v>12616</v>
      </c>
      <c r="BN277" s="101">
        <v>0</v>
      </c>
      <c r="BO277" s="101">
        <v>12616</v>
      </c>
      <c r="BP277" s="101">
        <v>100</v>
      </c>
      <c r="BS277" s="48"/>
      <c r="BT277" s="48"/>
      <c r="BU277" s="48"/>
      <c r="BV277" s="48"/>
      <c r="BW277" s="48"/>
      <c r="BZ277" s="1"/>
      <c r="CA277" s="1"/>
      <c r="CB277" s="1"/>
      <c r="CC277" s="1"/>
      <c r="CE277" s="215">
        <v>45163</v>
      </c>
      <c r="CF277" s="1">
        <v>11309610</v>
      </c>
      <c r="CG277" s="1">
        <v>19161</v>
      </c>
      <c r="CH277" s="1">
        <v>11328771</v>
      </c>
      <c r="CI277" s="46">
        <f t="shared" si="88"/>
        <v>99.83086426585902</v>
      </c>
      <c r="CJ277" s="71">
        <f t="shared" si="91"/>
        <v>11.328771</v>
      </c>
      <c r="CL277" s="140">
        <v>45005</v>
      </c>
      <c r="CM277" s="252" t="s">
        <v>244</v>
      </c>
      <c r="CN277">
        <v>568</v>
      </c>
      <c r="CO277">
        <v>513</v>
      </c>
    </row>
    <row r="278" spans="1:93" hidden="1" x14ac:dyDescent="0.25">
      <c r="A278" s="215">
        <v>45164</v>
      </c>
      <c r="B278" s="104">
        <v>5592240</v>
      </c>
      <c r="C278" s="104">
        <v>5198</v>
      </c>
      <c r="D278" s="104">
        <v>5597438</v>
      </c>
      <c r="E278" s="104">
        <v>99.91</v>
      </c>
      <c r="F278" s="71">
        <f t="shared" si="97"/>
        <v>5.5974380000000004</v>
      </c>
      <c r="H278" s="215">
        <v>45164</v>
      </c>
      <c r="I278" s="101">
        <v>1400768</v>
      </c>
      <c r="J278" s="101">
        <v>2308</v>
      </c>
      <c r="K278" s="101">
        <v>1403076</v>
      </c>
      <c r="L278" s="101">
        <v>99.84</v>
      </c>
      <c r="M278" s="71">
        <f t="shared" si="96"/>
        <v>1.403076</v>
      </c>
      <c r="O278" s="215">
        <v>45164</v>
      </c>
      <c r="P278" s="101">
        <v>448506</v>
      </c>
      <c r="Q278" s="101">
        <v>2370</v>
      </c>
      <c r="R278" s="101">
        <v>450876</v>
      </c>
      <c r="S278" s="101">
        <v>99.47</v>
      </c>
      <c r="T278" s="71">
        <f t="shared" si="95"/>
        <v>0.450876</v>
      </c>
      <c r="V278" s="215">
        <v>45164</v>
      </c>
      <c r="W278" s="101">
        <v>1008019</v>
      </c>
      <c r="X278" s="101">
        <v>1020</v>
      </c>
      <c r="Y278" s="101">
        <v>1009039</v>
      </c>
      <c r="Z278" s="101">
        <v>99.9</v>
      </c>
      <c r="AA278" s="71">
        <f t="shared" si="92"/>
        <v>1.009039</v>
      </c>
      <c r="AC278" s="215">
        <v>45164</v>
      </c>
      <c r="AD278" s="101">
        <v>727559</v>
      </c>
      <c r="AE278" s="101">
        <v>201</v>
      </c>
      <c r="AF278" s="101">
        <v>727760</v>
      </c>
      <c r="AG278" s="101">
        <v>99.97</v>
      </c>
      <c r="AH278" s="71">
        <f t="shared" si="93"/>
        <v>0.72775999999999996</v>
      </c>
      <c r="AJ278" s="215">
        <v>45164</v>
      </c>
      <c r="AK278" s="48">
        <v>150</v>
      </c>
      <c r="AL278" s="48">
        <v>0</v>
      </c>
      <c r="AM278" s="48">
        <v>150</v>
      </c>
      <c r="AN278" s="48">
        <v>100</v>
      </c>
      <c r="AQ278" s="215">
        <v>45164</v>
      </c>
      <c r="AR278" s="104">
        <v>1480</v>
      </c>
      <c r="AS278" s="104">
        <v>2</v>
      </c>
      <c r="AT278" s="104">
        <v>1482</v>
      </c>
      <c r="AU278" s="104">
        <v>99.87</v>
      </c>
      <c r="AX278" s="215">
        <v>45164</v>
      </c>
      <c r="AY278" s="104">
        <v>810</v>
      </c>
      <c r="AZ278" s="104">
        <v>155</v>
      </c>
      <c r="BA278" s="104">
        <v>965</v>
      </c>
      <c r="BB278" s="104">
        <v>83.94</v>
      </c>
      <c r="BE278" s="215">
        <v>45164</v>
      </c>
      <c r="BF278" s="101">
        <v>7039</v>
      </c>
      <c r="BG278" s="101">
        <v>84</v>
      </c>
      <c r="BH278" s="101">
        <v>7123</v>
      </c>
      <c r="BI278" s="101">
        <v>98.82</v>
      </c>
      <c r="BL278" s="215">
        <v>45164</v>
      </c>
      <c r="BM278" s="101">
        <v>26596</v>
      </c>
      <c r="BN278" s="101">
        <v>0</v>
      </c>
      <c r="BO278" s="101">
        <v>26596</v>
      </c>
      <c r="BP278" s="101">
        <v>100</v>
      </c>
      <c r="BS278" s="48"/>
      <c r="BT278" s="48"/>
      <c r="BU278" s="48"/>
      <c r="BV278" s="48"/>
      <c r="BW278" s="48"/>
      <c r="BZ278" s="1"/>
      <c r="CA278" s="1"/>
      <c r="CB278" s="1"/>
      <c r="CC278" s="1"/>
      <c r="CE278" s="215">
        <v>45164</v>
      </c>
      <c r="CF278" s="1">
        <v>10734683</v>
      </c>
      <c r="CG278" s="1">
        <v>16265</v>
      </c>
      <c r="CH278" s="1">
        <v>10750948</v>
      </c>
      <c r="CI278" s="46">
        <f t="shared" si="88"/>
        <v>99.848711015995988</v>
      </c>
      <c r="CJ278" s="71">
        <f t="shared" si="91"/>
        <v>10.750947999999999</v>
      </c>
      <c r="CL278" s="140">
        <v>45006</v>
      </c>
      <c r="CM278" s="252" t="s">
        <v>238</v>
      </c>
      <c r="CN278">
        <v>12694</v>
      </c>
      <c r="CO278">
        <v>503</v>
      </c>
    </row>
    <row r="279" spans="1:93" hidden="1" x14ac:dyDescent="0.25">
      <c r="A279" s="215">
        <v>45165</v>
      </c>
      <c r="B279" s="104">
        <v>5082010</v>
      </c>
      <c r="C279" s="104">
        <v>3229</v>
      </c>
      <c r="D279" s="104">
        <v>5085239</v>
      </c>
      <c r="E279" s="104">
        <v>99.94</v>
      </c>
      <c r="F279" s="71">
        <f t="shared" si="97"/>
        <v>5.0852389999999996</v>
      </c>
      <c r="H279" s="215">
        <v>45165</v>
      </c>
      <c r="I279" s="101">
        <v>1362119</v>
      </c>
      <c r="J279" s="101">
        <v>2106</v>
      </c>
      <c r="K279" s="101">
        <v>1364225</v>
      </c>
      <c r="L279" s="101">
        <v>99.85</v>
      </c>
      <c r="M279" s="71">
        <f t="shared" si="96"/>
        <v>1.364225</v>
      </c>
      <c r="O279" s="215">
        <v>45165</v>
      </c>
      <c r="P279" s="101">
        <v>470776</v>
      </c>
      <c r="Q279" s="101">
        <v>2379</v>
      </c>
      <c r="R279" s="101">
        <v>473155</v>
      </c>
      <c r="S279" s="101">
        <v>99.5</v>
      </c>
      <c r="T279" s="71">
        <f t="shared" si="95"/>
        <v>0.47315499999999999</v>
      </c>
      <c r="V279" s="215">
        <v>45165</v>
      </c>
      <c r="W279" s="101">
        <v>983156</v>
      </c>
      <c r="X279" s="101">
        <v>247</v>
      </c>
      <c r="Y279" s="101">
        <v>983403</v>
      </c>
      <c r="Z279" s="101">
        <v>99.97</v>
      </c>
      <c r="AA279" s="71">
        <f t="shared" si="92"/>
        <v>0.98340300000000003</v>
      </c>
      <c r="AC279" s="215">
        <v>45165</v>
      </c>
      <c r="AD279" s="101">
        <v>721703</v>
      </c>
      <c r="AE279" s="101">
        <v>215</v>
      </c>
      <c r="AF279" s="101">
        <v>721918</v>
      </c>
      <c r="AG279" s="101">
        <v>99.97</v>
      </c>
      <c r="AH279" s="71">
        <f t="shared" si="93"/>
        <v>0.72191799999999995</v>
      </c>
      <c r="AJ279" s="215">
        <v>45165</v>
      </c>
      <c r="AK279" s="48">
        <v>206</v>
      </c>
      <c r="AL279" s="48">
        <v>1</v>
      </c>
      <c r="AM279" s="48">
        <v>207</v>
      </c>
      <c r="AN279" s="48">
        <v>99.52</v>
      </c>
      <c r="AQ279" s="215">
        <v>45165</v>
      </c>
      <c r="AR279" s="104">
        <v>641</v>
      </c>
      <c r="AS279" s="104">
        <v>6</v>
      </c>
      <c r="AT279" s="104">
        <v>647</v>
      </c>
      <c r="AU279" s="104">
        <v>99.07</v>
      </c>
      <c r="AX279" s="215">
        <v>45165</v>
      </c>
      <c r="AY279" s="104">
        <v>0</v>
      </c>
      <c r="AZ279" s="104">
        <v>212</v>
      </c>
      <c r="BA279" s="104">
        <v>212</v>
      </c>
      <c r="BB279" s="104">
        <v>0</v>
      </c>
      <c r="BE279" s="215">
        <v>45165</v>
      </c>
      <c r="BF279" s="101">
        <v>6962</v>
      </c>
      <c r="BG279" s="101">
        <v>78</v>
      </c>
      <c r="BH279" s="101">
        <v>7040</v>
      </c>
      <c r="BI279" s="101">
        <v>98.89</v>
      </c>
      <c r="BL279" s="215">
        <v>45165</v>
      </c>
      <c r="BM279" s="101">
        <v>9886</v>
      </c>
      <c r="BN279" s="101">
        <v>0</v>
      </c>
      <c r="BO279" s="101">
        <v>9886</v>
      </c>
      <c r="BP279" s="101">
        <v>100</v>
      </c>
      <c r="BS279" s="48"/>
      <c r="BT279" s="48"/>
      <c r="BU279" s="48"/>
      <c r="BV279" s="48"/>
      <c r="BW279" s="48"/>
      <c r="BZ279" s="1"/>
      <c r="CA279" s="1"/>
      <c r="CB279" s="1"/>
      <c r="CC279" s="1"/>
      <c r="CE279" s="215">
        <v>45165</v>
      </c>
      <c r="CF279" s="1">
        <v>10185087</v>
      </c>
      <c r="CG279" s="1">
        <v>13006</v>
      </c>
      <c r="CH279" s="1">
        <v>10198093</v>
      </c>
      <c r="CI279" s="46">
        <f t="shared" si="88"/>
        <v>99.872466352287631</v>
      </c>
      <c r="CJ279" s="71">
        <f t="shared" si="91"/>
        <v>10.198093</v>
      </c>
      <c r="CL279" s="140">
        <v>45006</v>
      </c>
      <c r="CM279" s="252" t="s">
        <v>240</v>
      </c>
      <c r="CN279">
        <v>3124</v>
      </c>
      <c r="CO279">
        <v>516</v>
      </c>
    </row>
    <row r="280" spans="1:93" hidden="1" x14ac:dyDescent="0.25">
      <c r="A280" s="215">
        <v>45166</v>
      </c>
      <c r="B280" s="104">
        <v>6693876</v>
      </c>
      <c r="C280" s="104">
        <v>9813</v>
      </c>
      <c r="D280" s="104">
        <v>6703689</v>
      </c>
      <c r="E280" s="104">
        <v>99.85</v>
      </c>
      <c r="F280" s="71">
        <f t="shared" si="97"/>
        <v>6.7036889999999998</v>
      </c>
      <c r="H280" s="215">
        <v>45166</v>
      </c>
      <c r="I280" s="101">
        <v>1547078</v>
      </c>
      <c r="J280" s="101">
        <v>2133</v>
      </c>
      <c r="K280" s="101">
        <v>1549211</v>
      </c>
      <c r="L280" s="101">
        <v>99.86</v>
      </c>
      <c r="M280" s="71">
        <f t="shared" si="96"/>
        <v>1.5492109999999999</v>
      </c>
      <c r="O280" s="215">
        <v>45166</v>
      </c>
      <c r="P280" s="101">
        <v>501813</v>
      </c>
      <c r="Q280" s="101">
        <v>2564</v>
      </c>
      <c r="R280" s="101">
        <v>504377</v>
      </c>
      <c r="S280" s="101">
        <v>99.49</v>
      </c>
      <c r="T280" s="71">
        <f t="shared" si="95"/>
        <v>0.50437699999999996</v>
      </c>
      <c r="V280" s="215">
        <v>45166</v>
      </c>
      <c r="W280" s="101">
        <v>1148436</v>
      </c>
      <c r="X280" s="101">
        <v>709</v>
      </c>
      <c r="Y280" s="101">
        <v>1149145</v>
      </c>
      <c r="Z280" s="101">
        <v>99.94</v>
      </c>
      <c r="AA280" s="71">
        <f t="shared" si="92"/>
        <v>1.1491450000000001</v>
      </c>
      <c r="AC280" s="215">
        <v>45166</v>
      </c>
      <c r="AD280" s="101">
        <v>626555</v>
      </c>
      <c r="AE280" s="101">
        <v>246</v>
      </c>
      <c r="AF280" s="101">
        <v>626801</v>
      </c>
      <c r="AG280" s="101">
        <v>99.96</v>
      </c>
      <c r="AH280" s="71">
        <f t="shared" si="93"/>
        <v>0.62680100000000005</v>
      </c>
      <c r="AJ280" s="215">
        <v>45166</v>
      </c>
      <c r="AK280" s="48">
        <v>205</v>
      </c>
      <c r="AL280" s="48">
        <v>0</v>
      </c>
      <c r="AM280" s="48">
        <v>205</v>
      </c>
      <c r="AN280" s="48">
        <v>100</v>
      </c>
      <c r="AQ280" s="215">
        <v>45166</v>
      </c>
      <c r="AR280" s="104">
        <v>5134</v>
      </c>
      <c r="AS280" s="104">
        <v>76</v>
      </c>
      <c r="AT280" s="104">
        <v>5210</v>
      </c>
      <c r="AU280" s="104">
        <v>98.54</v>
      </c>
      <c r="AX280" s="215">
        <v>45166</v>
      </c>
      <c r="AY280" s="104">
        <v>3522</v>
      </c>
      <c r="AZ280" s="104">
        <v>97</v>
      </c>
      <c r="BA280" s="104">
        <v>3619</v>
      </c>
      <c r="BB280" s="104">
        <v>97.32</v>
      </c>
      <c r="BE280" s="215">
        <v>45166</v>
      </c>
      <c r="BF280" s="101">
        <v>9444</v>
      </c>
      <c r="BG280" s="101">
        <v>148</v>
      </c>
      <c r="BH280" s="101">
        <v>9592</v>
      </c>
      <c r="BI280" s="101">
        <v>98.46</v>
      </c>
      <c r="BL280" s="215">
        <v>45166</v>
      </c>
      <c r="BM280" s="101">
        <v>5691</v>
      </c>
      <c r="BN280" s="101">
        <v>0</v>
      </c>
      <c r="BO280" s="101">
        <v>5691</v>
      </c>
      <c r="BP280" s="101">
        <v>100</v>
      </c>
      <c r="BS280" s="48"/>
      <c r="BT280" s="48"/>
      <c r="BU280" s="48"/>
      <c r="BV280" s="48"/>
      <c r="BW280" s="48"/>
      <c r="BZ280" s="1"/>
      <c r="CA280" s="1"/>
      <c r="CB280" s="1"/>
      <c r="CC280" s="1"/>
      <c r="CE280" s="215">
        <v>45166</v>
      </c>
      <c r="CF280" s="1">
        <v>12292154</v>
      </c>
      <c r="CG280" s="1">
        <v>41614</v>
      </c>
      <c r="CH280" s="1">
        <v>12333768</v>
      </c>
      <c r="CI280" s="46">
        <f t="shared" si="88"/>
        <v>99.662601080221393</v>
      </c>
      <c r="CJ280" s="71">
        <f t="shared" si="91"/>
        <v>12.333767999999999</v>
      </c>
      <c r="CL280" s="140">
        <v>45006</v>
      </c>
      <c r="CM280" s="252" t="s">
        <v>247</v>
      </c>
      <c r="CN280">
        <v>2784</v>
      </c>
      <c r="CO280">
        <v>527</v>
      </c>
    </row>
    <row r="281" spans="1:93" hidden="1" x14ac:dyDescent="0.25">
      <c r="A281" s="215">
        <v>45167</v>
      </c>
      <c r="B281" s="104">
        <v>15030378</v>
      </c>
      <c r="C281" s="104">
        <v>11125</v>
      </c>
      <c r="D281" s="104">
        <v>15041503</v>
      </c>
      <c r="E281" s="104">
        <v>99.93</v>
      </c>
      <c r="F281" s="71">
        <f t="shared" si="97"/>
        <v>15.041503000000001</v>
      </c>
      <c r="H281" s="215">
        <v>45167</v>
      </c>
      <c r="I281" s="101">
        <v>3963535</v>
      </c>
      <c r="J281" s="101">
        <v>16834</v>
      </c>
      <c r="K281" s="101">
        <v>3980369</v>
      </c>
      <c r="L281" s="101">
        <v>99.58</v>
      </c>
      <c r="M281" s="71">
        <f t="shared" si="96"/>
        <v>3.980369</v>
      </c>
      <c r="O281" s="215">
        <v>45167</v>
      </c>
      <c r="P281" s="101">
        <v>1149502</v>
      </c>
      <c r="Q281" s="101">
        <v>7518</v>
      </c>
      <c r="R281" s="101">
        <v>1157020</v>
      </c>
      <c r="S281" s="101">
        <v>99.35</v>
      </c>
      <c r="T281" s="71">
        <f t="shared" si="95"/>
        <v>1.1570199999999999</v>
      </c>
      <c r="V281" s="215">
        <v>45167</v>
      </c>
      <c r="W281" s="101">
        <v>2594498</v>
      </c>
      <c r="X281" s="101">
        <v>919</v>
      </c>
      <c r="Y281" s="101">
        <v>2595417</v>
      </c>
      <c r="Z281" s="101">
        <v>99.96</v>
      </c>
      <c r="AA281" s="71">
        <f t="shared" si="92"/>
        <v>2.5954169999999999</v>
      </c>
      <c r="AC281" s="215">
        <v>45167</v>
      </c>
      <c r="AD281" s="101">
        <v>1556087</v>
      </c>
      <c r="AE281" s="101">
        <v>859</v>
      </c>
      <c r="AF281" s="101">
        <v>1556946</v>
      </c>
      <c r="AG281" s="101">
        <v>99.94</v>
      </c>
      <c r="AH281" s="71">
        <f t="shared" si="93"/>
        <v>1.5569459999999999</v>
      </c>
      <c r="AJ281" s="215">
        <v>45167</v>
      </c>
      <c r="AK281" s="48">
        <v>590</v>
      </c>
      <c r="AL281" s="48">
        <v>2</v>
      </c>
      <c r="AM281" s="48">
        <v>592</v>
      </c>
      <c r="AN281" s="48">
        <v>99.66</v>
      </c>
      <c r="AQ281" s="215">
        <v>45167</v>
      </c>
      <c r="AR281" s="104">
        <v>5900</v>
      </c>
      <c r="AS281" s="104">
        <v>43</v>
      </c>
      <c r="AT281" s="104">
        <v>5943</v>
      </c>
      <c r="AU281" s="104">
        <v>99.28</v>
      </c>
      <c r="AX281" s="215">
        <v>45167</v>
      </c>
      <c r="AY281" s="104">
        <v>5004</v>
      </c>
      <c r="AZ281" s="104">
        <v>65</v>
      </c>
      <c r="BA281" s="104">
        <v>5069</v>
      </c>
      <c r="BB281" s="104">
        <v>98.72</v>
      </c>
      <c r="BE281" s="215">
        <v>45167</v>
      </c>
      <c r="BF281" s="101">
        <v>20818</v>
      </c>
      <c r="BG281" s="101">
        <v>257</v>
      </c>
      <c r="BH281" s="101">
        <v>21075</v>
      </c>
      <c r="BI281" s="101">
        <v>98.78</v>
      </c>
      <c r="BL281" s="215">
        <v>45167</v>
      </c>
      <c r="BM281" s="101">
        <v>9563</v>
      </c>
      <c r="BN281" s="101">
        <v>0</v>
      </c>
      <c r="BO281" s="101">
        <v>9563</v>
      </c>
      <c r="BP281" s="101">
        <v>100</v>
      </c>
      <c r="BS281" s="48"/>
      <c r="BT281" s="48"/>
      <c r="BU281" s="48"/>
      <c r="BV281" s="48"/>
      <c r="BW281" s="48"/>
      <c r="BZ281" s="1"/>
      <c r="CA281" s="1"/>
      <c r="CB281" s="1"/>
      <c r="CC281" s="1"/>
      <c r="CE281" s="215">
        <v>45167</v>
      </c>
      <c r="CF281" s="1">
        <v>28427788</v>
      </c>
      <c r="CG281" s="1">
        <v>63097</v>
      </c>
      <c r="CH281" s="1">
        <v>28490885</v>
      </c>
      <c r="CI281" s="46">
        <f t="shared" si="88"/>
        <v>99.778536187977323</v>
      </c>
      <c r="CJ281" s="71">
        <f t="shared" si="91"/>
        <v>28.490884999999999</v>
      </c>
      <c r="CL281" s="140">
        <v>45006</v>
      </c>
      <c r="CM281" s="252" t="s">
        <v>244</v>
      </c>
      <c r="CN281">
        <v>572</v>
      </c>
      <c r="CO281">
        <v>513</v>
      </c>
    </row>
    <row r="282" spans="1:93" hidden="1" x14ac:dyDescent="0.25">
      <c r="A282" s="215">
        <v>45168</v>
      </c>
      <c r="B282" s="104">
        <v>5955096</v>
      </c>
      <c r="C282" s="104">
        <v>2985</v>
      </c>
      <c r="D282" s="104">
        <v>5958081</v>
      </c>
      <c r="E282" s="104">
        <v>99.95</v>
      </c>
      <c r="F282" s="71">
        <f t="shared" si="97"/>
        <v>5.958081</v>
      </c>
      <c r="H282" s="215">
        <v>45168</v>
      </c>
      <c r="I282" s="101">
        <v>1390120</v>
      </c>
      <c r="J282" s="101">
        <v>3584</v>
      </c>
      <c r="K282" s="101">
        <v>1393704</v>
      </c>
      <c r="L282" s="101">
        <v>99.74</v>
      </c>
      <c r="M282" s="71">
        <f t="shared" si="96"/>
        <v>1.3937040000000001</v>
      </c>
      <c r="O282" s="215">
        <v>45168</v>
      </c>
      <c r="P282" s="101">
        <v>454042</v>
      </c>
      <c r="Q282" s="101">
        <v>2062</v>
      </c>
      <c r="R282" s="101">
        <v>456104</v>
      </c>
      <c r="S282" s="101">
        <v>99.55</v>
      </c>
      <c r="T282" s="71">
        <f t="shared" si="95"/>
        <v>0.45610400000000001</v>
      </c>
      <c r="V282" s="215">
        <v>45168</v>
      </c>
      <c r="W282" s="101">
        <v>1035718</v>
      </c>
      <c r="X282" s="101">
        <v>206</v>
      </c>
      <c r="Y282" s="101">
        <v>1035924</v>
      </c>
      <c r="Z282" s="101">
        <v>99.98</v>
      </c>
      <c r="AA282" s="71">
        <f t="shared" si="92"/>
        <v>1.0359240000000001</v>
      </c>
      <c r="AC282" s="215">
        <v>45168</v>
      </c>
      <c r="AD282" s="101">
        <v>788293</v>
      </c>
      <c r="AE282" s="101">
        <v>127</v>
      </c>
      <c r="AF282" s="101">
        <v>788420</v>
      </c>
      <c r="AG282" s="101">
        <v>99.98</v>
      </c>
      <c r="AH282" s="71">
        <f t="shared" si="93"/>
        <v>0.78842000000000001</v>
      </c>
      <c r="AJ282" s="215">
        <v>45168</v>
      </c>
      <c r="AK282" s="48">
        <v>96</v>
      </c>
      <c r="AL282" s="48">
        <v>36</v>
      </c>
      <c r="AM282" s="48">
        <v>132</v>
      </c>
      <c r="AN282" s="48">
        <v>72.73</v>
      </c>
      <c r="AQ282" s="215">
        <v>45168</v>
      </c>
      <c r="AR282" s="104">
        <v>2562</v>
      </c>
      <c r="AS282" s="104">
        <v>15</v>
      </c>
      <c r="AT282" s="104">
        <v>2577</v>
      </c>
      <c r="AU282" s="104">
        <v>99.42</v>
      </c>
      <c r="AX282" s="215">
        <v>45168</v>
      </c>
      <c r="AY282" s="104">
        <v>2320</v>
      </c>
      <c r="AZ282" s="104">
        <v>20</v>
      </c>
      <c r="BA282" s="104">
        <v>2340</v>
      </c>
      <c r="BB282" s="104">
        <v>99.15</v>
      </c>
      <c r="BE282" s="215">
        <v>45168</v>
      </c>
      <c r="BF282" s="101">
        <v>8276</v>
      </c>
      <c r="BG282" s="101">
        <v>140</v>
      </c>
      <c r="BH282" s="101">
        <v>8416</v>
      </c>
      <c r="BI282" s="101">
        <v>98.34</v>
      </c>
      <c r="BL282" s="215">
        <v>45168</v>
      </c>
      <c r="BM282" s="101">
        <v>5778</v>
      </c>
      <c r="BN282" s="101">
        <v>0</v>
      </c>
      <c r="BO282" s="101">
        <v>5778</v>
      </c>
      <c r="BP282" s="101">
        <v>100</v>
      </c>
      <c r="BS282" s="48"/>
      <c r="BT282" s="48"/>
      <c r="BU282" s="48"/>
      <c r="BV282" s="48"/>
      <c r="BW282" s="48"/>
      <c r="BZ282" s="1"/>
      <c r="CA282" s="1"/>
      <c r="CB282" s="1"/>
      <c r="CC282" s="1"/>
      <c r="CE282" s="215">
        <v>45168</v>
      </c>
      <c r="CF282" s="1">
        <v>11301014</v>
      </c>
      <c r="CG282" s="1">
        <v>14896</v>
      </c>
      <c r="CH282" s="1">
        <v>11315910</v>
      </c>
      <c r="CI282" s="46">
        <f t="shared" si="88"/>
        <v>99.868362332326782</v>
      </c>
      <c r="CJ282" s="71">
        <f t="shared" si="91"/>
        <v>11.315910000000001</v>
      </c>
      <c r="CL282" s="140">
        <v>45006</v>
      </c>
      <c r="CM282" s="252" t="s">
        <v>243</v>
      </c>
      <c r="CN282">
        <v>344</v>
      </c>
      <c r="CO282">
        <v>540</v>
      </c>
    </row>
    <row r="283" spans="1:93" hidden="1" x14ac:dyDescent="0.25">
      <c r="A283" s="215">
        <v>45169</v>
      </c>
      <c r="B283" s="104">
        <v>6053703</v>
      </c>
      <c r="C283" s="104">
        <v>2586</v>
      </c>
      <c r="D283" s="104">
        <v>6056289</v>
      </c>
      <c r="E283" s="104">
        <v>99.96</v>
      </c>
      <c r="F283" s="71">
        <f t="shared" si="97"/>
        <v>6.0562889999999996</v>
      </c>
      <c r="H283" s="215">
        <v>45169</v>
      </c>
      <c r="I283" s="101">
        <v>1463776</v>
      </c>
      <c r="J283" s="101">
        <v>3155</v>
      </c>
      <c r="K283" s="101">
        <v>1466931</v>
      </c>
      <c r="L283" s="101">
        <v>99.78</v>
      </c>
      <c r="M283" s="71">
        <f t="shared" si="96"/>
        <v>1.466931</v>
      </c>
      <c r="O283" s="215">
        <v>45169</v>
      </c>
      <c r="P283" s="101">
        <v>469934</v>
      </c>
      <c r="Q283" s="101">
        <v>2416</v>
      </c>
      <c r="R283" s="101">
        <v>472350</v>
      </c>
      <c r="S283" s="101">
        <v>99.49</v>
      </c>
      <c r="T283" s="71">
        <f t="shared" si="95"/>
        <v>0.47234999999999999</v>
      </c>
      <c r="V283" s="215">
        <v>45169</v>
      </c>
      <c r="W283" s="101">
        <v>1099230</v>
      </c>
      <c r="X283" s="101">
        <v>200</v>
      </c>
      <c r="Y283" s="101">
        <v>1099430</v>
      </c>
      <c r="Z283" s="101">
        <v>99.98</v>
      </c>
      <c r="AA283" s="71">
        <f t="shared" si="92"/>
        <v>1.0994299999999999</v>
      </c>
      <c r="AC283" s="215">
        <v>45169</v>
      </c>
      <c r="AD283" s="101">
        <v>728549</v>
      </c>
      <c r="AE283" s="101">
        <v>125</v>
      </c>
      <c r="AF283" s="101">
        <v>728674</v>
      </c>
      <c r="AG283" s="101">
        <v>99.98</v>
      </c>
      <c r="AH283" s="71">
        <f t="shared" si="93"/>
        <v>0.72867400000000004</v>
      </c>
      <c r="AJ283" s="215">
        <v>45169</v>
      </c>
      <c r="AK283" s="48">
        <v>0</v>
      </c>
      <c r="AL283" s="48">
        <v>85</v>
      </c>
      <c r="AM283" s="48">
        <v>85</v>
      </c>
      <c r="AN283" s="48">
        <v>0</v>
      </c>
      <c r="AQ283" s="215">
        <v>45169</v>
      </c>
      <c r="AR283" s="104">
        <v>2161</v>
      </c>
      <c r="AS283" s="104">
        <v>29</v>
      </c>
      <c r="AT283" s="104">
        <v>2190</v>
      </c>
      <c r="AU283" s="104">
        <v>98.68</v>
      </c>
      <c r="AX283" s="215">
        <v>45169</v>
      </c>
      <c r="AY283" s="104">
        <v>3143</v>
      </c>
      <c r="AZ283" s="104">
        <v>16</v>
      </c>
      <c r="BA283" s="104">
        <v>3159</v>
      </c>
      <c r="BB283" s="104">
        <v>99.49</v>
      </c>
      <c r="BE283" s="215">
        <v>45169</v>
      </c>
      <c r="BF283" s="101">
        <v>8754</v>
      </c>
      <c r="BG283" s="101">
        <v>79</v>
      </c>
      <c r="BH283" s="101">
        <v>8833</v>
      </c>
      <c r="BI283" s="101">
        <v>99.11</v>
      </c>
      <c r="BL283" s="215">
        <v>45169</v>
      </c>
      <c r="BM283" s="101">
        <v>7103</v>
      </c>
      <c r="BN283" s="101">
        <v>0</v>
      </c>
      <c r="BO283" s="101">
        <v>7103</v>
      </c>
      <c r="BP283" s="101">
        <v>100</v>
      </c>
      <c r="BS283" s="48"/>
      <c r="BT283" s="48"/>
      <c r="BU283" s="48"/>
      <c r="BV283" s="48"/>
      <c r="BW283" s="48"/>
      <c r="BZ283" s="1"/>
      <c r="CA283" s="1"/>
      <c r="CB283" s="1"/>
      <c r="CC283" s="1"/>
      <c r="CE283" s="215">
        <v>45169</v>
      </c>
      <c r="CF283">
        <v>11520333</v>
      </c>
      <c r="CG283">
        <v>15778</v>
      </c>
      <c r="CH283">
        <v>11536111</v>
      </c>
      <c r="CI283" s="46">
        <f t="shared" si="88"/>
        <v>99.863229471353037</v>
      </c>
      <c r="CJ283" s="71">
        <f t="shared" si="91"/>
        <v>11.536111</v>
      </c>
      <c r="CL283" s="140">
        <v>45007</v>
      </c>
      <c r="CM283" s="252" t="s">
        <v>238</v>
      </c>
      <c r="CN283">
        <v>10200</v>
      </c>
      <c r="CO283">
        <v>503</v>
      </c>
    </row>
    <row r="284" spans="1:93" hidden="1" x14ac:dyDescent="0.25">
      <c r="A284" s="215">
        <v>45170</v>
      </c>
      <c r="B284" s="104">
        <v>6258060</v>
      </c>
      <c r="C284" s="104">
        <v>4302</v>
      </c>
      <c r="D284" s="104">
        <v>6262362</v>
      </c>
      <c r="E284" s="104">
        <v>99.93</v>
      </c>
      <c r="F284" s="71">
        <f t="shared" si="97"/>
        <v>6.2623620000000004</v>
      </c>
      <c r="H284" s="215">
        <v>45170</v>
      </c>
      <c r="I284" s="101">
        <v>1689607</v>
      </c>
      <c r="J284" s="101">
        <v>4268</v>
      </c>
      <c r="K284" s="101">
        <v>1693875</v>
      </c>
      <c r="L284" s="101">
        <v>99.75</v>
      </c>
      <c r="M284" s="71">
        <f t="shared" si="96"/>
        <v>1.693875</v>
      </c>
      <c r="O284" s="215">
        <v>45170</v>
      </c>
      <c r="P284" s="101">
        <v>459785</v>
      </c>
      <c r="Q284" s="101">
        <v>2232</v>
      </c>
      <c r="R284" s="101">
        <v>462017</v>
      </c>
      <c r="S284" s="101">
        <v>99.52</v>
      </c>
      <c r="T284" s="71">
        <f t="shared" si="95"/>
        <v>0.46201700000000001</v>
      </c>
      <c r="V284" s="215">
        <v>45170</v>
      </c>
      <c r="W284" s="101">
        <v>1102493</v>
      </c>
      <c r="X284" s="101">
        <v>639</v>
      </c>
      <c r="Y284" s="101">
        <v>1103132</v>
      </c>
      <c r="Z284" s="101">
        <v>99.94</v>
      </c>
      <c r="AA284" s="71">
        <f t="shared" si="92"/>
        <v>1.103132</v>
      </c>
      <c r="AC284" s="215">
        <v>45170</v>
      </c>
      <c r="AD284" s="101">
        <v>674742</v>
      </c>
      <c r="AE284" s="101">
        <v>301</v>
      </c>
      <c r="AF284" s="101">
        <v>675043</v>
      </c>
      <c r="AG284" s="101">
        <v>99.96</v>
      </c>
      <c r="AH284" s="71">
        <f t="shared" si="93"/>
        <v>0.67504299999999995</v>
      </c>
      <c r="AJ284" s="215">
        <v>45170</v>
      </c>
      <c r="AK284" s="48">
        <v>0</v>
      </c>
      <c r="AL284" s="48">
        <v>51</v>
      </c>
      <c r="AM284" s="48">
        <v>51</v>
      </c>
      <c r="AN284" s="48">
        <v>0</v>
      </c>
      <c r="AQ284" s="215">
        <v>45170</v>
      </c>
      <c r="AR284" s="104">
        <v>2203</v>
      </c>
      <c r="AS284" s="104">
        <v>17</v>
      </c>
      <c r="AT284" s="104">
        <v>2220</v>
      </c>
      <c r="AU284" s="104">
        <v>99.23</v>
      </c>
      <c r="AX284" s="215">
        <v>45170</v>
      </c>
      <c r="AY284" s="104">
        <v>4084</v>
      </c>
      <c r="AZ284" s="104">
        <v>52</v>
      </c>
      <c r="BA284" s="104">
        <v>4136</v>
      </c>
      <c r="BB284" s="104">
        <v>98.74</v>
      </c>
      <c r="BE284" s="215">
        <v>45170</v>
      </c>
      <c r="BF284" s="101">
        <v>9097</v>
      </c>
      <c r="BG284" s="101">
        <v>115</v>
      </c>
      <c r="BH284" s="101">
        <v>9212</v>
      </c>
      <c r="BI284" s="101">
        <v>98.75</v>
      </c>
      <c r="BL284" s="215">
        <v>45170</v>
      </c>
      <c r="BM284" s="101">
        <v>7570</v>
      </c>
      <c r="BN284" s="101">
        <v>0</v>
      </c>
      <c r="BO284" s="101">
        <v>7570</v>
      </c>
      <c r="BP284" s="101">
        <v>100</v>
      </c>
      <c r="BS284" s="48"/>
      <c r="BT284" s="48"/>
      <c r="BU284" s="48"/>
      <c r="BV284" s="48"/>
      <c r="BW284" s="48"/>
      <c r="BZ284" s="1"/>
      <c r="CA284" s="1"/>
      <c r="CB284" s="1"/>
      <c r="CC284" s="1"/>
      <c r="CE284" s="215">
        <v>45170</v>
      </c>
      <c r="CF284">
        <v>11999811</v>
      </c>
      <c r="CG284">
        <v>19367</v>
      </c>
      <c r="CH284">
        <v>12019178</v>
      </c>
      <c r="CI284" s="46">
        <f t="shared" si="88"/>
        <v>99.838865852556637</v>
      </c>
      <c r="CJ284" s="71">
        <f t="shared" si="91"/>
        <v>12.019178</v>
      </c>
      <c r="CL284" s="140">
        <v>45007</v>
      </c>
      <c r="CM284" s="252" t="s">
        <v>247</v>
      </c>
      <c r="CN284">
        <v>7246</v>
      </c>
      <c r="CO284">
        <v>527</v>
      </c>
    </row>
    <row r="285" spans="1:93" hidden="1" x14ac:dyDescent="0.25">
      <c r="A285" s="215">
        <v>45171</v>
      </c>
      <c r="B285" s="104">
        <v>8013394</v>
      </c>
      <c r="C285" s="104">
        <v>4647</v>
      </c>
      <c r="D285" s="104">
        <v>8018041</v>
      </c>
      <c r="E285" s="104">
        <v>99.94</v>
      </c>
      <c r="F285" s="71">
        <f t="shared" si="97"/>
        <v>8.0180410000000002</v>
      </c>
      <c r="H285" s="215">
        <v>45171</v>
      </c>
      <c r="I285" s="101">
        <v>1919178</v>
      </c>
      <c r="J285" s="101">
        <v>2965</v>
      </c>
      <c r="K285" s="101">
        <v>1922143</v>
      </c>
      <c r="L285" s="101">
        <v>99.85</v>
      </c>
      <c r="M285" s="71">
        <f t="shared" si="96"/>
        <v>1.9221429999999999</v>
      </c>
      <c r="O285" s="215">
        <v>45171</v>
      </c>
      <c r="P285" s="101">
        <v>586568</v>
      </c>
      <c r="Q285" s="101">
        <v>3122</v>
      </c>
      <c r="R285" s="101">
        <v>589690</v>
      </c>
      <c r="S285" s="101">
        <v>99.47</v>
      </c>
      <c r="T285" s="71">
        <f t="shared" si="95"/>
        <v>0.58969000000000005</v>
      </c>
      <c r="V285" s="215">
        <v>45171</v>
      </c>
      <c r="W285" s="101">
        <v>1450723</v>
      </c>
      <c r="X285" s="101">
        <v>468</v>
      </c>
      <c r="Y285" s="101">
        <v>1451191</v>
      </c>
      <c r="Z285" s="101">
        <v>99.97</v>
      </c>
      <c r="AA285" s="71">
        <f t="shared" si="92"/>
        <v>1.4511909999999999</v>
      </c>
      <c r="AC285" s="215">
        <v>45171</v>
      </c>
      <c r="AD285" s="101">
        <v>788727</v>
      </c>
      <c r="AE285" s="101">
        <v>938</v>
      </c>
      <c r="AF285" s="101">
        <v>789665</v>
      </c>
      <c r="AG285" s="101">
        <v>99.88</v>
      </c>
      <c r="AH285" s="71">
        <f t="shared" si="93"/>
        <v>0.78966499999999995</v>
      </c>
      <c r="AJ285" s="215">
        <v>45171</v>
      </c>
      <c r="AK285" s="48">
        <v>0</v>
      </c>
      <c r="AL285" s="48">
        <v>85</v>
      </c>
      <c r="AM285" s="48">
        <v>85</v>
      </c>
      <c r="AN285" s="48">
        <v>0</v>
      </c>
      <c r="AQ285" s="215">
        <v>45171</v>
      </c>
      <c r="AR285" s="104">
        <v>2280</v>
      </c>
      <c r="AS285" s="104">
        <v>6</v>
      </c>
      <c r="AT285" s="104">
        <v>2286</v>
      </c>
      <c r="AU285" s="104">
        <v>99.74</v>
      </c>
      <c r="AX285" s="215">
        <v>45171</v>
      </c>
      <c r="AY285" s="104">
        <v>2408</v>
      </c>
      <c r="AZ285" s="104">
        <v>35</v>
      </c>
      <c r="BA285" s="104">
        <v>2443</v>
      </c>
      <c r="BB285" s="104">
        <v>98.57</v>
      </c>
      <c r="BE285" s="215">
        <v>45171</v>
      </c>
      <c r="BF285" s="101">
        <v>8742</v>
      </c>
      <c r="BG285" s="101">
        <v>78</v>
      </c>
      <c r="BH285" s="101">
        <v>8820</v>
      </c>
      <c r="BI285" s="101">
        <v>99.12</v>
      </c>
      <c r="BL285" s="215">
        <v>45171</v>
      </c>
      <c r="BM285" s="101">
        <v>12290</v>
      </c>
      <c r="BN285" s="101">
        <v>0</v>
      </c>
      <c r="BO285" s="101">
        <v>12290</v>
      </c>
      <c r="BP285" s="101">
        <v>100</v>
      </c>
      <c r="BS285" s="48"/>
      <c r="BT285" s="48"/>
      <c r="BU285" s="48"/>
      <c r="BV285" s="48"/>
      <c r="BW285" s="48"/>
      <c r="BZ285" s="1"/>
      <c r="CA285" s="1"/>
      <c r="CB285" s="1"/>
      <c r="CC285" s="1"/>
      <c r="CE285" s="215">
        <v>45171</v>
      </c>
      <c r="CF285">
        <v>15000646</v>
      </c>
      <c r="CG285">
        <v>18668</v>
      </c>
      <c r="CH285">
        <v>15019314</v>
      </c>
      <c r="CI285" s="46">
        <f t="shared" si="88"/>
        <v>99.8757067067111</v>
      </c>
      <c r="CJ285" s="71">
        <f t="shared" si="91"/>
        <v>15.019314</v>
      </c>
      <c r="CL285" s="140">
        <v>45007</v>
      </c>
      <c r="CM285" s="252" t="s">
        <v>240</v>
      </c>
      <c r="CN285">
        <v>3090</v>
      </c>
      <c r="CO285">
        <v>516</v>
      </c>
    </row>
    <row r="286" spans="1:93" hidden="1" x14ac:dyDescent="0.25">
      <c r="A286" s="215">
        <v>45172</v>
      </c>
      <c r="B286" s="104">
        <v>4848502</v>
      </c>
      <c r="C286" s="104">
        <v>4110</v>
      </c>
      <c r="D286" s="104">
        <v>4852612</v>
      </c>
      <c r="E286" s="104">
        <v>99.92</v>
      </c>
      <c r="F286" s="71">
        <f t="shared" si="97"/>
        <v>4.8526119999999997</v>
      </c>
      <c r="H286" s="215">
        <v>45172</v>
      </c>
      <c r="I286" s="101">
        <v>1338037</v>
      </c>
      <c r="J286" s="101">
        <v>1903</v>
      </c>
      <c r="K286" s="101">
        <v>1339940</v>
      </c>
      <c r="L286" s="101">
        <v>99.86</v>
      </c>
      <c r="M286" s="71">
        <f t="shared" si="96"/>
        <v>1.3399399999999999</v>
      </c>
      <c r="O286" s="215">
        <v>45172</v>
      </c>
      <c r="P286" s="101">
        <v>453515</v>
      </c>
      <c r="Q286" s="101">
        <v>2215</v>
      </c>
      <c r="R286" s="101">
        <v>455730</v>
      </c>
      <c r="S286" s="101">
        <v>99.51</v>
      </c>
      <c r="T286" s="71">
        <f t="shared" si="95"/>
        <v>0.45573000000000002</v>
      </c>
      <c r="V286" s="215">
        <v>45172</v>
      </c>
      <c r="W286" s="101">
        <v>937819</v>
      </c>
      <c r="X286" s="101">
        <v>493</v>
      </c>
      <c r="Y286" s="101">
        <v>938312</v>
      </c>
      <c r="Z286" s="101">
        <v>99.95</v>
      </c>
      <c r="AA286" s="71">
        <f t="shared" si="92"/>
        <v>0.93831200000000003</v>
      </c>
      <c r="AC286" s="215">
        <v>45172</v>
      </c>
      <c r="AD286" s="101">
        <v>688708</v>
      </c>
      <c r="AE286" s="101">
        <v>594</v>
      </c>
      <c r="AF286" s="101">
        <v>689302</v>
      </c>
      <c r="AG286" s="101">
        <v>99.91</v>
      </c>
      <c r="AH286" s="71">
        <f t="shared" si="93"/>
        <v>0.68930199999999997</v>
      </c>
      <c r="AJ286" s="215">
        <v>45172</v>
      </c>
      <c r="AK286" s="48">
        <v>0</v>
      </c>
      <c r="AL286" s="48">
        <v>73</v>
      </c>
      <c r="AM286" s="48">
        <v>73</v>
      </c>
      <c r="AN286" s="48">
        <v>0</v>
      </c>
      <c r="AQ286" s="215">
        <v>45172</v>
      </c>
      <c r="AR286" s="104">
        <v>899</v>
      </c>
      <c r="AS286" s="104">
        <v>6</v>
      </c>
      <c r="AT286" s="104">
        <v>905</v>
      </c>
      <c r="AU286" s="104">
        <v>99.34</v>
      </c>
      <c r="AX286" s="215">
        <v>45172</v>
      </c>
      <c r="AY286" s="48">
        <v>179</v>
      </c>
      <c r="AZ286" s="48">
        <v>35</v>
      </c>
      <c r="BA286" s="48">
        <v>214</v>
      </c>
      <c r="BB286" s="48">
        <v>83.64</v>
      </c>
      <c r="BE286" s="215">
        <v>45172</v>
      </c>
      <c r="BF286" s="101">
        <v>7284</v>
      </c>
      <c r="BG286" s="101">
        <v>76</v>
      </c>
      <c r="BH286" s="101">
        <v>7360</v>
      </c>
      <c r="BI286" s="101">
        <v>98.97</v>
      </c>
      <c r="BL286" s="215">
        <v>45172</v>
      </c>
      <c r="BM286" s="101">
        <v>4862</v>
      </c>
      <c r="BN286" s="101">
        <v>0</v>
      </c>
      <c r="BO286" s="101">
        <v>4862</v>
      </c>
      <c r="BP286" s="101">
        <v>100</v>
      </c>
      <c r="BS286" s="48"/>
      <c r="BT286" s="48"/>
      <c r="BU286" s="48"/>
      <c r="BV286" s="48"/>
      <c r="BW286" s="48"/>
      <c r="BZ286" s="1"/>
      <c r="CA286" s="1"/>
      <c r="CB286" s="1"/>
      <c r="CC286" s="1"/>
      <c r="CE286" s="215">
        <v>45172</v>
      </c>
      <c r="CF286">
        <v>10410796</v>
      </c>
      <c r="CG286">
        <v>39822</v>
      </c>
      <c r="CH286">
        <v>10450618</v>
      </c>
      <c r="CI286" s="46">
        <f t="shared" si="88"/>
        <v>99.618950764442843</v>
      </c>
      <c r="CJ286" s="71">
        <f>CH286/1000000</f>
        <v>10.450618</v>
      </c>
      <c r="CL286" s="140">
        <v>45007</v>
      </c>
      <c r="CM286" s="252" t="s">
        <v>244</v>
      </c>
      <c r="CN286">
        <v>562</v>
      </c>
      <c r="CO286">
        <v>513</v>
      </c>
    </row>
    <row r="287" spans="1:93" hidden="1" x14ac:dyDescent="0.25">
      <c r="A287" s="215">
        <v>45173</v>
      </c>
      <c r="B287" s="104">
        <v>7337572</v>
      </c>
      <c r="C287" s="104">
        <v>10763</v>
      </c>
      <c r="D287" s="104">
        <v>7348335</v>
      </c>
      <c r="E287" s="104">
        <v>99.85</v>
      </c>
      <c r="F287" s="71">
        <f t="shared" si="97"/>
        <v>7.3483349999999996</v>
      </c>
      <c r="H287" s="215">
        <v>45173</v>
      </c>
      <c r="I287" s="101">
        <v>1707328</v>
      </c>
      <c r="J287" s="101">
        <v>4084</v>
      </c>
      <c r="K287" s="101">
        <v>1711412</v>
      </c>
      <c r="L287" s="101">
        <v>99.76</v>
      </c>
      <c r="M287" s="71">
        <f t="shared" si="96"/>
        <v>1.7114119999999999</v>
      </c>
      <c r="O287" s="215">
        <v>45173</v>
      </c>
      <c r="P287" s="101">
        <v>535161</v>
      </c>
      <c r="Q287" s="101">
        <v>2629</v>
      </c>
      <c r="R287" s="101">
        <v>537790</v>
      </c>
      <c r="S287" s="101">
        <v>99.51</v>
      </c>
      <c r="T287" s="71">
        <f t="shared" si="95"/>
        <v>0.53778999999999999</v>
      </c>
      <c r="V287" s="215">
        <v>45173</v>
      </c>
      <c r="W287" s="101">
        <v>1369379</v>
      </c>
      <c r="X287" s="101">
        <v>2267</v>
      </c>
      <c r="Y287" s="101">
        <v>1371646</v>
      </c>
      <c r="Z287" s="101">
        <v>99.83</v>
      </c>
      <c r="AA287" s="71">
        <f t="shared" si="92"/>
        <v>1.3716459999999999</v>
      </c>
      <c r="AC287" s="215">
        <v>45173</v>
      </c>
      <c r="AD287" s="101">
        <v>745156</v>
      </c>
      <c r="AE287" s="101">
        <v>268</v>
      </c>
      <c r="AF287" s="101">
        <v>745424</v>
      </c>
      <c r="AG287" s="101">
        <v>99.96</v>
      </c>
      <c r="AH287" s="71">
        <f t="shared" si="93"/>
        <v>0.74542399999999998</v>
      </c>
      <c r="AJ287" s="215">
        <v>45173</v>
      </c>
      <c r="AK287" s="48">
        <v>0</v>
      </c>
      <c r="AL287" s="48">
        <v>88</v>
      </c>
      <c r="AM287" s="48">
        <v>88</v>
      </c>
      <c r="AN287" s="48">
        <v>0</v>
      </c>
      <c r="AQ287" s="215">
        <v>45173</v>
      </c>
      <c r="AR287" s="104">
        <v>2087</v>
      </c>
      <c r="AS287" s="104">
        <v>134</v>
      </c>
      <c r="AT287" s="104">
        <v>2221</v>
      </c>
      <c r="AU287" s="104">
        <v>93.97</v>
      </c>
      <c r="AX287" s="215">
        <v>45173</v>
      </c>
      <c r="AY287" s="104">
        <v>4314</v>
      </c>
      <c r="AZ287" s="104">
        <v>50</v>
      </c>
      <c r="BA287" s="104">
        <v>4364</v>
      </c>
      <c r="BB287" s="104">
        <v>98.85</v>
      </c>
      <c r="BE287" s="215">
        <v>45173</v>
      </c>
      <c r="BF287" s="101">
        <v>9717</v>
      </c>
      <c r="BG287" s="101">
        <v>98</v>
      </c>
      <c r="BH287" s="101">
        <v>9815</v>
      </c>
      <c r="BI287" s="101">
        <v>99</v>
      </c>
      <c r="BL287" s="215">
        <v>45173</v>
      </c>
      <c r="BM287" s="101">
        <v>7480</v>
      </c>
      <c r="BN287" s="101">
        <v>0</v>
      </c>
      <c r="BO287" s="101">
        <v>7480</v>
      </c>
      <c r="BP287" s="101">
        <v>100</v>
      </c>
      <c r="BS287" s="48"/>
      <c r="BT287" s="48"/>
      <c r="BU287" s="48"/>
      <c r="BV287" s="48"/>
      <c r="BW287" s="48"/>
      <c r="BZ287" s="1"/>
      <c r="CA287" s="1"/>
      <c r="CB287" s="1"/>
      <c r="CC287" s="1"/>
      <c r="CE287" s="215">
        <v>45173</v>
      </c>
      <c r="CF287">
        <v>13814770</v>
      </c>
      <c r="CG287">
        <v>28364</v>
      </c>
      <c r="CH287">
        <v>13843134</v>
      </c>
      <c r="CI287" s="46">
        <f t="shared" si="88"/>
        <v>99.795104201115151</v>
      </c>
      <c r="CJ287" s="71">
        <f>CH287/1000000</f>
        <v>13.843133999999999</v>
      </c>
      <c r="CL287" s="140">
        <v>45007</v>
      </c>
      <c r="CM287" s="252" t="s">
        <v>243</v>
      </c>
      <c r="CN287">
        <v>350</v>
      </c>
      <c r="CO287">
        <v>565</v>
      </c>
    </row>
    <row r="288" spans="1:93" hidden="1" x14ac:dyDescent="0.25">
      <c r="A288" s="215">
        <v>45174</v>
      </c>
      <c r="B288" s="104">
        <v>7819348</v>
      </c>
      <c r="C288" s="104">
        <v>3550</v>
      </c>
      <c r="D288" s="104">
        <v>7822898</v>
      </c>
      <c r="E288" s="104">
        <v>99.95</v>
      </c>
      <c r="F288" s="71">
        <f t="shared" si="97"/>
        <v>7.8228980000000004</v>
      </c>
      <c r="H288" s="215">
        <v>45174</v>
      </c>
      <c r="I288" s="101">
        <v>1978713</v>
      </c>
      <c r="J288" s="101">
        <v>5398</v>
      </c>
      <c r="K288" s="101">
        <v>1984111</v>
      </c>
      <c r="L288" s="101">
        <v>99.73</v>
      </c>
      <c r="M288" s="71">
        <f t="shared" si="96"/>
        <v>1.984111</v>
      </c>
      <c r="O288" s="215">
        <v>45174</v>
      </c>
      <c r="P288" s="101">
        <v>565307</v>
      </c>
      <c r="Q288" s="101">
        <v>3589</v>
      </c>
      <c r="R288" s="101">
        <v>568896</v>
      </c>
      <c r="S288" s="101">
        <v>99.37</v>
      </c>
      <c r="T288" s="71">
        <f t="shared" si="95"/>
        <v>0.56889599999999996</v>
      </c>
      <c r="V288" s="215">
        <v>45174</v>
      </c>
      <c r="W288" s="101">
        <v>1323074</v>
      </c>
      <c r="X288" s="101">
        <v>277</v>
      </c>
      <c r="Y288" s="101">
        <v>1323351</v>
      </c>
      <c r="Z288" s="101">
        <v>99.98</v>
      </c>
      <c r="AA288" s="71">
        <f t="shared" si="92"/>
        <v>1.3233509999999999</v>
      </c>
      <c r="AC288" s="215">
        <v>45174</v>
      </c>
      <c r="AD288" s="101">
        <v>963707</v>
      </c>
      <c r="AE288" s="101">
        <v>626</v>
      </c>
      <c r="AF288" s="101">
        <v>964333</v>
      </c>
      <c r="AG288" s="101">
        <v>99.94</v>
      </c>
      <c r="AH288" s="71">
        <f t="shared" si="93"/>
        <v>0.964333</v>
      </c>
      <c r="AJ288" s="215">
        <v>45174</v>
      </c>
      <c r="AK288" s="48">
        <v>0</v>
      </c>
      <c r="AL288" s="48">
        <v>74</v>
      </c>
      <c r="AM288" s="48">
        <v>74</v>
      </c>
      <c r="AN288" s="48">
        <v>0</v>
      </c>
      <c r="AQ288" s="215">
        <v>45174</v>
      </c>
      <c r="AR288" s="104">
        <v>3211</v>
      </c>
      <c r="AS288" s="104">
        <v>33</v>
      </c>
      <c r="AT288" s="104">
        <v>3244</v>
      </c>
      <c r="AU288" s="104">
        <v>98.98</v>
      </c>
      <c r="AX288" s="215">
        <v>45174</v>
      </c>
      <c r="AY288" s="104">
        <v>3720</v>
      </c>
      <c r="AZ288" s="104">
        <v>36</v>
      </c>
      <c r="BA288" s="104">
        <v>3756</v>
      </c>
      <c r="BB288" s="104">
        <v>99.04</v>
      </c>
      <c r="BE288" s="215">
        <v>45174</v>
      </c>
      <c r="BF288" s="101">
        <v>10984</v>
      </c>
      <c r="BG288" s="101">
        <v>134</v>
      </c>
      <c r="BH288" s="101">
        <v>11118</v>
      </c>
      <c r="BI288" s="101">
        <v>98.79</v>
      </c>
      <c r="BL288" s="215">
        <v>45174</v>
      </c>
      <c r="BM288" s="101">
        <v>5084</v>
      </c>
      <c r="BN288" s="101">
        <v>0</v>
      </c>
      <c r="BO288" s="101">
        <v>5084</v>
      </c>
      <c r="BP288" s="101">
        <v>100</v>
      </c>
      <c r="BS288" s="48"/>
      <c r="BT288" s="48"/>
      <c r="BU288" s="48"/>
      <c r="BV288" s="48"/>
      <c r="BW288" s="48"/>
      <c r="BZ288" s="1"/>
      <c r="CA288" s="1"/>
      <c r="CB288" s="1"/>
      <c r="CC288" s="1"/>
      <c r="CE288" s="215">
        <v>45174</v>
      </c>
      <c r="CF288">
        <v>14859466</v>
      </c>
      <c r="CG288">
        <v>20369</v>
      </c>
      <c r="CH288">
        <v>14879835</v>
      </c>
      <c r="CI288" s="46">
        <f t="shared" si="88"/>
        <v>99.863110041206767</v>
      </c>
      <c r="CJ288" s="71">
        <f>CH288/1000000</f>
        <v>14.879835</v>
      </c>
      <c r="CL288" s="140">
        <v>45008</v>
      </c>
      <c r="CM288" s="252" t="s">
        <v>238</v>
      </c>
      <c r="CN288">
        <v>13848</v>
      </c>
      <c r="CO288">
        <v>503</v>
      </c>
    </row>
    <row r="289" spans="1:93" hidden="1" x14ac:dyDescent="0.25">
      <c r="A289" s="215">
        <v>45175</v>
      </c>
      <c r="B289" s="104">
        <v>6440632</v>
      </c>
      <c r="C289" s="104">
        <v>2071</v>
      </c>
      <c r="D289" s="104">
        <v>6442703</v>
      </c>
      <c r="E289" s="104">
        <v>99.97</v>
      </c>
      <c r="F289" s="71">
        <f t="shared" si="97"/>
        <v>6.4427029999999998</v>
      </c>
      <c r="H289" s="215">
        <v>45175</v>
      </c>
      <c r="I289" s="101">
        <v>1371435</v>
      </c>
      <c r="J289" s="101">
        <v>2357</v>
      </c>
      <c r="K289" s="101">
        <v>1373792</v>
      </c>
      <c r="L289" s="101">
        <v>99.83</v>
      </c>
      <c r="M289" s="71">
        <f t="shared" si="96"/>
        <v>1.3737919999999999</v>
      </c>
      <c r="O289" s="215">
        <v>45175</v>
      </c>
      <c r="P289" s="101">
        <v>441910</v>
      </c>
      <c r="Q289" s="101">
        <v>2026</v>
      </c>
      <c r="R289" s="101">
        <v>443936</v>
      </c>
      <c r="S289" s="101">
        <v>99.54</v>
      </c>
      <c r="T289" s="71">
        <f t="shared" si="95"/>
        <v>0.443936</v>
      </c>
      <c r="V289" s="215">
        <v>45175</v>
      </c>
      <c r="W289" s="101">
        <v>1081389</v>
      </c>
      <c r="X289" s="101">
        <v>187</v>
      </c>
      <c r="Y289" s="101">
        <v>1081576</v>
      </c>
      <c r="Z289" s="101">
        <v>99.98</v>
      </c>
      <c r="AA289" s="71">
        <f t="shared" si="92"/>
        <v>1.0815760000000001</v>
      </c>
      <c r="AC289" s="215">
        <v>45175</v>
      </c>
      <c r="AD289" s="101">
        <v>805824</v>
      </c>
      <c r="AE289" s="101">
        <v>417</v>
      </c>
      <c r="AF289" s="101">
        <v>806241</v>
      </c>
      <c r="AG289" s="101">
        <v>99.95</v>
      </c>
      <c r="AH289" s="71">
        <f t="shared" si="93"/>
        <v>0.80624099999999999</v>
      </c>
      <c r="AJ289" s="215">
        <v>45175</v>
      </c>
      <c r="AK289" s="48">
        <v>0</v>
      </c>
      <c r="AL289" s="48">
        <v>49</v>
      </c>
      <c r="AM289" s="48">
        <v>49</v>
      </c>
      <c r="AN289" s="48">
        <v>0</v>
      </c>
      <c r="AQ289" s="215">
        <v>45175</v>
      </c>
      <c r="AR289" s="104">
        <v>2802</v>
      </c>
      <c r="AS289" s="104">
        <v>18</v>
      </c>
      <c r="AT289" s="104">
        <v>2820</v>
      </c>
      <c r="AU289" s="104">
        <v>99.36</v>
      </c>
      <c r="AX289" s="215">
        <v>45175</v>
      </c>
      <c r="AY289" s="104">
        <v>4064</v>
      </c>
      <c r="AZ289" s="104">
        <v>72</v>
      </c>
      <c r="BA289" s="104">
        <v>4136</v>
      </c>
      <c r="BB289" s="104">
        <v>98.26</v>
      </c>
      <c r="BE289" s="215">
        <v>45175</v>
      </c>
      <c r="BF289" s="101">
        <v>8322</v>
      </c>
      <c r="BG289" s="101">
        <v>117</v>
      </c>
      <c r="BH289" s="101">
        <v>8439</v>
      </c>
      <c r="BI289" s="101">
        <v>98.61</v>
      </c>
      <c r="BL289" s="215">
        <v>45175</v>
      </c>
      <c r="BM289" s="101">
        <v>5517</v>
      </c>
      <c r="BN289" s="101">
        <v>0</v>
      </c>
      <c r="BO289" s="101">
        <v>5517</v>
      </c>
      <c r="BP289" s="101">
        <v>100</v>
      </c>
      <c r="BS289" s="48"/>
      <c r="BT289" s="48"/>
      <c r="BU289" s="48"/>
      <c r="BV289" s="48"/>
      <c r="BW289" s="48"/>
      <c r="BZ289" s="1"/>
      <c r="CA289" s="1"/>
      <c r="CB289" s="1"/>
      <c r="CC289" s="1"/>
      <c r="CE289" s="215">
        <v>45175</v>
      </c>
      <c r="CF289">
        <v>11936473</v>
      </c>
      <c r="CG289">
        <v>13350</v>
      </c>
      <c r="CH289">
        <v>11949823</v>
      </c>
      <c r="CI289" s="46">
        <f t="shared" si="88"/>
        <v>99.888282864106017</v>
      </c>
      <c r="CJ289" s="71">
        <f>CH289/1000000</f>
        <v>11.949823</v>
      </c>
      <c r="CL289" s="140">
        <v>45008</v>
      </c>
      <c r="CM289" s="252" t="s">
        <v>240</v>
      </c>
      <c r="CN289">
        <v>3130</v>
      </c>
      <c r="CO289">
        <v>516</v>
      </c>
    </row>
    <row r="290" spans="1:93" hidden="1" x14ac:dyDescent="0.25">
      <c r="A290" s="215">
        <v>45176</v>
      </c>
      <c r="B290" s="104">
        <v>6919077</v>
      </c>
      <c r="C290" s="104">
        <v>5667</v>
      </c>
      <c r="D290" s="104">
        <v>6924744</v>
      </c>
      <c r="E290" s="104">
        <v>99.92</v>
      </c>
      <c r="F290" s="71">
        <f t="shared" si="97"/>
        <v>6.9247439999999996</v>
      </c>
      <c r="H290" s="215">
        <v>45176</v>
      </c>
      <c r="I290" s="101">
        <v>1540053</v>
      </c>
      <c r="J290" s="101">
        <v>6466</v>
      </c>
      <c r="K290" s="101">
        <v>1546519</v>
      </c>
      <c r="L290" s="101">
        <v>99.58</v>
      </c>
      <c r="M290" s="71">
        <f t="shared" si="96"/>
        <v>1.546519</v>
      </c>
      <c r="O290" s="215">
        <v>45176</v>
      </c>
      <c r="P290" s="101">
        <v>490693</v>
      </c>
      <c r="Q290" s="101">
        <v>2430</v>
      </c>
      <c r="R290" s="101">
        <v>493123</v>
      </c>
      <c r="S290" s="101">
        <v>99.51</v>
      </c>
      <c r="T290" s="71">
        <f t="shared" si="95"/>
        <v>0.49312299999999998</v>
      </c>
      <c r="V290" s="215">
        <v>45176</v>
      </c>
      <c r="W290" s="101">
        <v>1218461</v>
      </c>
      <c r="X290" s="101">
        <v>563</v>
      </c>
      <c r="Y290" s="101">
        <v>1219024</v>
      </c>
      <c r="Z290" s="101">
        <v>99.95</v>
      </c>
      <c r="AA290" s="71">
        <f t="shared" si="92"/>
        <v>1.2190240000000001</v>
      </c>
      <c r="AC290" s="215">
        <v>45176</v>
      </c>
      <c r="AD290" s="101">
        <v>831057</v>
      </c>
      <c r="AE290" s="101">
        <v>1161</v>
      </c>
      <c r="AF290" s="101">
        <v>832218</v>
      </c>
      <c r="AG290" s="101">
        <v>99.86</v>
      </c>
      <c r="AH290" s="71">
        <f t="shared" si="93"/>
        <v>0.83221800000000001</v>
      </c>
      <c r="AJ290" s="215">
        <v>45176</v>
      </c>
      <c r="AK290" s="48">
        <v>0</v>
      </c>
      <c r="AL290" s="48">
        <v>75</v>
      </c>
      <c r="AM290" s="48">
        <v>75</v>
      </c>
      <c r="AN290" s="48">
        <v>0</v>
      </c>
      <c r="AQ290" s="215">
        <v>45176</v>
      </c>
      <c r="AR290" s="104">
        <v>2963</v>
      </c>
      <c r="AS290" s="104">
        <v>100</v>
      </c>
      <c r="AT290" s="104">
        <v>3063</v>
      </c>
      <c r="AU290" s="104">
        <v>96.74</v>
      </c>
      <c r="AX290" s="215">
        <v>45176</v>
      </c>
      <c r="AY290" s="104">
        <v>3815</v>
      </c>
      <c r="AZ290" s="104">
        <v>31</v>
      </c>
      <c r="BA290" s="104">
        <v>3846</v>
      </c>
      <c r="BB290" s="104">
        <v>99.19</v>
      </c>
      <c r="BE290" s="215">
        <v>45176</v>
      </c>
      <c r="BF290" s="101">
        <v>8269</v>
      </c>
      <c r="BG290" s="101">
        <v>94</v>
      </c>
      <c r="BH290" s="101">
        <v>8363</v>
      </c>
      <c r="BI290" s="101">
        <v>98.88</v>
      </c>
      <c r="BL290" s="215">
        <v>45176</v>
      </c>
      <c r="BM290" s="101">
        <v>4373</v>
      </c>
      <c r="BN290" s="101">
        <v>0</v>
      </c>
      <c r="BO290" s="101">
        <v>4373</v>
      </c>
      <c r="BP290" s="101">
        <v>100</v>
      </c>
      <c r="BS290" s="48"/>
      <c r="BT290" s="48"/>
      <c r="BU290" s="48"/>
      <c r="BV290" s="48"/>
      <c r="BW290" s="48"/>
      <c r="BZ290" s="1"/>
      <c r="CA290" s="1"/>
      <c r="CB290" s="1"/>
      <c r="CC290" s="1"/>
      <c r="CE290" s="215">
        <v>45176</v>
      </c>
      <c r="CF290">
        <v>12916349</v>
      </c>
      <c r="CG290">
        <v>26969</v>
      </c>
      <c r="CH290">
        <v>12943318</v>
      </c>
      <c r="CI290" s="46">
        <f t="shared" si="88"/>
        <v>99.791637661996717</v>
      </c>
      <c r="CJ290" s="71">
        <f>CH290/1000000</f>
        <v>12.943318</v>
      </c>
      <c r="CL290" s="140">
        <v>45008</v>
      </c>
      <c r="CM290" s="252" t="s">
        <v>247</v>
      </c>
      <c r="CN290">
        <v>1524</v>
      </c>
      <c r="CO290">
        <v>527</v>
      </c>
    </row>
    <row r="291" spans="1:93" hidden="1" x14ac:dyDescent="0.25">
      <c r="A291" s="215">
        <v>45177</v>
      </c>
      <c r="B291" s="104">
        <v>6533781</v>
      </c>
      <c r="C291" s="104">
        <v>1777</v>
      </c>
      <c r="D291" s="104">
        <v>6535558</v>
      </c>
      <c r="E291" s="104">
        <v>99.97</v>
      </c>
      <c r="F291" s="71">
        <f t="shared" si="97"/>
        <v>6.535558</v>
      </c>
      <c r="H291" s="215">
        <v>45177</v>
      </c>
      <c r="I291" s="101">
        <v>1659076</v>
      </c>
      <c r="J291" s="101">
        <v>1680</v>
      </c>
      <c r="K291" s="101">
        <v>1660756</v>
      </c>
      <c r="L291" s="101">
        <v>99.9</v>
      </c>
      <c r="M291" s="71">
        <f t="shared" si="96"/>
        <v>1.6607559999999999</v>
      </c>
      <c r="O291" s="215">
        <v>45177</v>
      </c>
      <c r="P291" s="101">
        <v>471789</v>
      </c>
      <c r="Q291" s="101">
        <v>2548</v>
      </c>
      <c r="R291" s="101">
        <v>474337</v>
      </c>
      <c r="S291" s="101">
        <v>99.46</v>
      </c>
      <c r="T291" s="71">
        <f t="shared" si="95"/>
        <v>0.47433700000000001</v>
      </c>
      <c r="V291" s="215">
        <v>45177</v>
      </c>
      <c r="W291" s="101">
        <v>1155835</v>
      </c>
      <c r="X291" s="101">
        <v>158</v>
      </c>
      <c r="Y291" s="101">
        <v>1155993</v>
      </c>
      <c r="Z291" s="101">
        <v>99.99</v>
      </c>
      <c r="AA291" s="71">
        <f t="shared" si="92"/>
        <v>1.155993</v>
      </c>
      <c r="AC291" s="215">
        <v>45177</v>
      </c>
      <c r="AD291" s="101">
        <v>772281</v>
      </c>
      <c r="AE291" s="101">
        <v>87</v>
      </c>
      <c r="AF291" s="101">
        <v>772368</v>
      </c>
      <c r="AG291" s="101">
        <v>99.99</v>
      </c>
      <c r="AH291" s="71">
        <f t="shared" si="93"/>
        <v>0.77236800000000005</v>
      </c>
      <c r="AJ291" s="215">
        <v>45177</v>
      </c>
      <c r="AK291" s="48">
        <v>0</v>
      </c>
      <c r="AL291" s="48">
        <v>96</v>
      </c>
      <c r="AM291" s="48">
        <v>96</v>
      </c>
      <c r="AN291" s="48">
        <v>0</v>
      </c>
      <c r="AQ291" s="215">
        <v>45177</v>
      </c>
      <c r="AR291" s="104">
        <v>2659</v>
      </c>
      <c r="AS291" s="104">
        <v>45</v>
      </c>
      <c r="AT291" s="104">
        <v>98.34</v>
      </c>
      <c r="AU291" s="104">
        <v>96.74</v>
      </c>
      <c r="AX291" s="215">
        <v>45177</v>
      </c>
      <c r="AY291" s="104">
        <v>3326</v>
      </c>
      <c r="AZ291" s="104">
        <v>37</v>
      </c>
      <c r="BA291" s="104">
        <v>3363</v>
      </c>
      <c r="BB291" s="104">
        <v>99.19</v>
      </c>
      <c r="BE291" s="215">
        <v>45177</v>
      </c>
      <c r="BF291" s="101">
        <v>8602</v>
      </c>
      <c r="BG291" s="101">
        <v>142</v>
      </c>
      <c r="BH291" s="101">
        <v>8744</v>
      </c>
      <c r="BI291">
        <v>98.38</v>
      </c>
      <c r="BL291" s="215">
        <v>45177</v>
      </c>
      <c r="BM291" s="101">
        <v>5576</v>
      </c>
      <c r="BN291" s="101">
        <v>0</v>
      </c>
      <c r="BO291" s="101">
        <v>5576</v>
      </c>
      <c r="BP291" s="101">
        <v>100</v>
      </c>
      <c r="BS291" s="48"/>
      <c r="BT291" s="48"/>
      <c r="BU291" s="48"/>
      <c r="BV291" s="48"/>
      <c r="BW291" s="48"/>
      <c r="BZ291" s="1"/>
      <c r="CA291" s="1"/>
      <c r="CB291" s="1"/>
      <c r="CC291" s="1"/>
      <c r="CE291" s="215">
        <v>45177</v>
      </c>
      <c r="CF291">
        <v>12512712</v>
      </c>
      <c r="CG291">
        <v>11690</v>
      </c>
      <c r="CH291">
        <v>12524402</v>
      </c>
      <c r="CI291" s="46">
        <f t="shared" si="88"/>
        <v>99.906662210299544</v>
      </c>
      <c r="CJ291" s="71">
        <f t="shared" ref="CJ291:CJ354" si="98">CH291/1000000</f>
        <v>12.524402</v>
      </c>
      <c r="CL291" s="140">
        <v>45008</v>
      </c>
      <c r="CM291" s="252" t="s">
        <v>244</v>
      </c>
      <c r="CN291">
        <v>518</v>
      </c>
      <c r="CO291">
        <v>513</v>
      </c>
    </row>
    <row r="292" spans="1:93" hidden="1" x14ac:dyDescent="0.25">
      <c r="A292" s="215">
        <v>45178</v>
      </c>
      <c r="B292" s="104">
        <v>5890055</v>
      </c>
      <c r="C292" s="104">
        <v>6156</v>
      </c>
      <c r="D292" s="104">
        <v>5896211</v>
      </c>
      <c r="E292" s="104">
        <v>99.9</v>
      </c>
      <c r="F292" s="71">
        <f t="shared" si="97"/>
        <v>5.8962110000000001</v>
      </c>
      <c r="H292" s="215">
        <v>45178</v>
      </c>
      <c r="I292" s="101">
        <v>1345217</v>
      </c>
      <c r="J292" s="101">
        <v>1663</v>
      </c>
      <c r="K292" s="101">
        <v>1346880</v>
      </c>
      <c r="L292" s="101">
        <v>99.88</v>
      </c>
      <c r="M292" s="71">
        <f t="shared" si="96"/>
        <v>1.3468800000000001</v>
      </c>
      <c r="O292" s="215">
        <v>45178</v>
      </c>
      <c r="P292" s="101">
        <v>420061</v>
      </c>
      <c r="Q292" s="101">
        <v>2177</v>
      </c>
      <c r="R292" s="101">
        <v>422238</v>
      </c>
      <c r="S292" s="101">
        <v>99.48</v>
      </c>
      <c r="T292" s="71">
        <f t="shared" si="95"/>
        <v>0.422238</v>
      </c>
      <c r="V292" s="215">
        <v>45178</v>
      </c>
      <c r="W292" s="101">
        <v>1049890</v>
      </c>
      <c r="X292" s="101">
        <v>828</v>
      </c>
      <c r="Y292" s="101">
        <v>1050718</v>
      </c>
      <c r="Z292" s="101">
        <v>99.92</v>
      </c>
      <c r="AA292" s="71">
        <f t="shared" si="92"/>
        <v>1.050718</v>
      </c>
      <c r="AC292" s="215">
        <v>45178</v>
      </c>
      <c r="AD292" s="101">
        <v>736531</v>
      </c>
      <c r="AE292" s="101">
        <v>164</v>
      </c>
      <c r="AF292" s="101">
        <v>736695</v>
      </c>
      <c r="AG292" s="101">
        <v>99.98</v>
      </c>
      <c r="AH292" s="71">
        <f t="shared" si="93"/>
        <v>0.73669499999999999</v>
      </c>
      <c r="AJ292" s="215">
        <v>45178</v>
      </c>
      <c r="AK292" s="48">
        <v>0</v>
      </c>
      <c r="AL292" s="48">
        <v>65</v>
      </c>
      <c r="AM292" s="48">
        <v>65</v>
      </c>
      <c r="AN292" s="48">
        <v>0</v>
      </c>
      <c r="AQ292" s="215">
        <v>45178</v>
      </c>
      <c r="AR292" s="104">
        <v>1831</v>
      </c>
      <c r="AS292" s="104">
        <v>6</v>
      </c>
      <c r="AT292" s="104">
        <v>99.67</v>
      </c>
      <c r="AU292" s="104">
        <v>96.74</v>
      </c>
      <c r="AX292" s="215">
        <v>45178</v>
      </c>
      <c r="AY292" s="104">
        <v>1832</v>
      </c>
      <c r="AZ292" s="104">
        <v>26</v>
      </c>
      <c r="BA292" s="104">
        <v>1858</v>
      </c>
      <c r="BB292" s="104">
        <v>99.19</v>
      </c>
      <c r="BE292" s="215">
        <v>45178</v>
      </c>
      <c r="BF292" s="101">
        <v>5951</v>
      </c>
      <c r="BG292" s="101">
        <v>84</v>
      </c>
      <c r="BH292" s="101">
        <v>6035</v>
      </c>
      <c r="BI292">
        <v>98.61</v>
      </c>
      <c r="BL292" s="215">
        <v>45178</v>
      </c>
      <c r="BM292" s="101">
        <v>5862</v>
      </c>
      <c r="BN292" s="101">
        <v>0</v>
      </c>
      <c r="BO292" s="101">
        <v>5862</v>
      </c>
      <c r="BP292" s="101">
        <v>100</v>
      </c>
      <c r="BS292" s="48"/>
      <c r="BT292" s="48"/>
      <c r="BU292" s="48"/>
      <c r="BV292" s="48"/>
      <c r="BW292" s="48"/>
      <c r="BZ292" s="1"/>
      <c r="CA292" s="1"/>
      <c r="CB292" s="1"/>
      <c r="CC292" s="1"/>
      <c r="CE292" s="215">
        <v>45178</v>
      </c>
      <c r="CF292">
        <v>11107057</v>
      </c>
      <c r="CG292">
        <v>15796</v>
      </c>
      <c r="CH292">
        <v>11122853</v>
      </c>
      <c r="CI292" s="46">
        <f t="shared" si="88"/>
        <v>99.857986076054402</v>
      </c>
      <c r="CJ292" s="71">
        <f t="shared" si="98"/>
        <v>11.122852999999999</v>
      </c>
      <c r="CL292" s="140">
        <v>45008</v>
      </c>
      <c r="CM292" s="252" t="s">
        <v>243</v>
      </c>
      <c r="CN292">
        <v>340</v>
      </c>
      <c r="CO292">
        <v>565</v>
      </c>
    </row>
    <row r="293" spans="1:93" hidden="1" x14ac:dyDescent="0.25">
      <c r="A293" s="215">
        <v>45179</v>
      </c>
      <c r="B293" s="104">
        <v>5106410</v>
      </c>
      <c r="C293" s="104">
        <v>1510</v>
      </c>
      <c r="D293" s="104">
        <v>5107920</v>
      </c>
      <c r="E293" s="104">
        <v>99.97</v>
      </c>
      <c r="F293" s="71">
        <f t="shared" si="97"/>
        <v>5.10792</v>
      </c>
      <c r="H293" s="215">
        <v>45179</v>
      </c>
      <c r="I293" s="101">
        <v>1350590</v>
      </c>
      <c r="J293" s="101">
        <v>1533</v>
      </c>
      <c r="K293" s="101">
        <v>1352123</v>
      </c>
      <c r="L293" s="101">
        <v>99.89</v>
      </c>
      <c r="M293" s="71">
        <f t="shared" si="96"/>
        <v>1.352123</v>
      </c>
      <c r="O293" s="215">
        <v>45179</v>
      </c>
      <c r="P293" s="101">
        <v>448747</v>
      </c>
      <c r="Q293" s="101">
        <v>2239</v>
      </c>
      <c r="R293" s="101">
        <v>450986</v>
      </c>
      <c r="S293" s="101">
        <v>99.5</v>
      </c>
      <c r="T293" s="71">
        <f t="shared" si="95"/>
        <v>0.450986</v>
      </c>
      <c r="V293" s="215">
        <v>45179</v>
      </c>
      <c r="W293" s="101">
        <v>1002075</v>
      </c>
      <c r="X293" s="101">
        <v>178</v>
      </c>
      <c r="Y293" s="101">
        <v>1002253</v>
      </c>
      <c r="Z293" s="101">
        <v>99.98</v>
      </c>
      <c r="AA293" s="71">
        <f t="shared" si="92"/>
        <v>1.0022530000000001</v>
      </c>
      <c r="AC293" s="215">
        <v>45179</v>
      </c>
      <c r="AD293" s="101">
        <v>719876</v>
      </c>
      <c r="AE293" s="101">
        <v>60</v>
      </c>
      <c r="AF293" s="101">
        <v>719936</v>
      </c>
      <c r="AG293" s="101">
        <v>99.99</v>
      </c>
      <c r="AH293" s="71">
        <f t="shared" si="93"/>
        <v>0.71993600000000002</v>
      </c>
      <c r="AJ293" s="215">
        <v>45179</v>
      </c>
      <c r="AK293" s="48">
        <v>0</v>
      </c>
      <c r="AL293" s="48">
        <v>55</v>
      </c>
      <c r="AM293" s="48">
        <v>55</v>
      </c>
      <c r="AN293" s="48">
        <v>0</v>
      </c>
      <c r="AQ293" s="215">
        <v>45179</v>
      </c>
      <c r="AR293" s="104">
        <v>1523</v>
      </c>
      <c r="AS293" s="104">
        <v>80</v>
      </c>
      <c r="AT293" s="104">
        <v>1603</v>
      </c>
      <c r="AU293" s="104">
        <v>95.01</v>
      </c>
      <c r="AX293" s="215">
        <v>45179</v>
      </c>
      <c r="AY293" s="48">
        <v>26</v>
      </c>
      <c r="AZ293" s="48">
        <v>109</v>
      </c>
      <c r="BA293" s="48">
        <v>135</v>
      </c>
      <c r="BB293" s="48">
        <v>19.260000000000002</v>
      </c>
      <c r="BE293" s="215">
        <v>45179</v>
      </c>
      <c r="BF293" s="101">
        <v>6585</v>
      </c>
      <c r="BG293" s="101">
        <v>74</v>
      </c>
      <c r="BH293" s="101">
        <v>6659</v>
      </c>
      <c r="BI293" s="101">
        <v>98.89</v>
      </c>
      <c r="BL293" s="215">
        <v>45179</v>
      </c>
      <c r="BM293" s="101">
        <v>4152</v>
      </c>
      <c r="BN293" s="101">
        <v>0</v>
      </c>
      <c r="BO293" s="101">
        <v>4152</v>
      </c>
      <c r="BP293" s="101">
        <v>100</v>
      </c>
      <c r="BS293" s="48"/>
      <c r="BT293" s="48"/>
      <c r="BU293" s="48"/>
      <c r="BV293" s="48"/>
      <c r="BW293" s="48"/>
      <c r="BZ293" s="1"/>
      <c r="CA293" s="1"/>
      <c r="CB293" s="1"/>
      <c r="CC293" s="1"/>
      <c r="CE293" s="215">
        <v>45179</v>
      </c>
      <c r="CF293">
        <v>10308636</v>
      </c>
      <c r="CG293">
        <v>10381</v>
      </c>
      <c r="CH293">
        <v>10319017</v>
      </c>
      <c r="CI293" s="46">
        <f t="shared" si="88"/>
        <v>99.899399332320129</v>
      </c>
      <c r="CJ293" s="71">
        <f t="shared" si="98"/>
        <v>10.319017000000001</v>
      </c>
      <c r="CL293" s="140">
        <v>45011</v>
      </c>
      <c r="CM293" s="252" t="s">
        <v>238</v>
      </c>
      <c r="CN293">
        <v>9518</v>
      </c>
      <c r="CO293">
        <v>503</v>
      </c>
    </row>
    <row r="294" spans="1:93" hidden="1" x14ac:dyDescent="0.25">
      <c r="A294" s="215">
        <v>45180</v>
      </c>
      <c r="B294" s="104">
        <v>6282423</v>
      </c>
      <c r="C294" s="104">
        <v>1844</v>
      </c>
      <c r="D294" s="104">
        <v>6284267</v>
      </c>
      <c r="E294" s="104">
        <v>99.97</v>
      </c>
      <c r="F294" s="71">
        <f t="shared" si="97"/>
        <v>6.2842669999999998</v>
      </c>
      <c r="H294" s="215">
        <v>45180</v>
      </c>
      <c r="I294" s="101">
        <v>1415547</v>
      </c>
      <c r="J294" s="101">
        <v>1326</v>
      </c>
      <c r="K294" s="101">
        <v>1416873</v>
      </c>
      <c r="L294" s="101">
        <v>99.91</v>
      </c>
      <c r="M294" s="71">
        <f t="shared" si="96"/>
        <v>1.416873</v>
      </c>
      <c r="O294" s="215">
        <v>45180</v>
      </c>
      <c r="P294" s="101">
        <v>432392</v>
      </c>
      <c r="Q294" s="101">
        <v>2265</v>
      </c>
      <c r="R294" s="101">
        <v>434657</v>
      </c>
      <c r="S294" s="101">
        <v>99.48</v>
      </c>
      <c r="T294" s="71">
        <f t="shared" si="95"/>
        <v>0.43465700000000002</v>
      </c>
      <c r="V294" s="215">
        <v>45180</v>
      </c>
      <c r="W294" s="101">
        <v>1106108</v>
      </c>
      <c r="X294" s="101">
        <v>231</v>
      </c>
      <c r="Y294" s="101">
        <v>1106339</v>
      </c>
      <c r="Z294" s="101">
        <v>99.98</v>
      </c>
      <c r="AA294" s="71">
        <f t="shared" si="92"/>
        <v>1.106339</v>
      </c>
      <c r="AC294" s="215">
        <v>45180</v>
      </c>
      <c r="AD294" s="101">
        <v>615962</v>
      </c>
      <c r="AE294" s="101">
        <v>152</v>
      </c>
      <c r="AF294" s="101">
        <v>616114</v>
      </c>
      <c r="AG294" s="101">
        <v>99.98</v>
      </c>
      <c r="AH294" s="71">
        <f t="shared" si="93"/>
        <v>0.61611400000000005</v>
      </c>
      <c r="AJ294" s="215">
        <v>45180</v>
      </c>
      <c r="AK294" s="48">
        <v>0</v>
      </c>
      <c r="AL294" s="48">
        <v>58</v>
      </c>
      <c r="AM294" s="48">
        <v>58</v>
      </c>
      <c r="AN294" s="48">
        <v>0</v>
      </c>
      <c r="AQ294" s="215">
        <v>45180</v>
      </c>
      <c r="AR294" s="104">
        <v>1903</v>
      </c>
      <c r="AS294" s="104">
        <v>10</v>
      </c>
      <c r="AT294" s="104">
        <v>1913</v>
      </c>
      <c r="AU294" s="104">
        <v>99.48</v>
      </c>
      <c r="AX294" s="215">
        <v>45180</v>
      </c>
      <c r="AY294" s="104">
        <v>3174</v>
      </c>
      <c r="AZ294" s="104">
        <v>22</v>
      </c>
      <c r="BA294" s="104">
        <v>3196</v>
      </c>
      <c r="BB294" s="104">
        <v>99.31</v>
      </c>
      <c r="BE294" s="215">
        <v>45180</v>
      </c>
      <c r="BF294" s="101">
        <v>7473</v>
      </c>
      <c r="BG294" s="101">
        <v>83</v>
      </c>
      <c r="BH294" s="101">
        <v>7556</v>
      </c>
      <c r="BI294" s="101">
        <v>98.9</v>
      </c>
      <c r="BL294" s="215">
        <v>45180</v>
      </c>
      <c r="BM294" s="101">
        <v>3023</v>
      </c>
      <c r="BN294" s="101">
        <v>0</v>
      </c>
      <c r="BO294" s="101">
        <v>3023</v>
      </c>
      <c r="BP294" s="101">
        <v>100</v>
      </c>
      <c r="BS294" s="48"/>
      <c r="BT294" s="48"/>
      <c r="BU294" s="48"/>
      <c r="BV294" s="48"/>
      <c r="BW294" s="48"/>
      <c r="BZ294" s="1"/>
      <c r="CA294" s="1"/>
      <c r="CB294" s="1"/>
      <c r="CC294" s="1"/>
      <c r="CE294" s="215">
        <v>45180</v>
      </c>
      <c r="CF294">
        <v>11620898</v>
      </c>
      <c r="CG294">
        <v>10454</v>
      </c>
      <c r="CH294">
        <v>11631352</v>
      </c>
      <c r="CI294" s="46">
        <f t="shared" si="88"/>
        <v>99.910122228267184</v>
      </c>
      <c r="CJ294" s="71">
        <f t="shared" si="98"/>
        <v>11.631352</v>
      </c>
      <c r="CL294" s="140">
        <v>45011</v>
      </c>
      <c r="CM294" s="252" t="s">
        <v>240</v>
      </c>
      <c r="CN294">
        <v>2930</v>
      </c>
      <c r="CO294">
        <v>516</v>
      </c>
    </row>
    <row r="295" spans="1:93" hidden="1" x14ac:dyDescent="0.25">
      <c r="A295" s="215">
        <v>45181</v>
      </c>
      <c r="B295" s="104">
        <v>6111316</v>
      </c>
      <c r="C295" s="104">
        <v>1706</v>
      </c>
      <c r="D295" s="104">
        <v>6113022</v>
      </c>
      <c r="E295" s="104">
        <v>99.97</v>
      </c>
      <c r="F295" s="71">
        <f t="shared" si="97"/>
        <v>6.113022</v>
      </c>
      <c r="H295" s="215">
        <v>45181</v>
      </c>
      <c r="I295" s="101">
        <v>1577404</v>
      </c>
      <c r="J295" s="101">
        <v>1362</v>
      </c>
      <c r="K295" s="101">
        <v>1578766</v>
      </c>
      <c r="L295" s="101">
        <v>99.91</v>
      </c>
      <c r="M295" s="71">
        <f t="shared" si="96"/>
        <v>1.5787659999999999</v>
      </c>
      <c r="O295" s="215">
        <v>45181</v>
      </c>
      <c r="P295" s="101">
        <v>467572</v>
      </c>
      <c r="Q295" s="101">
        <v>2828</v>
      </c>
      <c r="R295" s="101">
        <v>470400</v>
      </c>
      <c r="S295" s="101">
        <v>99.4</v>
      </c>
      <c r="T295" s="71">
        <f t="shared" si="95"/>
        <v>0.47039999999999998</v>
      </c>
      <c r="V295" s="215">
        <v>45181</v>
      </c>
      <c r="W295" s="101">
        <v>982280</v>
      </c>
      <c r="X295" s="101">
        <v>160</v>
      </c>
      <c r="Y295" s="101">
        <v>982440</v>
      </c>
      <c r="Z295" s="101">
        <v>99.98</v>
      </c>
      <c r="AA295" s="71">
        <f t="shared" si="92"/>
        <v>0.98243999999999998</v>
      </c>
      <c r="AC295" s="215">
        <v>45181</v>
      </c>
      <c r="AD295" s="101">
        <v>623144</v>
      </c>
      <c r="AE295" s="101">
        <v>80</v>
      </c>
      <c r="AF295" s="101">
        <v>623224</v>
      </c>
      <c r="AG295" s="101">
        <v>99.99</v>
      </c>
      <c r="AH295" s="71">
        <f t="shared" si="93"/>
        <v>0.623224</v>
      </c>
      <c r="AJ295" s="215">
        <v>45181</v>
      </c>
      <c r="AK295" s="48">
        <v>0</v>
      </c>
      <c r="AL295" s="48">
        <v>40</v>
      </c>
      <c r="AM295" s="48">
        <v>40</v>
      </c>
      <c r="AN295" s="48">
        <v>0</v>
      </c>
      <c r="AQ295" s="215">
        <v>45181</v>
      </c>
      <c r="AR295" s="104">
        <v>1848</v>
      </c>
      <c r="AS295" s="104">
        <v>24</v>
      </c>
      <c r="AT295" s="104">
        <v>1872</v>
      </c>
      <c r="AU295" s="104">
        <v>98.72</v>
      </c>
      <c r="AX295" s="215">
        <v>45181</v>
      </c>
      <c r="AY295" s="104">
        <v>3104</v>
      </c>
      <c r="AZ295" s="104">
        <v>50</v>
      </c>
      <c r="BA295" s="104">
        <v>3154</v>
      </c>
      <c r="BB295" s="104">
        <v>98.41</v>
      </c>
      <c r="BE295" s="215">
        <v>45181</v>
      </c>
      <c r="BF295" s="101">
        <v>7724</v>
      </c>
      <c r="BG295" s="101">
        <v>154</v>
      </c>
      <c r="BH295" s="101">
        <v>7878</v>
      </c>
      <c r="BI295" s="101">
        <v>98.05</v>
      </c>
      <c r="BL295" s="215">
        <v>45181</v>
      </c>
      <c r="BM295" s="101">
        <v>5192</v>
      </c>
      <c r="BN295" s="101">
        <v>0</v>
      </c>
      <c r="BO295" s="101">
        <v>5192</v>
      </c>
      <c r="BP295" s="101">
        <v>100</v>
      </c>
      <c r="BS295" s="48"/>
      <c r="BT295" s="48"/>
      <c r="BU295" s="48"/>
      <c r="BV295" s="48"/>
      <c r="BW295" s="48"/>
      <c r="BZ295" s="1"/>
      <c r="CA295" s="1"/>
      <c r="CB295" s="1"/>
      <c r="CC295" s="1"/>
      <c r="CE295" s="215">
        <v>45181</v>
      </c>
      <c r="CF295">
        <v>11496278</v>
      </c>
      <c r="CG295">
        <v>11234</v>
      </c>
      <c r="CH295">
        <v>11507512</v>
      </c>
      <c r="CI295" s="46">
        <f t="shared" si="88"/>
        <v>99.902376812642046</v>
      </c>
      <c r="CJ295" s="71">
        <f t="shared" si="98"/>
        <v>11.507512</v>
      </c>
      <c r="CL295" s="140">
        <v>45153</v>
      </c>
      <c r="CM295" s="252" t="s">
        <v>238</v>
      </c>
      <c r="CN295">
        <v>6896</v>
      </c>
      <c r="CO295">
        <v>503</v>
      </c>
    </row>
    <row r="296" spans="1:93" hidden="1" x14ac:dyDescent="0.25">
      <c r="A296" s="215">
        <v>45182</v>
      </c>
      <c r="B296" s="104">
        <v>5870287</v>
      </c>
      <c r="C296" s="104">
        <v>1977</v>
      </c>
      <c r="D296" s="104">
        <v>5872264</v>
      </c>
      <c r="E296" s="104">
        <v>99.97</v>
      </c>
      <c r="F296" s="71">
        <f t="shared" si="97"/>
        <v>5.8722640000000004</v>
      </c>
      <c r="H296" s="215">
        <v>45182</v>
      </c>
      <c r="I296" s="101">
        <v>1334778</v>
      </c>
      <c r="J296" s="101">
        <v>1357</v>
      </c>
      <c r="K296" s="101">
        <v>1336135</v>
      </c>
      <c r="L296" s="101">
        <v>99.9</v>
      </c>
      <c r="M296" s="71">
        <f t="shared" si="96"/>
        <v>1.3361350000000001</v>
      </c>
      <c r="O296" s="215">
        <v>45182</v>
      </c>
      <c r="P296" s="101">
        <v>426393</v>
      </c>
      <c r="Q296" s="101">
        <v>2019</v>
      </c>
      <c r="R296" s="101">
        <v>428412</v>
      </c>
      <c r="S296" s="101">
        <v>99.53</v>
      </c>
      <c r="T296" s="71">
        <f t="shared" si="95"/>
        <v>0.42841200000000002</v>
      </c>
      <c r="V296" s="215">
        <v>45182</v>
      </c>
      <c r="W296" s="101">
        <v>1049170</v>
      </c>
      <c r="X296" s="101">
        <v>216</v>
      </c>
      <c r="Y296" s="101">
        <v>1049386</v>
      </c>
      <c r="Z296" s="101">
        <v>99.98</v>
      </c>
      <c r="AA296" s="71">
        <f t="shared" si="92"/>
        <v>1.0493859999999999</v>
      </c>
      <c r="AC296" s="215">
        <v>45182</v>
      </c>
      <c r="AD296" s="101">
        <v>694299</v>
      </c>
      <c r="AE296" s="101">
        <v>79</v>
      </c>
      <c r="AF296" s="101">
        <v>694378</v>
      </c>
      <c r="AG296" s="101">
        <v>99.99</v>
      </c>
      <c r="AH296" s="71">
        <f t="shared" si="93"/>
        <v>0.69437800000000005</v>
      </c>
      <c r="AJ296" s="215">
        <v>45182</v>
      </c>
      <c r="AK296" s="48">
        <v>0</v>
      </c>
      <c r="AL296" s="48">
        <v>75</v>
      </c>
      <c r="AM296" s="48">
        <v>75</v>
      </c>
      <c r="AN296" s="48">
        <v>0</v>
      </c>
      <c r="AQ296" s="215">
        <v>45182</v>
      </c>
      <c r="AR296" s="104">
        <v>2304</v>
      </c>
      <c r="AS296" s="104">
        <v>32</v>
      </c>
      <c r="AT296" s="104">
        <v>2336</v>
      </c>
      <c r="AU296" s="104">
        <v>98.63</v>
      </c>
      <c r="AX296" s="215">
        <v>45182</v>
      </c>
      <c r="AY296" s="104">
        <v>4127</v>
      </c>
      <c r="AZ296" s="104">
        <v>81</v>
      </c>
      <c r="BA296" s="104">
        <v>4208</v>
      </c>
      <c r="BB296" s="104">
        <v>98.08</v>
      </c>
      <c r="BE296" s="215">
        <v>45182</v>
      </c>
      <c r="BF296" s="101">
        <v>6835</v>
      </c>
      <c r="BG296" s="101">
        <v>68</v>
      </c>
      <c r="BH296" s="101">
        <v>6903</v>
      </c>
      <c r="BI296" s="101">
        <v>99.01</v>
      </c>
      <c r="BL296" s="215">
        <v>45182</v>
      </c>
      <c r="BM296" s="101">
        <v>3453</v>
      </c>
      <c r="BN296" s="101">
        <v>0</v>
      </c>
      <c r="BO296" s="101">
        <v>3453</v>
      </c>
      <c r="BP296" s="101">
        <v>100</v>
      </c>
      <c r="BS296" s="48"/>
      <c r="BT296" s="48"/>
      <c r="BU296" s="48"/>
      <c r="BV296" s="48"/>
      <c r="BW296" s="48"/>
      <c r="BZ296" s="1"/>
      <c r="CA296" s="1"/>
      <c r="CB296" s="1"/>
      <c r="CC296" s="1"/>
      <c r="CE296" s="215">
        <v>45182</v>
      </c>
      <c r="CF296">
        <v>11054345</v>
      </c>
      <c r="CG296">
        <v>12196</v>
      </c>
      <c r="CH296">
        <v>11066541</v>
      </c>
      <c r="CI296" s="46">
        <f t="shared" si="88"/>
        <v>99.889793929286483</v>
      </c>
      <c r="CJ296" s="71">
        <f t="shared" si="98"/>
        <v>11.066541000000001</v>
      </c>
      <c r="CL296" s="140">
        <v>45153</v>
      </c>
      <c r="CM296" t="s">
        <v>237</v>
      </c>
      <c r="CN296">
        <v>3576</v>
      </c>
      <c r="CO296">
        <v>527</v>
      </c>
    </row>
    <row r="297" spans="1:93" hidden="1" x14ac:dyDescent="0.25">
      <c r="A297" s="215">
        <v>45183</v>
      </c>
      <c r="B297" s="104">
        <v>7168342</v>
      </c>
      <c r="C297" s="104">
        <v>31062</v>
      </c>
      <c r="D297" s="104">
        <v>7199404</v>
      </c>
      <c r="E297" s="104">
        <v>99.57</v>
      </c>
      <c r="F297" s="71">
        <f t="shared" si="97"/>
        <v>7.1994040000000004</v>
      </c>
      <c r="H297" s="215">
        <v>45183</v>
      </c>
      <c r="I297" s="101">
        <v>1747164</v>
      </c>
      <c r="J297" s="101">
        <v>8850</v>
      </c>
      <c r="K297" s="101">
        <v>1756014</v>
      </c>
      <c r="L297" s="101">
        <v>99.5</v>
      </c>
      <c r="M297" s="71">
        <f t="shared" si="96"/>
        <v>1.756014</v>
      </c>
      <c r="O297" s="215">
        <v>45183</v>
      </c>
      <c r="P297" s="101">
        <v>533024</v>
      </c>
      <c r="Q297" s="101">
        <v>2813</v>
      </c>
      <c r="R297" s="101">
        <v>535837</v>
      </c>
      <c r="S297" s="101">
        <v>99.48</v>
      </c>
      <c r="T297" s="71">
        <f t="shared" si="95"/>
        <v>0.53583700000000001</v>
      </c>
      <c r="V297" s="215">
        <v>45183</v>
      </c>
      <c r="W297" s="101">
        <v>1308903</v>
      </c>
      <c r="X297" s="101">
        <v>1731</v>
      </c>
      <c r="Y297" s="101">
        <v>1310634</v>
      </c>
      <c r="Z297" s="101">
        <v>99.87</v>
      </c>
      <c r="AA297" s="71">
        <f t="shared" si="92"/>
        <v>1.3106340000000001</v>
      </c>
      <c r="AC297" s="215">
        <v>45183</v>
      </c>
      <c r="AD297" s="101">
        <v>879146</v>
      </c>
      <c r="AE297" s="101">
        <v>88</v>
      </c>
      <c r="AF297" s="101">
        <v>879234</v>
      </c>
      <c r="AG297" s="101">
        <v>99.99</v>
      </c>
      <c r="AH297" s="71">
        <f t="shared" si="93"/>
        <v>0.87923399999999996</v>
      </c>
      <c r="AJ297" s="215">
        <v>45183</v>
      </c>
      <c r="AK297" s="48">
        <v>0</v>
      </c>
      <c r="AL297" s="48">
        <v>98</v>
      </c>
      <c r="AM297" s="48">
        <v>98</v>
      </c>
      <c r="AN297" s="48">
        <v>0</v>
      </c>
      <c r="AQ297" s="215">
        <v>45183</v>
      </c>
      <c r="AR297" s="104">
        <v>2359</v>
      </c>
      <c r="AS297" s="104">
        <v>109</v>
      </c>
      <c r="AT297" s="104">
        <v>2468</v>
      </c>
      <c r="AU297" s="104">
        <v>95.58</v>
      </c>
      <c r="AX297" s="215">
        <v>45183</v>
      </c>
      <c r="AY297" s="104">
        <v>5491</v>
      </c>
      <c r="AZ297" s="104">
        <v>189</v>
      </c>
      <c r="BA297" s="104">
        <v>5680</v>
      </c>
      <c r="BB297" s="104">
        <v>96.67</v>
      </c>
      <c r="BE297" s="215">
        <v>45183</v>
      </c>
      <c r="BF297" s="101">
        <v>4932</v>
      </c>
      <c r="BG297" s="101">
        <v>55</v>
      </c>
      <c r="BH297" s="101">
        <v>4987</v>
      </c>
      <c r="BI297" s="101">
        <v>98.9</v>
      </c>
      <c r="BL297" s="215">
        <v>45183</v>
      </c>
      <c r="BM297" s="101">
        <v>3082</v>
      </c>
      <c r="BN297" s="101">
        <v>0</v>
      </c>
      <c r="BO297" s="101">
        <v>3082</v>
      </c>
      <c r="BP297" s="101">
        <v>100</v>
      </c>
      <c r="BS297" s="48"/>
      <c r="BT297" s="48"/>
      <c r="BU297" s="48"/>
      <c r="BV297" s="48"/>
      <c r="BW297" s="48"/>
      <c r="BZ297" s="1"/>
      <c r="CA297" s="1"/>
      <c r="CB297" s="1"/>
      <c r="CC297" s="1"/>
      <c r="CE297" s="215">
        <v>45183</v>
      </c>
      <c r="CF297">
        <v>13750965</v>
      </c>
      <c r="CG297">
        <v>58696</v>
      </c>
      <c r="CH297">
        <v>13809661</v>
      </c>
      <c r="CI297" s="46">
        <f t="shared" si="88"/>
        <v>99.574964222510616</v>
      </c>
      <c r="CJ297" s="71">
        <f t="shared" si="98"/>
        <v>13.809661</v>
      </c>
      <c r="CL297" s="140">
        <v>45153</v>
      </c>
      <c r="CM297" s="252" t="s">
        <v>240</v>
      </c>
      <c r="CN297">
        <v>1724</v>
      </c>
      <c r="CO297">
        <v>516</v>
      </c>
    </row>
    <row r="298" spans="1:93" hidden="1" x14ac:dyDescent="0.25">
      <c r="A298" s="215">
        <v>45184</v>
      </c>
      <c r="B298" s="104">
        <v>6868318</v>
      </c>
      <c r="C298" s="104">
        <v>2997</v>
      </c>
      <c r="D298" s="104">
        <v>6871315</v>
      </c>
      <c r="E298" s="104">
        <v>99.96</v>
      </c>
      <c r="F298" s="71">
        <f t="shared" si="97"/>
        <v>6.8713150000000001</v>
      </c>
      <c r="H298" s="215">
        <v>45184</v>
      </c>
      <c r="I298" s="101">
        <v>1677955</v>
      </c>
      <c r="J298" s="101">
        <v>1486</v>
      </c>
      <c r="K298" s="101">
        <v>1679441</v>
      </c>
      <c r="L298" s="101">
        <v>99.91</v>
      </c>
      <c r="M298" s="71">
        <f t="shared" si="96"/>
        <v>1.679441</v>
      </c>
      <c r="O298" s="215">
        <v>45184</v>
      </c>
      <c r="P298" s="101">
        <v>488781</v>
      </c>
      <c r="Q298" s="101">
        <v>2612</v>
      </c>
      <c r="R298" s="101">
        <v>491393</v>
      </c>
      <c r="S298" s="101">
        <v>99.47</v>
      </c>
      <c r="T298" s="71">
        <f t="shared" si="95"/>
        <v>0.49139300000000002</v>
      </c>
      <c r="V298" s="215">
        <v>45184</v>
      </c>
      <c r="W298" s="101">
        <v>1271724</v>
      </c>
      <c r="X298" s="101">
        <v>459</v>
      </c>
      <c r="Y298" s="101">
        <v>1272183</v>
      </c>
      <c r="Z298" s="101">
        <v>99.96</v>
      </c>
      <c r="AA298" s="71">
        <f t="shared" si="92"/>
        <v>1.2721830000000001</v>
      </c>
      <c r="AC298" s="215">
        <v>45184</v>
      </c>
      <c r="AD298" s="101">
        <v>735012</v>
      </c>
      <c r="AE298" s="101">
        <v>61</v>
      </c>
      <c r="AF298" s="101">
        <v>735073</v>
      </c>
      <c r="AG298" s="101">
        <v>99.99</v>
      </c>
      <c r="AH298" s="71">
        <f t="shared" si="93"/>
        <v>0.73507299999999998</v>
      </c>
      <c r="AJ298" s="215">
        <v>45184</v>
      </c>
      <c r="AK298" s="48">
        <v>0</v>
      </c>
      <c r="AL298" s="48">
        <v>84</v>
      </c>
      <c r="AM298" s="48">
        <v>84</v>
      </c>
      <c r="AN298" s="48">
        <v>0</v>
      </c>
      <c r="AQ298" s="215">
        <v>45184</v>
      </c>
      <c r="AR298" s="48">
        <v>2240</v>
      </c>
      <c r="AS298" s="48">
        <v>208</v>
      </c>
      <c r="AT298" s="48">
        <v>2448</v>
      </c>
      <c r="AU298" s="48">
        <v>91.5</v>
      </c>
      <c r="AX298" s="215">
        <v>45184</v>
      </c>
      <c r="AY298" s="48">
        <v>5898</v>
      </c>
      <c r="AZ298" s="48">
        <v>45</v>
      </c>
      <c r="BA298" s="48">
        <v>5943</v>
      </c>
      <c r="BB298" s="48">
        <v>99.24</v>
      </c>
      <c r="BE298" s="215">
        <v>45184</v>
      </c>
      <c r="BF298">
        <v>4879</v>
      </c>
      <c r="BG298">
        <v>57</v>
      </c>
      <c r="BH298">
        <v>4936</v>
      </c>
      <c r="BI298">
        <v>98.85</v>
      </c>
      <c r="BL298" s="215">
        <v>45184</v>
      </c>
      <c r="BM298">
        <v>3601</v>
      </c>
      <c r="BN298">
        <v>0</v>
      </c>
      <c r="BO298">
        <v>3601</v>
      </c>
      <c r="BP298">
        <v>100</v>
      </c>
      <c r="BS298" s="48"/>
      <c r="BT298" s="48"/>
      <c r="BU298" s="48"/>
      <c r="BV298" s="48"/>
      <c r="BW298" s="48"/>
      <c r="BZ298" s="1"/>
      <c r="CA298" s="1"/>
      <c r="CB298" s="1"/>
      <c r="CC298" s="1"/>
      <c r="CE298" s="215">
        <v>45184</v>
      </c>
      <c r="CF298">
        <v>13157552</v>
      </c>
      <c r="CG298">
        <v>16792</v>
      </c>
      <c r="CH298">
        <v>13174344</v>
      </c>
      <c r="CI298" s="46">
        <f t="shared" si="88"/>
        <v>99.872540143175243</v>
      </c>
      <c r="CJ298" s="71">
        <f t="shared" si="98"/>
        <v>13.174344</v>
      </c>
      <c r="CL298" s="140">
        <v>45153</v>
      </c>
      <c r="CM298" s="252" t="s">
        <v>239</v>
      </c>
      <c r="CN298">
        <v>1064</v>
      </c>
      <c r="CO298">
        <v>504</v>
      </c>
    </row>
    <row r="299" spans="1:93" hidden="1" x14ac:dyDescent="0.25">
      <c r="A299" s="215">
        <v>45185</v>
      </c>
      <c r="B299" s="104">
        <v>5658524</v>
      </c>
      <c r="C299" s="104">
        <v>4906</v>
      </c>
      <c r="D299" s="104">
        <v>5663430</v>
      </c>
      <c r="E299" s="104">
        <v>99.91</v>
      </c>
      <c r="F299" s="71">
        <f t="shared" si="97"/>
        <v>5.66343</v>
      </c>
      <c r="H299" s="215">
        <v>45185</v>
      </c>
      <c r="I299" s="101">
        <v>1373320</v>
      </c>
      <c r="J299" s="101">
        <v>1304</v>
      </c>
      <c r="K299" s="101">
        <v>1374624</v>
      </c>
      <c r="L299" s="101">
        <v>99.91</v>
      </c>
      <c r="M299" s="71">
        <f t="shared" si="96"/>
        <v>1.3746240000000001</v>
      </c>
      <c r="O299" s="215">
        <v>45185</v>
      </c>
      <c r="P299" s="101">
        <v>426006</v>
      </c>
      <c r="Q299" s="101">
        <v>2058</v>
      </c>
      <c r="R299" s="101">
        <v>428064</v>
      </c>
      <c r="S299" s="101">
        <v>99.52</v>
      </c>
      <c r="T299" s="71">
        <f t="shared" si="95"/>
        <v>0.428064</v>
      </c>
      <c r="V299" s="215">
        <v>45185</v>
      </c>
      <c r="W299" s="101">
        <v>1037432</v>
      </c>
      <c r="X299" s="101">
        <v>696</v>
      </c>
      <c r="Y299" s="101">
        <v>1038128</v>
      </c>
      <c r="Z299" s="101">
        <v>99.93</v>
      </c>
      <c r="AA299" s="71">
        <f t="shared" si="92"/>
        <v>1.0381279999999999</v>
      </c>
      <c r="AC299" s="215">
        <v>45185</v>
      </c>
      <c r="AD299" s="101">
        <v>771106</v>
      </c>
      <c r="AE299" s="101">
        <v>472</v>
      </c>
      <c r="AF299" s="101">
        <v>771578</v>
      </c>
      <c r="AG299" s="101">
        <v>99.94</v>
      </c>
      <c r="AH299" s="71">
        <f t="shared" si="93"/>
        <v>0.77157799999999999</v>
      </c>
      <c r="AJ299" s="215">
        <v>45185</v>
      </c>
      <c r="AK299" s="48">
        <v>0</v>
      </c>
      <c r="AL299" s="48">
        <v>42</v>
      </c>
      <c r="AM299" s="48">
        <v>42</v>
      </c>
      <c r="AN299" s="48">
        <v>0</v>
      </c>
      <c r="AQ299" s="215">
        <v>45185</v>
      </c>
      <c r="AR299" s="48">
        <v>1666</v>
      </c>
      <c r="AS299" s="48">
        <v>254</v>
      </c>
      <c r="AT299" s="48">
        <v>1920</v>
      </c>
      <c r="AU299" s="48">
        <v>86.77</v>
      </c>
      <c r="AX299" s="215">
        <v>45185</v>
      </c>
      <c r="AY299" s="48">
        <v>2210</v>
      </c>
      <c r="AZ299" s="48">
        <v>38</v>
      </c>
      <c r="BA299" s="48">
        <v>2248</v>
      </c>
      <c r="BB299" s="48">
        <v>98.31</v>
      </c>
      <c r="BE299" s="215">
        <v>45185</v>
      </c>
      <c r="BF299">
        <v>3344</v>
      </c>
      <c r="BG299">
        <v>18</v>
      </c>
      <c r="BH299">
        <v>3362</v>
      </c>
      <c r="BI299">
        <v>99.46</v>
      </c>
      <c r="BL299" s="215">
        <v>45185</v>
      </c>
      <c r="BM299">
        <v>5354</v>
      </c>
      <c r="BN299">
        <v>0</v>
      </c>
      <c r="BO299">
        <v>5354</v>
      </c>
      <c r="BP299">
        <v>100</v>
      </c>
      <c r="BS299" s="48"/>
      <c r="BT299" s="48"/>
      <c r="BU299" s="48"/>
      <c r="BV299" s="48"/>
      <c r="BW299" s="48"/>
      <c r="BZ299" s="1"/>
      <c r="CA299" s="1"/>
      <c r="CB299" s="1"/>
      <c r="CC299" s="1"/>
      <c r="CE299" s="215">
        <v>45185</v>
      </c>
      <c r="CF299">
        <v>11005974</v>
      </c>
      <c r="CG299">
        <v>17396</v>
      </c>
      <c r="CH299">
        <v>11023370</v>
      </c>
      <c r="CI299" s="46">
        <f t="shared" ref="CI299:CI366" si="99">CF299/CH299%</f>
        <v>99.842189820354392</v>
      </c>
      <c r="CJ299" s="71">
        <f t="shared" si="98"/>
        <v>11.02337</v>
      </c>
      <c r="CL299" s="140">
        <v>45153</v>
      </c>
      <c r="CM299" t="s">
        <v>244</v>
      </c>
      <c r="CN299">
        <v>578</v>
      </c>
      <c r="CO299">
        <v>513</v>
      </c>
    </row>
    <row r="300" spans="1:93" hidden="1" x14ac:dyDescent="0.25">
      <c r="A300" s="215">
        <v>45186</v>
      </c>
      <c r="B300" s="104">
        <v>5025342</v>
      </c>
      <c r="C300" s="104">
        <v>1636</v>
      </c>
      <c r="D300" s="104">
        <v>5026978</v>
      </c>
      <c r="E300" s="104">
        <v>99.97</v>
      </c>
      <c r="F300" s="71">
        <f t="shared" si="97"/>
        <v>5.0269779999999997</v>
      </c>
      <c r="H300" s="215">
        <v>45186</v>
      </c>
      <c r="I300" s="101">
        <v>1282064</v>
      </c>
      <c r="J300" s="101">
        <v>1255</v>
      </c>
      <c r="K300" s="101">
        <v>1283319</v>
      </c>
      <c r="L300" s="101">
        <v>99.9</v>
      </c>
      <c r="M300" s="71">
        <f t="shared" si="96"/>
        <v>1.2833190000000001</v>
      </c>
      <c r="O300" s="215">
        <v>45186</v>
      </c>
      <c r="P300" s="101">
        <v>431198</v>
      </c>
      <c r="Q300" s="101">
        <v>2032</v>
      </c>
      <c r="R300" s="101">
        <v>433230</v>
      </c>
      <c r="S300" s="101">
        <v>99.53</v>
      </c>
      <c r="T300" s="71">
        <f t="shared" si="95"/>
        <v>0.43323</v>
      </c>
      <c r="V300" s="215">
        <v>45186</v>
      </c>
      <c r="W300" s="101">
        <v>975530</v>
      </c>
      <c r="X300" s="101">
        <v>240</v>
      </c>
      <c r="Y300" s="101">
        <v>975770</v>
      </c>
      <c r="Z300" s="101">
        <v>99.98</v>
      </c>
      <c r="AA300" s="71">
        <f t="shared" si="92"/>
        <v>0.97577000000000003</v>
      </c>
      <c r="AC300" s="215">
        <v>45186</v>
      </c>
      <c r="AD300" s="101">
        <v>699061</v>
      </c>
      <c r="AE300" s="101">
        <v>110</v>
      </c>
      <c r="AF300" s="101">
        <v>699171</v>
      </c>
      <c r="AG300" s="101">
        <v>99.98</v>
      </c>
      <c r="AH300" s="71">
        <f t="shared" si="93"/>
        <v>0.69917099999999999</v>
      </c>
      <c r="AJ300" s="215">
        <v>45186</v>
      </c>
      <c r="AK300" s="48">
        <v>0</v>
      </c>
      <c r="AL300" s="48">
        <v>62</v>
      </c>
      <c r="AM300" s="48">
        <v>62</v>
      </c>
      <c r="AN300" s="48">
        <v>0</v>
      </c>
      <c r="AQ300" s="215">
        <v>45186</v>
      </c>
      <c r="AR300" s="48">
        <v>925</v>
      </c>
      <c r="AS300" s="48">
        <v>78</v>
      </c>
      <c r="AT300" s="48">
        <v>1003</v>
      </c>
      <c r="AU300" s="48">
        <v>92.22</v>
      </c>
      <c r="AX300" s="215">
        <v>45186</v>
      </c>
      <c r="AY300" s="48">
        <v>56</v>
      </c>
      <c r="AZ300" s="48">
        <v>183</v>
      </c>
      <c r="BA300" s="48">
        <v>239</v>
      </c>
      <c r="BB300" s="48">
        <v>23.43</v>
      </c>
      <c r="BE300" s="215">
        <v>45186</v>
      </c>
      <c r="BF300">
        <v>4182</v>
      </c>
      <c r="BG300">
        <v>42</v>
      </c>
      <c r="BH300">
        <v>4224</v>
      </c>
      <c r="BI300">
        <v>99.01</v>
      </c>
      <c r="BL300" s="215">
        <v>45186</v>
      </c>
      <c r="BM300">
        <v>3800</v>
      </c>
      <c r="BN300">
        <v>0</v>
      </c>
      <c r="BO300">
        <v>3800</v>
      </c>
      <c r="BP300">
        <v>100</v>
      </c>
      <c r="BS300" s="48"/>
      <c r="BT300" s="48"/>
      <c r="BU300" s="48"/>
      <c r="BV300" s="48"/>
      <c r="BW300" s="48"/>
      <c r="BZ300" s="1"/>
      <c r="CA300" s="1"/>
      <c r="CB300" s="1"/>
      <c r="CC300" s="1"/>
      <c r="CE300" s="215">
        <v>45186</v>
      </c>
      <c r="CF300">
        <v>10015663</v>
      </c>
      <c r="CG300">
        <v>12147</v>
      </c>
      <c r="CH300">
        <v>10027810</v>
      </c>
      <c r="CI300" s="46">
        <f t="shared" si="99"/>
        <v>99.878866871231097</v>
      </c>
      <c r="CJ300" s="71">
        <f t="shared" si="98"/>
        <v>10.027810000000001</v>
      </c>
      <c r="CL300" s="140">
        <v>45154</v>
      </c>
      <c r="CM300" s="252" t="s">
        <v>238</v>
      </c>
      <c r="CN300">
        <v>6396</v>
      </c>
      <c r="CO300">
        <v>503</v>
      </c>
    </row>
    <row r="301" spans="1:93" hidden="1" x14ac:dyDescent="0.25">
      <c r="A301" s="215">
        <v>45187</v>
      </c>
      <c r="B301" s="104">
        <v>7486645</v>
      </c>
      <c r="C301" s="104">
        <v>2926</v>
      </c>
      <c r="D301" s="104">
        <v>7489571</v>
      </c>
      <c r="E301" s="104">
        <v>99.96</v>
      </c>
      <c r="F301" s="71">
        <f t="shared" si="97"/>
        <v>7.4895709999999998</v>
      </c>
      <c r="H301" s="215">
        <v>45187</v>
      </c>
      <c r="I301" s="101">
        <v>1680301</v>
      </c>
      <c r="J301" s="101">
        <v>1794</v>
      </c>
      <c r="K301" s="101">
        <v>1682095</v>
      </c>
      <c r="L301" s="101">
        <v>99.89</v>
      </c>
      <c r="M301" s="71">
        <f t="shared" si="96"/>
        <v>1.6820949999999999</v>
      </c>
      <c r="O301" s="215">
        <v>45187</v>
      </c>
      <c r="P301" s="101">
        <v>536665</v>
      </c>
      <c r="Q301" s="101">
        <v>2834</v>
      </c>
      <c r="R301" s="101">
        <v>539499</v>
      </c>
      <c r="S301" s="101">
        <v>99.47</v>
      </c>
      <c r="T301" s="71">
        <f t="shared" si="95"/>
        <v>0.53949899999999995</v>
      </c>
      <c r="V301" s="215">
        <v>45187</v>
      </c>
      <c r="W301" s="101">
        <v>1358308</v>
      </c>
      <c r="X301" s="101">
        <v>241</v>
      </c>
      <c r="Y301" s="101">
        <v>1358549</v>
      </c>
      <c r="Z301" s="101">
        <v>99.98</v>
      </c>
      <c r="AA301" s="71">
        <f t="shared" si="92"/>
        <v>1.358549</v>
      </c>
      <c r="AC301" s="215">
        <v>45187</v>
      </c>
      <c r="AD301" s="101">
        <v>771303</v>
      </c>
      <c r="AE301" s="101">
        <v>86</v>
      </c>
      <c r="AF301" s="101">
        <v>771389</v>
      </c>
      <c r="AG301" s="101">
        <v>99.99</v>
      </c>
      <c r="AH301" s="71">
        <f t="shared" si="93"/>
        <v>0.77138899999999999</v>
      </c>
      <c r="AJ301" s="215">
        <v>45187</v>
      </c>
      <c r="AK301" s="48">
        <v>0</v>
      </c>
      <c r="AL301" s="48">
        <v>49</v>
      </c>
      <c r="AM301" s="48">
        <v>49</v>
      </c>
      <c r="AN301" s="48">
        <v>0</v>
      </c>
      <c r="AQ301" s="215">
        <v>45187</v>
      </c>
      <c r="AR301" s="48">
        <v>2684</v>
      </c>
      <c r="AS301" s="48">
        <v>276</v>
      </c>
      <c r="AT301" s="48">
        <v>2960</v>
      </c>
      <c r="AU301" s="48">
        <v>90.68</v>
      </c>
      <c r="AX301" s="215">
        <v>45187</v>
      </c>
      <c r="AY301" s="48">
        <v>6481</v>
      </c>
      <c r="AZ301" s="48">
        <v>172</v>
      </c>
      <c r="BA301" s="48">
        <v>6653</v>
      </c>
      <c r="BB301" s="48">
        <v>97.41</v>
      </c>
      <c r="BE301" s="215">
        <v>45187</v>
      </c>
      <c r="BF301">
        <v>9543</v>
      </c>
      <c r="BG301">
        <v>115</v>
      </c>
      <c r="BH301">
        <v>9658</v>
      </c>
      <c r="BI301">
        <v>98.81</v>
      </c>
      <c r="BL301" s="215">
        <v>45187</v>
      </c>
      <c r="BM301">
        <v>3898</v>
      </c>
      <c r="BN301">
        <v>0</v>
      </c>
      <c r="BO301">
        <v>3898</v>
      </c>
      <c r="BP301">
        <v>100</v>
      </c>
      <c r="BS301" s="48"/>
      <c r="BT301" s="48"/>
      <c r="BU301" s="48"/>
      <c r="BV301" s="48"/>
      <c r="BW301" s="48"/>
      <c r="BZ301" s="1"/>
      <c r="CA301" s="1"/>
      <c r="CB301" s="1"/>
      <c r="CC301" s="1"/>
      <c r="CE301" s="215">
        <v>45187</v>
      </c>
      <c r="CF301">
        <v>14108902</v>
      </c>
      <c r="CG301">
        <v>15130</v>
      </c>
      <c r="CH301">
        <v>14124032</v>
      </c>
      <c r="CI301" s="46">
        <f t="shared" si="99"/>
        <v>99.892877614550855</v>
      </c>
      <c r="CJ301" s="71">
        <f t="shared" si="98"/>
        <v>14.124032</v>
      </c>
      <c r="CL301" s="140">
        <v>45154</v>
      </c>
      <c r="CM301" t="s">
        <v>237</v>
      </c>
      <c r="CN301">
        <v>3000</v>
      </c>
      <c r="CO301">
        <v>527</v>
      </c>
    </row>
    <row r="302" spans="1:93" hidden="1" x14ac:dyDescent="0.25">
      <c r="A302" s="215">
        <v>45188</v>
      </c>
      <c r="B302" s="104">
        <v>6913480</v>
      </c>
      <c r="C302" s="104">
        <v>2878</v>
      </c>
      <c r="D302" s="104">
        <v>6916358</v>
      </c>
      <c r="E302" s="104">
        <v>99.96</v>
      </c>
      <c r="F302" s="71">
        <f t="shared" si="97"/>
        <v>6.9163579999999998</v>
      </c>
      <c r="H302" s="215">
        <v>45188</v>
      </c>
      <c r="I302" s="101">
        <v>1675836</v>
      </c>
      <c r="J302" s="101">
        <v>1841</v>
      </c>
      <c r="K302" s="101">
        <v>1677677</v>
      </c>
      <c r="L302" s="101">
        <v>99.89</v>
      </c>
      <c r="M302" s="71">
        <f t="shared" si="96"/>
        <v>1.6776770000000001</v>
      </c>
      <c r="O302" s="215">
        <v>45188</v>
      </c>
      <c r="P302" s="101">
        <v>501992</v>
      </c>
      <c r="Q302" s="101">
        <v>3288</v>
      </c>
      <c r="R302" s="101">
        <v>505280</v>
      </c>
      <c r="S302" s="101">
        <v>99.35</v>
      </c>
      <c r="T302" s="71">
        <f t="shared" si="95"/>
        <v>0.50527999999999995</v>
      </c>
      <c r="V302" s="215">
        <v>45188</v>
      </c>
      <c r="W302" s="101">
        <v>1140010</v>
      </c>
      <c r="X302" s="101">
        <v>190</v>
      </c>
      <c r="Y302" s="101">
        <v>1140200</v>
      </c>
      <c r="Z302" s="101">
        <v>99.98</v>
      </c>
      <c r="AA302" s="71">
        <f t="shared" si="92"/>
        <v>1.1402000000000001</v>
      </c>
      <c r="AC302" s="215">
        <v>45188</v>
      </c>
      <c r="AD302" s="101">
        <v>752506</v>
      </c>
      <c r="AE302" s="101">
        <v>100</v>
      </c>
      <c r="AF302" s="101">
        <v>752606</v>
      </c>
      <c r="AG302" s="101">
        <v>99.99</v>
      </c>
      <c r="AH302" s="71">
        <f t="shared" si="93"/>
        <v>0.752606</v>
      </c>
      <c r="AJ302" s="215">
        <v>45188</v>
      </c>
      <c r="AK302" s="48">
        <v>0</v>
      </c>
      <c r="AL302" s="48">
        <v>76</v>
      </c>
      <c r="AM302" s="48">
        <v>76</v>
      </c>
      <c r="AN302" s="48">
        <v>0</v>
      </c>
      <c r="AQ302" s="215">
        <v>45188</v>
      </c>
      <c r="AR302" s="104">
        <v>3296</v>
      </c>
      <c r="AS302" s="104">
        <v>201</v>
      </c>
      <c r="AT302" s="104">
        <v>3497</v>
      </c>
      <c r="AU302" s="104">
        <v>94.25</v>
      </c>
      <c r="AX302" s="215">
        <v>45188</v>
      </c>
      <c r="AY302" s="104">
        <v>3233</v>
      </c>
      <c r="AZ302" s="104">
        <v>140</v>
      </c>
      <c r="BA302" s="104">
        <v>3373</v>
      </c>
      <c r="BB302" s="104">
        <v>95.85</v>
      </c>
      <c r="BE302" s="215">
        <v>45188</v>
      </c>
      <c r="BF302" s="101">
        <v>8689</v>
      </c>
      <c r="BG302" s="101">
        <v>111</v>
      </c>
      <c r="BH302" s="101">
        <v>8800</v>
      </c>
      <c r="BI302" s="101">
        <v>98.74</v>
      </c>
      <c r="BL302" s="215">
        <v>45188</v>
      </c>
      <c r="BM302" s="101">
        <v>5811</v>
      </c>
      <c r="BN302" s="101">
        <v>0</v>
      </c>
      <c r="BO302" s="101">
        <v>5811</v>
      </c>
      <c r="BP302" s="101">
        <v>100</v>
      </c>
      <c r="BS302" s="48"/>
      <c r="BT302" s="48"/>
      <c r="BU302" s="48"/>
      <c r="BV302" s="48"/>
      <c r="BW302" s="48"/>
      <c r="BZ302" s="1"/>
      <c r="CA302" s="1"/>
      <c r="CB302" s="1"/>
      <c r="CC302" s="1"/>
      <c r="CE302" s="215">
        <v>45188</v>
      </c>
      <c r="CF302">
        <v>12969113</v>
      </c>
      <c r="CG302">
        <v>14976</v>
      </c>
      <c r="CH302">
        <v>12984089</v>
      </c>
      <c r="CI302" s="46">
        <f t="shared" si="99"/>
        <v>99.884658831281882</v>
      </c>
      <c r="CJ302" s="71">
        <f t="shared" si="98"/>
        <v>12.984089000000001</v>
      </c>
      <c r="CL302" s="140">
        <v>45154</v>
      </c>
      <c r="CM302" s="252" t="s">
        <v>240</v>
      </c>
      <c r="CN302">
        <v>1674</v>
      </c>
      <c r="CO302">
        <v>516</v>
      </c>
    </row>
    <row r="303" spans="1:93" hidden="1" x14ac:dyDescent="0.25">
      <c r="A303" s="215">
        <v>45189</v>
      </c>
      <c r="B303" s="104">
        <v>6222423</v>
      </c>
      <c r="C303" s="104">
        <v>3899</v>
      </c>
      <c r="D303" s="104">
        <v>6226322</v>
      </c>
      <c r="E303" s="104">
        <v>99.94</v>
      </c>
      <c r="F303" s="71">
        <f t="shared" si="97"/>
        <v>6.2263219999999997</v>
      </c>
      <c r="H303" s="215">
        <v>45189</v>
      </c>
      <c r="I303" s="101">
        <v>1330977</v>
      </c>
      <c r="J303" s="101">
        <v>1434</v>
      </c>
      <c r="K303" s="101">
        <v>1332411</v>
      </c>
      <c r="L303" s="101">
        <v>99.89</v>
      </c>
      <c r="M303" s="71">
        <f t="shared" si="96"/>
        <v>1.332411</v>
      </c>
      <c r="O303" s="215">
        <v>45189</v>
      </c>
      <c r="P303" s="101">
        <v>430879</v>
      </c>
      <c r="Q303" s="101">
        <v>2226</v>
      </c>
      <c r="R303" s="101">
        <v>433105</v>
      </c>
      <c r="S303" s="101">
        <v>99.49</v>
      </c>
      <c r="T303" s="71">
        <f t="shared" si="95"/>
        <v>0.43310500000000002</v>
      </c>
      <c r="V303" s="215">
        <v>45189</v>
      </c>
      <c r="W303" s="101">
        <v>1039828</v>
      </c>
      <c r="X303" s="101">
        <v>482</v>
      </c>
      <c r="Y303" s="101">
        <v>1040310</v>
      </c>
      <c r="Z303" s="101">
        <v>99.95</v>
      </c>
      <c r="AA303" s="71">
        <f t="shared" si="92"/>
        <v>1.0403100000000001</v>
      </c>
      <c r="AC303" s="215">
        <v>45189</v>
      </c>
      <c r="AD303" s="101">
        <v>670981</v>
      </c>
      <c r="AE303" s="101">
        <v>82</v>
      </c>
      <c r="AF303" s="101">
        <v>671063</v>
      </c>
      <c r="AG303" s="101">
        <v>99.99</v>
      </c>
      <c r="AH303" s="71">
        <f t="shared" si="93"/>
        <v>0.67106299999999997</v>
      </c>
      <c r="AJ303" s="215">
        <v>45189</v>
      </c>
      <c r="AK303" s="48">
        <v>0</v>
      </c>
      <c r="AL303" s="48">
        <v>70</v>
      </c>
      <c r="AM303" s="48">
        <v>70</v>
      </c>
      <c r="AN303" s="48">
        <v>0</v>
      </c>
      <c r="AQ303" s="215">
        <v>45189</v>
      </c>
      <c r="AR303" s="104">
        <v>1985</v>
      </c>
      <c r="AS303" s="104">
        <v>179</v>
      </c>
      <c r="AT303" s="104">
        <v>2164</v>
      </c>
      <c r="AU303" s="104">
        <v>91.73</v>
      </c>
      <c r="AX303" s="215">
        <v>45189</v>
      </c>
      <c r="AY303" s="104">
        <v>3364</v>
      </c>
      <c r="AZ303" s="104">
        <v>116</v>
      </c>
      <c r="BA303" s="104">
        <v>3480</v>
      </c>
      <c r="BB303" s="104">
        <v>96.67</v>
      </c>
      <c r="BE303" s="215">
        <v>45189</v>
      </c>
      <c r="BF303" s="101">
        <v>8155</v>
      </c>
      <c r="BG303" s="101">
        <v>104</v>
      </c>
      <c r="BH303" s="101">
        <v>8259</v>
      </c>
      <c r="BI303" s="101">
        <v>98.74</v>
      </c>
      <c r="BL303" s="215">
        <v>45189</v>
      </c>
      <c r="BM303" s="101">
        <v>5859</v>
      </c>
      <c r="BN303" s="101">
        <v>0</v>
      </c>
      <c r="BO303" s="101">
        <v>5859</v>
      </c>
      <c r="BP303" s="101">
        <v>100</v>
      </c>
      <c r="BS303" s="48"/>
      <c r="BT303" s="48"/>
      <c r="BU303" s="48"/>
      <c r="BV303" s="48"/>
      <c r="BW303" s="48"/>
      <c r="BZ303" s="1"/>
      <c r="CA303" s="1"/>
      <c r="CB303" s="1"/>
      <c r="CC303" s="1"/>
      <c r="CE303" s="215">
        <v>45189</v>
      </c>
      <c r="CF303">
        <v>11530229</v>
      </c>
      <c r="CG303">
        <v>15455</v>
      </c>
      <c r="CH303">
        <v>11545684</v>
      </c>
      <c r="CI303" s="46">
        <f t="shared" si="99"/>
        <v>99.866140455602292</v>
      </c>
      <c r="CJ303" s="71">
        <f t="shared" si="98"/>
        <v>11.545684</v>
      </c>
      <c r="CL303" s="140">
        <v>45154</v>
      </c>
      <c r="CM303" s="252" t="s">
        <v>239</v>
      </c>
      <c r="CN303">
        <v>976</v>
      </c>
      <c r="CO303">
        <v>504</v>
      </c>
    </row>
    <row r="304" spans="1:93" hidden="1" x14ac:dyDescent="0.25">
      <c r="A304" s="215">
        <v>45190</v>
      </c>
      <c r="B304" s="104">
        <v>7570867</v>
      </c>
      <c r="C304" s="104">
        <v>20836</v>
      </c>
      <c r="D304" s="104">
        <v>7591703</v>
      </c>
      <c r="E304" s="104">
        <v>99.73</v>
      </c>
      <c r="F304" s="71">
        <f t="shared" si="97"/>
        <v>7.5917029999999999</v>
      </c>
      <c r="H304" s="215">
        <v>45190</v>
      </c>
      <c r="I304" s="101">
        <v>1672741</v>
      </c>
      <c r="J304" s="101">
        <v>16287</v>
      </c>
      <c r="K304" s="101">
        <v>1689028</v>
      </c>
      <c r="L304" s="101">
        <v>99.04</v>
      </c>
      <c r="M304" s="71">
        <f t="shared" si="96"/>
        <v>1.689028</v>
      </c>
      <c r="O304" s="215">
        <v>45190</v>
      </c>
      <c r="P304" s="101">
        <v>525878</v>
      </c>
      <c r="Q304" s="101">
        <v>2771</v>
      </c>
      <c r="R304" s="101">
        <v>528649</v>
      </c>
      <c r="S304" s="101">
        <v>99.48</v>
      </c>
      <c r="T304" s="71">
        <f t="shared" si="95"/>
        <v>0.52864900000000004</v>
      </c>
      <c r="V304" s="215">
        <v>45190</v>
      </c>
      <c r="W304" s="101">
        <v>1277122</v>
      </c>
      <c r="X304" s="101">
        <v>233</v>
      </c>
      <c r="Y304" s="101">
        <v>1277355</v>
      </c>
      <c r="Z304" s="101">
        <v>99.98</v>
      </c>
      <c r="AA304" s="71">
        <f t="shared" si="92"/>
        <v>1.277355</v>
      </c>
      <c r="AC304" s="215">
        <v>45190</v>
      </c>
      <c r="AD304" s="101">
        <v>971006</v>
      </c>
      <c r="AE304" s="101">
        <v>114</v>
      </c>
      <c r="AF304" s="101">
        <v>971120</v>
      </c>
      <c r="AG304" s="101">
        <v>99.99</v>
      </c>
      <c r="AH304" s="71">
        <f t="shared" si="93"/>
        <v>0.97111999999999998</v>
      </c>
      <c r="AJ304" s="215">
        <v>45190</v>
      </c>
      <c r="AK304" s="48">
        <v>0</v>
      </c>
      <c r="AL304" s="48">
        <v>79</v>
      </c>
      <c r="AM304" s="48">
        <v>79</v>
      </c>
      <c r="AN304" s="48">
        <v>0</v>
      </c>
      <c r="AQ304" s="215">
        <v>45190</v>
      </c>
      <c r="AR304" s="104">
        <v>2375</v>
      </c>
      <c r="AS304" s="104">
        <v>90</v>
      </c>
      <c r="AT304" s="104">
        <v>2465</v>
      </c>
      <c r="AU304" s="104">
        <v>96.35</v>
      </c>
      <c r="AX304" s="215">
        <v>45190</v>
      </c>
      <c r="AY304" s="104">
        <v>4766</v>
      </c>
      <c r="AZ304" s="104">
        <v>218</v>
      </c>
      <c r="BA304" s="104">
        <v>4984</v>
      </c>
      <c r="BB304" s="104">
        <v>95.63</v>
      </c>
      <c r="BE304" s="215">
        <v>45190</v>
      </c>
      <c r="BF304" s="101">
        <v>9283</v>
      </c>
      <c r="BG304" s="101">
        <v>102</v>
      </c>
      <c r="BH304" s="101">
        <v>9385</v>
      </c>
      <c r="BI304" s="101">
        <v>98.91</v>
      </c>
      <c r="BL304" s="215">
        <v>45190</v>
      </c>
      <c r="BM304" s="101">
        <v>6859</v>
      </c>
      <c r="BN304" s="101">
        <v>0</v>
      </c>
      <c r="BO304" s="101">
        <v>6859</v>
      </c>
      <c r="BP304" s="101">
        <v>100</v>
      </c>
      <c r="BS304" s="48"/>
      <c r="BT304" s="48"/>
      <c r="BU304" s="48"/>
      <c r="BV304" s="48"/>
      <c r="BW304" s="48"/>
      <c r="BZ304" s="1"/>
      <c r="CA304" s="1"/>
      <c r="CB304" s="1"/>
      <c r="CC304" s="1"/>
      <c r="CE304" s="215">
        <v>45190</v>
      </c>
      <c r="CF304">
        <v>14149313</v>
      </c>
      <c r="CG304">
        <v>67348</v>
      </c>
      <c r="CH304">
        <v>14216661</v>
      </c>
      <c r="CI304" s="46">
        <f t="shared" si="99"/>
        <v>99.526274137084656</v>
      </c>
      <c r="CJ304" s="71">
        <f t="shared" si="98"/>
        <v>14.216661</v>
      </c>
      <c r="CL304" s="140">
        <v>45154</v>
      </c>
      <c r="CM304" t="s">
        <v>244</v>
      </c>
      <c r="CN304">
        <v>574</v>
      </c>
      <c r="CO304">
        <v>513</v>
      </c>
    </row>
    <row r="305" spans="1:93" hidden="1" x14ac:dyDescent="0.25">
      <c r="A305" s="215">
        <v>45191</v>
      </c>
      <c r="B305" s="104">
        <v>6659174</v>
      </c>
      <c r="C305" s="104">
        <v>26130</v>
      </c>
      <c r="D305" s="104">
        <v>6685304</v>
      </c>
      <c r="E305" s="104">
        <v>99.61</v>
      </c>
      <c r="F305" s="71">
        <f t="shared" si="97"/>
        <v>6.6853040000000004</v>
      </c>
      <c r="H305" s="215">
        <v>45191</v>
      </c>
      <c r="I305" s="101">
        <v>1655738</v>
      </c>
      <c r="J305" s="101">
        <v>19798</v>
      </c>
      <c r="K305" s="101">
        <v>1675536</v>
      </c>
      <c r="L305" s="101">
        <v>98.82</v>
      </c>
      <c r="M305" s="71">
        <f t="shared" si="96"/>
        <v>1.6755359999999999</v>
      </c>
      <c r="O305" s="215">
        <v>45191</v>
      </c>
      <c r="P305" s="101">
        <v>485672</v>
      </c>
      <c r="Q305" s="101">
        <v>2533</v>
      </c>
      <c r="R305" s="101">
        <v>488205</v>
      </c>
      <c r="S305" s="101">
        <v>99.48</v>
      </c>
      <c r="T305" s="71">
        <f t="shared" si="95"/>
        <v>0.488205</v>
      </c>
      <c r="V305" s="215">
        <v>45191</v>
      </c>
      <c r="W305" s="101">
        <v>1161617</v>
      </c>
      <c r="X305" s="101">
        <v>451</v>
      </c>
      <c r="Y305" s="101">
        <v>1162068</v>
      </c>
      <c r="Z305" s="101">
        <v>99.96</v>
      </c>
      <c r="AA305" s="71">
        <f t="shared" si="92"/>
        <v>1.1620680000000001</v>
      </c>
      <c r="AC305" s="215">
        <v>45191</v>
      </c>
      <c r="AD305" s="101">
        <v>716051</v>
      </c>
      <c r="AE305" s="101">
        <v>88</v>
      </c>
      <c r="AF305" s="101">
        <v>716139</v>
      </c>
      <c r="AG305" s="101">
        <v>99.99</v>
      </c>
      <c r="AH305" s="71">
        <f t="shared" si="93"/>
        <v>0.71613899999999997</v>
      </c>
      <c r="AJ305" s="215">
        <v>45191</v>
      </c>
      <c r="AK305" s="48">
        <v>0</v>
      </c>
      <c r="AL305" s="48">
        <v>115</v>
      </c>
      <c r="AM305" s="48">
        <v>115</v>
      </c>
      <c r="AN305" s="48">
        <v>0</v>
      </c>
      <c r="AQ305" s="215">
        <v>45191</v>
      </c>
      <c r="AR305" s="104">
        <v>10626</v>
      </c>
      <c r="AS305" s="104">
        <v>289</v>
      </c>
      <c r="AT305" s="104">
        <v>10915</v>
      </c>
      <c r="AU305" s="104">
        <v>97.35</v>
      </c>
      <c r="AX305" s="215">
        <v>45191</v>
      </c>
      <c r="AY305" s="104">
        <v>5027</v>
      </c>
      <c r="AZ305" s="104">
        <v>191</v>
      </c>
      <c r="BA305" s="104">
        <v>5218</v>
      </c>
      <c r="BB305" s="104">
        <v>96.34</v>
      </c>
      <c r="BE305" s="215">
        <v>45191</v>
      </c>
      <c r="BF305" s="101">
        <v>9089</v>
      </c>
      <c r="BG305" s="101">
        <v>179</v>
      </c>
      <c r="BH305" s="101">
        <v>9268</v>
      </c>
      <c r="BI305" s="101">
        <v>98.07</v>
      </c>
      <c r="BL305" s="215">
        <v>45191</v>
      </c>
      <c r="BM305" s="101">
        <v>6212</v>
      </c>
      <c r="BN305" s="101">
        <v>0</v>
      </c>
      <c r="BO305" s="101">
        <v>6212</v>
      </c>
      <c r="BP305" s="101">
        <v>100</v>
      </c>
      <c r="BS305" s="48"/>
      <c r="BT305" s="48"/>
      <c r="BU305" s="48"/>
      <c r="BV305" s="48"/>
      <c r="BW305" s="48"/>
      <c r="BZ305" s="1"/>
      <c r="CA305" s="1"/>
      <c r="CB305" s="1"/>
      <c r="CC305" s="1"/>
      <c r="CE305" s="215">
        <v>45191</v>
      </c>
      <c r="CF305">
        <v>12847870</v>
      </c>
      <c r="CG305">
        <v>79534</v>
      </c>
      <c r="CH305">
        <v>12927404</v>
      </c>
      <c r="CI305" s="46">
        <f t="shared" si="99"/>
        <v>99.384764334741917</v>
      </c>
      <c r="CJ305" s="71">
        <f t="shared" si="98"/>
        <v>12.927403999999999</v>
      </c>
      <c r="CL305" s="140">
        <v>45155</v>
      </c>
      <c r="CM305" s="252" t="s">
        <v>238</v>
      </c>
      <c r="CN305">
        <v>6044</v>
      </c>
      <c r="CO305">
        <v>503</v>
      </c>
    </row>
    <row r="306" spans="1:93" hidden="1" x14ac:dyDescent="0.25">
      <c r="A306" s="215">
        <v>45192</v>
      </c>
      <c r="B306" s="104">
        <v>5700296</v>
      </c>
      <c r="C306" s="104">
        <v>5974</v>
      </c>
      <c r="D306" s="104">
        <v>5706270</v>
      </c>
      <c r="E306" s="104">
        <v>99.9</v>
      </c>
      <c r="F306" s="71">
        <f t="shared" si="97"/>
        <v>5.70627</v>
      </c>
      <c r="H306" s="215">
        <v>45192</v>
      </c>
      <c r="I306" s="101">
        <v>1464866</v>
      </c>
      <c r="J306" s="101">
        <v>104092</v>
      </c>
      <c r="K306" s="101">
        <v>1568958</v>
      </c>
      <c r="L306" s="101">
        <v>93.37</v>
      </c>
      <c r="M306" s="71">
        <f t="shared" si="96"/>
        <v>1.5689580000000001</v>
      </c>
      <c r="O306" s="215">
        <v>45192</v>
      </c>
      <c r="P306" s="101">
        <v>460200</v>
      </c>
      <c r="Q306" s="101">
        <v>2166</v>
      </c>
      <c r="R306" s="101">
        <v>462366</v>
      </c>
      <c r="S306" s="101">
        <v>99.53</v>
      </c>
      <c r="T306" s="71">
        <f t="shared" si="95"/>
        <v>0.462366</v>
      </c>
      <c r="V306" s="215">
        <v>45192</v>
      </c>
      <c r="W306" s="101">
        <v>934778</v>
      </c>
      <c r="X306" s="101">
        <v>152</v>
      </c>
      <c r="Y306" s="101">
        <v>934930</v>
      </c>
      <c r="Z306" s="101">
        <v>99.98</v>
      </c>
      <c r="AA306" s="71">
        <f t="shared" si="92"/>
        <v>0.93493000000000004</v>
      </c>
      <c r="AC306" s="215">
        <v>45192</v>
      </c>
      <c r="AD306" s="101">
        <v>693256</v>
      </c>
      <c r="AE306" s="101">
        <v>60</v>
      </c>
      <c r="AF306" s="101">
        <v>693316</v>
      </c>
      <c r="AG306" s="101">
        <v>99.99</v>
      </c>
      <c r="AH306" s="71">
        <f t="shared" si="93"/>
        <v>0.69331600000000004</v>
      </c>
      <c r="AJ306" s="215">
        <v>45192</v>
      </c>
      <c r="AK306" s="48">
        <v>0</v>
      </c>
      <c r="AL306" s="48">
        <v>52</v>
      </c>
      <c r="AM306" s="48">
        <v>52</v>
      </c>
      <c r="AN306" s="48">
        <v>0</v>
      </c>
      <c r="AQ306" s="215">
        <v>45192</v>
      </c>
      <c r="AR306" s="104">
        <v>3194</v>
      </c>
      <c r="AS306" s="104">
        <v>52</v>
      </c>
      <c r="AT306" s="104">
        <v>3246</v>
      </c>
      <c r="AU306" s="104">
        <v>98.4</v>
      </c>
      <c r="AX306" s="215">
        <v>45192</v>
      </c>
      <c r="AY306" s="104">
        <v>1820</v>
      </c>
      <c r="AZ306" s="104">
        <v>82</v>
      </c>
      <c r="BA306" s="104">
        <v>1902</v>
      </c>
      <c r="BB306" s="104">
        <v>95.69</v>
      </c>
      <c r="BE306" s="215">
        <v>45192</v>
      </c>
      <c r="BF306" s="101">
        <v>6540</v>
      </c>
      <c r="BG306" s="101">
        <v>100</v>
      </c>
      <c r="BH306" s="101">
        <v>6640</v>
      </c>
      <c r="BI306" s="101">
        <v>98.49</v>
      </c>
      <c r="BL306" s="215">
        <v>45192</v>
      </c>
      <c r="BM306" s="101">
        <v>8980</v>
      </c>
      <c r="BN306" s="101">
        <v>0</v>
      </c>
      <c r="BO306" s="101">
        <v>8980</v>
      </c>
      <c r="BP306" s="101">
        <v>100</v>
      </c>
      <c r="BS306" s="48"/>
      <c r="BT306" s="48"/>
      <c r="BU306" s="48"/>
      <c r="BV306" s="48"/>
      <c r="BW306" s="48"/>
      <c r="BZ306" s="1"/>
      <c r="CA306" s="1"/>
      <c r="CB306" s="1"/>
      <c r="CC306" s="1"/>
      <c r="CE306" s="215">
        <v>45192</v>
      </c>
      <c r="CF306">
        <v>11024284</v>
      </c>
      <c r="CG306">
        <v>184820</v>
      </c>
      <c r="CH306">
        <v>11209104</v>
      </c>
      <c r="CI306" s="46">
        <f t="shared" si="99"/>
        <v>98.35116169856218</v>
      </c>
      <c r="CJ306" s="71">
        <f t="shared" si="98"/>
        <v>11.209104</v>
      </c>
      <c r="CL306" s="140">
        <v>45155</v>
      </c>
      <c r="CM306" t="s">
        <v>237</v>
      </c>
      <c r="CN306">
        <v>3008</v>
      </c>
      <c r="CO306">
        <v>527</v>
      </c>
    </row>
    <row r="307" spans="1:93" hidden="1" x14ac:dyDescent="0.25">
      <c r="A307" s="215">
        <v>45193</v>
      </c>
      <c r="B307" s="104">
        <v>5632484</v>
      </c>
      <c r="C307" s="104">
        <v>1899</v>
      </c>
      <c r="D307" s="104">
        <v>5634383</v>
      </c>
      <c r="E307" s="104">
        <v>99.97</v>
      </c>
      <c r="F307" s="71">
        <f t="shared" si="97"/>
        <v>5.6343829999999997</v>
      </c>
      <c r="H307" s="215">
        <v>45193</v>
      </c>
      <c r="I307" s="101">
        <v>1455343</v>
      </c>
      <c r="J307" s="101">
        <v>2353</v>
      </c>
      <c r="K307" s="101">
        <v>1457696</v>
      </c>
      <c r="L307" s="101">
        <v>99.84</v>
      </c>
      <c r="M307" s="71">
        <f t="shared" si="96"/>
        <v>1.4576960000000001</v>
      </c>
      <c r="O307" s="215">
        <v>45193</v>
      </c>
      <c r="P307" s="101">
        <v>496213</v>
      </c>
      <c r="Q307" s="101">
        <v>2457</v>
      </c>
      <c r="R307" s="101">
        <v>498670</v>
      </c>
      <c r="S307" s="101">
        <v>99.51</v>
      </c>
      <c r="T307" s="71">
        <f t="shared" si="95"/>
        <v>0.49867</v>
      </c>
      <c r="V307" s="215">
        <v>45193</v>
      </c>
      <c r="W307" s="101">
        <v>1137642</v>
      </c>
      <c r="X307" s="101">
        <v>223</v>
      </c>
      <c r="Y307" s="101">
        <v>1137865</v>
      </c>
      <c r="Z307" s="101">
        <v>99.98</v>
      </c>
      <c r="AA307" s="71">
        <f t="shared" si="92"/>
        <v>1.1378649999999999</v>
      </c>
      <c r="AC307" s="215">
        <v>45193</v>
      </c>
      <c r="AD307" s="101">
        <v>665775</v>
      </c>
      <c r="AE307" s="101">
        <v>70</v>
      </c>
      <c r="AF307" s="101">
        <v>665845</v>
      </c>
      <c r="AG307" s="101">
        <v>99.99</v>
      </c>
      <c r="AH307" s="71">
        <f t="shared" si="93"/>
        <v>0.66584500000000002</v>
      </c>
      <c r="AJ307" s="215">
        <v>45193</v>
      </c>
      <c r="AK307" s="48">
        <v>0</v>
      </c>
      <c r="AL307" s="48">
        <v>56</v>
      </c>
      <c r="AM307" s="48">
        <v>56</v>
      </c>
      <c r="AN307" s="48">
        <v>0</v>
      </c>
      <c r="AQ307" s="215">
        <v>45193</v>
      </c>
      <c r="AR307" s="104">
        <v>1722</v>
      </c>
      <c r="AS307" s="104">
        <v>53</v>
      </c>
      <c r="AT307" s="104">
        <v>1775</v>
      </c>
      <c r="AU307" s="104">
        <v>97.01</v>
      </c>
      <c r="AX307" s="215">
        <v>45193</v>
      </c>
      <c r="AY307" s="104">
        <v>0</v>
      </c>
      <c r="AZ307" s="48">
        <v>153</v>
      </c>
      <c r="BA307" s="48">
        <v>153</v>
      </c>
      <c r="BB307" s="104">
        <v>0</v>
      </c>
      <c r="BE307" s="215">
        <v>45193</v>
      </c>
      <c r="BF307" s="101">
        <v>6416</v>
      </c>
      <c r="BG307" s="101">
        <v>62</v>
      </c>
      <c r="BH307" s="101">
        <v>6478</v>
      </c>
      <c r="BI307" s="101">
        <v>99.04</v>
      </c>
      <c r="BL307" s="215">
        <v>45193</v>
      </c>
      <c r="BM307" s="101">
        <v>5464</v>
      </c>
      <c r="BN307" s="101">
        <v>0</v>
      </c>
      <c r="BO307" s="101">
        <v>5464</v>
      </c>
      <c r="BP307" s="101">
        <v>100</v>
      </c>
      <c r="BS307" s="48"/>
      <c r="BT307" s="48"/>
      <c r="BU307" s="48"/>
      <c r="BV307" s="48"/>
      <c r="BW307" s="48"/>
      <c r="BZ307" s="1"/>
      <c r="CA307" s="1"/>
      <c r="CB307" s="1"/>
      <c r="CC307" s="1"/>
      <c r="CE307" s="215">
        <v>45193</v>
      </c>
      <c r="CF307">
        <v>11290825</v>
      </c>
      <c r="CG307">
        <v>14106</v>
      </c>
      <c r="CH307">
        <v>11304931</v>
      </c>
      <c r="CI307" s="46">
        <f t="shared" si="99"/>
        <v>99.875222590920728</v>
      </c>
      <c r="CJ307" s="71">
        <f t="shared" si="98"/>
        <v>11.304931</v>
      </c>
      <c r="CL307" s="140">
        <v>45155</v>
      </c>
      <c r="CM307" s="252" t="s">
        <v>240</v>
      </c>
      <c r="CN307">
        <v>1632</v>
      </c>
      <c r="CO307">
        <v>516</v>
      </c>
    </row>
    <row r="308" spans="1:93" hidden="1" x14ac:dyDescent="0.25">
      <c r="A308" s="215">
        <v>45194</v>
      </c>
      <c r="B308" s="104">
        <v>6633813</v>
      </c>
      <c r="C308" s="104">
        <v>17878</v>
      </c>
      <c r="D308" s="104">
        <v>6651691</v>
      </c>
      <c r="E308" s="104">
        <v>99.73</v>
      </c>
      <c r="F308" s="71">
        <f t="shared" si="97"/>
        <v>6.6516909999999996</v>
      </c>
      <c r="H308" s="113">
        <v>45194</v>
      </c>
      <c r="I308" s="101">
        <v>1504366</v>
      </c>
      <c r="J308" s="101">
        <v>1400</v>
      </c>
      <c r="K308" s="101">
        <v>1505766</v>
      </c>
      <c r="L308" s="101">
        <v>99.91</v>
      </c>
      <c r="M308" s="71">
        <f t="shared" si="96"/>
        <v>1.5057659999999999</v>
      </c>
      <c r="O308" s="113">
        <v>45194</v>
      </c>
      <c r="P308" s="101">
        <v>493264</v>
      </c>
      <c r="Q308" s="101">
        <v>2437</v>
      </c>
      <c r="R308" s="101">
        <v>495701</v>
      </c>
      <c r="S308" s="101">
        <v>99.51</v>
      </c>
      <c r="T308" s="71">
        <f t="shared" si="95"/>
        <v>0.495701</v>
      </c>
      <c r="V308" s="113">
        <v>45194</v>
      </c>
      <c r="W308" s="101">
        <v>1187753</v>
      </c>
      <c r="X308" s="101">
        <v>243</v>
      </c>
      <c r="Y308" s="101">
        <v>1187996</v>
      </c>
      <c r="Z308" s="101">
        <v>99.98</v>
      </c>
      <c r="AA308" s="71">
        <f t="shared" si="92"/>
        <v>1.1879960000000001</v>
      </c>
      <c r="AC308" s="113">
        <v>45194</v>
      </c>
      <c r="AD308" s="101">
        <v>777385</v>
      </c>
      <c r="AE308" s="101">
        <v>112</v>
      </c>
      <c r="AF308" s="101">
        <v>777497</v>
      </c>
      <c r="AG308" s="101">
        <v>99.99</v>
      </c>
      <c r="AH308" s="71">
        <f t="shared" si="93"/>
        <v>0.77749699999999999</v>
      </c>
      <c r="AJ308" s="215">
        <v>45194</v>
      </c>
      <c r="AK308" s="48">
        <v>0</v>
      </c>
      <c r="AL308" s="48">
        <v>58</v>
      </c>
      <c r="AM308" s="48">
        <v>58</v>
      </c>
      <c r="AN308" s="48">
        <v>0</v>
      </c>
      <c r="AQ308" s="215">
        <v>45194</v>
      </c>
      <c r="AR308" s="104">
        <v>3028</v>
      </c>
      <c r="AS308" s="104">
        <v>56</v>
      </c>
      <c r="AT308" s="104">
        <v>3084</v>
      </c>
      <c r="AU308" s="104">
        <v>98.18</v>
      </c>
      <c r="AX308" s="215">
        <v>45194</v>
      </c>
      <c r="AY308" s="104">
        <v>3223</v>
      </c>
      <c r="AZ308" s="104">
        <v>45</v>
      </c>
      <c r="BA308" s="104">
        <v>3268</v>
      </c>
      <c r="BB308" s="104">
        <v>98.62</v>
      </c>
      <c r="BE308" s="113">
        <v>45194</v>
      </c>
      <c r="BF308" s="101">
        <v>8550</v>
      </c>
      <c r="BG308" s="101">
        <v>128</v>
      </c>
      <c r="BH308" s="101">
        <v>8678</v>
      </c>
      <c r="BI308" s="101">
        <v>98.53</v>
      </c>
      <c r="BL308" s="113">
        <v>45194</v>
      </c>
      <c r="BM308" s="101">
        <v>3838</v>
      </c>
      <c r="BN308" s="101">
        <v>0</v>
      </c>
      <c r="BO308" s="101">
        <v>3838</v>
      </c>
      <c r="BP308" s="101">
        <v>100</v>
      </c>
      <c r="BS308" s="48"/>
      <c r="BT308" s="48"/>
      <c r="BU308" s="48"/>
      <c r="BV308" s="48"/>
      <c r="BW308" s="48"/>
      <c r="BZ308" s="1"/>
      <c r="CA308" s="1"/>
      <c r="CB308" s="1"/>
      <c r="CC308" s="1"/>
      <c r="CE308" s="113">
        <v>45194</v>
      </c>
      <c r="CF308">
        <v>12572378</v>
      </c>
      <c r="CG308">
        <v>34533</v>
      </c>
      <c r="CH308">
        <v>12606911</v>
      </c>
      <c r="CI308" s="46">
        <f t="shared" si="99"/>
        <v>99.72607881502455</v>
      </c>
      <c r="CJ308" s="71">
        <f t="shared" si="98"/>
        <v>12.606911</v>
      </c>
      <c r="CL308" s="140">
        <v>45155</v>
      </c>
      <c r="CM308" s="252" t="s">
        <v>239</v>
      </c>
      <c r="CN308">
        <v>1260</v>
      </c>
      <c r="CO308">
        <v>504</v>
      </c>
    </row>
    <row r="309" spans="1:93" hidden="1" x14ac:dyDescent="0.25">
      <c r="A309" s="215">
        <v>45195</v>
      </c>
      <c r="B309" s="104">
        <v>7354941</v>
      </c>
      <c r="C309" s="104">
        <v>13354</v>
      </c>
      <c r="D309" s="104">
        <v>7368295</v>
      </c>
      <c r="E309" s="104">
        <v>99.82</v>
      </c>
      <c r="F309" s="71">
        <f t="shared" si="97"/>
        <v>7.3682949999999998</v>
      </c>
      <c r="H309" s="113">
        <v>45195</v>
      </c>
      <c r="I309" s="101">
        <v>1865639</v>
      </c>
      <c r="J309" s="101">
        <v>4878</v>
      </c>
      <c r="K309" s="101">
        <v>1870517</v>
      </c>
      <c r="L309" s="101">
        <v>99.74</v>
      </c>
      <c r="M309" s="71">
        <f t="shared" si="96"/>
        <v>1.870517</v>
      </c>
      <c r="O309" s="113">
        <v>45195</v>
      </c>
      <c r="P309" s="101">
        <v>544241</v>
      </c>
      <c r="Q309" s="101">
        <v>3416</v>
      </c>
      <c r="R309" s="101">
        <v>547657</v>
      </c>
      <c r="S309" s="101">
        <v>99.38</v>
      </c>
      <c r="T309" s="71">
        <f t="shared" si="95"/>
        <v>0.54765699999999995</v>
      </c>
      <c r="V309" s="113">
        <v>45195</v>
      </c>
      <c r="W309" s="101">
        <v>1329496</v>
      </c>
      <c r="X309" s="101">
        <v>207</v>
      </c>
      <c r="Y309" s="101">
        <v>1329703</v>
      </c>
      <c r="Z309" s="101">
        <v>99.98</v>
      </c>
      <c r="AA309" s="71">
        <f t="shared" si="92"/>
        <v>1.3297030000000001</v>
      </c>
      <c r="AC309" s="113">
        <v>45195</v>
      </c>
      <c r="AD309" s="101">
        <v>847294</v>
      </c>
      <c r="AE309" s="101">
        <v>186</v>
      </c>
      <c r="AF309" s="101">
        <v>847480</v>
      </c>
      <c r="AG309" s="101">
        <v>99.98</v>
      </c>
      <c r="AH309" s="71">
        <f t="shared" si="93"/>
        <v>0.84748000000000001</v>
      </c>
      <c r="AJ309" s="215">
        <v>45195</v>
      </c>
      <c r="AK309" s="48">
        <v>0</v>
      </c>
      <c r="AL309" s="48">
        <v>66</v>
      </c>
      <c r="AM309" s="48">
        <v>66</v>
      </c>
      <c r="AN309" s="48">
        <v>0</v>
      </c>
      <c r="AQ309" s="215">
        <v>45195</v>
      </c>
      <c r="AR309" s="104">
        <v>3398</v>
      </c>
      <c r="AS309" s="104">
        <v>84</v>
      </c>
      <c r="AT309" s="104">
        <v>3482</v>
      </c>
      <c r="AU309" s="104">
        <v>97.59</v>
      </c>
      <c r="AX309" s="215">
        <v>45195</v>
      </c>
      <c r="AY309" s="104">
        <v>3563</v>
      </c>
      <c r="AZ309" s="104">
        <v>70</v>
      </c>
      <c r="BA309" s="104">
        <v>3633</v>
      </c>
      <c r="BB309" s="104">
        <v>98.07</v>
      </c>
      <c r="BE309" s="113">
        <v>45195</v>
      </c>
      <c r="BF309" s="101">
        <v>9477</v>
      </c>
      <c r="BG309" s="101">
        <v>264</v>
      </c>
      <c r="BH309" s="101">
        <v>9741</v>
      </c>
      <c r="BI309" s="101">
        <v>97.29</v>
      </c>
      <c r="BL309" s="113">
        <v>45195</v>
      </c>
      <c r="BM309" s="101">
        <v>4083</v>
      </c>
      <c r="BN309" s="101">
        <v>0</v>
      </c>
      <c r="BO309" s="101">
        <v>4083</v>
      </c>
      <c r="BP309" s="101">
        <v>100</v>
      </c>
      <c r="BS309" s="48"/>
      <c r="BT309" s="48"/>
      <c r="BU309" s="48"/>
      <c r="BV309" s="48"/>
      <c r="BW309" s="48"/>
      <c r="BZ309" s="1"/>
      <c r="CA309" s="1"/>
      <c r="CB309" s="1"/>
      <c r="CC309" s="1"/>
      <c r="CE309" s="113">
        <v>45195</v>
      </c>
      <c r="CF309">
        <v>14221454</v>
      </c>
      <c r="CG309">
        <v>35814</v>
      </c>
      <c r="CH309">
        <v>14257268</v>
      </c>
      <c r="CI309" s="46">
        <f t="shared" si="99"/>
        <v>99.748801804104403</v>
      </c>
      <c r="CJ309" s="71">
        <f t="shared" si="98"/>
        <v>14.257268</v>
      </c>
      <c r="CL309" s="140">
        <v>45189</v>
      </c>
      <c r="CM309" s="252" t="s">
        <v>239</v>
      </c>
      <c r="CN309">
        <v>4656</v>
      </c>
      <c r="CO309">
        <v>504</v>
      </c>
    </row>
    <row r="310" spans="1:93" hidden="1" x14ac:dyDescent="0.25">
      <c r="A310" s="215">
        <v>45196</v>
      </c>
      <c r="B310" s="104">
        <v>5383099</v>
      </c>
      <c r="C310" s="104">
        <v>14839</v>
      </c>
      <c r="D310" s="104">
        <v>5397938</v>
      </c>
      <c r="E310" s="104">
        <v>99.73</v>
      </c>
      <c r="F310" s="71">
        <f t="shared" si="97"/>
        <v>5.3979379999999999</v>
      </c>
      <c r="H310" s="113">
        <v>45196</v>
      </c>
      <c r="I310" s="101">
        <v>1263829</v>
      </c>
      <c r="J310" s="101">
        <v>1235</v>
      </c>
      <c r="K310" s="101">
        <v>1265064</v>
      </c>
      <c r="L310" s="101">
        <v>99.9</v>
      </c>
      <c r="M310" s="71">
        <f t="shared" si="96"/>
        <v>1.265064</v>
      </c>
      <c r="O310" s="113">
        <v>45196</v>
      </c>
      <c r="P310" s="101">
        <v>420191</v>
      </c>
      <c r="Q310" s="101">
        <v>2035</v>
      </c>
      <c r="R310" s="101">
        <v>422226</v>
      </c>
      <c r="S310" s="101">
        <v>99.52</v>
      </c>
      <c r="T310" s="71">
        <f t="shared" si="95"/>
        <v>0.42222599999999999</v>
      </c>
      <c r="V310" s="113">
        <v>45196</v>
      </c>
      <c r="W310" s="101">
        <v>982317</v>
      </c>
      <c r="X310" s="101">
        <v>177</v>
      </c>
      <c r="Y310" s="101">
        <v>982494</v>
      </c>
      <c r="Z310" s="101">
        <v>99.98</v>
      </c>
      <c r="AA310" s="71">
        <f t="shared" si="92"/>
        <v>0.98249399999999998</v>
      </c>
      <c r="AC310" s="113">
        <v>45196</v>
      </c>
      <c r="AD310" s="101">
        <v>680889</v>
      </c>
      <c r="AE310" s="101">
        <v>78</v>
      </c>
      <c r="AF310" s="101">
        <v>680967</v>
      </c>
      <c r="AG310" s="101">
        <v>99.99</v>
      </c>
      <c r="AH310" s="71">
        <f t="shared" si="93"/>
        <v>0.68096699999999999</v>
      </c>
      <c r="AJ310" s="215">
        <v>45196</v>
      </c>
      <c r="AK310" s="48">
        <v>0</v>
      </c>
      <c r="AL310" s="48">
        <v>89</v>
      </c>
      <c r="AM310" s="48">
        <v>89</v>
      </c>
      <c r="AN310" s="48">
        <v>0</v>
      </c>
      <c r="AQ310" s="215">
        <v>45196</v>
      </c>
      <c r="AR310" s="104">
        <v>2413</v>
      </c>
      <c r="AS310" s="104">
        <v>74</v>
      </c>
      <c r="AT310" s="104">
        <v>2487</v>
      </c>
      <c r="AU310" s="104">
        <v>97.02</v>
      </c>
      <c r="AX310" s="215">
        <v>45196</v>
      </c>
      <c r="AY310" s="104">
        <v>1336</v>
      </c>
      <c r="AZ310" s="104">
        <v>36</v>
      </c>
      <c r="BA310" s="104">
        <v>1372</v>
      </c>
      <c r="BB310" s="104">
        <v>97.38</v>
      </c>
      <c r="BC310" s="243"/>
      <c r="BE310" s="113">
        <v>45196</v>
      </c>
      <c r="BF310" s="101">
        <v>6112</v>
      </c>
      <c r="BG310" s="101">
        <v>101</v>
      </c>
      <c r="BH310" s="101">
        <v>6213</v>
      </c>
      <c r="BI310" s="101">
        <v>98.37</v>
      </c>
      <c r="BL310" s="113">
        <v>45196</v>
      </c>
      <c r="BM310" s="101">
        <v>6469</v>
      </c>
      <c r="BN310" s="101">
        <v>0</v>
      </c>
      <c r="BO310" s="101">
        <v>6469</v>
      </c>
      <c r="BP310" s="101">
        <v>100</v>
      </c>
      <c r="BS310" s="48"/>
      <c r="BT310" s="48"/>
      <c r="BU310" s="48"/>
      <c r="BV310" s="48"/>
      <c r="BW310" s="48"/>
      <c r="BZ310" s="1"/>
      <c r="CA310" s="1"/>
      <c r="CB310" s="1"/>
      <c r="CC310" s="1"/>
      <c r="CE310" s="113">
        <v>45196</v>
      </c>
      <c r="CF310">
        <v>10388856</v>
      </c>
      <c r="CG310">
        <v>29335</v>
      </c>
      <c r="CH310">
        <v>10418191</v>
      </c>
      <c r="CI310" s="46">
        <f t="shared" si="99"/>
        <v>99.718425204529268</v>
      </c>
      <c r="CJ310" s="71">
        <f t="shared" si="98"/>
        <v>10.418191</v>
      </c>
      <c r="CL310" s="140">
        <v>45189</v>
      </c>
      <c r="CM310" t="s">
        <v>238</v>
      </c>
      <c r="CN310">
        <v>3367</v>
      </c>
      <c r="CO310">
        <v>503</v>
      </c>
    </row>
    <row r="311" spans="1:93" hidden="1" x14ac:dyDescent="0.25">
      <c r="A311" s="215">
        <v>45197</v>
      </c>
      <c r="B311" s="104">
        <v>5631974</v>
      </c>
      <c r="C311" s="104">
        <v>19150</v>
      </c>
      <c r="D311" s="104">
        <v>5651124</v>
      </c>
      <c r="E311" s="104">
        <v>99.66</v>
      </c>
      <c r="F311" s="71">
        <f t="shared" si="97"/>
        <v>5.6511240000000003</v>
      </c>
      <c r="H311" s="113">
        <v>45197</v>
      </c>
      <c r="I311" s="101">
        <v>1282746</v>
      </c>
      <c r="J311" s="101">
        <v>1362</v>
      </c>
      <c r="K311" s="101">
        <v>1284108</v>
      </c>
      <c r="L311" s="101">
        <v>99.89</v>
      </c>
      <c r="M311" s="71">
        <f t="shared" si="96"/>
        <v>1.284108</v>
      </c>
      <c r="O311" s="113">
        <v>45197</v>
      </c>
      <c r="P311" s="101">
        <v>432638</v>
      </c>
      <c r="Q311" s="101">
        <v>2226</v>
      </c>
      <c r="R311" s="101">
        <v>434864</v>
      </c>
      <c r="S311" s="101">
        <v>99.49</v>
      </c>
      <c r="T311" s="71">
        <f t="shared" si="95"/>
        <v>0.43486399999999997</v>
      </c>
      <c r="V311" s="113">
        <v>45197</v>
      </c>
      <c r="W311" s="101">
        <v>995792</v>
      </c>
      <c r="X311" s="101">
        <v>172</v>
      </c>
      <c r="Y311" s="101">
        <v>995964</v>
      </c>
      <c r="Z311" s="101">
        <v>99.98</v>
      </c>
      <c r="AA311" s="71">
        <f t="shared" si="92"/>
        <v>0.99596399999999996</v>
      </c>
      <c r="AC311" s="113">
        <v>45197</v>
      </c>
      <c r="AD311" s="101">
        <v>710694</v>
      </c>
      <c r="AE311" s="101">
        <v>80</v>
      </c>
      <c r="AF311" s="101">
        <v>710774</v>
      </c>
      <c r="AG311" s="101">
        <v>99.99</v>
      </c>
      <c r="AH311" s="71">
        <f t="shared" si="93"/>
        <v>0.71077400000000002</v>
      </c>
      <c r="AJ311" s="215">
        <v>45197</v>
      </c>
      <c r="AK311" s="48">
        <v>0</v>
      </c>
      <c r="AL311" s="48">
        <v>38</v>
      </c>
      <c r="AM311" s="48">
        <v>38</v>
      </c>
      <c r="AN311" s="48">
        <v>0</v>
      </c>
      <c r="AQ311" s="215">
        <v>45197</v>
      </c>
      <c r="AR311" s="104">
        <v>2720</v>
      </c>
      <c r="AS311" s="104">
        <v>76</v>
      </c>
      <c r="AT311" s="104">
        <v>2796</v>
      </c>
      <c r="AU311" s="104">
        <v>97.28</v>
      </c>
      <c r="AX311" s="215">
        <v>45197</v>
      </c>
      <c r="AY311" s="104">
        <v>2532</v>
      </c>
      <c r="AZ311" s="104">
        <v>306</v>
      </c>
      <c r="BA311" s="104">
        <v>2838</v>
      </c>
      <c r="BB311" s="104">
        <v>89.22</v>
      </c>
      <c r="BE311" s="113">
        <v>45197</v>
      </c>
      <c r="BF311" s="101">
        <v>6462</v>
      </c>
      <c r="BG311" s="101">
        <v>112</v>
      </c>
      <c r="BH311" s="101">
        <v>6574</v>
      </c>
      <c r="BI311" s="101">
        <v>98.3</v>
      </c>
      <c r="BL311" s="113">
        <v>45197</v>
      </c>
      <c r="BM311" s="101">
        <v>18134</v>
      </c>
      <c r="BN311" s="101">
        <v>0</v>
      </c>
      <c r="BO311" s="101">
        <v>18134</v>
      </c>
      <c r="BP311" s="101">
        <v>100</v>
      </c>
      <c r="BS311" s="48"/>
      <c r="BT311" s="48"/>
      <c r="BU311" s="48"/>
      <c r="BV311" s="48"/>
      <c r="BW311" s="48"/>
      <c r="BZ311" s="1"/>
      <c r="CA311" s="1"/>
      <c r="CB311" s="1"/>
      <c r="CC311" s="1"/>
      <c r="CE311" s="113">
        <v>45197</v>
      </c>
      <c r="CF311">
        <v>10747636</v>
      </c>
      <c r="CG311">
        <v>35516</v>
      </c>
      <c r="CH311">
        <v>10783152</v>
      </c>
      <c r="CI311" s="46">
        <f t="shared" si="99"/>
        <v>99.670634337714986</v>
      </c>
      <c r="CJ311" s="71">
        <f t="shared" si="98"/>
        <v>10.783151999999999</v>
      </c>
      <c r="CL311" s="140">
        <v>45189</v>
      </c>
      <c r="CM311" t="s">
        <v>237</v>
      </c>
      <c r="CN311">
        <v>2535</v>
      </c>
      <c r="CO311">
        <v>527</v>
      </c>
    </row>
    <row r="312" spans="1:93" hidden="1" x14ac:dyDescent="0.25">
      <c r="A312" s="215">
        <v>45198</v>
      </c>
      <c r="B312" s="104">
        <v>7239406</v>
      </c>
      <c r="C312" s="104">
        <v>20737</v>
      </c>
      <c r="D312" s="104">
        <v>7260143</v>
      </c>
      <c r="E312" s="104">
        <v>99.71</v>
      </c>
      <c r="F312" s="71">
        <f t="shared" si="97"/>
        <v>7.2601430000000002</v>
      </c>
      <c r="H312" s="113">
        <v>45198</v>
      </c>
      <c r="I312" s="101">
        <v>1712866</v>
      </c>
      <c r="J312" s="101">
        <v>1926</v>
      </c>
      <c r="K312" s="101">
        <v>1714792</v>
      </c>
      <c r="L312" s="101">
        <v>99.89</v>
      </c>
      <c r="M312" s="71">
        <f t="shared" si="96"/>
        <v>1.7147920000000001</v>
      </c>
      <c r="O312" s="113">
        <v>45198</v>
      </c>
      <c r="P312" s="101">
        <v>19882</v>
      </c>
      <c r="Q312" s="101">
        <v>14101</v>
      </c>
      <c r="R312" s="101">
        <v>33983</v>
      </c>
      <c r="S312" s="101">
        <v>58.51</v>
      </c>
      <c r="T312" s="71">
        <f t="shared" si="95"/>
        <v>3.3982999999999999E-2</v>
      </c>
      <c r="V312" s="113">
        <v>45198</v>
      </c>
      <c r="W312" s="101">
        <v>1183890</v>
      </c>
      <c r="X312" s="101">
        <v>177</v>
      </c>
      <c r="Y312" s="101">
        <v>1184067</v>
      </c>
      <c r="Z312" s="101">
        <v>99.99</v>
      </c>
      <c r="AA312" s="71">
        <f t="shared" si="92"/>
        <v>1.184067</v>
      </c>
      <c r="AC312" s="113">
        <v>45198</v>
      </c>
      <c r="AD312" s="101">
        <v>793841</v>
      </c>
      <c r="AE312" s="101">
        <v>64</v>
      </c>
      <c r="AF312" s="101">
        <v>793905</v>
      </c>
      <c r="AG312" s="101">
        <v>99.99</v>
      </c>
      <c r="AH312" s="71">
        <f t="shared" si="93"/>
        <v>0.79390499999999997</v>
      </c>
      <c r="AJ312" s="215">
        <v>45198</v>
      </c>
      <c r="AK312" s="48">
        <v>0</v>
      </c>
      <c r="AL312" s="48">
        <v>42</v>
      </c>
      <c r="AM312" s="48">
        <v>42</v>
      </c>
      <c r="AN312" s="48">
        <v>0</v>
      </c>
      <c r="AQ312" s="215">
        <v>45198</v>
      </c>
      <c r="AR312" s="104">
        <v>15130</v>
      </c>
      <c r="AS312" s="104">
        <v>64</v>
      </c>
      <c r="AT312" s="104">
        <v>15194</v>
      </c>
      <c r="AU312" s="104">
        <v>99.58</v>
      </c>
      <c r="AX312" s="215">
        <v>45198</v>
      </c>
      <c r="AY312" s="104">
        <v>6426</v>
      </c>
      <c r="AZ312" s="104">
        <v>412</v>
      </c>
      <c r="BA312" s="104">
        <v>6838</v>
      </c>
      <c r="BB312" s="104">
        <v>93.97</v>
      </c>
      <c r="BE312" s="113">
        <v>45198</v>
      </c>
      <c r="BF312" s="101">
        <v>8960</v>
      </c>
      <c r="BG312" s="101">
        <v>110</v>
      </c>
      <c r="BH312" s="101">
        <v>9070</v>
      </c>
      <c r="BI312" s="101">
        <v>98.79</v>
      </c>
      <c r="BL312" s="113">
        <v>45198</v>
      </c>
      <c r="BM312" s="101">
        <v>6356</v>
      </c>
      <c r="BN312" s="101">
        <v>0</v>
      </c>
      <c r="BO312" s="101">
        <v>6356</v>
      </c>
      <c r="BP312" s="101">
        <v>100</v>
      </c>
      <c r="BS312" s="48"/>
      <c r="BT312" s="48"/>
      <c r="BU312" s="48"/>
      <c r="BV312" s="48"/>
      <c r="BW312" s="48"/>
      <c r="BZ312" s="1"/>
      <c r="CA312" s="1"/>
      <c r="CB312" s="1"/>
      <c r="CC312" s="1"/>
      <c r="CE312" s="113">
        <v>45198</v>
      </c>
      <c r="CF312">
        <v>13155223</v>
      </c>
      <c r="CG312">
        <v>51140</v>
      </c>
      <c r="CH312">
        <v>13206363</v>
      </c>
      <c r="CI312" s="46">
        <f t="shared" si="99"/>
        <v>99.612762423689247</v>
      </c>
      <c r="CJ312" s="71">
        <f t="shared" si="98"/>
        <v>13.206363</v>
      </c>
      <c r="CL312" s="140">
        <v>45189</v>
      </c>
      <c r="CM312" s="252" t="s">
        <v>240</v>
      </c>
      <c r="CN312">
        <v>2176</v>
      </c>
      <c r="CO312">
        <v>516</v>
      </c>
    </row>
    <row r="313" spans="1:93" hidden="1" x14ac:dyDescent="0.25">
      <c r="A313" s="215">
        <v>45199</v>
      </c>
      <c r="B313" s="104">
        <v>5656254</v>
      </c>
      <c r="C313" s="104">
        <v>23681</v>
      </c>
      <c r="D313" s="104">
        <v>5679935</v>
      </c>
      <c r="E313" s="104">
        <v>99.58</v>
      </c>
      <c r="F313" s="71">
        <f t="shared" si="97"/>
        <v>5.6799350000000004</v>
      </c>
      <c r="H313" s="113">
        <v>45199</v>
      </c>
      <c r="I313" s="101">
        <v>1348642</v>
      </c>
      <c r="J313" s="101">
        <v>1309</v>
      </c>
      <c r="K313" s="101">
        <v>1349951</v>
      </c>
      <c r="L313" s="101">
        <v>99.9</v>
      </c>
      <c r="M313" s="71">
        <f t="shared" si="96"/>
        <v>1.3499509999999999</v>
      </c>
      <c r="O313" s="113">
        <v>45199</v>
      </c>
      <c r="P313" s="101">
        <v>23201</v>
      </c>
      <c r="Q313" s="101">
        <v>0</v>
      </c>
      <c r="R313" s="101">
        <v>23201</v>
      </c>
      <c r="S313" s="101">
        <v>100</v>
      </c>
      <c r="T313" s="71">
        <f t="shared" si="95"/>
        <v>2.3200999999999999E-2</v>
      </c>
      <c r="V313" s="113">
        <v>45199</v>
      </c>
      <c r="W313" s="101">
        <v>966036</v>
      </c>
      <c r="X313" s="101">
        <v>181</v>
      </c>
      <c r="Y313" s="101">
        <v>966217</v>
      </c>
      <c r="Z313" s="101">
        <v>99.98</v>
      </c>
      <c r="AA313" s="71">
        <f t="shared" si="92"/>
        <v>0.96621699999999999</v>
      </c>
      <c r="AC313" s="113">
        <v>45199</v>
      </c>
      <c r="AD313" s="101">
        <v>660963</v>
      </c>
      <c r="AE313" s="101">
        <v>79</v>
      </c>
      <c r="AF313" s="101">
        <v>661042</v>
      </c>
      <c r="AG313" s="101">
        <v>99.99</v>
      </c>
      <c r="AH313" s="71">
        <f t="shared" si="93"/>
        <v>0.66104200000000002</v>
      </c>
      <c r="AJ313" s="215">
        <v>45199</v>
      </c>
      <c r="AK313" s="48">
        <v>0</v>
      </c>
      <c r="AL313" s="48">
        <v>44</v>
      </c>
      <c r="AM313" s="48">
        <v>44</v>
      </c>
      <c r="AN313" s="48">
        <v>0</v>
      </c>
      <c r="AQ313" s="215">
        <v>45199</v>
      </c>
      <c r="AR313" s="104">
        <v>6996</v>
      </c>
      <c r="AS313" s="104">
        <v>64</v>
      </c>
      <c r="AT313" s="104">
        <v>7060</v>
      </c>
      <c r="AU313" s="104">
        <v>99.09</v>
      </c>
      <c r="AX313" s="215">
        <v>45199</v>
      </c>
      <c r="AY313" s="104">
        <v>1758</v>
      </c>
      <c r="AZ313" s="104">
        <v>50</v>
      </c>
      <c r="BA313" s="104">
        <v>1808</v>
      </c>
      <c r="BB313" s="104">
        <v>97.23</v>
      </c>
      <c r="BE313" s="113">
        <v>45199</v>
      </c>
      <c r="BF313" s="101">
        <v>6477</v>
      </c>
      <c r="BG313" s="101">
        <v>76</v>
      </c>
      <c r="BH313" s="101">
        <v>6553</v>
      </c>
      <c r="BI313" s="101">
        <v>98.84</v>
      </c>
      <c r="BL313" s="113">
        <v>45199</v>
      </c>
      <c r="BM313" s="101">
        <v>5833</v>
      </c>
      <c r="BN313" s="101">
        <v>0</v>
      </c>
      <c r="BO313" s="101">
        <v>5833</v>
      </c>
      <c r="BP313" s="101">
        <v>100</v>
      </c>
      <c r="BS313" s="48"/>
      <c r="BT313" s="48"/>
      <c r="BU313" s="48"/>
      <c r="BV313" s="48"/>
      <c r="BW313" s="48"/>
      <c r="BZ313" s="1"/>
      <c r="CA313" s="1"/>
      <c r="CB313" s="1"/>
      <c r="CC313" s="1"/>
      <c r="CE313" s="113">
        <v>45199</v>
      </c>
      <c r="CF313">
        <v>10349189</v>
      </c>
      <c r="CG313">
        <v>39066</v>
      </c>
      <c r="CH313">
        <v>10388255</v>
      </c>
      <c r="CI313" s="46">
        <f t="shared" si="99"/>
        <v>99.623940690712729</v>
      </c>
      <c r="CJ313" s="71">
        <f t="shared" si="98"/>
        <v>10.388254999999999</v>
      </c>
      <c r="CL313" s="140">
        <v>45189</v>
      </c>
      <c r="CM313" t="s">
        <v>250</v>
      </c>
      <c r="CN313">
        <v>1407</v>
      </c>
      <c r="CO313">
        <v>549</v>
      </c>
    </row>
    <row r="314" spans="1:93" hidden="1" x14ac:dyDescent="0.25">
      <c r="A314" s="215">
        <v>45200</v>
      </c>
      <c r="B314" s="104">
        <v>5363902</v>
      </c>
      <c r="C314" s="104">
        <v>2219</v>
      </c>
      <c r="D314" s="104">
        <v>5366121</v>
      </c>
      <c r="E314" s="104">
        <v>99.96</v>
      </c>
      <c r="F314" s="71">
        <f t="shared" si="97"/>
        <v>5.3661209999999997</v>
      </c>
      <c r="H314" s="113">
        <v>45200</v>
      </c>
      <c r="I314" s="101">
        <v>1418816</v>
      </c>
      <c r="J314" s="101">
        <v>1829</v>
      </c>
      <c r="K314" s="101">
        <v>1420645</v>
      </c>
      <c r="L314" s="101">
        <v>99.87</v>
      </c>
      <c r="M314" s="71">
        <f t="shared" si="96"/>
        <v>1.4206449999999999</v>
      </c>
      <c r="O314" s="113">
        <v>45200</v>
      </c>
      <c r="P314" s="101">
        <v>23757</v>
      </c>
      <c r="Q314" s="101">
        <v>0</v>
      </c>
      <c r="R314" s="101">
        <v>23757</v>
      </c>
      <c r="S314" s="101">
        <v>100</v>
      </c>
      <c r="T314" s="71">
        <f t="shared" si="95"/>
        <v>2.3757E-2</v>
      </c>
      <c r="V314" s="113">
        <v>45200</v>
      </c>
      <c r="W314" s="101">
        <v>953337</v>
      </c>
      <c r="X314" s="101">
        <v>186</v>
      </c>
      <c r="Y314" s="101">
        <v>953523</v>
      </c>
      <c r="Z314" s="101">
        <v>99.98</v>
      </c>
      <c r="AA314" s="71">
        <f t="shared" si="92"/>
        <v>0.95352300000000001</v>
      </c>
      <c r="AC314" s="113">
        <v>45200</v>
      </c>
      <c r="AD314" s="101">
        <v>690436</v>
      </c>
      <c r="AE314" s="101">
        <v>75</v>
      </c>
      <c r="AF314" s="101">
        <v>690511</v>
      </c>
      <c r="AG314" s="101">
        <v>99.99</v>
      </c>
      <c r="AH314" s="71">
        <f t="shared" si="93"/>
        <v>0.69051099999999999</v>
      </c>
      <c r="AJ314" s="215">
        <v>45200</v>
      </c>
      <c r="AK314" s="48">
        <v>0</v>
      </c>
      <c r="AL314" s="48">
        <v>72</v>
      </c>
      <c r="AM314" s="48">
        <v>72</v>
      </c>
      <c r="AN314" s="48">
        <v>0</v>
      </c>
      <c r="AQ314" s="215">
        <v>45200</v>
      </c>
      <c r="AR314" s="104">
        <v>1911</v>
      </c>
      <c r="AS314" s="104">
        <v>85</v>
      </c>
      <c r="AT314" s="104">
        <v>1996</v>
      </c>
      <c r="AU314" s="104">
        <v>95.74</v>
      </c>
      <c r="AX314" s="215">
        <v>45200</v>
      </c>
      <c r="AY314" s="104">
        <v>0</v>
      </c>
      <c r="AZ314" s="104">
        <v>162</v>
      </c>
      <c r="BA314" s="104">
        <v>162</v>
      </c>
      <c r="BB314" s="104">
        <v>0</v>
      </c>
      <c r="BE314" s="113">
        <v>45200</v>
      </c>
      <c r="BF314" s="101">
        <v>7147</v>
      </c>
      <c r="BG314" s="101">
        <v>116</v>
      </c>
      <c r="BH314" s="101">
        <v>7263</v>
      </c>
      <c r="BI314" s="101">
        <v>98.4</v>
      </c>
      <c r="BL314" s="113">
        <v>45200</v>
      </c>
      <c r="BM314">
        <v>4782</v>
      </c>
      <c r="BN314" s="254">
        <v>0</v>
      </c>
      <c r="BO314">
        <v>4782</v>
      </c>
      <c r="BP314" s="254">
        <v>100</v>
      </c>
      <c r="BS314" s="48"/>
      <c r="BT314" s="48"/>
      <c r="BU314" s="48"/>
      <c r="BV314" s="48"/>
      <c r="BW314" s="48"/>
      <c r="BZ314" s="1"/>
      <c r="CA314" s="1"/>
      <c r="CB314" s="1"/>
      <c r="CC314" s="1"/>
      <c r="CE314" s="113">
        <v>45200</v>
      </c>
      <c r="CF314">
        <v>10191410</v>
      </c>
      <c r="CG314">
        <v>10801</v>
      </c>
      <c r="CH314">
        <v>10202211</v>
      </c>
      <c r="CI314" s="46">
        <f t="shared" si="99"/>
        <v>99.894130791845015</v>
      </c>
      <c r="CJ314" s="71">
        <f t="shared" si="98"/>
        <v>10.202211</v>
      </c>
    </row>
    <row r="315" spans="1:93" hidden="1" x14ac:dyDescent="0.25">
      <c r="A315" s="215">
        <v>45201</v>
      </c>
      <c r="B315" s="104">
        <v>6267348</v>
      </c>
      <c r="C315" s="104">
        <v>1895</v>
      </c>
      <c r="D315" s="104">
        <v>6269243</v>
      </c>
      <c r="E315" s="104">
        <v>99.97</v>
      </c>
      <c r="F315" s="71">
        <f t="shared" si="97"/>
        <v>6.2692430000000003</v>
      </c>
      <c r="H315" s="113">
        <v>45201</v>
      </c>
      <c r="I315" s="101">
        <v>1382009</v>
      </c>
      <c r="J315" s="101">
        <v>1366</v>
      </c>
      <c r="K315" s="101">
        <v>1383375</v>
      </c>
      <c r="L315" s="101">
        <v>99.9</v>
      </c>
      <c r="M315" s="71">
        <f t="shared" si="96"/>
        <v>1.383375</v>
      </c>
      <c r="O315" s="113">
        <v>45201</v>
      </c>
      <c r="P315" s="101">
        <v>22474</v>
      </c>
      <c r="Q315" s="101">
        <v>0</v>
      </c>
      <c r="R315" s="101">
        <v>22474</v>
      </c>
      <c r="S315" s="101">
        <v>100</v>
      </c>
      <c r="T315" s="71">
        <f t="shared" si="95"/>
        <v>2.2474000000000001E-2</v>
      </c>
      <c r="V315" s="113">
        <v>45201</v>
      </c>
      <c r="W315" s="101">
        <v>1050107</v>
      </c>
      <c r="X315" s="101">
        <v>194</v>
      </c>
      <c r="Y315" s="101">
        <v>1050301</v>
      </c>
      <c r="Z315" s="101">
        <v>99.98</v>
      </c>
      <c r="AA315" s="71">
        <f t="shared" si="92"/>
        <v>1.0503009999999999</v>
      </c>
      <c r="AC315" s="113">
        <v>45201</v>
      </c>
      <c r="AD315" s="101">
        <v>692046</v>
      </c>
      <c r="AE315" s="101">
        <v>116</v>
      </c>
      <c r="AF315" s="101">
        <v>692162</v>
      </c>
      <c r="AG315" s="101">
        <v>99.98</v>
      </c>
      <c r="AH315" s="71">
        <f t="shared" si="93"/>
        <v>0.69216200000000005</v>
      </c>
      <c r="AJ315" s="215">
        <v>45201</v>
      </c>
      <c r="AK315" s="48">
        <v>0</v>
      </c>
      <c r="AL315" s="48">
        <v>65</v>
      </c>
      <c r="AM315" s="48">
        <v>65</v>
      </c>
      <c r="AN315" s="48">
        <v>0</v>
      </c>
      <c r="AQ315" s="215">
        <v>45201</v>
      </c>
      <c r="AR315" s="104">
        <v>3011</v>
      </c>
      <c r="AS315" s="104">
        <v>54</v>
      </c>
      <c r="AT315" s="104">
        <v>3065</v>
      </c>
      <c r="AU315" s="104">
        <v>98.24</v>
      </c>
      <c r="AX315" s="215">
        <v>45201</v>
      </c>
      <c r="AY315" s="104">
        <v>3091</v>
      </c>
      <c r="AZ315" s="104">
        <v>33</v>
      </c>
      <c r="BA315" s="104">
        <v>3124</v>
      </c>
      <c r="BB315" s="104">
        <v>98.94</v>
      </c>
      <c r="BE315" s="113">
        <v>45201</v>
      </c>
      <c r="BF315" s="101">
        <v>6939</v>
      </c>
      <c r="BG315" s="101">
        <v>101</v>
      </c>
      <c r="BH315" s="101">
        <v>7040</v>
      </c>
      <c r="BI315" s="101">
        <v>98.57</v>
      </c>
      <c r="BL315" s="113">
        <v>45201</v>
      </c>
      <c r="BM315" s="101">
        <v>5453</v>
      </c>
      <c r="BN315" s="101">
        <v>0</v>
      </c>
      <c r="BO315" s="101">
        <v>5453</v>
      </c>
      <c r="BP315" s="101">
        <v>100</v>
      </c>
      <c r="BS315" s="48"/>
      <c r="BT315" s="48"/>
      <c r="BU315" s="48"/>
      <c r="BV315" s="48"/>
      <c r="BW315" s="48"/>
      <c r="BZ315" s="215">
        <v>45201</v>
      </c>
      <c r="CA315" s="48"/>
      <c r="CB315" s="48"/>
      <c r="CC315" s="1"/>
      <c r="CE315" s="113">
        <v>45201</v>
      </c>
      <c r="CF315">
        <v>11344950</v>
      </c>
      <c r="CG315">
        <v>9368</v>
      </c>
      <c r="CH315">
        <v>11354318</v>
      </c>
      <c r="CI315" s="46">
        <f t="shared" si="99"/>
        <v>99.917493943713751</v>
      </c>
      <c r="CJ315" s="71">
        <f t="shared" si="98"/>
        <v>11.354317999999999</v>
      </c>
      <c r="CL315" s="140">
        <v>45190</v>
      </c>
      <c r="CM315" t="s">
        <v>237</v>
      </c>
      <c r="CN315">
        <v>31536</v>
      </c>
      <c r="CO315">
        <v>527</v>
      </c>
    </row>
    <row r="316" spans="1:93" hidden="1" x14ac:dyDescent="0.25">
      <c r="A316" s="215">
        <v>45202</v>
      </c>
      <c r="B316" s="104">
        <v>6336974</v>
      </c>
      <c r="C316" s="104">
        <v>5382</v>
      </c>
      <c r="D316" s="104">
        <v>6342356</v>
      </c>
      <c r="E316" s="104">
        <v>99.92</v>
      </c>
      <c r="F316" s="71">
        <f t="shared" si="97"/>
        <v>6.3423559999999997</v>
      </c>
      <c r="H316" s="113">
        <v>45202</v>
      </c>
      <c r="I316" s="101">
        <v>1611742</v>
      </c>
      <c r="J316" s="101">
        <v>1896</v>
      </c>
      <c r="K316" s="101">
        <v>1613638</v>
      </c>
      <c r="L316" s="101">
        <v>99.88</v>
      </c>
      <c r="M316" s="71">
        <f t="shared" si="96"/>
        <v>1.6136379999999999</v>
      </c>
      <c r="O316" s="113">
        <v>45202</v>
      </c>
      <c r="P316" s="101">
        <v>21014</v>
      </c>
      <c r="Q316" s="101">
        <v>0</v>
      </c>
      <c r="R316" s="101">
        <v>21014</v>
      </c>
      <c r="S316" s="101">
        <v>100</v>
      </c>
      <c r="T316" s="71">
        <f t="shared" si="95"/>
        <v>2.1014000000000001E-2</v>
      </c>
      <c r="V316" s="113">
        <v>45202</v>
      </c>
      <c r="W316" s="101">
        <v>1010922</v>
      </c>
      <c r="X316" s="101">
        <v>652</v>
      </c>
      <c r="Y316" s="101">
        <v>1011574</v>
      </c>
      <c r="Z316" s="101">
        <v>99.94</v>
      </c>
      <c r="AA316" s="71">
        <f t="shared" si="92"/>
        <v>1.011574</v>
      </c>
      <c r="AC316" s="113">
        <v>45202</v>
      </c>
      <c r="AD316" s="101">
        <v>738282</v>
      </c>
      <c r="AE316" s="101">
        <v>112</v>
      </c>
      <c r="AF316" s="101">
        <v>738394</v>
      </c>
      <c r="AG316" s="101">
        <v>99.98</v>
      </c>
      <c r="AH316" s="71">
        <f t="shared" si="93"/>
        <v>0.73839399999999999</v>
      </c>
      <c r="AJ316" s="215">
        <v>45202</v>
      </c>
      <c r="AK316" s="48">
        <v>0</v>
      </c>
      <c r="AL316" s="48">
        <v>52</v>
      </c>
      <c r="AM316" s="48">
        <v>52</v>
      </c>
      <c r="AN316" s="48">
        <v>0</v>
      </c>
      <c r="AQ316" s="215">
        <v>45202</v>
      </c>
      <c r="AR316" s="104">
        <v>2964</v>
      </c>
      <c r="AS316" s="104">
        <v>62</v>
      </c>
      <c r="AT316" s="104">
        <v>3026</v>
      </c>
      <c r="AU316" s="104">
        <v>97.95</v>
      </c>
      <c r="AX316" s="215">
        <v>45202</v>
      </c>
      <c r="AY316" s="104">
        <v>2468</v>
      </c>
      <c r="AZ316" s="104">
        <v>86</v>
      </c>
      <c r="BA316" s="104">
        <v>2554</v>
      </c>
      <c r="BB316" s="104">
        <v>96.63</v>
      </c>
      <c r="BE316" s="113">
        <v>45202</v>
      </c>
      <c r="BF316" s="101">
        <v>7420</v>
      </c>
      <c r="BG316" s="101">
        <v>104</v>
      </c>
      <c r="BH316" s="101">
        <v>7524</v>
      </c>
      <c r="BI316" s="101">
        <v>98.62</v>
      </c>
      <c r="BL316" s="113">
        <v>45202</v>
      </c>
      <c r="BM316" s="101">
        <v>3374</v>
      </c>
      <c r="BN316" s="101">
        <v>0</v>
      </c>
      <c r="BO316" s="101">
        <v>3374</v>
      </c>
      <c r="BP316" s="101">
        <v>100</v>
      </c>
      <c r="BS316" s="48"/>
      <c r="BT316" s="48"/>
      <c r="BU316" s="48"/>
      <c r="BV316" s="48"/>
      <c r="BW316" s="48"/>
      <c r="BZ316" s="215">
        <v>45202</v>
      </c>
      <c r="CA316" s="48"/>
      <c r="CB316" s="48"/>
      <c r="CC316" s="1"/>
      <c r="CE316" s="113">
        <v>45202</v>
      </c>
      <c r="CF316">
        <v>11564708</v>
      </c>
      <c r="CG316">
        <v>14418</v>
      </c>
      <c r="CH316">
        <v>11579126</v>
      </c>
      <c r="CI316" s="46">
        <f t="shared" si="99"/>
        <v>99.875482830051254</v>
      </c>
      <c r="CJ316" s="71">
        <f t="shared" si="98"/>
        <v>11.579126</v>
      </c>
      <c r="CL316" s="140">
        <v>45190</v>
      </c>
      <c r="CM316" s="252" t="s">
        <v>239</v>
      </c>
      <c r="CN316">
        <v>19132</v>
      </c>
      <c r="CO316">
        <v>504</v>
      </c>
    </row>
    <row r="317" spans="1:93" hidden="1" x14ac:dyDescent="0.25">
      <c r="A317" s="215">
        <v>45203</v>
      </c>
      <c r="B317" s="104">
        <v>6211220</v>
      </c>
      <c r="C317" s="104">
        <v>5573</v>
      </c>
      <c r="D317" s="104">
        <v>6216793</v>
      </c>
      <c r="E317" s="104">
        <v>99.91</v>
      </c>
      <c r="F317" s="71">
        <f t="shared" si="97"/>
        <v>6.216793</v>
      </c>
      <c r="H317" s="113">
        <v>45203</v>
      </c>
      <c r="I317" s="101">
        <v>1338883</v>
      </c>
      <c r="J317" s="101">
        <v>1279</v>
      </c>
      <c r="K317" s="101">
        <v>1340162</v>
      </c>
      <c r="L317" s="101">
        <v>99.9</v>
      </c>
      <c r="M317" s="71">
        <f t="shared" si="96"/>
        <v>1.3401620000000001</v>
      </c>
      <c r="O317" s="113">
        <v>45203</v>
      </c>
      <c r="P317" s="101">
        <v>21003</v>
      </c>
      <c r="Q317" s="101">
        <v>0</v>
      </c>
      <c r="R317" s="101">
        <v>21003</v>
      </c>
      <c r="S317" s="101">
        <v>100</v>
      </c>
      <c r="T317" s="71">
        <f t="shared" si="95"/>
        <v>2.1003000000000001E-2</v>
      </c>
      <c r="V317" s="113">
        <v>45203</v>
      </c>
      <c r="W317" s="101">
        <v>992686</v>
      </c>
      <c r="X317" s="101">
        <v>756</v>
      </c>
      <c r="Y317" s="101">
        <v>993442</v>
      </c>
      <c r="Z317" s="101">
        <v>99.92</v>
      </c>
      <c r="AA317" s="71">
        <f t="shared" si="92"/>
        <v>0.99344200000000005</v>
      </c>
      <c r="AC317" s="113">
        <v>45203</v>
      </c>
      <c r="AD317" s="101">
        <v>770687</v>
      </c>
      <c r="AE317" s="101">
        <v>140</v>
      </c>
      <c r="AF317" s="101">
        <v>770827</v>
      </c>
      <c r="AG317" s="101">
        <v>99.98</v>
      </c>
      <c r="AH317" s="71">
        <f t="shared" si="93"/>
        <v>0.77082700000000004</v>
      </c>
      <c r="AJ317" s="215">
        <v>45203</v>
      </c>
      <c r="AK317" s="48">
        <v>0</v>
      </c>
      <c r="AL317" s="48">
        <v>52</v>
      </c>
      <c r="AM317" s="48">
        <v>52</v>
      </c>
      <c r="AN317" s="48">
        <v>0</v>
      </c>
      <c r="AQ317" s="215">
        <v>45203</v>
      </c>
      <c r="AR317" s="104">
        <v>2290</v>
      </c>
      <c r="AS317" s="104">
        <v>50</v>
      </c>
      <c r="AT317" s="104">
        <v>2340</v>
      </c>
      <c r="AU317" s="104">
        <v>97.86</v>
      </c>
      <c r="AX317" s="215">
        <v>45203</v>
      </c>
      <c r="AY317" s="104">
        <v>2724</v>
      </c>
      <c r="AZ317" s="104">
        <v>63</v>
      </c>
      <c r="BA317" s="104">
        <v>2787</v>
      </c>
      <c r="BB317" s="104">
        <v>97.74</v>
      </c>
      <c r="BE317" s="113">
        <v>45203</v>
      </c>
      <c r="BF317" s="101">
        <v>7152</v>
      </c>
      <c r="BG317" s="101">
        <v>137</v>
      </c>
      <c r="BH317" s="101">
        <v>7289</v>
      </c>
      <c r="BI317" s="101">
        <v>98.12</v>
      </c>
      <c r="BL317" s="113">
        <v>45203</v>
      </c>
      <c r="BM317" s="101">
        <v>5920</v>
      </c>
      <c r="BN317" s="101">
        <v>0</v>
      </c>
      <c r="BO317" s="101">
        <v>5920</v>
      </c>
      <c r="BP317" s="101">
        <v>100</v>
      </c>
      <c r="BS317" s="48"/>
      <c r="BT317" s="48"/>
      <c r="BU317" s="48"/>
      <c r="BV317" s="48"/>
      <c r="BW317" s="48"/>
      <c r="BZ317" s="215">
        <v>45203</v>
      </c>
      <c r="CA317" s="48"/>
      <c r="CB317" s="48"/>
      <c r="CC317" s="1"/>
      <c r="CE317" s="113">
        <v>45203</v>
      </c>
      <c r="CF317">
        <v>11080584</v>
      </c>
      <c r="CG317">
        <v>14050</v>
      </c>
      <c r="CH317">
        <v>11094634</v>
      </c>
      <c r="CI317" s="46">
        <f t="shared" si="99"/>
        <v>99.873362203746424</v>
      </c>
      <c r="CJ317" s="71">
        <f t="shared" si="98"/>
        <v>11.094633999999999</v>
      </c>
      <c r="CL317" s="140">
        <v>45190</v>
      </c>
      <c r="CM317" s="252" t="s">
        <v>240</v>
      </c>
      <c r="CN317">
        <v>9586</v>
      </c>
      <c r="CO317">
        <v>516</v>
      </c>
    </row>
    <row r="318" spans="1:93" hidden="1" x14ac:dyDescent="0.25">
      <c r="A318" s="215">
        <v>45204</v>
      </c>
      <c r="B318" s="104">
        <v>6570642</v>
      </c>
      <c r="C318" s="104">
        <v>9577</v>
      </c>
      <c r="D318" s="104">
        <v>6580219</v>
      </c>
      <c r="E318" s="104">
        <v>99.85</v>
      </c>
      <c r="F318" s="71">
        <f t="shared" si="97"/>
        <v>6.5802189999999996</v>
      </c>
      <c r="H318" s="113">
        <v>45204</v>
      </c>
      <c r="I318" s="101">
        <v>1399052</v>
      </c>
      <c r="J318" s="101">
        <v>1705</v>
      </c>
      <c r="K318" s="101">
        <v>1400757</v>
      </c>
      <c r="L318" s="101">
        <v>99.88</v>
      </c>
      <c r="M318" s="71">
        <f t="shared" si="96"/>
        <v>1.400757</v>
      </c>
      <c r="O318" s="113">
        <v>45204</v>
      </c>
      <c r="P318">
        <v>495338</v>
      </c>
      <c r="Q318">
        <v>258</v>
      </c>
      <c r="R318">
        <v>495596</v>
      </c>
      <c r="S318">
        <v>99.95</v>
      </c>
      <c r="T318" s="71">
        <f t="shared" si="95"/>
        <v>0.49559599999999998</v>
      </c>
      <c r="V318" s="113">
        <v>45204</v>
      </c>
      <c r="W318" s="101">
        <v>1058583</v>
      </c>
      <c r="X318" s="101">
        <v>172</v>
      </c>
      <c r="Y318" s="101">
        <v>1058755</v>
      </c>
      <c r="Z318" s="101">
        <v>99.98</v>
      </c>
      <c r="AA318" s="71">
        <f t="shared" si="92"/>
        <v>1.0587549999999999</v>
      </c>
      <c r="AC318" s="113">
        <v>45204</v>
      </c>
      <c r="AD318" s="101">
        <v>841025</v>
      </c>
      <c r="AE318" s="101">
        <v>186</v>
      </c>
      <c r="AF318" s="101">
        <v>841211</v>
      </c>
      <c r="AG318" s="101">
        <v>99.98</v>
      </c>
      <c r="AH318" s="71">
        <f t="shared" si="93"/>
        <v>0.84121100000000004</v>
      </c>
      <c r="AJ318" s="215">
        <v>45204</v>
      </c>
      <c r="AK318" s="48">
        <v>0</v>
      </c>
      <c r="AL318" s="48">
        <v>53</v>
      </c>
      <c r="AM318" s="48">
        <v>53</v>
      </c>
      <c r="AN318" s="48">
        <v>0</v>
      </c>
      <c r="AQ318" s="215">
        <v>45204</v>
      </c>
      <c r="AR318" s="104">
        <v>2400</v>
      </c>
      <c r="AS318" s="104">
        <v>62</v>
      </c>
      <c r="AT318" s="104">
        <v>2462</v>
      </c>
      <c r="AU318" s="104">
        <v>97.48</v>
      </c>
      <c r="AX318" s="215">
        <v>45204</v>
      </c>
      <c r="AY318" s="104">
        <v>2573</v>
      </c>
      <c r="AZ318" s="104">
        <v>35</v>
      </c>
      <c r="BA318" s="104">
        <v>2608</v>
      </c>
      <c r="BB318" s="104">
        <v>98.66</v>
      </c>
      <c r="BE318" s="113">
        <v>45204</v>
      </c>
      <c r="BF318" s="101">
        <v>7399</v>
      </c>
      <c r="BG318" s="101">
        <v>79</v>
      </c>
      <c r="BH318" s="101">
        <v>7478</v>
      </c>
      <c r="BI318" s="101">
        <v>98.94</v>
      </c>
      <c r="BL318" s="113">
        <v>45204</v>
      </c>
      <c r="BM318" s="101">
        <v>6332</v>
      </c>
      <c r="BN318" s="101">
        <v>0</v>
      </c>
      <c r="BO318" s="101">
        <v>6332</v>
      </c>
      <c r="BP318" s="101">
        <v>100</v>
      </c>
      <c r="BS318" s="48"/>
      <c r="BT318" s="48"/>
      <c r="BU318" s="48"/>
      <c r="BV318" s="48"/>
      <c r="BW318" s="48"/>
      <c r="BZ318" s="215">
        <v>45204</v>
      </c>
      <c r="CA318" s="48"/>
      <c r="CB318" s="48"/>
      <c r="CC318" s="1"/>
      <c r="CE318" s="113">
        <v>45204</v>
      </c>
      <c r="CF318">
        <v>11797421</v>
      </c>
      <c r="CG318">
        <v>20106</v>
      </c>
      <c r="CH318">
        <v>11817527</v>
      </c>
      <c r="CI318" s="46">
        <f t="shared" si="99"/>
        <v>99.829862880787147</v>
      </c>
      <c r="CJ318" s="71">
        <f t="shared" si="98"/>
        <v>11.817527</v>
      </c>
      <c r="CL318" s="140">
        <v>45190</v>
      </c>
      <c r="CM318" t="s">
        <v>238</v>
      </c>
      <c r="CN318">
        <v>3883</v>
      </c>
      <c r="CO318">
        <v>503</v>
      </c>
    </row>
    <row r="319" spans="1:93" hidden="1" x14ac:dyDescent="0.25">
      <c r="A319" s="215">
        <v>45205</v>
      </c>
      <c r="B319" s="48">
        <v>6623296</v>
      </c>
      <c r="C319" s="48">
        <v>19089</v>
      </c>
      <c r="D319" s="48">
        <v>6642385</v>
      </c>
      <c r="E319" s="48">
        <v>99.71</v>
      </c>
      <c r="F319" s="71">
        <f t="shared" si="97"/>
        <v>6.642385</v>
      </c>
      <c r="H319" s="113">
        <v>45205</v>
      </c>
      <c r="I319">
        <v>1641249</v>
      </c>
      <c r="J319">
        <v>1790</v>
      </c>
      <c r="K319">
        <v>1643039</v>
      </c>
      <c r="L319">
        <v>99.89</v>
      </c>
      <c r="M319" s="71">
        <f t="shared" si="96"/>
        <v>1.6430389999999999</v>
      </c>
      <c r="O319" s="113">
        <v>45205</v>
      </c>
      <c r="P319">
        <v>514120</v>
      </c>
      <c r="Q319">
        <v>254</v>
      </c>
      <c r="R319">
        <v>514374</v>
      </c>
      <c r="S319">
        <v>99.95</v>
      </c>
      <c r="T319" s="71">
        <f t="shared" si="95"/>
        <v>0.514374</v>
      </c>
      <c r="V319" s="113">
        <v>45205</v>
      </c>
      <c r="W319">
        <v>1118724</v>
      </c>
      <c r="X319">
        <v>824</v>
      </c>
      <c r="Y319">
        <v>1119548</v>
      </c>
      <c r="Z319">
        <v>99.93</v>
      </c>
      <c r="AA319" s="71">
        <f t="shared" si="92"/>
        <v>1.119548</v>
      </c>
      <c r="AC319" s="113">
        <v>45205</v>
      </c>
      <c r="AD319">
        <v>676198</v>
      </c>
      <c r="AE319">
        <v>23607</v>
      </c>
      <c r="AF319">
        <v>699805</v>
      </c>
      <c r="AG319">
        <v>96.63</v>
      </c>
      <c r="AH319" s="71">
        <f t="shared" si="93"/>
        <v>0.69980500000000001</v>
      </c>
      <c r="AJ319" s="215">
        <v>45205</v>
      </c>
      <c r="AK319" s="48">
        <v>0</v>
      </c>
      <c r="AL319" s="48">
        <v>80</v>
      </c>
      <c r="AM319" s="48">
        <v>80</v>
      </c>
      <c r="AN319" s="48">
        <v>0</v>
      </c>
      <c r="AQ319" s="215">
        <v>45205</v>
      </c>
      <c r="AR319" s="48">
        <v>2998</v>
      </c>
      <c r="AS319" s="48">
        <v>52</v>
      </c>
      <c r="AT319" s="48">
        <v>3050</v>
      </c>
      <c r="AU319" s="48">
        <v>98.3</v>
      </c>
      <c r="AX319" s="215">
        <v>45205</v>
      </c>
      <c r="AY319" s="48">
        <v>2034</v>
      </c>
      <c r="AZ319" s="48">
        <v>38</v>
      </c>
      <c r="BA319" s="48">
        <v>2072</v>
      </c>
      <c r="BB319" s="104">
        <v>98.66</v>
      </c>
      <c r="BE319" s="113">
        <v>45205</v>
      </c>
      <c r="BF319">
        <v>4570</v>
      </c>
      <c r="BG319">
        <v>64</v>
      </c>
      <c r="BH319">
        <v>4634</v>
      </c>
      <c r="BI319">
        <v>98.62</v>
      </c>
      <c r="BL319" s="113">
        <v>45205</v>
      </c>
      <c r="BM319">
        <v>5042</v>
      </c>
      <c r="BN319" s="101">
        <v>0</v>
      </c>
      <c r="BO319">
        <v>5042</v>
      </c>
      <c r="BP319" s="101">
        <v>100</v>
      </c>
      <c r="BS319" s="48"/>
      <c r="BT319" s="48"/>
      <c r="BU319" s="48"/>
      <c r="BV319" s="48"/>
      <c r="BW319" s="48"/>
      <c r="BZ319" s="215">
        <v>45205</v>
      </c>
      <c r="CA319" s="48"/>
      <c r="CB319" s="48"/>
      <c r="CC319" s="1"/>
      <c r="CE319" s="113">
        <v>45205</v>
      </c>
      <c r="CF319">
        <v>12533985</v>
      </c>
      <c r="CG319">
        <v>62528</v>
      </c>
      <c r="CH319">
        <v>12596513</v>
      </c>
      <c r="CI319" s="46">
        <f t="shared" si="99"/>
        <v>99.503608657411775</v>
      </c>
      <c r="CJ319" s="71">
        <f t="shared" si="98"/>
        <v>12.596513</v>
      </c>
      <c r="CL319" s="140">
        <v>45190</v>
      </c>
      <c r="CM319" t="s">
        <v>250</v>
      </c>
      <c r="CN319">
        <v>1795</v>
      </c>
      <c r="CO319">
        <v>549</v>
      </c>
    </row>
    <row r="320" spans="1:93" hidden="1" x14ac:dyDescent="0.25">
      <c r="A320" s="215">
        <v>45206</v>
      </c>
      <c r="B320" s="48">
        <v>6103530</v>
      </c>
      <c r="C320" s="48">
        <v>15560</v>
      </c>
      <c r="D320" s="48">
        <v>6119090</v>
      </c>
      <c r="E320" s="48">
        <v>99.75</v>
      </c>
      <c r="F320" s="71">
        <f t="shared" si="97"/>
        <v>6.1190899999999999</v>
      </c>
      <c r="H320" s="113">
        <v>45206</v>
      </c>
      <c r="I320">
        <v>1419546</v>
      </c>
      <c r="J320">
        <v>1368</v>
      </c>
      <c r="K320">
        <v>1420914</v>
      </c>
      <c r="L320">
        <v>99.9</v>
      </c>
      <c r="M320" s="71">
        <f t="shared" si="96"/>
        <v>1.420914</v>
      </c>
      <c r="O320" s="113">
        <v>45206</v>
      </c>
      <c r="P320">
        <v>507868</v>
      </c>
      <c r="Q320">
        <v>294</v>
      </c>
      <c r="R320">
        <v>508162</v>
      </c>
      <c r="S320">
        <v>99.94</v>
      </c>
      <c r="T320" s="71">
        <f t="shared" si="95"/>
        <v>0.508162</v>
      </c>
      <c r="V320" s="113">
        <v>45206</v>
      </c>
      <c r="W320">
        <v>1022822</v>
      </c>
      <c r="X320">
        <v>136</v>
      </c>
      <c r="Y320">
        <v>1022958</v>
      </c>
      <c r="Z320">
        <v>99.99</v>
      </c>
      <c r="AA320" s="71">
        <f t="shared" si="92"/>
        <v>1.022958</v>
      </c>
      <c r="AC320" s="113">
        <v>45206</v>
      </c>
      <c r="AD320">
        <v>709652</v>
      </c>
      <c r="AE320">
        <v>176</v>
      </c>
      <c r="AF320">
        <v>709828</v>
      </c>
      <c r="AG320">
        <v>99.98</v>
      </c>
      <c r="AH320" s="71">
        <f t="shared" si="93"/>
        <v>0.70982800000000001</v>
      </c>
      <c r="AJ320" s="215">
        <v>45206</v>
      </c>
      <c r="AK320" s="48">
        <v>0</v>
      </c>
      <c r="AL320" s="48">
        <v>66</v>
      </c>
      <c r="AM320" s="48">
        <v>66</v>
      </c>
      <c r="AN320" s="48">
        <v>0</v>
      </c>
      <c r="AQ320" s="215">
        <v>45206</v>
      </c>
      <c r="AR320" s="48">
        <v>1868</v>
      </c>
      <c r="AS320" s="48">
        <v>44</v>
      </c>
      <c r="AT320" s="48">
        <v>1912</v>
      </c>
      <c r="AU320" s="48">
        <v>97.7</v>
      </c>
      <c r="AX320" s="215">
        <v>45206</v>
      </c>
      <c r="AY320" s="48">
        <v>1206</v>
      </c>
      <c r="AZ320" s="48">
        <v>14</v>
      </c>
      <c r="BA320" s="48">
        <v>1220</v>
      </c>
      <c r="BB320" s="104">
        <v>98.66</v>
      </c>
      <c r="BE320" s="113">
        <v>45206</v>
      </c>
      <c r="BF320">
        <v>4954</v>
      </c>
      <c r="BG320">
        <v>62</v>
      </c>
      <c r="BH320">
        <v>5016</v>
      </c>
      <c r="BI320">
        <v>98.76</v>
      </c>
      <c r="BL320" s="113">
        <v>45206</v>
      </c>
      <c r="BM320">
        <v>8002</v>
      </c>
      <c r="BN320" s="101">
        <v>0</v>
      </c>
      <c r="BO320">
        <v>8002</v>
      </c>
      <c r="BP320" s="101">
        <v>100</v>
      </c>
      <c r="BS320" s="48"/>
      <c r="BT320" s="48"/>
      <c r="BU320" s="48"/>
      <c r="BV320" s="48"/>
      <c r="BW320" s="48"/>
      <c r="BZ320" s="215">
        <v>45206</v>
      </c>
      <c r="CA320" s="48"/>
      <c r="CB320" s="48"/>
      <c r="CC320" s="1"/>
      <c r="CE320" s="113">
        <v>45206</v>
      </c>
      <c r="CF320">
        <v>11557532</v>
      </c>
      <c r="CG320">
        <v>31862</v>
      </c>
      <c r="CH320">
        <v>11589394</v>
      </c>
      <c r="CI320" s="46">
        <f t="shared" si="99"/>
        <v>99.725076220551301</v>
      </c>
      <c r="CJ320" s="71">
        <f t="shared" si="98"/>
        <v>11.589394</v>
      </c>
      <c r="CL320" s="140">
        <v>45192</v>
      </c>
      <c r="CM320" s="252" t="s">
        <v>239</v>
      </c>
      <c r="CN320">
        <v>149512</v>
      </c>
      <c r="CO320">
        <v>504</v>
      </c>
    </row>
    <row r="321" spans="1:93" hidden="1" x14ac:dyDescent="0.25">
      <c r="A321" s="215">
        <v>45207</v>
      </c>
      <c r="B321" s="48">
        <v>5246662</v>
      </c>
      <c r="C321" s="48">
        <v>28830</v>
      </c>
      <c r="D321" s="48">
        <v>5275492</v>
      </c>
      <c r="E321" s="48">
        <v>99.45</v>
      </c>
      <c r="F321" s="71">
        <f t="shared" si="97"/>
        <v>5.2754919999999998</v>
      </c>
      <c r="H321" s="113">
        <v>45207</v>
      </c>
      <c r="I321">
        <v>1397226</v>
      </c>
      <c r="J321">
        <v>1466</v>
      </c>
      <c r="K321">
        <v>1398692</v>
      </c>
      <c r="L321">
        <v>99.9</v>
      </c>
      <c r="M321" s="71">
        <f t="shared" si="96"/>
        <v>1.398692</v>
      </c>
      <c r="O321" s="113">
        <v>45207</v>
      </c>
      <c r="P321">
        <v>552806</v>
      </c>
      <c r="Q321">
        <v>304</v>
      </c>
      <c r="R321">
        <v>553110</v>
      </c>
      <c r="S321">
        <v>99.95</v>
      </c>
      <c r="T321" s="71">
        <f t="shared" si="95"/>
        <v>0.55310999999999999</v>
      </c>
      <c r="V321" s="113">
        <v>45207</v>
      </c>
      <c r="W321">
        <v>877938</v>
      </c>
      <c r="X321">
        <v>2398</v>
      </c>
      <c r="Y321">
        <v>880336</v>
      </c>
      <c r="Z321">
        <v>99.73</v>
      </c>
      <c r="AA321" s="71">
        <f t="shared" si="92"/>
        <v>0.88033600000000001</v>
      </c>
      <c r="AC321" s="113">
        <v>45207</v>
      </c>
      <c r="AD321">
        <v>758112</v>
      </c>
      <c r="AE321">
        <v>168</v>
      </c>
      <c r="AF321">
        <v>758280</v>
      </c>
      <c r="AG321">
        <v>99.98</v>
      </c>
      <c r="AH321" s="71">
        <f t="shared" si="93"/>
        <v>0.75827999999999995</v>
      </c>
      <c r="AJ321" s="215">
        <v>45207</v>
      </c>
      <c r="AK321" s="48">
        <v>0</v>
      </c>
      <c r="AL321" s="48">
        <v>78</v>
      </c>
      <c r="AM321" s="48">
        <v>78</v>
      </c>
      <c r="AN321" s="48">
        <v>0</v>
      </c>
      <c r="AQ321" s="215">
        <v>45207</v>
      </c>
      <c r="AR321" s="48">
        <v>1216</v>
      </c>
      <c r="AS321" s="48">
        <v>30</v>
      </c>
      <c r="AT321" s="48">
        <v>1246</v>
      </c>
      <c r="AU321" s="48">
        <v>97.59</v>
      </c>
      <c r="AX321" s="215">
        <v>45207</v>
      </c>
      <c r="AY321" s="48">
        <v>0</v>
      </c>
      <c r="AZ321" s="48">
        <v>84</v>
      </c>
      <c r="BA321" s="48">
        <v>84</v>
      </c>
      <c r="BB321" s="104">
        <v>98.66</v>
      </c>
      <c r="BE321" s="113">
        <v>45207</v>
      </c>
      <c r="BF321">
        <v>4158</v>
      </c>
      <c r="BG321">
        <v>54</v>
      </c>
      <c r="BH321">
        <v>4212</v>
      </c>
      <c r="BI321">
        <v>98.72</v>
      </c>
      <c r="BL321" s="113">
        <v>45207</v>
      </c>
      <c r="BM321">
        <v>5400</v>
      </c>
      <c r="BN321" s="101">
        <v>0</v>
      </c>
      <c r="BO321">
        <v>5400</v>
      </c>
      <c r="BP321" s="101">
        <v>100</v>
      </c>
      <c r="BS321" s="48"/>
      <c r="BT321" s="48"/>
      <c r="BU321" s="48"/>
      <c r="BV321" s="48"/>
      <c r="BW321" s="48"/>
      <c r="BZ321" s="215">
        <v>45207</v>
      </c>
      <c r="CA321" s="48">
        <v>5867581</v>
      </c>
      <c r="CB321" s="48">
        <v>519139</v>
      </c>
      <c r="CC321" s="46">
        <f>CA321/CB321</f>
        <v>11.302523986832043</v>
      </c>
      <c r="CE321" s="113">
        <v>45207</v>
      </c>
      <c r="CF321">
        <v>10654194</v>
      </c>
      <c r="CG321">
        <v>49744</v>
      </c>
      <c r="CH321">
        <v>10703938</v>
      </c>
      <c r="CI321" s="46">
        <f t="shared" si="99"/>
        <v>99.535273840338007</v>
      </c>
      <c r="CJ321" s="71">
        <f t="shared" si="98"/>
        <v>10.703938000000001</v>
      </c>
      <c r="CL321" s="140">
        <v>45192</v>
      </c>
      <c r="CM321" t="s">
        <v>237</v>
      </c>
      <c r="CN321">
        <v>23040</v>
      </c>
      <c r="CO321">
        <v>527</v>
      </c>
    </row>
    <row r="322" spans="1:93" hidden="1" x14ac:dyDescent="0.25">
      <c r="A322" s="215">
        <v>45208</v>
      </c>
      <c r="B322" s="48">
        <v>6462148</v>
      </c>
      <c r="C322" s="48">
        <v>25812</v>
      </c>
      <c r="D322" s="48">
        <v>6487960</v>
      </c>
      <c r="E322" s="48">
        <v>99.6</v>
      </c>
      <c r="F322" s="71">
        <f t="shared" si="97"/>
        <v>6.4879600000000002</v>
      </c>
      <c r="H322" s="113">
        <v>45208</v>
      </c>
      <c r="I322">
        <v>1406528</v>
      </c>
      <c r="J322">
        <v>674</v>
      </c>
      <c r="K322">
        <v>1407202</v>
      </c>
      <c r="L322">
        <v>99.95</v>
      </c>
      <c r="M322" s="71">
        <f t="shared" si="96"/>
        <v>1.4072020000000001</v>
      </c>
      <c r="O322" s="113">
        <v>45208</v>
      </c>
      <c r="P322">
        <v>501448</v>
      </c>
      <c r="Q322">
        <v>288</v>
      </c>
      <c r="R322">
        <v>501736</v>
      </c>
      <c r="S322">
        <v>99.94</v>
      </c>
      <c r="T322" s="71">
        <f t="shared" si="95"/>
        <v>0.50173599999999996</v>
      </c>
      <c r="V322" s="113">
        <v>45208</v>
      </c>
      <c r="W322">
        <v>1081866</v>
      </c>
      <c r="X322">
        <v>212</v>
      </c>
      <c r="Y322">
        <v>1082078</v>
      </c>
      <c r="Z322">
        <v>99.98</v>
      </c>
      <c r="AA322" s="71">
        <f t="shared" si="92"/>
        <v>1.0820780000000001</v>
      </c>
      <c r="AC322" s="113">
        <v>45208</v>
      </c>
      <c r="AD322">
        <v>860930</v>
      </c>
      <c r="AE322">
        <v>124</v>
      </c>
      <c r="AF322">
        <v>861054</v>
      </c>
      <c r="AG322">
        <v>99.99</v>
      </c>
      <c r="AH322" s="71">
        <f t="shared" si="93"/>
        <v>0.86105399999999999</v>
      </c>
      <c r="AJ322" s="215">
        <v>45208</v>
      </c>
      <c r="AK322" s="48">
        <v>0</v>
      </c>
      <c r="AL322" s="48">
        <v>72</v>
      </c>
      <c r="AM322" s="48">
        <v>72</v>
      </c>
      <c r="AN322" s="48">
        <v>0</v>
      </c>
      <c r="AQ322" s="215">
        <v>45208</v>
      </c>
      <c r="AR322" s="48">
        <v>2232</v>
      </c>
      <c r="AS322" s="48">
        <v>76</v>
      </c>
      <c r="AT322" s="48">
        <v>2308</v>
      </c>
      <c r="AU322" s="48">
        <v>96.71</v>
      </c>
      <c r="AX322" s="215">
        <v>45208</v>
      </c>
      <c r="AY322" s="48">
        <v>2712</v>
      </c>
      <c r="AZ322" s="48">
        <v>32</v>
      </c>
      <c r="BA322" s="48">
        <v>2744</v>
      </c>
      <c r="BB322" s="48">
        <v>98.83</v>
      </c>
      <c r="BE322" s="113">
        <v>45208</v>
      </c>
      <c r="BF322">
        <v>5172</v>
      </c>
      <c r="BG322">
        <v>26</v>
      </c>
      <c r="BH322">
        <v>5198</v>
      </c>
      <c r="BI322">
        <v>99.5</v>
      </c>
      <c r="BL322" s="113">
        <v>45208</v>
      </c>
      <c r="BM322">
        <v>4710</v>
      </c>
      <c r="BN322" s="254">
        <v>0</v>
      </c>
      <c r="BO322">
        <v>4710</v>
      </c>
      <c r="BP322" s="101">
        <v>100</v>
      </c>
      <c r="BS322" s="48"/>
      <c r="BT322" s="48"/>
      <c r="BU322" s="48"/>
      <c r="BV322" s="48"/>
      <c r="BW322" s="48"/>
      <c r="BZ322" s="215">
        <v>45208</v>
      </c>
      <c r="CA322" s="1">
        <v>35638927</v>
      </c>
      <c r="CB322" s="1">
        <v>2061332</v>
      </c>
      <c r="CC322" s="46">
        <f>CA322/CB322</f>
        <v>17.289270723978476</v>
      </c>
      <c r="CE322" s="113">
        <v>45208</v>
      </c>
      <c r="CF322">
        <v>12240830</v>
      </c>
      <c r="CG322">
        <v>47724</v>
      </c>
      <c r="CH322">
        <v>12288554</v>
      </c>
      <c r="CI322" s="46">
        <f t="shared" si="99"/>
        <v>99.61163860288201</v>
      </c>
      <c r="CJ322" s="71">
        <f t="shared" si="98"/>
        <v>12.288554</v>
      </c>
      <c r="CL322" s="140">
        <v>45192</v>
      </c>
      <c r="CM322" t="s">
        <v>243</v>
      </c>
      <c r="CN322">
        <v>3828</v>
      </c>
      <c r="CO322">
        <v>540</v>
      </c>
    </row>
    <row r="323" spans="1:93" hidden="1" x14ac:dyDescent="0.25">
      <c r="A323" s="215">
        <v>45209</v>
      </c>
      <c r="B323" s="48">
        <v>6432352</v>
      </c>
      <c r="C323" s="48">
        <v>2776</v>
      </c>
      <c r="D323" s="48">
        <v>6435128</v>
      </c>
      <c r="E323" s="48">
        <v>99.96</v>
      </c>
      <c r="F323" s="71">
        <f t="shared" si="97"/>
        <v>6.4351279999999997</v>
      </c>
      <c r="H323" s="113">
        <v>45209</v>
      </c>
      <c r="I323">
        <v>1585444</v>
      </c>
      <c r="J323">
        <v>846</v>
      </c>
      <c r="K323">
        <v>1586290</v>
      </c>
      <c r="L323">
        <v>99.95</v>
      </c>
      <c r="M323" s="71">
        <f t="shared" si="96"/>
        <v>1.58629</v>
      </c>
      <c r="O323" s="113">
        <v>45209</v>
      </c>
      <c r="P323">
        <v>498894</v>
      </c>
      <c r="Q323">
        <v>248</v>
      </c>
      <c r="R323">
        <v>499142</v>
      </c>
      <c r="S323">
        <v>99.95</v>
      </c>
      <c r="T323" s="71">
        <f t="shared" si="95"/>
        <v>0.49914199999999997</v>
      </c>
      <c r="V323" s="113">
        <v>45209</v>
      </c>
      <c r="W323">
        <v>1036160</v>
      </c>
      <c r="X323">
        <v>182</v>
      </c>
      <c r="Y323">
        <v>1036342</v>
      </c>
      <c r="Z323">
        <v>99.98</v>
      </c>
      <c r="AA323" s="71">
        <f t="shared" si="92"/>
        <v>1.0363420000000001</v>
      </c>
      <c r="AC323" s="113">
        <v>45209</v>
      </c>
      <c r="AD323">
        <v>1010704</v>
      </c>
      <c r="AE323">
        <v>212</v>
      </c>
      <c r="AF323">
        <v>1010916</v>
      </c>
      <c r="AG323">
        <v>99.98</v>
      </c>
      <c r="AH323" s="71">
        <f t="shared" si="93"/>
        <v>1.0109159999999999</v>
      </c>
      <c r="AJ323" s="215">
        <v>45209</v>
      </c>
      <c r="AK323" s="48">
        <v>0</v>
      </c>
      <c r="AL323" s="48">
        <v>86</v>
      </c>
      <c r="AM323" s="48">
        <v>86</v>
      </c>
      <c r="AN323" s="48">
        <v>0</v>
      </c>
      <c r="AQ323" s="215">
        <v>45209</v>
      </c>
      <c r="AR323" s="48">
        <v>3050</v>
      </c>
      <c r="AS323" s="48">
        <v>42</v>
      </c>
      <c r="AT323" s="48">
        <v>3092</v>
      </c>
      <c r="AU323" s="48">
        <v>98.64</v>
      </c>
      <c r="AX323" s="215">
        <v>45209</v>
      </c>
      <c r="AY323" s="48">
        <v>2424</v>
      </c>
      <c r="AZ323" s="48">
        <v>24</v>
      </c>
      <c r="BA323" s="48">
        <v>2448</v>
      </c>
      <c r="BB323" s="48">
        <v>99.02</v>
      </c>
      <c r="BE323" s="113">
        <v>45209</v>
      </c>
      <c r="BF323">
        <v>5288</v>
      </c>
      <c r="BG323">
        <v>12</v>
      </c>
      <c r="BH323">
        <v>5300</v>
      </c>
      <c r="BI323">
        <v>99.77</v>
      </c>
      <c r="BL323" s="113">
        <v>45209</v>
      </c>
      <c r="BM323">
        <v>3268</v>
      </c>
      <c r="BN323" s="220">
        <v>0</v>
      </c>
      <c r="BO323">
        <v>3268</v>
      </c>
      <c r="BP323" s="101">
        <v>100</v>
      </c>
      <c r="BS323" s="48"/>
      <c r="BT323" s="48"/>
      <c r="BU323" s="48"/>
      <c r="BV323" s="48"/>
      <c r="BW323" s="48"/>
      <c r="BZ323" s="215">
        <v>45209</v>
      </c>
      <c r="CA323" s="1">
        <v>36234465</v>
      </c>
      <c r="CB323" s="1">
        <v>2093685</v>
      </c>
      <c r="CC323" s="46">
        <f>CA323/CB323</f>
        <v>17.306550412311307</v>
      </c>
      <c r="CE323" s="113">
        <v>45209</v>
      </c>
      <c r="CF323">
        <v>12450008</v>
      </c>
      <c r="CG323">
        <v>14514</v>
      </c>
      <c r="CH323">
        <v>12464522</v>
      </c>
      <c r="CI323" s="46">
        <f t="shared" si="99"/>
        <v>99.883557508262243</v>
      </c>
      <c r="CJ323" s="71">
        <f t="shared" si="98"/>
        <v>12.464522000000001</v>
      </c>
      <c r="CL323" s="140">
        <v>45192</v>
      </c>
      <c r="CM323" t="s">
        <v>238</v>
      </c>
      <c r="CN323">
        <v>2884</v>
      </c>
      <c r="CO323">
        <v>503</v>
      </c>
    </row>
    <row r="324" spans="1:93" hidden="1" x14ac:dyDescent="0.25">
      <c r="A324" s="215">
        <v>45210</v>
      </c>
      <c r="B324" s="48">
        <v>5995980</v>
      </c>
      <c r="C324" s="48">
        <v>2064</v>
      </c>
      <c r="D324" s="48">
        <v>5998044</v>
      </c>
      <c r="E324" s="48">
        <v>99.97</v>
      </c>
      <c r="F324" s="71">
        <f t="shared" si="97"/>
        <v>5.9980440000000002</v>
      </c>
      <c r="H324" s="113">
        <v>45210</v>
      </c>
      <c r="I324">
        <v>1350468</v>
      </c>
      <c r="J324">
        <v>310</v>
      </c>
      <c r="K324">
        <v>1350778</v>
      </c>
      <c r="L324">
        <v>99.98</v>
      </c>
      <c r="M324" s="71">
        <f t="shared" si="96"/>
        <v>1.350778</v>
      </c>
      <c r="O324" s="113">
        <v>45210</v>
      </c>
      <c r="P324">
        <v>465996</v>
      </c>
      <c r="Q324">
        <v>7136</v>
      </c>
      <c r="R324">
        <v>473132</v>
      </c>
      <c r="S324">
        <v>98.49</v>
      </c>
      <c r="T324" s="71">
        <f t="shared" si="95"/>
        <v>0.473132</v>
      </c>
      <c r="V324" s="113">
        <v>45210</v>
      </c>
      <c r="W324">
        <v>987992</v>
      </c>
      <c r="X324">
        <v>152</v>
      </c>
      <c r="Y324">
        <v>988144</v>
      </c>
      <c r="Z324">
        <v>99.98</v>
      </c>
      <c r="AA324" s="71">
        <f t="shared" si="92"/>
        <v>0.98814400000000002</v>
      </c>
      <c r="AC324" s="113">
        <v>45210</v>
      </c>
      <c r="AD324">
        <v>1055244</v>
      </c>
      <c r="AE324">
        <v>202</v>
      </c>
      <c r="AF324">
        <v>1055446</v>
      </c>
      <c r="AG324">
        <v>99.98</v>
      </c>
      <c r="AH324" s="71">
        <f t="shared" si="93"/>
        <v>1.0554460000000001</v>
      </c>
      <c r="AJ324" s="215">
        <v>45210</v>
      </c>
      <c r="AK324" s="48">
        <v>0</v>
      </c>
      <c r="AL324" s="48">
        <v>98</v>
      </c>
      <c r="AM324" s="48">
        <v>98</v>
      </c>
      <c r="AN324" s="48">
        <v>0</v>
      </c>
      <c r="AQ324" s="215">
        <v>45210</v>
      </c>
      <c r="AR324" s="48">
        <v>2176</v>
      </c>
      <c r="AS324" s="48">
        <v>72</v>
      </c>
      <c r="AT324" s="48">
        <v>2248</v>
      </c>
      <c r="AU324" s="48">
        <v>96.8</v>
      </c>
      <c r="AX324" s="215">
        <v>45210</v>
      </c>
      <c r="AY324" s="48">
        <v>1592</v>
      </c>
      <c r="AZ324" s="48">
        <v>32</v>
      </c>
      <c r="BA324" s="48">
        <v>1624</v>
      </c>
      <c r="BB324" s="48">
        <v>98.03</v>
      </c>
      <c r="BE324" s="113">
        <v>45210</v>
      </c>
      <c r="BF324">
        <v>6186</v>
      </c>
      <c r="BG324">
        <v>252</v>
      </c>
      <c r="BH324">
        <v>6438</v>
      </c>
      <c r="BI324">
        <v>96.09</v>
      </c>
      <c r="BL324" s="113">
        <v>45210</v>
      </c>
      <c r="BM324">
        <v>6036</v>
      </c>
      <c r="BN324" s="220">
        <v>0</v>
      </c>
      <c r="BO324">
        <v>6036</v>
      </c>
      <c r="BP324" s="101">
        <v>100</v>
      </c>
      <c r="BS324" s="48"/>
      <c r="BT324" s="48"/>
      <c r="BU324" s="48"/>
      <c r="BV324" s="48"/>
      <c r="BW324" s="48"/>
      <c r="BZ324" s="215">
        <v>45210</v>
      </c>
      <c r="CA324" s="1">
        <v>32223195</v>
      </c>
      <c r="CB324" s="1">
        <v>1977859</v>
      </c>
      <c r="CC324" s="46">
        <f>CA324/CB324</f>
        <v>16.291957616796747</v>
      </c>
      <c r="CE324" s="113">
        <v>45210</v>
      </c>
      <c r="CF324">
        <v>11658644</v>
      </c>
      <c r="CG324">
        <v>19872</v>
      </c>
      <c r="CH324">
        <v>11678516</v>
      </c>
      <c r="CI324" s="46">
        <f t="shared" si="99"/>
        <v>99.829841394231934</v>
      </c>
      <c r="CJ324" s="71">
        <f t="shared" si="98"/>
        <v>11.678516</v>
      </c>
    </row>
    <row r="325" spans="1:93" hidden="1" x14ac:dyDescent="0.25">
      <c r="A325" s="215">
        <v>45211</v>
      </c>
      <c r="B325" s="48">
        <v>5837362</v>
      </c>
      <c r="C325" s="48">
        <v>19684</v>
      </c>
      <c r="D325" s="48">
        <v>5857046</v>
      </c>
      <c r="E325" s="48">
        <v>99.66</v>
      </c>
      <c r="F325" s="71">
        <f t="shared" si="97"/>
        <v>5.8570460000000004</v>
      </c>
      <c r="H325" s="113">
        <v>45211</v>
      </c>
      <c r="I325">
        <v>1405864</v>
      </c>
      <c r="J325">
        <v>278054</v>
      </c>
      <c r="K325">
        <v>1683918</v>
      </c>
      <c r="L325">
        <v>83.49</v>
      </c>
      <c r="M325" s="71">
        <f t="shared" si="96"/>
        <v>1.683918</v>
      </c>
      <c r="O325" s="113">
        <v>45211</v>
      </c>
      <c r="P325">
        <v>484748</v>
      </c>
      <c r="Q325">
        <v>434</v>
      </c>
      <c r="R325">
        <v>485182</v>
      </c>
      <c r="S325">
        <v>99.91</v>
      </c>
      <c r="T325" s="71">
        <f t="shared" si="95"/>
        <v>0.485182</v>
      </c>
      <c r="V325" s="113">
        <v>45211</v>
      </c>
      <c r="W325">
        <v>1039278</v>
      </c>
      <c r="X325">
        <v>6564</v>
      </c>
      <c r="Y325">
        <v>1045842</v>
      </c>
      <c r="Z325">
        <v>99.37</v>
      </c>
      <c r="AA325" s="71">
        <f t="shared" ref="AA325:AA388" si="100">Y325/1000000</f>
        <v>1.0458419999999999</v>
      </c>
      <c r="AC325" s="113">
        <v>45211</v>
      </c>
      <c r="AD325">
        <v>829980</v>
      </c>
      <c r="AE325">
        <v>330</v>
      </c>
      <c r="AF325">
        <v>830310</v>
      </c>
      <c r="AG325">
        <v>99.96</v>
      </c>
      <c r="AH325" s="255">
        <f t="shared" si="93"/>
        <v>0.83030999999999999</v>
      </c>
      <c r="AJ325" s="215">
        <v>45211</v>
      </c>
      <c r="AK325" s="48">
        <v>0</v>
      </c>
      <c r="AL325" s="48">
        <v>60</v>
      </c>
      <c r="AM325" s="48">
        <v>60</v>
      </c>
      <c r="AN325" s="48">
        <v>0</v>
      </c>
      <c r="AQ325" s="215">
        <v>45211</v>
      </c>
      <c r="AR325" s="48">
        <v>3252</v>
      </c>
      <c r="AS325" s="48">
        <v>42</v>
      </c>
      <c r="AT325" s="48">
        <v>3294</v>
      </c>
      <c r="AU325" s="48">
        <v>98.72</v>
      </c>
      <c r="AX325" s="215">
        <v>45211</v>
      </c>
      <c r="AY325" s="48">
        <v>1586</v>
      </c>
      <c r="AZ325" s="48">
        <v>34</v>
      </c>
      <c r="BA325" s="48">
        <v>1620</v>
      </c>
      <c r="BB325" s="48">
        <v>97.9</v>
      </c>
      <c r="BE325" s="113">
        <v>45211</v>
      </c>
      <c r="BF325">
        <v>8420</v>
      </c>
      <c r="BG325">
        <v>302</v>
      </c>
      <c r="BH325">
        <v>8722</v>
      </c>
      <c r="BI325">
        <v>96.54</v>
      </c>
      <c r="BL325" s="113">
        <v>45211</v>
      </c>
      <c r="BM325">
        <v>6238</v>
      </c>
      <c r="BN325" s="220">
        <v>0</v>
      </c>
      <c r="BO325">
        <v>6238</v>
      </c>
      <c r="BP325" s="101">
        <v>100</v>
      </c>
      <c r="BS325" s="48"/>
      <c r="BT325" s="48"/>
      <c r="BU325" s="48"/>
      <c r="BV325" s="48"/>
      <c r="BW325" s="48"/>
      <c r="BZ325" s="215">
        <v>45211</v>
      </c>
      <c r="CA325" s="48">
        <v>33753269</v>
      </c>
      <c r="CB325" s="48">
        <v>1981262</v>
      </c>
      <c r="CC325" s="71">
        <f>CA325/CB325</f>
        <v>17.036247099071197</v>
      </c>
      <c r="CE325" s="113">
        <v>45211</v>
      </c>
      <c r="CF325">
        <v>11279300</v>
      </c>
      <c r="CG325">
        <v>652220</v>
      </c>
      <c r="CH325">
        <v>11931520</v>
      </c>
      <c r="CI325" s="46">
        <f t="shared" si="99"/>
        <v>94.533638631121605</v>
      </c>
      <c r="CJ325" s="71">
        <f t="shared" si="98"/>
        <v>11.931520000000001</v>
      </c>
      <c r="CL325" s="140">
        <v>45200</v>
      </c>
      <c r="CM325" t="s">
        <v>237</v>
      </c>
      <c r="CN325">
        <v>2852</v>
      </c>
      <c r="CO325">
        <v>527</v>
      </c>
    </row>
    <row r="326" spans="1:93" hidden="1" x14ac:dyDescent="0.25">
      <c r="A326" s="215">
        <v>45212</v>
      </c>
      <c r="B326" s="48">
        <v>6875436</v>
      </c>
      <c r="C326" s="48">
        <v>1820</v>
      </c>
      <c r="D326" s="48">
        <v>6877256</v>
      </c>
      <c r="E326" s="48">
        <v>99.97</v>
      </c>
      <c r="F326" s="71">
        <f t="shared" si="97"/>
        <v>6.877256</v>
      </c>
      <c r="H326" s="113">
        <v>45212</v>
      </c>
      <c r="I326">
        <v>1589724</v>
      </c>
      <c r="J326">
        <v>3506</v>
      </c>
      <c r="K326">
        <v>1593230</v>
      </c>
      <c r="L326">
        <v>99.78</v>
      </c>
      <c r="M326" s="71">
        <f t="shared" si="96"/>
        <v>1.5932299999999999</v>
      </c>
      <c r="O326" s="113">
        <v>45212</v>
      </c>
      <c r="P326">
        <v>476650</v>
      </c>
      <c r="Q326">
        <v>0</v>
      </c>
      <c r="R326">
        <v>476650</v>
      </c>
      <c r="S326">
        <v>100</v>
      </c>
      <c r="T326" s="71">
        <f t="shared" si="95"/>
        <v>0.47665000000000002</v>
      </c>
      <c r="V326" s="113">
        <v>45212</v>
      </c>
      <c r="W326">
        <v>1090852</v>
      </c>
      <c r="X326">
        <v>170</v>
      </c>
      <c r="Y326">
        <v>1091022</v>
      </c>
      <c r="Z326">
        <v>99.98</v>
      </c>
      <c r="AA326" s="71">
        <f t="shared" si="100"/>
        <v>1.0910219999999999</v>
      </c>
      <c r="AC326" s="113">
        <v>45212</v>
      </c>
      <c r="AD326">
        <v>775804</v>
      </c>
      <c r="AE326">
        <v>62</v>
      </c>
      <c r="AF326">
        <v>775866</v>
      </c>
      <c r="AG326">
        <v>99.99</v>
      </c>
      <c r="AH326" s="255">
        <f t="shared" si="93"/>
        <v>0.77586599999999994</v>
      </c>
      <c r="AJ326" s="215">
        <v>45212</v>
      </c>
      <c r="AK326" s="48">
        <v>0</v>
      </c>
      <c r="AL326" s="48">
        <v>96</v>
      </c>
      <c r="AM326" s="48">
        <v>96</v>
      </c>
      <c r="AN326" s="48">
        <v>0</v>
      </c>
      <c r="AQ326" s="215">
        <v>45212</v>
      </c>
      <c r="AR326" s="48">
        <v>2306</v>
      </c>
      <c r="AS326" s="48">
        <v>58</v>
      </c>
      <c r="AT326" s="48">
        <v>2364</v>
      </c>
      <c r="AU326" s="48">
        <v>97.55</v>
      </c>
      <c r="AX326" s="215">
        <v>45212</v>
      </c>
      <c r="AY326" s="48">
        <v>1534</v>
      </c>
      <c r="AZ326" s="48">
        <v>26</v>
      </c>
      <c r="BA326" s="48">
        <v>1560</v>
      </c>
      <c r="BB326" s="48">
        <v>98.33</v>
      </c>
      <c r="BE326" s="113">
        <v>45212</v>
      </c>
      <c r="BF326">
        <v>7990</v>
      </c>
      <c r="BG326">
        <v>116</v>
      </c>
      <c r="BH326">
        <v>8106</v>
      </c>
      <c r="BI326">
        <v>98.57</v>
      </c>
      <c r="BL326" s="113">
        <v>45212</v>
      </c>
      <c r="BM326">
        <v>5608</v>
      </c>
      <c r="BN326" s="220">
        <v>0</v>
      </c>
      <c r="BO326">
        <v>5608</v>
      </c>
      <c r="BP326" s="101">
        <v>100</v>
      </c>
      <c r="BS326" s="48"/>
      <c r="BT326" s="48"/>
      <c r="BU326" s="48"/>
      <c r="BV326" s="48"/>
      <c r="BW326" s="48"/>
      <c r="BZ326" s="215">
        <v>45212</v>
      </c>
      <c r="CA326" s="48">
        <v>37771294</v>
      </c>
      <c r="CB326" s="48">
        <v>2182563</v>
      </c>
      <c r="CC326" s="71">
        <f t="shared" ref="CC326:CC389" si="101">CA326/CB326</f>
        <v>17.305935269680646</v>
      </c>
      <c r="CE326" s="113">
        <v>45212</v>
      </c>
      <c r="CF326">
        <v>12873020</v>
      </c>
      <c r="CG326">
        <v>15188</v>
      </c>
      <c r="CH326">
        <v>12888208</v>
      </c>
      <c r="CI326" s="46">
        <f t="shared" si="99"/>
        <v>99.882155843543188</v>
      </c>
      <c r="CJ326" s="71">
        <f t="shared" si="98"/>
        <v>12.888208000000001</v>
      </c>
      <c r="CL326" s="140">
        <v>45200</v>
      </c>
      <c r="CM326" t="s">
        <v>250</v>
      </c>
      <c r="CN326">
        <v>2200</v>
      </c>
      <c r="CO326">
        <v>549</v>
      </c>
    </row>
    <row r="327" spans="1:93" hidden="1" x14ac:dyDescent="0.25">
      <c r="A327" s="215">
        <v>45213</v>
      </c>
      <c r="B327" s="48">
        <v>5760802</v>
      </c>
      <c r="C327" s="48">
        <v>1410</v>
      </c>
      <c r="D327" s="48">
        <v>5762212</v>
      </c>
      <c r="E327" s="48">
        <v>99.98</v>
      </c>
      <c r="F327" s="71">
        <f t="shared" si="97"/>
        <v>5.7622119999999999</v>
      </c>
      <c r="H327" s="113">
        <v>45213</v>
      </c>
      <c r="I327">
        <v>1329172</v>
      </c>
      <c r="J327">
        <v>2748</v>
      </c>
      <c r="K327">
        <v>1331920</v>
      </c>
      <c r="L327">
        <v>99.79</v>
      </c>
      <c r="M327" s="71">
        <f t="shared" si="96"/>
        <v>1.33192</v>
      </c>
      <c r="O327" s="113">
        <v>45213</v>
      </c>
      <c r="P327">
        <v>462788</v>
      </c>
      <c r="Q327">
        <v>6</v>
      </c>
      <c r="R327">
        <v>462794</v>
      </c>
      <c r="S327">
        <v>100</v>
      </c>
      <c r="T327" s="71">
        <f t="shared" si="95"/>
        <v>0.46279399999999998</v>
      </c>
      <c r="V327" s="113">
        <v>45213</v>
      </c>
      <c r="W327">
        <v>976544</v>
      </c>
      <c r="X327">
        <v>174</v>
      </c>
      <c r="Y327">
        <v>976718</v>
      </c>
      <c r="Z327">
        <v>99.98</v>
      </c>
      <c r="AA327" s="71">
        <f t="shared" si="100"/>
        <v>0.97671799999999998</v>
      </c>
      <c r="AC327" s="113">
        <v>45213</v>
      </c>
      <c r="AD327">
        <v>727684</v>
      </c>
      <c r="AE327">
        <v>84</v>
      </c>
      <c r="AF327">
        <v>727768</v>
      </c>
      <c r="AG327">
        <v>99.99</v>
      </c>
      <c r="AH327" s="255">
        <f t="shared" ref="AH327:AH390" si="102">AF327/1000000</f>
        <v>0.72776799999999997</v>
      </c>
      <c r="AJ327" s="215">
        <v>45213</v>
      </c>
      <c r="AK327" s="48">
        <v>0</v>
      </c>
      <c r="AL327" s="48">
        <v>50</v>
      </c>
      <c r="AM327" s="48">
        <v>50</v>
      </c>
      <c r="AN327" s="48">
        <v>0</v>
      </c>
      <c r="AQ327" s="215">
        <v>45213</v>
      </c>
      <c r="AR327" s="48">
        <v>2400</v>
      </c>
      <c r="AS327" s="48">
        <v>50</v>
      </c>
      <c r="AT327" s="48">
        <v>2450</v>
      </c>
      <c r="AU327" s="48">
        <v>97.96</v>
      </c>
      <c r="AX327" s="215">
        <v>45213</v>
      </c>
      <c r="AY327" s="48">
        <v>936</v>
      </c>
      <c r="AZ327" s="48">
        <v>28</v>
      </c>
      <c r="BA327" s="48">
        <v>964</v>
      </c>
      <c r="BB327" s="48">
        <v>97.1</v>
      </c>
      <c r="BE327" s="113">
        <v>45213</v>
      </c>
      <c r="BF327">
        <v>24694</v>
      </c>
      <c r="BG327">
        <v>4476</v>
      </c>
      <c r="BH327">
        <v>29170</v>
      </c>
      <c r="BI327">
        <v>84.66</v>
      </c>
      <c r="BL327" s="113">
        <v>45213</v>
      </c>
      <c r="BM327">
        <v>9448</v>
      </c>
      <c r="BN327" s="220">
        <v>0</v>
      </c>
      <c r="BO327">
        <v>9448</v>
      </c>
      <c r="BP327" s="101">
        <v>100</v>
      </c>
      <c r="BS327" s="48"/>
      <c r="BT327" s="48"/>
      <c r="BU327" s="48"/>
      <c r="BV327" s="48"/>
      <c r="BW327" s="48"/>
      <c r="BZ327" s="215">
        <v>45213</v>
      </c>
      <c r="CA327" s="48">
        <v>33621873</v>
      </c>
      <c r="CB327" s="48">
        <v>2029431</v>
      </c>
      <c r="CC327" s="71">
        <f t="shared" si="101"/>
        <v>16.567142711429952</v>
      </c>
      <c r="CE327" s="113">
        <v>45213</v>
      </c>
      <c r="CF327">
        <v>11167974</v>
      </c>
      <c r="CG327">
        <v>16430</v>
      </c>
      <c r="CH327">
        <v>11184404</v>
      </c>
      <c r="CI327" s="46">
        <f t="shared" si="99"/>
        <v>99.853099011802513</v>
      </c>
      <c r="CJ327" s="71">
        <f t="shared" si="98"/>
        <v>11.184404000000001</v>
      </c>
      <c r="CL327" s="140">
        <v>45200</v>
      </c>
      <c r="CM327" s="252" t="s">
        <v>239</v>
      </c>
      <c r="CN327">
        <v>1931</v>
      </c>
      <c r="CO327">
        <v>504</v>
      </c>
    </row>
    <row r="328" spans="1:93" hidden="1" x14ac:dyDescent="0.25">
      <c r="A328" s="215">
        <v>45214</v>
      </c>
      <c r="B328" s="48">
        <v>5375438</v>
      </c>
      <c r="C328" s="48">
        <v>1318</v>
      </c>
      <c r="D328" s="48">
        <v>5376756</v>
      </c>
      <c r="E328" s="48">
        <v>99.98</v>
      </c>
      <c r="F328" s="71">
        <f t="shared" si="97"/>
        <v>5.3767560000000003</v>
      </c>
      <c r="H328" s="113">
        <v>45214</v>
      </c>
      <c r="I328">
        <v>1334318</v>
      </c>
      <c r="J328">
        <v>2636</v>
      </c>
      <c r="K328">
        <v>1336954</v>
      </c>
      <c r="L328">
        <v>99.8</v>
      </c>
      <c r="M328" s="71">
        <f t="shared" si="96"/>
        <v>1.336954</v>
      </c>
      <c r="O328" s="113">
        <v>45214</v>
      </c>
      <c r="P328">
        <v>463912</v>
      </c>
      <c r="Q328">
        <v>0</v>
      </c>
      <c r="R328">
        <v>463912</v>
      </c>
      <c r="S328">
        <v>100</v>
      </c>
      <c r="T328" s="71">
        <f t="shared" si="95"/>
        <v>0.46391199999999999</v>
      </c>
      <c r="V328" s="113">
        <v>45214</v>
      </c>
      <c r="W328">
        <v>919642</v>
      </c>
      <c r="X328">
        <v>160</v>
      </c>
      <c r="Y328">
        <v>919802</v>
      </c>
      <c r="Z328">
        <v>99.98</v>
      </c>
      <c r="AA328" s="71">
        <f t="shared" si="100"/>
        <v>0.91980200000000001</v>
      </c>
      <c r="AC328" s="113">
        <v>45214</v>
      </c>
      <c r="AD328">
        <v>680468</v>
      </c>
      <c r="AE328">
        <v>80</v>
      </c>
      <c r="AF328">
        <v>680548</v>
      </c>
      <c r="AG328">
        <v>99.99</v>
      </c>
      <c r="AH328" s="255">
        <f t="shared" si="102"/>
        <v>0.68054800000000004</v>
      </c>
      <c r="AJ328" s="215">
        <v>45214</v>
      </c>
      <c r="AK328" s="48">
        <v>0</v>
      </c>
      <c r="AL328" s="48">
        <v>42</v>
      </c>
      <c r="AM328" s="48">
        <v>42</v>
      </c>
      <c r="AN328" s="48">
        <v>0</v>
      </c>
      <c r="AQ328" s="215">
        <v>45214</v>
      </c>
      <c r="AR328" s="48">
        <v>1220</v>
      </c>
      <c r="AS328" s="48">
        <v>38</v>
      </c>
      <c r="AT328" s="48">
        <v>1258</v>
      </c>
      <c r="AU328" s="48">
        <v>96.98</v>
      </c>
      <c r="AX328" s="215">
        <v>45214</v>
      </c>
      <c r="AY328" s="48">
        <v>0</v>
      </c>
      <c r="AZ328" s="48">
        <v>96</v>
      </c>
      <c r="BA328" s="48">
        <v>96</v>
      </c>
      <c r="BB328" s="48">
        <v>0</v>
      </c>
      <c r="BE328" s="113">
        <v>45214</v>
      </c>
      <c r="BF328">
        <v>12030</v>
      </c>
      <c r="BG328">
        <v>142</v>
      </c>
      <c r="BH328">
        <v>12172</v>
      </c>
      <c r="BI328">
        <v>98.83</v>
      </c>
      <c r="BL328" s="113">
        <v>45214</v>
      </c>
      <c r="BM328">
        <v>4452</v>
      </c>
      <c r="BN328" s="220">
        <v>0</v>
      </c>
      <c r="BO328">
        <v>4452</v>
      </c>
      <c r="BP328" s="101">
        <v>100</v>
      </c>
      <c r="BS328" s="48"/>
      <c r="BT328" s="48"/>
      <c r="BU328" s="48"/>
      <c r="BV328" s="48"/>
      <c r="BW328" s="48"/>
      <c r="BZ328" s="215">
        <v>45214</v>
      </c>
      <c r="CA328" s="48">
        <v>31564521</v>
      </c>
      <c r="CB328" s="48">
        <v>2195119</v>
      </c>
      <c r="CC328" s="71">
        <f t="shared" si="101"/>
        <v>14.37941223232089</v>
      </c>
      <c r="CE328" s="113">
        <v>45214</v>
      </c>
      <c r="CF328">
        <v>10575222</v>
      </c>
      <c r="CG328">
        <v>11946</v>
      </c>
      <c r="CH328">
        <v>10587168</v>
      </c>
      <c r="CI328" s="46">
        <f t="shared" si="99"/>
        <v>99.887165292928202</v>
      </c>
      <c r="CJ328" s="71">
        <f t="shared" si="98"/>
        <v>10.587168</v>
      </c>
      <c r="CL328" s="140">
        <v>45200</v>
      </c>
      <c r="CM328" s="252" t="s">
        <v>240</v>
      </c>
      <c r="CN328">
        <v>1918</v>
      </c>
      <c r="CO328">
        <v>516</v>
      </c>
    </row>
    <row r="329" spans="1:93" hidden="1" x14ac:dyDescent="0.25">
      <c r="A329" s="215">
        <v>45215</v>
      </c>
      <c r="B329" s="48">
        <v>6067234</v>
      </c>
      <c r="C329" s="48">
        <v>1478</v>
      </c>
      <c r="D329" s="48">
        <v>6068712</v>
      </c>
      <c r="E329" s="48">
        <v>99.98</v>
      </c>
      <c r="F329" s="71">
        <f t="shared" si="97"/>
        <v>6.0687119999999997</v>
      </c>
      <c r="H329" s="113">
        <v>45215</v>
      </c>
      <c r="I329">
        <v>1356530</v>
      </c>
      <c r="J329">
        <v>2230</v>
      </c>
      <c r="K329">
        <v>1358760</v>
      </c>
      <c r="L329">
        <v>99.84</v>
      </c>
      <c r="M329" s="71">
        <f t="shared" si="96"/>
        <v>1.35876</v>
      </c>
      <c r="O329" s="113">
        <v>45215</v>
      </c>
      <c r="P329">
        <v>470138</v>
      </c>
      <c r="Q329">
        <v>4</v>
      </c>
      <c r="R329">
        <v>470142</v>
      </c>
      <c r="S329">
        <v>100</v>
      </c>
      <c r="T329" s="71">
        <f t="shared" si="95"/>
        <v>0.470142</v>
      </c>
      <c r="V329" s="113">
        <v>45215</v>
      </c>
      <c r="W329">
        <v>982288</v>
      </c>
      <c r="X329">
        <v>154</v>
      </c>
      <c r="Y329">
        <v>982442</v>
      </c>
      <c r="Z329">
        <v>99.98</v>
      </c>
      <c r="AA329" s="71">
        <f t="shared" si="100"/>
        <v>0.98244200000000004</v>
      </c>
      <c r="AC329" s="113">
        <v>45215</v>
      </c>
      <c r="AD329">
        <v>705890</v>
      </c>
      <c r="AE329">
        <v>70</v>
      </c>
      <c r="AF329">
        <v>705960</v>
      </c>
      <c r="AG329">
        <v>99.99</v>
      </c>
      <c r="AH329" s="255">
        <f t="shared" si="102"/>
        <v>0.70596000000000003</v>
      </c>
      <c r="AJ329" s="215">
        <v>45215</v>
      </c>
      <c r="AK329" s="48">
        <v>0</v>
      </c>
      <c r="AL329" s="48">
        <v>86</v>
      </c>
      <c r="AM329" s="48">
        <v>86</v>
      </c>
      <c r="AN329" s="48">
        <v>0</v>
      </c>
      <c r="AQ329" s="215">
        <v>45215</v>
      </c>
      <c r="AR329" s="48">
        <v>2346</v>
      </c>
      <c r="AS329" s="48">
        <v>48</v>
      </c>
      <c r="AT329" s="48">
        <v>2394</v>
      </c>
      <c r="AU329" s="48">
        <v>97.99</v>
      </c>
      <c r="AX329" s="215">
        <v>45215</v>
      </c>
      <c r="AY329" s="48">
        <v>1748</v>
      </c>
      <c r="AZ329" s="48">
        <v>24</v>
      </c>
      <c r="BA329" s="48">
        <v>1772</v>
      </c>
      <c r="BB329" s="48">
        <v>98.65</v>
      </c>
      <c r="BE329" s="113">
        <v>45215</v>
      </c>
      <c r="BF329">
        <v>7832</v>
      </c>
      <c r="BG329">
        <v>1552</v>
      </c>
      <c r="BH329">
        <v>9384</v>
      </c>
      <c r="BI329">
        <v>83.46</v>
      </c>
      <c r="BL329" s="113">
        <v>45215</v>
      </c>
      <c r="BM329">
        <v>3770</v>
      </c>
      <c r="BN329" s="220">
        <v>0</v>
      </c>
      <c r="BO329">
        <v>3770</v>
      </c>
      <c r="BP329" s="254">
        <v>100</v>
      </c>
      <c r="BS329" s="48"/>
      <c r="BT329" s="48"/>
      <c r="BU329" s="48"/>
      <c r="BV329" s="48"/>
      <c r="BW329" s="48"/>
      <c r="BZ329" s="215">
        <v>45215</v>
      </c>
      <c r="CA329" s="48">
        <v>31834313</v>
      </c>
      <c r="CB329" s="48">
        <v>1924968</v>
      </c>
      <c r="CC329" s="71">
        <f t="shared" si="101"/>
        <v>16.5375803649723</v>
      </c>
      <c r="CE329" s="113">
        <v>45215</v>
      </c>
      <c r="CF329">
        <v>11455544</v>
      </c>
      <c r="CG329">
        <v>13160</v>
      </c>
      <c r="CH329">
        <v>11468704</v>
      </c>
      <c r="CI329" s="46">
        <f t="shared" si="99"/>
        <v>99.885252945755695</v>
      </c>
      <c r="CJ329" s="71">
        <f t="shared" si="98"/>
        <v>11.468704000000001</v>
      </c>
      <c r="CL329" s="140">
        <v>45200</v>
      </c>
      <c r="CM329" t="s">
        <v>244</v>
      </c>
      <c r="CN329">
        <v>580</v>
      </c>
      <c r="CO329">
        <v>513</v>
      </c>
    </row>
    <row r="330" spans="1:93" hidden="1" x14ac:dyDescent="0.25">
      <c r="A330" s="215">
        <v>45216</v>
      </c>
      <c r="B330" s="48">
        <v>6151770</v>
      </c>
      <c r="C330" s="48">
        <v>1578</v>
      </c>
      <c r="D330" s="48">
        <v>6153348</v>
      </c>
      <c r="E330" s="48">
        <v>99.97</v>
      </c>
      <c r="F330" s="71">
        <f t="shared" si="97"/>
        <v>6.1533480000000003</v>
      </c>
      <c r="H330" s="113">
        <v>45216</v>
      </c>
      <c r="I330">
        <v>1540890</v>
      </c>
      <c r="J330">
        <v>1776</v>
      </c>
      <c r="K330">
        <v>1542666</v>
      </c>
      <c r="L330">
        <v>99.88</v>
      </c>
      <c r="M330" s="71">
        <f t="shared" si="96"/>
        <v>1.5426660000000001</v>
      </c>
      <c r="O330" s="113">
        <v>45216</v>
      </c>
      <c r="P330">
        <v>482910</v>
      </c>
      <c r="Q330">
        <v>24</v>
      </c>
      <c r="R330">
        <v>482934</v>
      </c>
      <c r="S330">
        <v>100</v>
      </c>
      <c r="T330" s="71">
        <f t="shared" si="95"/>
        <v>0.48293399999999997</v>
      </c>
      <c r="V330" s="113">
        <v>45216</v>
      </c>
      <c r="W330">
        <v>1002994</v>
      </c>
      <c r="X330">
        <v>146</v>
      </c>
      <c r="Y330">
        <v>1003140</v>
      </c>
      <c r="Z330">
        <v>99.99</v>
      </c>
      <c r="AA330" s="71">
        <f t="shared" si="100"/>
        <v>1.0031399999999999</v>
      </c>
      <c r="AC330" s="113">
        <v>45216</v>
      </c>
      <c r="AD330">
        <v>733232</v>
      </c>
      <c r="AE330">
        <v>86</v>
      </c>
      <c r="AF330">
        <v>733318</v>
      </c>
      <c r="AG330">
        <v>99.99</v>
      </c>
      <c r="AH330" s="255">
        <f t="shared" si="102"/>
        <v>0.73331800000000003</v>
      </c>
      <c r="AJ330" s="215">
        <v>45216</v>
      </c>
      <c r="AK330" s="48">
        <v>0</v>
      </c>
      <c r="AL330" s="48">
        <v>52</v>
      </c>
      <c r="AM330" s="48">
        <v>52</v>
      </c>
      <c r="AN330" s="48">
        <v>0</v>
      </c>
      <c r="AQ330" s="215">
        <v>45216</v>
      </c>
      <c r="AR330" s="48">
        <v>2236</v>
      </c>
      <c r="AS330" s="48">
        <v>70</v>
      </c>
      <c r="AT330" s="48">
        <v>2306</v>
      </c>
      <c r="AU330" s="48">
        <v>99.96</v>
      </c>
      <c r="AX330" s="215">
        <v>45216</v>
      </c>
      <c r="AY330" s="48">
        <v>1322</v>
      </c>
      <c r="AZ330" s="48">
        <v>32</v>
      </c>
      <c r="BA330" s="48">
        <v>1354</v>
      </c>
      <c r="BB330" s="48">
        <v>97.64</v>
      </c>
      <c r="BE330" s="113">
        <v>45216</v>
      </c>
      <c r="BF330">
        <v>8084</v>
      </c>
      <c r="BG330">
        <v>1744</v>
      </c>
      <c r="BH330">
        <v>9828</v>
      </c>
      <c r="BI330">
        <v>82.25</v>
      </c>
      <c r="BL330" s="113">
        <v>45216</v>
      </c>
      <c r="BM330">
        <v>10256</v>
      </c>
      <c r="BN330" s="220">
        <v>0</v>
      </c>
      <c r="BO330">
        <v>10256</v>
      </c>
      <c r="BP330" s="254">
        <v>100</v>
      </c>
      <c r="BS330" s="48"/>
      <c r="BT330" s="48"/>
      <c r="BU330" s="48"/>
      <c r="BV330" s="48"/>
      <c r="BW330" s="48"/>
      <c r="BZ330" s="215">
        <v>45216</v>
      </c>
      <c r="CA330" s="48">
        <v>33769769</v>
      </c>
      <c r="CB330" s="48">
        <v>2055016</v>
      </c>
      <c r="CC330" s="71">
        <f t="shared" si="101"/>
        <v>16.432849671243435</v>
      </c>
      <c r="CE330" s="113">
        <v>45216</v>
      </c>
      <c r="CF330">
        <v>11795286</v>
      </c>
      <c r="CG330">
        <v>12824</v>
      </c>
      <c r="CH330">
        <v>11808110</v>
      </c>
      <c r="CI330" s="46">
        <f t="shared" si="99"/>
        <v>99.891396675674599</v>
      </c>
      <c r="CJ330" s="71">
        <f t="shared" si="98"/>
        <v>11.808109999999999</v>
      </c>
    </row>
    <row r="331" spans="1:93" hidden="1" x14ac:dyDescent="0.25">
      <c r="A331" s="215">
        <v>45217</v>
      </c>
      <c r="B331" s="48">
        <v>5778600</v>
      </c>
      <c r="C331" s="48">
        <v>1586</v>
      </c>
      <c r="D331" s="48">
        <v>5780186</v>
      </c>
      <c r="E331" s="48">
        <v>99.97</v>
      </c>
      <c r="F331" s="71">
        <f t="shared" si="97"/>
        <v>5.7801859999999996</v>
      </c>
      <c r="H331" s="113">
        <v>45217</v>
      </c>
      <c r="I331">
        <v>1269668</v>
      </c>
      <c r="J331">
        <v>1348</v>
      </c>
      <c r="K331">
        <v>1271016</v>
      </c>
      <c r="L331">
        <v>99.89</v>
      </c>
      <c r="M331" s="71">
        <f t="shared" si="96"/>
        <v>1.2710159999999999</v>
      </c>
      <c r="O331" s="113">
        <v>45217</v>
      </c>
      <c r="P331">
        <v>427482</v>
      </c>
      <c r="Q331">
        <v>2</v>
      </c>
      <c r="R331">
        <v>427484</v>
      </c>
      <c r="S331">
        <v>100</v>
      </c>
      <c r="T331" s="71">
        <f t="shared" si="95"/>
        <v>0.42748399999999998</v>
      </c>
      <c r="V331" s="113">
        <v>45217</v>
      </c>
      <c r="W331">
        <v>952484</v>
      </c>
      <c r="X331">
        <v>150</v>
      </c>
      <c r="Y331">
        <v>952634</v>
      </c>
      <c r="Z331">
        <v>99.98</v>
      </c>
      <c r="AA331" s="71">
        <f t="shared" si="100"/>
        <v>0.95263399999999998</v>
      </c>
      <c r="AC331" s="113">
        <v>45217</v>
      </c>
      <c r="AD331">
        <v>737704</v>
      </c>
      <c r="AE331">
        <v>182</v>
      </c>
      <c r="AF331">
        <v>737886</v>
      </c>
      <c r="AG331">
        <v>99.98</v>
      </c>
      <c r="AH331" s="255">
        <f t="shared" si="102"/>
        <v>0.73788600000000004</v>
      </c>
      <c r="AJ331" s="215">
        <v>45217</v>
      </c>
      <c r="AK331" s="48">
        <v>0</v>
      </c>
      <c r="AL331" s="48">
        <v>56</v>
      </c>
      <c r="AM331" s="48">
        <v>56</v>
      </c>
      <c r="AN331" s="48">
        <v>0</v>
      </c>
      <c r="AQ331" s="215">
        <v>45217</v>
      </c>
      <c r="AR331" s="48">
        <v>2424</v>
      </c>
      <c r="AS331" s="48">
        <v>50</v>
      </c>
      <c r="AT331" s="48">
        <v>2474</v>
      </c>
      <c r="AU331" s="48">
        <v>97.98</v>
      </c>
      <c r="AX331" s="215">
        <v>45217</v>
      </c>
      <c r="AY331" s="48">
        <v>1348</v>
      </c>
      <c r="AZ331" s="48">
        <v>22</v>
      </c>
      <c r="BA331" s="48">
        <v>1370</v>
      </c>
      <c r="BB331" s="48">
        <v>98.39</v>
      </c>
      <c r="BE331" s="113">
        <v>45217</v>
      </c>
      <c r="BF331">
        <v>6794</v>
      </c>
      <c r="BG331">
        <v>1504</v>
      </c>
      <c r="BH331">
        <v>8298</v>
      </c>
      <c r="BI331">
        <v>81.88</v>
      </c>
      <c r="BL331" s="113">
        <v>45217</v>
      </c>
      <c r="BM331">
        <v>5406</v>
      </c>
      <c r="BN331" s="220">
        <v>0</v>
      </c>
      <c r="BO331">
        <v>5406</v>
      </c>
      <c r="BP331" s="254">
        <v>100</v>
      </c>
      <c r="BS331" s="48"/>
      <c r="BT331" s="48"/>
      <c r="BU331" s="48"/>
      <c r="BV331" s="48"/>
      <c r="BW331" s="48"/>
      <c r="BZ331" s="215">
        <v>45217</v>
      </c>
      <c r="CA331" s="48">
        <v>30224087</v>
      </c>
      <c r="CB331" s="48">
        <v>1894186</v>
      </c>
      <c r="CC331" s="71">
        <f t="shared" si="101"/>
        <v>15.956240305862254</v>
      </c>
      <c r="CE331" s="113">
        <v>45217</v>
      </c>
      <c r="CF331">
        <v>10911900</v>
      </c>
      <c r="CG331">
        <v>13442</v>
      </c>
      <c r="CH331">
        <v>10925342</v>
      </c>
      <c r="CI331" s="46">
        <f t="shared" si="99"/>
        <v>99.876964949930169</v>
      </c>
      <c r="CJ331" s="71">
        <f t="shared" si="98"/>
        <v>10.925342000000001</v>
      </c>
      <c r="CL331" s="140">
        <v>45201</v>
      </c>
      <c r="CM331" t="s">
        <v>250</v>
      </c>
      <c r="CN331">
        <v>1956</v>
      </c>
      <c r="CO331">
        <v>549</v>
      </c>
    </row>
    <row r="332" spans="1:93" hidden="1" x14ac:dyDescent="0.25">
      <c r="A332" s="215">
        <v>45218</v>
      </c>
      <c r="B332" s="48">
        <v>5629684</v>
      </c>
      <c r="C332" s="48">
        <v>1756</v>
      </c>
      <c r="D332" s="48">
        <v>5631440</v>
      </c>
      <c r="E332" s="48">
        <v>99.97</v>
      </c>
      <c r="F332" s="71">
        <f t="shared" si="97"/>
        <v>5.6314399999999996</v>
      </c>
      <c r="H332" s="113">
        <v>45218</v>
      </c>
      <c r="I332">
        <v>1239064</v>
      </c>
      <c r="J332">
        <v>1350</v>
      </c>
      <c r="K332">
        <v>1240414</v>
      </c>
      <c r="L332">
        <v>99.89</v>
      </c>
      <c r="M332" s="71">
        <f t="shared" si="96"/>
        <v>1.2404139999999999</v>
      </c>
      <c r="O332" s="113">
        <v>45218</v>
      </c>
      <c r="P332">
        <v>426578</v>
      </c>
      <c r="Q332">
        <v>68</v>
      </c>
      <c r="R332">
        <v>426646</v>
      </c>
      <c r="S332">
        <v>99.98</v>
      </c>
      <c r="T332" s="71">
        <f t="shared" si="95"/>
        <v>0.42664600000000003</v>
      </c>
      <c r="V332" s="113">
        <v>45218</v>
      </c>
      <c r="W332">
        <v>948352</v>
      </c>
      <c r="X332">
        <v>152</v>
      </c>
      <c r="Y332">
        <v>948504</v>
      </c>
      <c r="Z332">
        <v>99.98</v>
      </c>
      <c r="AA332" s="71">
        <f t="shared" si="100"/>
        <v>0.94850400000000001</v>
      </c>
      <c r="AC332" s="113">
        <v>45218</v>
      </c>
      <c r="AD332">
        <v>750340</v>
      </c>
      <c r="AE332">
        <v>120</v>
      </c>
      <c r="AF332">
        <v>750460</v>
      </c>
      <c r="AG332">
        <v>99.98</v>
      </c>
      <c r="AH332" s="255">
        <f t="shared" si="102"/>
        <v>0.75046000000000002</v>
      </c>
      <c r="AJ332" s="215">
        <v>45218</v>
      </c>
      <c r="AK332" s="48">
        <v>0</v>
      </c>
      <c r="AL332" s="48">
        <v>64</v>
      </c>
      <c r="AM332" s="48">
        <v>64</v>
      </c>
      <c r="AN332" s="48">
        <v>0</v>
      </c>
      <c r="AQ332" s="215">
        <v>45218</v>
      </c>
      <c r="AR332" s="48">
        <v>2542</v>
      </c>
      <c r="AS332" s="48">
        <v>80</v>
      </c>
      <c r="AT332" s="48">
        <v>2622</v>
      </c>
      <c r="AU332" s="48">
        <v>96.95</v>
      </c>
      <c r="AX332" s="215">
        <v>45218</v>
      </c>
      <c r="AY332" s="48">
        <v>1400</v>
      </c>
      <c r="AZ332" s="48">
        <v>12</v>
      </c>
      <c r="BA332" s="48">
        <v>1412</v>
      </c>
      <c r="BB332" s="48">
        <v>99.15</v>
      </c>
      <c r="BE332" s="113">
        <v>45218</v>
      </c>
      <c r="BF332">
        <v>6196</v>
      </c>
      <c r="BG332">
        <v>1282</v>
      </c>
      <c r="BH332">
        <v>7478</v>
      </c>
      <c r="BI332">
        <v>82.86</v>
      </c>
      <c r="BL332" s="113">
        <v>45218</v>
      </c>
      <c r="BM332">
        <v>4406</v>
      </c>
      <c r="BN332" s="220">
        <v>0</v>
      </c>
      <c r="BO332">
        <v>4406</v>
      </c>
      <c r="BP332" s="254">
        <v>100</v>
      </c>
      <c r="BS332" s="48"/>
      <c r="BT332" s="48"/>
      <c r="BU332" s="48"/>
      <c r="BV332" s="48"/>
      <c r="BW332" s="48"/>
      <c r="BZ332" s="215">
        <v>45218</v>
      </c>
      <c r="CA332" s="48">
        <v>30740984</v>
      </c>
      <c r="CB332" s="48">
        <v>1898790</v>
      </c>
      <c r="CC332" s="71">
        <f t="shared" si="101"/>
        <v>16.189775593930872</v>
      </c>
      <c r="CE332" s="113">
        <v>45218</v>
      </c>
      <c r="CF332">
        <v>10758466</v>
      </c>
      <c r="CG332">
        <v>12034</v>
      </c>
      <c r="CH332">
        <v>10770500</v>
      </c>
      <c r="CI332" s="46">
        <f t="shared" si="99"/>
        <v>99.88826888259598</v>
      </c>
      <c r="CJ332" s="71">
        <f t="shared" si="98"/>
        <v>10.7705</v>
      </c>
      <c r="CL332" s="140">
        <v>45201</v>
      </c>
      <c r="CM332" s="252" t="s">
        <v>240</v>
      </c>
      <c r="CN332">
        <v>1932</v>
      </c>
      <c r="CO332">
        <v>516</v>
      </c>
    </row>
    <row r="333" spans="1:93" hidden="1" x14ac:dyDescent="0.25">
      <c r="A333" s="215">
        <v>45219</v>
      </c>
      <c r="B333" s="48">
        <v>6094602</v>
      </c>
      <c r="C333" s="48">
        <v>8976</v>
      </c>
      <c r="D333" s="48">
        <v>6103578</v>
      </c>
      <c r="E333" s="48">
        <v>99.85</v>
      </c>
      <c r="F333" s="71">
        <f t="shared" si="97"/>
        <v>6.1035779999999997</v>
      </c>
      <c r="H333" s="113">
        <v>45219</v>
      </c>
      <c r="I333">
        <v>1455598</v>
      </c>
      <c r="J333">
        <v>1484</v>
      </c>
      <c r="K333">
        <v>1457082</v>
      </c>
      <c r="L333">
        <v>99.9</v>
      </c>
      <c r="M333" s="71">
        <f t="shared" si="96"/>
        <v>1.457082</v>
      </c>
      <c r="O333" s="113">
        <v>45219</v>
      </c>
      <c r="P333">
        <v>438256</v>
      </c>
      <c r="Q333">
        <v>0</v>
      </c>
      <c r="R333">
        <v>438256</v>
      </c>
      <c r="S333">
        <v>100</v>
      </c>
      <c r="T333" s="71">
        <f t="shared" si="95"/>
        <v>0.43825599999999998</v>
      </c>
      <c r="V333" s="113">
        <v>45219</v>
      </c>
      <c r="W333">
        <v>1014994</v>
      </c>
      <c r="X333">
        <v>970</v>
      </c>
      <c r="Y333">
        <v>1015964</v>
      </c>
      <c r="Z333">
        <v>99.9</v>
      </c>
      <c r="AA333" s="71">
        <f t="shared" si="100"/>
        <v>1.0159640000000001</v>
      </c>
      <c r="AC333" s="113">
        <v>45219</v>
      </c>
      <c r="AD333">
        <v>758296</v>
      </c>
      <c r="AE333">
        <v>590</v>
      </c>
      <c r="AF333">
        <v>758374</v>
      </c>
      <c r="AG333">
        <v>99.99</v>
      </c>
      <c r="AH333" s="255">
        <f t="shared" si="102"/>
        <v>0.75837399999999999</v>
      </c>
      <c r="AJ333" s="215">
        <v>45219</v>
      </c>
      <c r="AK333" s="48">
        <v>0</v>
      </c>
      <c r="AL333" s="48">
        <v>64</v>
      </c>
      <c r="AM333" s="48">
        <v>64</v>
      </c>
      <c r="AN333" s="48">
        <v>0</v>
      </c>
      <c r="AQ333" s="215">
        <v>45219</v>
      </c>
      <c r="AR333" s="48">
        <v>2746</v>
      </c>
      <c r="AS333" s="48">
        <v>48</v>
      </c>
      <c r="AT333" s="48">
        <v>2794</v>
      </c>
      <c r="AU333" s="48">
        <v>98.28</v>
      </c>
      <c r="AX333" s="215">
        <v>45219</v>
      </c>
      <c r="AY333" s="48">
        <v>1482</v>
      </c>
      <c r="AZ333" s="48">
        <v>32</v>
      </c>
      <c r="BA333" s="48">
        <v>1514</v>
      </c>
      <c r="BB333" s="48">
        <v>97.89</v>
      </c>
      <c r="BE333" s="113">
        <v>45219</v>
      </c>
      <c r="BF333">
        <v>6940</v>
      </c>
      <c r="BG333">
        <v>1404</v>
      </c>
      <c r="BH333">
        <v>8344</v>
      </c>
      <c r="BI333">
        <v>83.17</v>
      </c>
      <c r="BL333" s="113">
        <v>45219</v>
      </c>
      <c r="BM333">
        <v>3778</v>
      </c>
      <c r="BN333" s="220">
        <v>0</v>
      </c>
      <c r="BO333">
        <v>3778</v>
      </c>
      <c r="BP333" s="254">
        <v>100</v>
      </c>
      <c r="BS333" s="48"/>
      <c r="BT333" s="48"/>
      <c r="BU333" s="48"/>
      <c r="BV333" s="48"/>
      <c r="BW333" s="48"/>
      <c r="BZ333" s="215">
        <v>45219</v>
      </c>
      <c r="CA333" s="48">
        <v>34778315</v>
      </c>
      <c r="CB333" s="48">
        <v>2102811</v>
      </c>
      <c r="CC333" s="71">
        <f t="shared" si="101"/>
        <v>16.538963796556132</v>
      </c>
      <c r="CE333" s="113">
        <v>45219</v>
      </c>
      <c r="CF333">
        <v>11712546</v>
      </c>
      <c r="CG333">
        <v>20840</v>
      </c>
      <c r="CH333">
        <v>11733386</v>
      </c>
      <c r="CI333" s="46">
        <f t="shared" si="99"/>
        <v>99.822387160875806</v>
      </c>
      <c r="CJ333" s="71">
        <f t="shared" si="98"/>
        <v>11.733385999999999</v>
      </c>
      <c r="CL333" s="140">
        <v>45201</v>
      </c>
      <c r="CM333" s="252" t="s">
        <v>239</v>
      </c>
      <c r="CN333">
        <v>1929</v>
      </c>
      <c r="CO333">
        <v>504</v>
      </c>
    </row>
    <row r="334" spans="1:93" hidden="1" x14ac:dyDescent="0.25">
      <c r="A334" s="215">
        <v>45220</v>
      </c>
      <c r="B334" s="48">
        <v>6097222</v>
      </c>
      <c r="C334" s="48">
        <v>1416</v>
      </c>
      <c r="D334" s="48">
        <v>6098638</v>
      </c>
      <c r="E334" s="48">
        <v>99.98</v>
      </c>
      <c r="F334" s="71">
        <f t="shared" si="97"/>
        <v>6.0986380000000002</v>
      </c>
      <c r="H334" s="113">
        <v>45220</v>
      </c>
      <c r="I334">
        <v>1321960</v>
      </c>
      <c r="J334">
        <v>1340</v>
      </c>
      <c r="K334">
        <v>1323300</v>
      </c>
      <c r="L334">
        <v>99.9</v>
      </c>
      <c r="M334" s="71">
        <f t="shared" si="96"/>
        <v>1.3232999999999999</v>
      </c>
      <c r="O334" s="113">
        <v>45220</v>
      </c>
      <c r="P334">
        <v>449834</v>
      </c>
      <c r="Q334">
        <v>0</v>
      </c>
      <c r="R334">
        <v>449834</v>
      </c>
      <c r="S334">
        <v>100</v>
      </c>
      <c r="T334" s="71">
        <f t="shared" ref="T334:T348" si="103">R334/1000000</f>
        <v>0.44983400000000001</v>
      </c>
      <c r="V334" s="113">
        <v>45220</v>
      </c>
      <c r="W334">
        <v>1011304</v>
      </c>
      <c r="X334">
        <v>156</v>
      </c>
      <c r="Y334">
        <v>1011460</v>
      </c>
      <c r="Z334">
        <v>99.98</v>
      </c>
      <c r="AA334" s="71">
        <f t="shared" si="100"/>
        <v>1.01146</v>
      </c>
      <c r="AC334" s="113">
        <v>45220</v>
      </c>
      <c r="AD334">
        <v>760524</v>
      </c>
      <c r="AE334">
        <v>86</v>
      </c>
      <c r="AF334">
        <v>760610</v>
      </c>
      <c r="AG334">
        <v>99.99</v>
      </c>
      <c r="AH334" s="255">
        <f t="shared" si="102"/>
        <v>0.76061000000000001</v>
      </c>
      <c r="AJ334" s="215">
        <v>45220</v>
      </c>
      <c r="AK334" s="48">
        <v>0</v>
      </c>
      <c r="AL334" s="48">
        <v>52</v>
      </c>
      <c r="AM334" s="48">
        <v>52</v>
      </c>
      <c r="AN334" s="48">
        <v>0</v>
      </c>
      <c r="AQ334" s="215">
        <v>45220</v>
      </c>
      <c r="AR334" s="48">
        <v>1686</v>
      </c>
      <c r="AS334" s="48">
        <v>44</v>
      </c>
      <c r="AT334" s="48">
        <v>1730</v>
      </c>
      <c r="AU334" s="48">
        <v>97.46</v>
      </c>
      <c r="AX334" s="215">
        <v>45220</v>
      </c>
      <c r="AY334" s="48">
        <v>998</v>
      </c>
      <c r="AZ334" s="48">
        <v>24</v>
      </c>
      <c r="BA334" s="48">
        <v>1022</v>
      </c>
      <c r="BB334" s="48">
        <v>97.65</v>
      </c>
      <c r="BE334" s="113">
        <v>45220</v>
      </c>
      <c r="BF334">
        <v>6744</v>
      </c>
      <c r="BG334">
        <v>1354</v>
      </c>
      <c r="BH334">
        <v>8098</v>
      </c>
      <c r="BI334">
        <v>83.28</v>
      </c>
      <c r="BL334" s="113">
        <v>45220</v>
      </c>
      <c r="BM334">
        <v>9698</v>
      </c>
      <c r="BN334" s="220">
        <v>0</v>
      </c>
      <c r="BO334">
        <v>9698</v>
      </c>
      <c r="BP334" s="254">
        <v>100</v>
      </c>
      <c r="BS334" s="48"/>
      <c r="BT334" s="48"/>
      <c r="BU334" s="48"/>
      <c r="BV334" s="48"/>
      <c r="BW334" s="48"/>
      <c r="BZ334" s="215">
        <v>45220</v>
      </c>
      <c r="CA334" s="48">
        <v>34491946</v>
      </c>
      <c r="CB334" s="48">
        <v>2059437</v>
      </c>
      <c r="CC334" s="71">
        <f t="shared" si="101"/>
        <v>16.748240417162556</v>
      </c>
      <c r="CE334" s="113">
        <v>45220</v>
      </c>
      <c r="CF334">
        <v>11584292</v>
      </c>
      <c r="CG334">
        <v>11834</v>
      </c>
      <c r="CH334">
        <v>11596126</v>
      </c>
      <c r="CI334" s="46">
        <f t="shared" si="99"/>
        <v>99.897948676997828</v>
      </c>
      <c r="CJ334" s="71">
        <f t="shared" si="98"/>
        <v>11.596126</v>
      </c>
      <c r="CL334" s="140">
        <v>45201</v>
      </c>
      <c r="CM334" t="s">
        <v>237</v>
      </c>
      <c r="CN334">
        <v>1780</v>
      </c>
      <c r="CO334">
        <v>527</v>
      </c>
    </row>
    <row r="335" spans="1:93" hidden="1" x14ac:dyDescent="0.25">
      <c r="A335" s="215">
        <v>45221</v>
      </c>
      <c r="B335" s="48">
        <v>5274516</v>
      </c>
      <c r="C335" s="48">
        <v>1688</v>
      </c>
      <c r="D335" s="48">
        <v>5276204</v>
      </c>
      <c r="E335" s="48">
        <v>99.97</v>
      </c>
      <c r="F335" s="71">
        <f t="shared" si="97"/>
        <v>5.2762039999999999</v>
      </c>
      <c r="H335" s="113">
        <v>45221</v>
      </c>
      <c r="I335">
        <v>1285548</v>
      </c>
      <c r="J335">
        <v>6144</v>
      </c>
      <c r="K335">
        <v>1291692</v>
      </c>
      <c r="L335">
        <v>99.52</v>
      </c>
      <c r="M335" s="71">
        <f t="shared" ref="M335:M398" si="104">K335/1000000</f>
        <v>1.2916920000000001</v>
      </c>
      <c r="O335" s="113">
        <v>45221</v>
      </c>
      <c r="P335">
        <v>453494</v>
      </c>
      <c r="Q335">
        <v>2</v>
      </c>
      <c r="R335">
        <v>453496</v>
      </c>
      <c r="S335">
        <v>100</v>
      </c>
      <c r="T335" s="71">
        <f t="shared" si="103"/>
        <v>0.45349600000000001</v>
      </c>
      <c r="V335" s="113">
        <v>45221</v>
      </c>
      <c r="W335">
        <v>926702</v>
      </c>
      <c r="X335">
        <v>202</v>
      </c>
      <c r="Y335">
        <v>926904</v>
      </c>
      <c r="Z335">
        <v>99.98</v>
      </c>
      <c r="AA335" s="71">
        <f t="shared" si="100"/>
        <v>0.92690399999999995</v>
      </c>
      <c r="AC335" s="113">
        <v>45221</v>
      </c>
      <c r="AD335">
        <v>726494</v>
      </c>
      <c r="AE335">
        <v>66</v>
      </c>
      <c r="AF335">
        <v>726560</v>
      </c>
      <c r="AG335">
        <v>99.99</v>
      </c>
      <c r="AH335" s="255">
        <f t="shared" si="102"/>
        <v>0.72655999999999998</v>
      </c>
      <c r="AJ335" s="215">
        <v>45221</v>
      </c>
      <c r="AK335" s="48">
        <v>0</v>
      </c>
      <c r="AL335" s="48">
        <v>72</v>
      </c>
      <c r="AM335" s="48">
        <v>72</v>
      </c>
      <c r="AN335" s="48">
        <v>0</v>
      </c>
      <c r="AQ335" s="215">
        <v>45221</v>
      </c>
      <c r="AR335" s="48">
        <v>1142</v>
      </c>
      <c r="AS335" s="48">
        <v>54</v>
      </c>
      <c r="AT335" s="48">
        <v>1196</v>
      </c>
      <c r="AU335" s="48">
        <v>95.48</v>
      </c>
      <c r="AX335" s="215">
        <v>45221</v>
      </c>
      <c r="AY335" s="48">
        <v>0</v>
      </c>
      <c r="AZ335" s="48">
        <v>124</v>
      </c>
      <c r="BA335" s="48">
        <v>124</v>
      </c>
      <c r="BB335" s="48">
        <v>0</v>
      </c>
      <c r="BE335" s="113">
        <v>45221</v>
      </c>
      <c r="BF335">
        <v>6520</v>
      </c>
      <c r="BG335">
        <v>1164</v>
      </c>
      <c r="BH335">
        <v>7684</v>
      </c>
      <c r="BI335">
        <v>84.85</v>
      </c>
      <c r="BL335" s="113">
        <v>45221</v>
      </c>
      <c r="BM335">
        <v>5116</v>
      </c>
      <c r="BN335">
        <v>0</v>
      </c>
      <c r="BO335">
        <v>5116</v>
      </c>
      <c r="BP335">
        <v>100</v>
      </c>
      <c r="BS335" s="48"/>
      <c r="BT335" s="48"/>
      <c r="BU335" s="48"/>
      <c r="BV335" s="48"/>
      <c r="BW335" s="48"/>
      <c r="BZ335" s="215">
        <v>45221</v>
      </c>
      <c r="CA335" s="48">
        <v>31190619</v>
      </c>
      <c r="CB335" s="48">
        <v>1912414</v>
      </c>
      <c r="CC335" s="71">
        <f t="shared" si="101"/>
        <v>16.309553789085417</v>
      </c>
      <c r="CE335" s="113">
        <v>45221</v>
      </c>
      <c r="CF335">
        <v>10478996</v>
      </c>
      <c r="CG335">
        <v>20950</v>
      </c>
      <c r="CH335">
        <v>10499946</v>
      </c>
      <c r="CI335" s="46">
        <f t="shared" si="99"/>
        <v>99.800475164348455</v>
      </c>
      <c r="CJ335" s="71">
        <f t="shared" si="98"/>
        <v>10.499946</v>
      </c>
      <c r="CL335" s="140">
        <v>45201</v>
      </c>
      <c r="CM335" t="s">
        <v>238</v>
      </c>
      <c r="CN335">
        <v>735</v>
      </c>
      <c r="CO335">
        <v>503</v>
      </c>
    </row>
    <row r="336" spans="1:93" hidden="1" x14ac:dyDescent="0.25">
      <c r="A336" s="215">
        <v>45222</v>
      </c>
      <c r="B336" s="48">
        <v>6099960</v>
      </c>
      <c r="C336" s="48">
        <v>1986</v>
      </c>
      <c r="D336" s="48">
        <v>6101946</v>
      </c>
      <c r="E336" s="48">
        <v>99.97</v>
      </c>
      <c r="F336" s="71">
        <f t="shared" ref="F336:F403" si="105">D336/1000000</f>
        <v>6.1019459999999999</v>
      </c>
      <c r="H336" s="113">
        <v>45222</v>
      </c>
      <c r="I336">
        <v>1284122</v>
      </c>
      <c r="J336">
        <v>1256</v>
      </c>
      <c r="K336">
        <v>1285378</v>
      </c>
      <c r="L336">
        <v>99.9</v>
      </c>
      <c r="M336" s="71">
        <f t="shared" si="104"/>
        <v>1.2853779999999999</v>
      </c>
      <c r="O336" s="113">
        <v>45222</v>
      </c>
      <c r="P336">
        <v>454082</v>
      </c>
      <c r="Q336">
        <v>2</v>
      </c>
      <c r="R336">
        <v>454084</v>
      </c>
      <c r="S336">
        <v>100</v>
      </c>
      <c r="T336" s="71">
        <f t="shared" si="103"/>
        <v>0.45408399999999999</v>
      </c>
      <c r="V336" s="113">
        <v>45222</v>
      </c>
      <c r="W336">
        <v>958722</v>
      </c>
      <c r="X336">
        <v>176</v>
      </c>
      <c r="Y336">
        <v>958898</v>
      </c>
      <c r="Z336">
        <v>99.98</v>
      </c>
      <c r="AA336" s="71">
        <f t="shared" si="100"/>
        <v>0.95889800000000003</v>
      </c>
      <c r="AC336" s="113">
        <v>45222</v>
      </c>
      <c r="AD336">
        <v>736336</v>
      </c>
      <c r="AE336">
        <v>70</v>
      </c>
      <c r="AF336">
        <v>736406</v>
      </c>
      <c r="AG336">
        <v>99.99</v>
      </c>
      <c r="AH336" s="255">
        <f t="shared" si="102"/>
        <v>0.73640600000000001</v>
      </c>
      <c r="AJ336" s="215">
        <v>45222</v>
      </c>
      <c r="AK336" s="48">
        <v>0</v>
      </c>
      <c r="AL336" s="48">
        <v>58</v>
      </c>
      <c r="AM336" s="48">
        <v>58</v>
      </c>
      <c r="AN336" s="48">
        <v>0</v>
      </c>
      <c r="AQ336" s="215">
        <v>45222</v>
      </c>
      <c r="AR336" s="48">
        <v>2928</v>
      </c>
      <c r="AS336" s="48">
        <v>74</v>
      </c>
      <c r="AT336" s="48">
        <v>3002</v>
      </c>
      <c r="AU336" s="48">
        <v>97.53</v>
      </c>
      <c r="AX336" s="215">
        <v>45222</v>
      </c>
      <c r="AY336" s="48">
        <v>1548</v>
      </c>
      <c r="AZ336" s="48">
        <v>50</v>
      </c>
      <c r="BA336" s="48">
        <v>1598</v>
      </c>
      <c r="BB336" s="48">
        <v>96.87</v>
      </c>
      <c r="BE336" s="113">
        <v>45222</v>
      </c>
      <c r="BF336">
        <v>8136</v>
      </c>
      <c r="BG336">
        <v>846</v>
      </c>
      <c r="BH336">
        <v>8982</v>
      </c>
      <c r="BI336">
        <v>90.58</v>
      </c>
      <c r="BL336" s="113">
        <v>45222</v>
      </c>
      <c r="BM336">
        <v>7464</v>
      </c>
      <c r="BN336">
        <v>0</v>
      </c>
      <c r="BO336">
        <v>7464</v>
      </c>
      <c r="BP336">
        <v>100</v>
      </c>
      <c r="BS336" s="48"/>
      <c r="BT336" s="48"/>
      <c r="BU336" s="48"/>
      <c r="BV336" s="48"/>
      <c r="BW336" s="48"/>
      <c r="BZ336" s="215">
        <v>45222</v>
      </c>
      <c r="CA336" s="48">
        <v>1201395</v>
      </c>
      <c r="CB336" s="48">
        <v>139627</v>
      </c>
      <c r="CC336" s="71">
        <f t="shared" si="101"/>
        <v>8.6043172165841852</v>
      </c>
      <c r="CE336" s="113">
        <v>45222</v>
      </c>
      <c r="CF336">
        <v>11462432</v>
      </c>
      <c r="CG336">
        <v>12500</v>
      </c>
      <c r="CH336">
        <v>11474932</v>
      </c>
      <c r="CI336" s="46">
        <f t="shared" si="99"/>
        <v>99.891066892596825</v>
      </c>
      <c r="CJ336" s="71">
        <f t="shared" si="98"/>
        <v>11.474932000000001</v>
      </c>
    </row>
    <row r="337" spans="1:93" hidden="1" x14ac:dyDescent="0.25">
      <c r="A337" s="215">
        <v>45223</v>
      </c>
      <c r="B337" s="48">
        <v>6386478</v>
      </c>
      <c r="C337" s="48">
        <v>3874</v>
      </c>
      <c r="D337" s="48">
        <v>6390352</v>
      </c>
      <c r="E337" s="48">
        <v>99.94</v>
      </c>
      <c r="F337" s="71">
        <f t="shared" si="105"/>
        <v>6.390352</v>
      </c>
      <c r="H337" s="113">
        <v>45223</v>
      </c>
      <c r="I337">
        <v>1575938</v>
      </c>
      <c r="J337">
        <v>1370</v>
      </c>
      <c r="K337">
        <v>1577308</v>
      </c>
      <c r="L337">
        <v>99.91</v>
      </c>
      <c r="M337" s="71">
        <f t="shared" si="104"/>
        <v>1.5773079999999999</v>
      </c>
      <c r="O337" s="113">
        <v>45223</v>
      </c>
      <c r="P337">
        <v>478446</v>
      </c>
      <c r="Q337">
        <v>4</v>
      </c>
      <c r="R337">
        <v>478450</v>
      </c>
      <c r="S337">
        <v>100</v>
      </c>
      <c r="T337" s="71">
        <f t="shared" si="103"/>
        <v>0.47844999999999999</v>
      </c>
      <c r="V337" s="113">
        <v>45223</v>
      </c>
      <c r="W337">
        <v>979672</v>
      </c>
      <c r="X337">
        <v>446</v>
      </c>
      <c r="Y337">
        <v>980118</v>
      </c>
      <c r="Z337">
        <v>99.95</v>
      </c>
      <c r="AA337" s="71">
        <f t="shared" si="100"/>
        <v>0.98011800000000004</v>
      </c>
      <c r="AC337" s="113">
        <v>45223</v>
      </c>
      <c r="AD337">
        <v>763496</v>
      </c>
      <c r="AE337">
        <v>96</v>
      </c>
      <c r="AF337">
        <v>763592</v>
      </c>
      <c r="AG337">
        <v>99.99</v>
      </c>
      <c r="AH337" s="255">
        <f t="shared" si="102"/>
        <v>0.76359200000000005</v>
      </c>
      <c r="AJ337" s="215">
        <v>45223</v>
      </c>
      <c r="AK337" s="48">
        <v>0</v>
      </c>
      <c r="AL337" s="48">
        <v>68</v>
      </c>
      <c r="AM337" s="48">
        <v>68</v>
      </c>
      <c r="AN337" s="48">
        <v>0</v>
      </c>
      <c r="AQ337" s="215">
        <v>45223</v>
      </c>
      <c r="AR337" s="48">
        <v>2492</v>
      </c>
      <c r="AS337" s="48">
        <v>44</v>
      </c>
      <c r="AT337" s="48">
        <v>2536</v>
      </c>
      <c r="AU337" s="48">
        <v>98.26</v>
      </c>
      <c r="AX337" s="215">
        <v>45223</v>
      </c>
      <c r="AY337" s="48">
        <v>1272</v>
      </c>
      <c r="AZ337" s="48">
        <v>24</v>
      </c>
      <c r="BA337" s="48">
        <v>1296</v>
      </c>
      <c r="BB337" s="48">
        <v>98.15</v>
      </c>
      <c r="BE337" s="113">
        <v>45223</v>
      </c>
      <c r="BF337">
        <v>9770</v>
      </c>
      <c r="BG337">
        <v>180</v>
      </c>
      <c r="BH337">
        <v>9950</v>
      </c>
      <c r="BI337">
        <v>98.19</v>
      </c>
      <c r="BL337" s="113">
        <v>45223</v>
      </c>
      <c r="BM337">
        <v>9952</v>
      </c>
      <c r="BN337">
        <v>0</v>
      </c>
      <c r="BO337">
        <v>9952</v>
      </c>
      <c r="BP337">
        <v>100</v>
      </c>
      <c r="BS337" s="48"/>
      <c r="BT337" s="48"/>
      <c r="BU337" s="48"/>
      <c r="BV337" s="48"/>
      <c r="BW337" s="48"/>
      <c r="BZ337" s="215">
        <v>45223</v>
      </c>
      <c r="CA337" s="48">
        <v>35317989</v>
      </c>
      <c r="CB337" s="48">
        <v>2162362</v>
      </c>
      <c r="CC337" s="71">
        <f t="shared" si="101"/>
        <v>16.333060329399057</v>
      </c>
      <c r="CE337" s="113">
        <v>45223</v>
      </c>
      <c r="CF337">
        <v>12086552</v>
      </c>
      <c r="CG337">
        <v>13838</v>
      </c>
      <c r="CH337">
        <v>12100390</v>
      </c>
      <c r="CI337" s="46">
        <f t="shared" si="99"/>
        <v>99.885640049618246</v>
      </c>
      <c r="CJ337" s="71">
        <f t="shared" si="98"/>
        <v>12.100390000000001</v>
      </c>
      <c r="CL337" s="140">
        <v>45202</v>
      </c>
      <c r="CM337" s="252" t="s">
        <v>239</v>
      </c>
      <c r="CN337">
        <v>5116</v>
      </c>
      <c r="CO337">
        <v>504</v>
      </c>
    </row>
    <row r="338" spans="1:93" hidden="1" x14ac:dyDescent="0.25">
      <c r="A338" s="215">
        <v>45224</v>
      </c>
      <c r="B338" s="48">
        <v>6026714</v>
      </c>
      <c r="C338" s="48">
        <v>2374</v>
      </c>
      <c r="D338" s="48">
        <v>6029088</v>
      </c>
      <c r="E338" s="48">
        <v>99.96</v>
      </c>
      <c r="F338" s="71">
        <f t="shared" si="105"/>
        <v>6.0290879999999998</v>
      </c>
      <c r="H338" s="113">
        <v>45224</v>
      </c>
      <c r="I338">
        <v>1187900</v>
      </c>
      <c r="J338">
        <v>1012</v>
      </c>
      <c r="K338">
        <v>1188912</v>
      </c>
      <c r="L338">
        <v>99.91</v>
      </c>
      <c r="M338" s="71">
        <f t="shared" si="104"/>
        <v>1.188912</v>
      </c>
      <c r="O338" s="113">
        <v>45224</v>
      </c>
      <c r="P338">
        <v>402456</v>
      </c>
      <c r="Q338">
        <v>8</v>
      </c>
      <c r="R338">
        <v>402464</v>
      </c>
      <c r="S338">
        <v>100</v>
      </c>
      <c r="T338" s="71">
        <f t="shared" si="103"/>
        <v>0.40246399999999999</v>
      </c>
      <c r="V338" s="113">
        <v>45224</v>
      </c>
      <c r="W338">
        <v>900158</v>
      </c>
      <c r="X338">
        <v>262</v>
      </c>
      <c r="Y338">
        <v>900420</v>
      </c>
      <c r="Z338">
        <v>99.97</v>
      </c>
      <c r="AA338" s="71">
        <f t="shared" si="100"/>
        <v>0.90042</v>
      </c>
      <c r="AC338" s="113">
        <v>45224</v>
      </c>
      <c r="AD338">
        <v>766934</v>
      </c>
      <c r="AE338">
        <v>94</v>
      </c>
      <c r="AF338">
        <v>767028</v>
      </c>
      <c r="AG338">
        <v>99.99</v>
      </c>
      <c r="AH338" s="255">
        <f t="shared" si="102"/>
        <v>0.76702800000000004</v>
      </c>
      <c r="AJ338" s="215">
        <v>45224</v>
      </c>
      <c r="AK338" s="48">
        <v>0</v>
      </c>
      <c r="AL338" s="48">
        <v>68</v>
      </c>
      <c r="AM338" s="48">
        <v>68</v>
      </c>
      <c r="AN338" s="48">
        <v>0</v>
      </c>
      <c r="AQ338" s="215">
        <v>45224</v>
      </c>
      <c r="AR338" s="48">
        <v>2500</v>
      </c>
      <c r="AS338" s="48">
        <v>38</v>
      </c>
      <c r="AT338" s="48">
        <v>2538</v>
      </c>
      <c r="AU338" s="48">
        <v>98.5</v>
      </c>
      <c r="AX338" s="215">
        <v>45224</v>
      </c>
      <c r="AY338" s="48">
        <v>998</v>
      </c>
      <c r="AZ338" s="48">
        <v>16</v>
      </c>
      <c r="BA338" s="48">
        <v>1014</v>
      </c>
      <c r="BB338" s="48">
        <v>98.42</v>
      </c>
      <c r="BE338" s="113">
        <v>45224</v>
      </c>
      <c r="BF338">
        <v>8668</v>
      </c>
      <c r="BG338">
        <v>152</v>
      </c>
      <c r="BH338">
        <v>8820</v>
      </c>
      <c r="BI338">
        <v>98.28</v>
      </c>
      <c r="BL338" s="113">
        <v>45224</v>
      </c>
      <c r="BM338">
        <v>5296</v>
      </c>
      <c r="BN338">
        <v>0</v>
      </c>
      <c r="BO338">
        <v>5296</v>
      </c>
      <c r="BP338">
        <v>100</v>
      </c>
      <c r="BS338" s="48"/>
      <c r="BT338" s="48"/>
      <c r="BU338" s="48"/>
      <c r="BV338" s="48"/>
      <c r="BW338" s="48"/>
      <c r="BZ338" s="215">
        <v>45224</v>
      </c>
      <c r="CA338" s="48">
        <v>32524963</v>
      </c>
      <c r="CB338" s="48">
        <v>2013687</v>
      </c>
      <c r="CC338" s="71">
        <f t="shared" si="101"/>
        <v>16.151945659876635</v>
      </c>
      <c r="CE338" s="113">
        <v>45224</v>
      </c>
      <c r="CF338">
        <v>11003266</v>
      </c>
      <c r="CG338">
        <v>11492</v>
      </c>
      <c r="CH338">
        <v>11014758</v>
      </c>
      <c r="CI338" s="46">
        <f t="shared" si="99"/>
        <v>99.895667249339482</v>
      </c>
      <c r="CJ338" s="71">
        <f t="shared" si="98"/>
        <v>11.014758</v>
      </c>
      <c r="CL338" s="140">
        <v>45202</v>
      </c>
      <c r="CM338" t="s">
        <v>237</v>
      </c>
      <c r="CN338">
        <v>2840</v>
      </c>
      <c r="CO338">
        <v>527</v>
      </c>
    </row>
    <row r="339" spans="1:93" hidden="1" x14ac:dyDescent="0.25">
      <c r="A339" s="215">
        <v>45225</v>
      </c>
      <c r="B339" s="48">
        <v>5995658</v>
      </c>
      <c r="C339" s="48">
        <v>4436</v>
      </c>
      <c r="D339" s="48">
        <v>6000094</v>
      </c>
      <c r="E339" s="48">
        <v>99.93</v>
      </c>
      <c r="F339" s="71">
        <f t="shared" si="105"/>
        <v>6.0000939999999998</v>
      </c>
      <c r="H339" s="113">
        <v>45225</v>
      </c>
      <c r="I339">
        <v>1207626</v>
      </c>
      <c r="J339">
        <v>916</v>
      </c>
      <c r="K339">
        <v>1208542</v>
      </c>
      <c r="L339">
        <v>99.92</v>
      </c>
      <c r="M339" s="71">
        <f t="shared" si="104"/>
        <v>1.208542</v>
      </c>
      <c r="O339" s="113">
        <v>45225</v>
      </c>
      <c r="P339">
        <v>407490</v>
      </c>
      <c r="Q339">
        <v>0</v>
      </c>
      <c r="R339">
        <v>407490</v>
      </c>
      <c r="S339">
        <v>100</v>
      </c>
      <c r="T339" s="71">
        <f t="shared" si="103"/>
        <v>0.40749000000000002</v>
      </c>
      <c r="V339" s="113">
        <v>45225</v>
      </c>
      <c r="W339">
        <v>928270</v>
      </c>
      <c r="X339">
        <v>632</v>
      </c>
      <c r="Y339">
        <v>928902</v>
      </c>
      <c r="Z339">
        <v>99.93</v>
      </c>
      <c r="AA339" s="71">
        <f t="shared" si="100"/>
        <v>0.92890200000000001</v>
      </c>
      <c r="AC339" s="113">
        <v>45225</v>
      </c>
      <c r="AD339">
        <v>748970</v>
      </c>
      <c r="AE339">
        <v>2210</v>
      </c>
      <c r="AF339">
        <v>751180</v>
      </c>
      <c r="AG339">
        <v>99.71</v>
      </c>
      <c r="AH339" s="255">
        <f t="shared" si="102"/>
        <v>0.75117999999999996</v>
      </c>
      <c r="AJ339" s="215">
        <v>45225</v>
      </c>
      <c r="AK339" s="48">
        <v>0</v>
      </c>
      <c r="AL339" s="48">
        <v>52</v>
      </c>
      <c r="AM339" s="48">
        <v>52</v>
      </c>
      <c r="AN339" s="48">
        <v>0</v>
      </c>
      <c r="AQ339" s="215">
        <v>45225</v>
      </c>
      <c r="AR339" s="48">
        <v>1776</v>
      </c>
      <c r="AS339" s="48">
        <v>54</v>
      </c>
      <c r="AT339" s="48">
        <v>1830</v>
      </c>
      <c r="AU339" s="48">
        <v>97.05</v>
      </c>
      <c r="AX339" s="215">
        <v>45225</v>
      </c>
      <c r="AY339" s="48">
        <v>1292</v>
      </c>
      <c r="AZ339" s="48">
        <v>38</v>
      </c>
      <c r="BA339" s="48">
        <v>1330</v>
      </c>
      <c r="BB339" s="48">
        <v>97.14</v>
      </c>
      <c r="BE339" s="113">
        <v>45225</v>
      </c>
      <c r="BF339">
        <v>8022</v>
      </c>
      <c r="BG339">
        <v>154</v>
      </c>
      <c r="BH339">
        <v>8176</v>
      </c>
      <c r="BI339">
        <v>98.12</v>
      </c>
      <c r="BL339" s="113">
        <v>45225</v>
      </c>
      <c r="BM339">
        <v>3960</v>
      </c>
      <c r="BN339">
        <v>0</v>
      </c>
      <c r="BO339">
        <v>3960</v>
      </c>
      <c r="BP339">
        <v>100</v>
      </c>
      <c r="BS339" s="48"/>
      <c r="BT339" s="48"/>
      <c r="BU339" s="48"/>
      <c r="BV339" s="48"/>
      <c r="BW339" s="48"/>
      <c r="BZ339" s="215">
        <v>45225</v>
      </c>
      <c r="CA339" s="48">
        <v>32030125</v>
      </c>
      <c r="CB339" s="48">
        <v>1981039</v>
      </c>
      <c r="CC339" s="71">
        <f t="shared" si="101"/>
        <v>16.168346509079328</v>
      </c>
      <c r="CE339" s="113">
        <v>45225</v>
      </c>
      <c r="CF339">
        <v>11032834</v>
      </c>
      <c r="CG339">
        <v>15484</v>
      </c>
      <c r="CH339">
        <v>11048318</v>
      </c>
      <c r="CI339" s="46">
        <f t="shared" si="99"/>
        <v>99.85985197022751</v>
      </c>
      <c r="CJ339" s="71">
        <f t="shared" si="98"/>
        <v>11.048318</v>
      </c>
      <c r="CL339" s="140">
        <v>45202</v>
      </c>
      <c r="CM339" s="252" t="s">
        <v>240</v>
      </c>
      <c r="CN339">
        <v>2408</v>
      </c>
      <c r="CO339">
        <v>516</v>
      </c>
    </row>
    <row r="340" spans="1:93" hidden="1" x14ac:dyDescent="0.25">
      <c r="A340" s="215">
        <v>45226</v>
      </c>
      <c r="B340" s="48">
        <v>6314968</v>
      </c>
      <c r="C340" s="48">
        <v>6204</v>
      </c>
      <c r="D340" s="48">
        <v>6321172</v>
      </c>
      <c r="E340" s="48">
        <v>99.9</v>
      </c>
      <c r="F340" s="71">
        <f t="shared" si="105"/>
        <v>6.3211719999999998</v>
      </c>
      <c r="H340" s="113">
        <v>45226</v>
      </c>
      <c r="I340">
        <v>1444402</v>
      </c>
      <c r="J340">
        <v>1216</v>
      </c>
      <c r="K340">
        <v>1445618</v>
      </c>
      <c r="L340">
        <v>99.92</v>
      </c>
      <c r="M340" s="71">
        <f t="shared" si="104"/>
        <v>1.4456180000000001</v>
      </c>
      <c r="O340" s="113">
        <v>45226</v>
      </c>
      <c r="P340">
        <v>425074</v>
      </c>
      <c r="Q340">
        <v>6</v>
      </c>
      <c r="R340">
        <v>425080</v>
      </c>
      <c r="S340">
        <v>100</v>
      </c>
      <c r="T340" s="71">
        <f t="shared" si="103"/>
        <v>0.42508000000000001</v>
      </c>
      <c r="V340" s="113">
        <v>45226</v>
      </c>
      <c r="W340">
        <v>997604</v>
      </c>
      <c r="X340">
        <v>956</v>
      </c>
      <c r="Y340">
        <v>998560</v>
      </c>
      <c r="Z340">
        <v>99.9</v>
      </c>
      <c r="AA340" s="71">
        <f t="shared" si="100"/>
        <v>0.99856</v>
      </c>
      <c r="AC340" s="113">
        <v>45226</v>
      </c>
      <c r="AD340">
        <v>764794</v>
      </c>
      <c r="AE340">
        <v>100</v>
      </c>
      <c r="AF340">
        <v>764894</v>
      </c>
      <c r="AG340">
        <v>99.99</v>
      </c>
      <c r="AH340" s="255">
        <f>AF340/1000000</f>
        <v>0.76489399999999996</v>
      </c>
      <c r="AJ340" s="215">
        <v>45226</v>
      </c>
      <c r="AK340" s="48">
        <v>0</v>
      </c>
      <c r="AL340" s="48">
        <v>84</v>
      </c>
      <c r="AM340" s="48">
        <v>84</v>
      </c>
      <c r="AN340" s="48">
        <v>0</v>
      </c>
      <c r="AQ340" s="215">
        <v>45226</v>
      </c>
      <c r="AR340" s="48">
        <v>1992</v>
      </c>
      <c r="AS340" s="48">
        <v>62</v>
      </c>
      <c r="AT340" s="48">
        <v>2054</v>
      </c>
      <c r="AU340" s="48">
        <v>96.98</v>
      </c>
      <c r="AX340" s="215">
        <v>45226</v>
      </c>
      <c r="AY340" s="48">
        <v>1908</v>
      </c>
      <c r="AZ340" s="48">
        <v>38</v>
      </c>
      <c r="BA340" s="48">
        <v>1946</v>
      </c>
      <c r="BB340" s="48">
        <v>98.05</v>
      </c>
      <c r="BE340" s="113">
        <v>45226</v>
      </c>
      <c r="BF340">
        <v>7946</v>
      </c>
      <c r="BG340">
        <v>178</v>
      </c>
      <c r="BH340">
        <v>8124</v>
      </c>
      <c r="BI340">
        <v>97.81</v>
      </c>
      <c r="BL340" s="113">
        <v>45226</v>
      </c>
      <c r="BM340">
        <v>3104</v>
      </c>
      <c r="BN340">
        <v>0</v>
      </c>
      <c r="BO340">
        <v>3104</v>
      </c>
      <c r="BP340">
        <v>100</v>
      </c>
      <c r="BS340" s="215">
        <v>45226</v>
      </c>
      <c r="BT340" s="48">
        <v>29344</v>
      </c>
      <c r="BU340" s="48">
        <v>0</v>
      </c>
      <c r="BV340" s="48">
        <v>29344</v>
      </c>
      <c r="BW340" s="48">
        <v>100</v>
      </c>
      <c r="BX340">
        <f>BV340/1000000</f>
        <v>2.9343999999999999E-2</v>
      </c>
      <c r="BZ340" s="215">
        <v>45226</v>
      </c>
      <c r="CA340" s="48">
        <v>35357482</v>
      </c>
      <c r="CB340" s="48">
        <v>2153235</v>
      </c>
      <c r="CC340" s="71">
        <f t="shared" si="101"/>
        <v>16.420633140367865</v>
      </c>
      <c r="CE340" s="113">
        <v>45226</v>
      </c>
      <c r="CF340">
        <v>11898212</v>
      </c>
      <c r="CG340">
        <v>15804</v>
      </c>
      <c r="CH340">
        <v>11914016</v>
      </c>
      <c r="CI340" s="46">
        <f t="shared" si="99"/>
        <v>99.867349515058564</v>
      </c>
      <c r="CJ340" s="71">
        <f t="shared" si="98"/>
        <v>11.914016</v>
      </c>
      <c r="CL340" s="140">
        <v>45202</v>
      </c>
      <c r="CM340" t="s">
        <v>250</v>
      </c>
      <c r="CN340">
        <v>2080</v>
      </c>
      <c r="CO340">
        <v>549</v>
      </c>
    </row>
    <row r="341" spans="1:93" hidden="1" x14ac:dyDescent="0.25">
      <c r="A341" s="215">
        <v>45227</v>
      </c>
      <c r="B341" s="48">
        <v>6262866</v>
      </c>
      <c r="C341" s="48">
        <v>1640</v>
      </c>
      <c r="D341" s="48">
        <v>6264506</v>
      </c>
      <c r="E341" s="48">
        <v>99.97</v>
      </c>
      <c r="F341" s="71">
        <f t="shared" si="105"/>
        <v>6.2645059999999999</v>
      </c>
      <c r="H341" s="113">
        <v>45227</v>
      </c>
      <c r="I341">
        <v>1378254</v>
      </c>
      <c r="J341">
        <v>1380</v>
      </c>
      <c r="K341">
        <v>1379634</v>
      </c>
      <c r="L341">
        <v>99.9</v>
      </c>
      <c r="M341" s="71">
        <f t="shared" si="104"/>
        <v>1.379634</v>
      </c>
      <c r="O341" s="113">
        <v>45227</v>
      </c>
      <c r="P341">
        <v>440228</v>
      </c>
      <c r="Q341">
        <v>2</v>
      </c>
      <c r="R341">
        <v>440230</v>
      </c>
      <c r="S341">
        <v>100</v>
      </c>
      <c r="T341" s="71">
        <f t="shared" si="103"/>
        <v>0.44023000000000001</v>
      </c>
      <c r="V341" s="113">
        <v>45227</v>
      </c>
      <c r="W341">
        <v>1043586</v>
      </c>
      <c r="X341">
        <v>140</v>
      </c>
      <c r="Y341">
        <v>1043726</v>
      </c>
      <c r="Z341">
        <v>99.99</v>
      </c>
      <c r="AA341" s="71">
        <f t="shared" si="100"/>
        <v>1.0437259999999999</v>
      </c>
      <c r="AC341" s="113">
        <v>45227</v>
      </c>
      <c r="AD341">
        <v>760144</v>
      </c>
      <c r="AE341">
        <v>120</v>
      </c>
      <c r="AF341">
        <v>760264</v>
      </c>
      <c r="AG341">
        <v>99.98</v>
      </c>
      <c r="AH341" s="255">
        <f t="shared" si="102"/>
        <v>0.76026400000000005</v>
      </c>
      <c r="AJ341" s="215">
        <v>45227</v>
      </c>
      <c r="AK341" s="48">
        <v>0</v>
      </c>
      <c r="AL341" s="48">
        <v>94</v>
      </c>
      <c r="AM341" s="48">
        <v>94</v>
      </c>
      <c r="AN341" s="48">
        <v>0</v>
      </c>
      <c r="AQ341" s="215">
        <v>45227</v>
      </c>
      <c r="AR341" s="48">
        <v>2808</v>
      </c>
      <c r="AS341" s="48">
        <v>56</v>
      </c>
      <c r="AT341" s="48">
        <v>2864</v>
      </c>
      <c r="AU341" s="48">
        <v>98.04</v>
      </c>
      <c r="AX341" s="215">
        <v>45227</v>
      </c>
      <c r="AY341" s="48">
        <v>1074</v>
      </c>
      <c r="AZ341" s="48">
        <v>48</v>
      </c>
      <c r="BA341" s="48">
        <v>1122</v>
      </c>
      <c r="BB341" s="48">
        <v>95.72</v>
      </c>
      <c r="BE341" s="113">
        <v>45227</v>
      </c>
      <c r="BF341">
        <v>8626</v>
      </c>
      <c r="BG341">
        <v>172</v>
      </c>
      <c r="BH341">
        <v>8798</v>
      </c>
      <c r="BI341">
        <v>98.05</v>
      </c>
      <c r="BL341" s="113">
        <v>45227</v>
      </c>
      <c r="BM341">
        <v>10332</v>
      </c>
      <c r="BN341">
        <v>0</v>
      </c>
      <c r="BO341">
        <v>10332</v>
      </c>
      <c r="BP341">
        <v>100</v>
      </c>
      <c r="BS341" s="215">
        <v>45227</v>
      </c>
      <c r="BT341" s="48">
        <v>70998</v>
      </c>
      <c r="BU341" s="48">
        <v>0</v>
      </c>
      <c r="BV341" s="48">
        <v>70998</v>
      </c>
      <c r="BW341" s="48">
        <v>100</v>
      </c>
      <c r="BX341">
        <f t="shared" ref="BX341:BX350" si="106">BV341/1000000</f>
        <v>7.0998000000000006E-2</v>
      </c>
      <c r="BZ341" s="215">
        <v>45227</v>
      </c>
      <c r="CA341" s="48">
        <v>2637466</v>
      </c>
      <c r="CB341" s="48">
        <v>290524</v>
      </c>
      <c r="CC341" s="71">
        <f t="shared" si="101"/>
        <v>9.0783067836047966</v>
      </c>
      <c r="CE341" s="113">
        <v>45227</v>
      </c>
      <c r="CF341">
        <v>11830040</v>
      </c>
      <c r="CG341">
        <v>10500</v>
      </c>
      <c r="CH341">
        <v>11840540</v>
      </c>
      <c r="CI341" s="46">
        <f t="shared" si="99"/>
        <v>99.911321612021084</v>
      </c>
      <c r="CJ341" s="71">
        <f t="shared" si="98"/>
        <v>11.840540000000001</v>
      </c>
      <c r="CL341" s="140">
        <v>45202</v>
      </c>
      <c r="CM341" t="s">
        <v>238</v>
      </c>
      <c r="CN341">
        <v>880</v>
      </c>
      <c r="CO341">
        <v>503</v>
      </c>
    </row>
    <row r="342" spans="1:93" hidden="1" x14ac:dyDescent="0.25">
      <c r="A342" s="215">
        <v>45228</v>
      </c>
      <c r="B342" s="48">
        <v>5438730</v>
      </c>
      <c r="C342" s="48">
        <v>4686</v>
      </c>
      <c r="D342" s="48">
        <v>5443416</v>
      </c>
      <c r="E342" s="48">
        <v>99.91</v>
      </c>
      <c r="F342" s="71">
        <f t="shared" si="105"/>
        <v>5.443416</v>
      </c>
      <c r="H342" s="113">
        <v>45228</v>
      </c>
      <c r="I342">
        <v>1330672</v>
      </c>
      <c r="J342">
        <v>1020</v>
      </c>
      <c r="K342">
        <v>1331692</v>
      </c>
      <c r="L342">
        <v>99.92</v>
      </c>
      <c r="M342" s="71">
        <f t="shared" si="104"/>
        <v>1.3316920000000001</v>
      </c>
      <c r="O342" s="113">
        <v>45228</v>
      </c>
      <c r="P342">
        <v>454886</v>
      </c>
      <c r="Q342">
        <v>4</v>
      </c>
      <c r="R342">
        <v>454890</v>
      </c>
      <c r="S342">
        <v>100</v>
      </c>
      <c r="T342" s="71">
        <f t="shared" si="103"/>
        <v>0.45489000000000002</v>
      </c>
      <c r="V342" s="113">
        <v>45228</v>
      </c>
      <c r="W342">
        <v>994926</v>
      </c>
      <c r="X342">
        <v>606</v>
      </c>
      <c r="Y342">
        <v>995532</v>
      </c>
      <c r="Z342">
        <v>99.94</v>
      </c>
      <c r="AA342" s="71">
        <f t="shared" si="100"/>
        <v>0.99553199999999997</v>
      </c>
      <c r="AC342" s="113">
        <v>45228</v>
      </c>
      <c r="AD342">
        <v>727858</v>
      </c>
      <c r="AE342">
        <v>100</v>
      </c>
      <c r="AF342">
        <v>727958</v>
      </c>
      <c r="AG342">
        <v>99.99</v>
      </c>
      <c r="AH342" s="255">
        <f t="shared" si="102"/>
        <v>0.72795799999999999</v>
      </c>
      <c r="AJ342" s="215">
        <v>45228</v>
      </c>
      <c r="AK342" s="48">
        <v>0</v>
      </c>
      <c r="AL342" s="48">
        <v>54</v>
      </c>
      <c r="AM342" s="48">
        <v>54</v>
      </c>
      <c r="AN342" s="48">
        <v>0</v>
      </c>
      <c r="AQ342" s="215">
        <v>45228</v>
      </c>
      <c r="AR342" s="48">
        <v>1428</v>
      </c>
      <c r="AS342" s="48">
        <v>68</v>
      </c>
      <c r="AT342" s="48">
        <v>1496</v>
      </c>
      <c r="AU342" s="48">
        <v>95.45</v>
      </c>
      <c r="AX342" s="215">
        <v>45228</v>
      </c>
      <c r="AY342" s="48">
        <v>0</v>
      </c>
      <c r="AZ342" s="48">
        <v>106</v>
      </c>
      <c r="BA342" s="48">
        <v>106</v>
      </c>
      <c r="BB342" s="48">
        <v>0</v>
      </c>
      <c r="BE342" s="113">
        <v>45228</v>
      </c>
      <c r="BF342">
        <v>6534</v>
      </c>
      <c r="BG342">
        <v>134</v>
      </c>
      <c r="BH342">
        <v>6668</v>
      </c>
      <c r="BI342">
        <v>97.99</v>
      </c>
      <c r="BL342" s="113">
        <v>45228</v>
      </c>
      <c r="BM342">
        <v>5062</v>
      </c>
      <c r="BN342">
        <v>0</v>
      </c>
      <c r="BO342">
        <v>5062</v>
      </c>
      <c r="BP342">
        <v>100</v>
      </c>
      <c r="BS342" s="215">
        <v>45228</v>
      </c>
      <c r="BT342" s="104">
        <v>46946</v>
      </c>
      <c r="BU342" s="104">
        <v>0</v>
      </c>
      <c r="BV342" s="104">
        <v>46946</v>
      </c>
      <c r="BW342" s="104">
        <v>100</v>
      </c>
      <c r="BX342" s="103">
        <f t="shared" si="106"/>
        <v>4.6946000000000002E-2</v>
      </c>
      <c r="BZ342" s="215">
        <v>45228</v>
      </c>
      <c r="CA342" s="48">
        <v>31374459</v>
      </c>
      <c r="CB342" s="48">
        <v>1957244</v>
      </c>
      <c r="CC342" s="71">
        <f t="shared" si="101"/>
        <v>16.0299170670596</v>
      </c>
      <c r="CE342" s="113">
        <v>45228</v>
      </c>
      <c r="CF342">
        <v>10773092</v>
      </c>
      <c r="CG342">
        <v>13312</v>
      </c>
      <c r="CH342">
        <v>10786404</v>
      </c>
      <c r="CI342" s="46">
        <f t="shared" si="99"/>
        <v>99.876585375441167</v>
      </c>
      <c r="CJ342" s="71">
        <f t="shared" si="98"/>
        <v>10.786403999999999</v>
      </c>
    </row>
    <row r="343" spans="1:93" hidden="1" x14ac:dyDescent="0.25">
      <c r="A343" s="215">
        <v>45229</v>
      </c>
      <c r="B343" s="104">
        <v>6233026</v>
      </c>
      <c r="C343" s="104">
        <v>1516</v>
      </c>
      <c r="D343" s="104">
        <v>6234542</v>
      </c>
      <c r="E343" s="104">
        <v>99.98</v>
      </c>
      <c r="F343" s="71">
        <f t="shared" si="105"/>
        <v>6.2345420000000003</v>
      </c>
      <c r="H343" s="215">
        <v>45229</v>
      </c>
      <c r="I343" s="101">
        <v>1275200</v>
      </c>
      <c r="J343" s="101">
        <v>910</v>
      </c>
      <c r="K343" s="101">
        <v>1276110</v>
      </c>
      <c r="L343" s="101">
        <v>99.93</v>
      </c>
      <c r="M343" s="71">
        <f t="shared" si="104"/>
        <v>1.2761100000000001</v>
      </c>
      <c r="O343" s="215">
        <v>45229</v>
      </c>
      <c r="P343" s="101">
        <v>422634</v>
      </c>
      <c r="Q343" s="101">
        <v>0</v>
      </c>
      <c r="R343" s="101">
        <v>422634</v>
      </c>
      <c r="S343" s="101">
        <v>100</v>
      </c>
      <c r="T343" s="71">
        <f t="shared" si="103"/>
        <v>0.42263400000000001</v>
      </c>
      <c r="V343" s="113">
        <v>45229</v>
      </c>
      <c r="W343" s="101">
        <v>971850</v>
      </c>
      <c r="X343" s="101">
        <v>152</v>
      </c>
      <c r="Y343" s="101">
        <v>972002</v>
      </c>
      <c r="Z343" s="101">
        <v>99.98</v>
      </c>
      <c r="AA343" s="71">
        <f t="shared" si="100"/>
        <v>0.97200200000000003</v>
      </c>
      <c r="AC343" s="113">
        <v>45229</v>
      </c>
      <c r="AD343" s="101">
        <v>703256</v>
      </c>
      <c r="AE343" s="101">
        <v>44</v>
      </c>
      <c r="AF343" s="101">
        <v>703300</v>
      </c>
      <c r="AG343" s="101">
        <v>99.99</v>
      </c>
      <c r="AH343" s="255">
        <f t="shared" si="102"/>
        <v>0.70330000000000004</v>
      </c>
      <c r="AJ343" s="215">
        <v>45229</v>
      </c>
      <c r="AK343" s="48">
        <v>0</v>
      </c>
      <c r="AL343" s="48">
        <v>48</v>
      </c>
      <c r="AM343" s="48">
        <v>48</v>
      </c>
      <c r="AN343" s="48">
        <v>0</v>
      </c>
      <c r="AQ343" s="215">
        <v>45229</v>
      </c>
      <c r="AR343" s="104">
        <v>1764</v>
      </c>
      <c r="AS343" s="104">
        <v>66</v>
      </c>
      <c r="AT343" s="104">
        <v>1830</v>
      </c>
      <c r="AU343" s="104">
        <v>96.39</v>
      </c>
      <c r="AX343" s="215">
        <v>45229</v>
      </c>
      <c r="AY343" s="104">
        <v>1848</v>
      </c>
      <c r="AZ343" s="104">
        <v>174</v>
      </c>
      <c r="BA343" s="104">
        <v>2022</v>
      </c>
      <c r="BB343" s="104">
        <v>91.39</v>
      </c>
      <c r="BE343" s="113">
        <v>45229</v>
      </c>
      <c r="BF343" s="101">
        <v>9128</v>
      </c>
      <c r="BG343" s="101">
        <v>180</v>
      </c>
      <c r="BH343" s="101">
        <v>9308</v>
      </c>
      <c r="BI343" s="101">
        <v>98.07</v>
      </c>
      <c r="BL343" s="113">
        <v>45229</v>
      </c>
      <c r="BM343" s="101">
        <v>3596</v>
      </c>
      <c r="BN343" s="101">
        <v>0</v>
      </c>
      <c r="BO343" s="101">
        <v>3596</v>
      </c>
      <c r="BP343" s="101">
        <v>100</v>
      </c>
      <c r="BS343" s="215">
        <v>45229</v>
      </c>
      <c r="BT343" s="104">
        <v>27130</v>
      </c>
      <c r="BU343" s="104">
        <v>0</v>
      </c>
      <c r="BV343" s="104">
        <v>27130</v>
      </c>
      <c r="BW343" s="104">
        <v>100</v>
      </c>
      <c r="BX343" s="103">
        <f t="shared" si="106"/>
        <v>2.7130000000000001E-2</v>
      </c>
      <c r="BZ343" s="215">
        <v>45229</v>
      </c>
      <c r="CA343" s="48">
        <v>23798149</v>
      </c>
      <c r="CB343" s="48">
        <v>1606521</v>
      </c>
      <c r="CC343" s="71">
        <f t="shared" si="101"/>
        <v>14.813468980486405</v>
      </c>
      <c r="CE343" s="113">
        <v>45229</v>
      </c>
      <c r="CF343">
        <v>11442338</v>
      </c>
      <c r="CG343">
        <v>9962</v>
      </c>
      <c r="CH343">
        <v>11452300</v>
      </c>
      <c r="CI343" s="46">
        <f t="shared" si="99"/>
        <v>99.913013106537548</v>
      </c>
      <c r="CJ343" s="71">
        <f t="shared" si="98"/>
        <v>11.452299999999999</v>
      </c>
      <c r="CL343" s="140">
        <v>45203</v>
      </c>
      <c r="CM343" s="252" t="s">
        <v>239</v>
      </c>
      <c r="CN343">
        <v>5548</v>
      </c>
      <c r="CO343">
        <v>504</v>
      </c>
    </row>
    <row r="344" spans="1:93" hidden="1" x14ac:dyDescent="0.25">
      <c r="A344" s="215">
        <v>45230</v>
      </c>
      <c r="B344" s="104">
        <v>7176042</v>
      </c>
      <c r="C344" s="104">
        <v>1808</v>
      </c>
      <c r="D344" s="104">
        <v>7177850</v>
      </c>
      <c r="E344" s="104">
        <v>99.97</v>
      </c>
      <c r="F344" s="71">
        <f t="shared" si="105"/>
        <v>7.1778500000000003</v>
      </c>
      <c r="H344" s="215">
        <v>45230</v>
      </c>
      <c r="I344" s="101">
        <v>1585530</v>
      </c>
      <c r="J344" s="101">
        <v>1126</v>
      </c>
      <c r="K344" s="101">
        <v>1586656</v>
      </c>
      <c r="L344" s="101">
        <v>99.93</v>
      </c>
      <c r="M344" s="71">
        <f t="shared" si="104"/>
        <v>1.5866560000000001</v>
      </c>
      <c r="O344" s="215">
        <v>45230</v>
      </c>
      <c r="P344" s="101">
        <v>444536</v>
      </c>
      <c r="Q344" s="101">
        <v>6</v>
      </c>
      <c r="R344" s="101">
        <v>444542</v>
      </c>
      <c r="S344" s="101">
        <v>100</v>
      </c>
      <c r="T344" s="71">
        <f t="shared" si="103"/>
        <v>0.44454199999999999</v>
      </c>
      <c r="V344" s="113">
        <v>45230</v>
      </c>
      <c r="W344" s="101">
        <v>1048210</v>
      </c>
      <c r="X344" s="101">
        <v>176</v>
      </c>
      <c r="Y344" s="101">
        <v>1048386</v>
      </c>
      <c r="Z344" s="101">
        <v>99.98</v>
      </c>
      <c r="AA344" s="71">
        <f t="shared" si="100"/>
        <v>1.048386</v>
      </c>
      <c r="AC344" s="113">
        <v>45230</v>
      </c>
      <c r="AD344" s="101">
        <v>769180</v>
      </c>
      <c r="AE344" s="101">
        <v>124</v>
      </c>
      <c r="AF344" s="101">
        <v>769304</v>
      </c>
      <c r="AG344" s="101">
        <v>99.98</v>
      </c>
      <c r="AH344" s="255">
        <f t="shared" si="102"/>
        <v>0.76930399999999999</v>
      </c>
      <c r="AJ344" s="215">
        <v>45230</v>
      </c>
      <c r="AK344" s="48">
        <v>0</v>
      </c>
      <c r="AL344" s="48">
        <v>80</v>
      </c>
      <c r="AM344" s="48">
        <v>80</v>
      </c>
      <c r="AN344" s="48">
        <v>0</v>
      </c>
      <c r="AQ344" s="215">
        <v>45230</v>
      </c>
      <c r="AR344" s="104">
        <v>1994</v>
      </c>
      <c r="AS344" s="104">
        <v>86</v>
      </c>
      <c r="AT344" s="104">
        <v>2080</v>
      </c>
      <c r="AU344" s="104">
        <v>95.87</v>
      </c>
      <c r="AX344" s="215">
        <v>45230</v>
      </c>
      <c r="AY344" s="104">
        <v>2040</v>
      </c>
      <c r="AZ344" s="104">
        <v>44</v>
      </c>
      <c r="BA344" s="104">
        <v>2084</v>
      </c>
      <c r="BB344" s="104">
        <v>97.89</v>
      </c>
      <c r="BE344" s="113">
        <v>45230</v>
      </c>
      <c r="BF344" s="101">
        <v>9892</v>
      </c>
      <c r="BG344" s="101">
        <v>282</v>
      </c>
      <c r="BH344" s="101">
        <v>10174</v>
      </c>
      <c r="BI344" s="101">
        <v>97.23</v>
      </c>
      <c r="BL344" s="113">
        <v>45230</v>
      </c>
      <c r="BM344" s="101">
        <v>3434</v>
      </c>
      <c r="BN344" s="101">
        <v>0</v>
      </c>
      <c r="BO344" s="101">
        <v>3434</v>
      </c>
      <c r="BP344" s="101">
        <v>100</v>
      </c>
      <c r="BS344" s="215">
        <v>45230</v>
      </c>
      <c r="BT344" s="104">
        <v>25764</v>
      </c>
      <c r="BU344" s="104">
        <v>0</v>
      </c>
      <c r="BV344" s="104">
        <v>25764</v>
      </c>
      <c r="BW344" s="104">
        <v>100</v>
      </c>
      <c r="BX344" s="103">
        <f t="shared" si="106"/>
        <v>2.5763999999999999E-2</v>
      </c>
      <c r="BZ344" s="215">
        <v>45230</v>
      </c>
      <c r="CA344" s="48">
        <v>36420496</v>
      </c>
      <c r="CB344" s="48">
        <v>2072936</v>
      </c>
      <c r="CC344" s="71">
        <f t="shared" si="101"/>
        <v>17.569522648070176</v>
      </c>
      <c r="CE344" s="113">
        <v>45230</v>
      </c>
      <c r="CF344">
        <v>13072340</v>
      </c>
      <c r="CG344">
        <v>10088</v>
      </c>
      <c r="CH344">
        <v>13082428</v>
      </c>
      <c r="CI344" s="46">
        <f t="shared" si="99"/>
        <v>99.92288893162646</v>
      </c>
      <c r="CJ344" s="71">
        <f t="shared" si="98"/>
        <v>13.082428</v>
      </c>
      <c r="CL344" s="140">
        <v>45203</v>
      </c>
      <c r="CM344" t="s">
        <v>237</v>
      </c>
      <c r="CN344">
        <v>2832</v>
      </c>
      <c r="CO344">
        <v>527</v>
      </c>
    </row>
    <row r="345" spans="1:93" hidden="1" x14ac:dyDescent="0.25">
      <c r="A345" s="215">
        <v>45231</v>
      </c>
      <c r="B345" s="104">
        <v>6176058</v>
      </c>
      <c r="C345" s="104">
        <v>3902</v>
      </c>
      <c r="D345" s="104">
        <v>6179960</v>
      </c>
      <c r="E345" s="104">
        <v>99.94</v>
      </c>
      <c r="F345" s="71">
        <f t="shared" si="105"/>
        <v>6.1799600000000003</v>
      </c>
      <c r="H345" s="215">
        <v>45231</v>
      </c>
      <c r="I345" s="101">
        <v>1286836</v>
      </c>
      <c r="J345" s="101">
        <v>1068</v>
      </c>
      <c r="K345" s="101">
        <v>1287904</v>
      </c>
      <c r="L345" s="101">
        <v>99.92</v>
      </c>
      <c r="M345" s="71">
        <f t="shared" si="104"/>
        <v>1.2879039999999999</v>
      </c>
      <c r="O345" s="215">
        <v>45231</v>
      </c>
      <c r="P345" s="101">
        <v>394564</v>
      </c>
      <c r="Q345" s="101">
        <v>2</v>
      </c>
      <c r="R345" s="101">
        <v>394566</v>
      </c>
      <c r="S345" s="101">
        <v>100</v>
      </c>
      <c r="T345" s="71">
        <f t="shared" si="103"/>
        <v>0.39456599999999997</v>
      </c>
      <c r="V345" s="113">
        <v>45231</v>
      </c>
      <c r="W345" s="101">
        <v>940742</v>
      </c>
      <c r="X345" s="101">
        <v>472</v>
      </c>
      <c r="Y345" s="101">
        <v>941214</v>
      </c>
      <c r="Z345" s="101">
        <v>99.95</v>
      </c>
      <c r="AA345" s="71">
        <f t="shared" si="100"/>
        <v>0.941214</v>
      </c>
      <c r="AC345" s="113">
        <v>45231</v>
      </c>
      <c r="AD345" s="101">
        <v>753478</v>
      </c>
      <c r="AE345" s="101">
        <v>148</v>
      </c>
      <c r="AF345" s="101">
        <v>753626</v>
      </c>
      <c r="AG345" s="101">
        <v>99.98</v>
      </c>
      <c r="AH345" s="255">
        <f t="shared" si="102"/>
        <v>0.75362600000000002</v>
      </c>
      <c r="AJ345" s="215">
        <v>45231</v>
      </c>
      <c r="AK345" s="48">
        <v>0</v>
      </c>
      <c r="AL345" s="48">
        <v>42</v>
      </c>
      <c r="AM345" s="48">
        <v>42</v>
      </c>
      <c r="AN345" s="48">
        <v>0</v>
      </c>
      <c r="AQ345" s="215">
        <v>45231</v>
      </c>
      <c r="AR345" s="104">
        <v>4572</v>
      </c>
      <c r="AS345" s="104">
        <v>124</v>
      </c>
      <c r="AT345" s="104">
        <v>4696</v>
      </c>
      <c r="AU345" s="104">
        <v>97.36</v>
      </c>
      <c r="AX345" s="215">
        <v>45231</v>
      </c>
      <c r="AY345" s="104">
        <v>1256</v>
      </c>
      <c r="AZ345" s="104">
        <v>56</v>
      </c>
      <c r="BA345" s="104">
        <v>1312</v>
      </c>
      <c r="BB345" s="104">
        <v>95.73</v>
      </c>
      <c r="BE345" s="113">
        <v>45231</v>
      </c>
      <c r="BF345" s="101">
        <v>9818</v>
      </c>
      <c r="BG345" s="101">
        <v>158</v>
      </c>
      <c r="BH345" s="101">
        <v>9976</v>
      </c>
      <c r="BI345" s="101">
        <v>98.42</v>
      </c>
      <c r="BL345" s="113">
        <v>45231</v>
      </c>
      <c r="BM345" s="101">
        <v>3564</v>
      </c>
      <c r="BN345" s="101">
        <v>0</v>
      </c>
      <c r="BO345" s="101">
        <v>3564</v>
      </c>
      <c r="BP345" s="101">
        <v>100</v>
      </c>
      <c r="BS345" s="215">
        <v>45231</v>
      </c>
      <c r="BT345" s="104">
        <v>29000</v>
      </c>
      <c r="BU345" s="104">
        <v>0</v>
      </c>
      <c r="BV345" s="104">
        <v>29000</v>
      </c>
      <c r="BW345" s="104">
        <v>100</v>
      </c>
      <c r="BX345" s="103">
        <f t="shared" si="106"/>
        <v>2.9000000000000001E-2</v>
      </c>
      <c r="BZ345" s="215">
        <v>45231</v>
      </c>
      <c r="CA345" s="48">
        <v>26918463</v>
      </c>
      <c r="CB345" s="48">
        <v>1741098</v>
      </c>
      <c r="CC345" s="71">
        <f t="shared" si="101"/>
        <v>15.460624847079258</v>
      </c>
      <c r="CE345" s="113">
        <v>45231</v>
      </c>
      <c r="CF345">
        <v>11570792</v>
      </c>
      <c r="CG345">
        <v>13078</v>
      </c>
      <c r="CH345">
        <v>11583870</v>
      </c>
      <c r="CI345" s="46">
        <f t="shared" si="99"/>
        <v>99.887101633564612</v>
      </c>
      <c r="CJ345" s="71">
        <f t="shared" si="98"/>
        <v>11.583869999999999</v>
      </c>
      <c r="CL345" s="140">
        <v>45203</v>
      </c>
      <c r="CM345" s="252" t="s">
        <v>240</v>
      </c>
      <c r="CN345">
        <v>2091</v>
      </c>
      <c r="CO345">
        <v>516</v>
      </c>
    </row>
    <row r="346" spans="1:93" hidden="1" x14ac:dyDescent="0.25">
      <c r="A346" s="215">
        <v>45232</v>
      </c>
      <c r="B346" s="104">
        <v>5955078</v>
      </c>
      <c r="C346" s="104">
        <v>1586</v>
      </c>
      <c r="D346" s="104">
        <v>5956664</v>
      </c>
      <c r="E346" s="104">
        <v>99.97</v>
      </c>
      <c r="F346" s="71">
        <f t="shared" si="105"/>
        <v>5.956664</v>
      </c>
      <c r="H346" s="215">
        <v>45232</v>
      </c>
      <c r="I346" s="101">
        <v>1261812</v>
      </c>
      <c r="J346" s="101">
        <v>1254</v>
      </c>
      <c r="K346" s="101">
        <v>1263066</v>
      </c>
      <c r="L346" s="101">
        <v>99.9</v>
      </c>
      <c r="M346" s="71">
        <f t="shared" si="104"/>
        <v>1.263066</v>
      </c>
      <c r="O346" s="215">
        <v>45232</v>
      </c>
      <c r="P346" s="101">
        <v>398636</v>
      </c>
      <c r="Q346" s="101">
        <v>6</v>
      </c>
      <c r="R346" s="101">
        <v>398642</v>
      </c>
      <c r="S346" s="101">
        <v>100</v>
      </c>
      <c r="T346" s="71">
        <f t="shared" si="103"/>
        <v>0.398642</v>
      </c>
      <c r="V346" s="113">
        <v>45232</v>
      </c>
      <c r="W346" s="101">
        <v>958902</v>
      </c>
      <c r="X346" s="101">
        <v>174</v>
      </c>
      <c r="Y346" s="101">
        <v>959076</v>
      </c>
      <c r="Z346" s="101">
        <v>99.98</v>
      </c>
      <c r="AA346" s="71">
        <f t="shared" si="100"/>
        <v>0.95907600000000004</v>
      </c>
      <c r="AC346" s="113">
        <v>45232</v>
      </c>
      <c r="AD346" s="101">
        <v>740074</v>
      </c>
      <c r="AE346" s="101">
        <v>114</v>
      </c>
      <c r="AF346" s="101">
        <v>740188</v>
      </c>
      <c r="AG346" s="101">
        <v>99.98</v>
      </c>
      <c r="AH346" s="255">
        <f t="shared" si="102"/>
        <v>0.74018799999999996</v>
      </c>
      <c r="AJ346" s="215">
        <v>45232</v>
      </c>
      <c r="AK346" s="48">
        <v>0</v>
      </c>
      <c r="AL346" s="48">
        <v>54</v>
      </c>
      <c r="AM346" s="48">
        <v>54</v>
      </c>
      <c r="AN346" s="48">
        <v>0</v>
      </c>
      <c r="AQ346" s="215">
        <v>45232</v>
      </c>
      <c r="AR346" s="104">
        <v>5088</v>
      </c>
      <c r="AS346" s="104">
        <v>156</v>
      </c>
      <c r="AT346" s="104">
        <v>5244</v>
      </c>
      <c r="AU346" s="104">
        <v>97.03</v>
      </c>
      <c r="AX346" s="215">
        <v>45232</v>
      </c>
      <c r="AY346" s="104">
        <v>2138</v>
      </c>
      <c r="AZ346" s="104">
        <v>138</v>
      </c>
      <c r="BA346" s="104">
        <v>2276</v>
      </c>
      <c r="BB346" s="104">
        <v>93.94</v>
      </c>
      <c r="BE346" s="113">
        <v>45232</v>
      </c>
      <c r="BF346" s="101">
        <v>8356</v>
      </c>
      <c r="BG346" s="101">
        <v>188</v>
      </c>
      <c r="BH346" s="101">
        <v>8544</v>
      </c>
      <c r="BI346" s="101">
        <v>97.8</v>
      </c>
      <c r="BL346" s="113">
        <v>45232</v>
      </c>
      <c r="BM346" s="101">
        <v>6114</v>
      </c>
      <c r="BN346" s="101">
        <v>0</v>
      </c>
      <c r="BO346" s="101">
        <v>6114</v>
      </c>
      <c r="BP346" s="101">
        <v>100</v>
      </c>
      <c r="BS346" s="215">
        <v>45232</v>
      </c>
      <c r="BT346" s="104">
        <v>17208</v>
      </c>
      <c r="BU346" s="104">
        <v>0</v>
      </c>
      <c r="BV346" s="104">
        <v>17208</v>
      </c>
      <c r="BW346" s="104">
        <v>100</v>
      </c>
      <c r="BX346" s="103">
        <f t="shared" si="106"/>
        <v>1.7208000000000001E-2</v>
      </c>
      <c r="BZ346" s="215">
        <v>45232</v>
      </c>
      <c r="CA346" s="48">
        <v>33184273</v>
      </c>
      <c r="CB346" s="48">
        <v>2031104</v>
      </c>
      <c r="CC346" s="71">
        <f t="shared" si="101"/>
        <v>16.338047190099573</v>
      </c>
      <c r="CE346" s="113">
        <v>45232</v>
      </c>
      <c r="CF346">
        <v>11354554</v>
      </c>
      <c r="CG346">
        <v>11076</v>
      </c>
      <c r="CH346">
        <v>11365630</v>
      </c>
      <c r="CI346" s="46">
        <f t="shared" si="99"/>
        <v>99.902548296926781</v>
      </c>
      <c r="CJ346" s="71">
        <f t="shared" si="98"/>
        <v>11.365629999999999</v>
      </c>
      <c r="CL346" s="140">
        <v>45203</v>
      </c>
      <c r="CM346" t="s">
        <v>250</v>
      </c>
      <c r="CN346">
        <v>1434</v>
      </c>
      <c r="CO346">
        <v>549</v>
      </c>
    </row>
    <row r="347" spans="1:93" hidden="1" x14ac:dyDescent="0.25">
      <c r="A347" s="215">
        <v>45233</v>
      </c>
      <c r="B347" s="104">
        <v>7047560</v>
      </c>
      <c r="C347" s="104">
        <v>2496</v>
      </c>
      <c r="D347" s="104">
        <v>7050056</v>
      </c>
      <c r="E347" s="104">
        <v>99.96</v>
      </c>
      <c r="F347" s="71">
        <f t="shared" si="105"/>
        <v>7.0500559999999997</v>
      </c>
      <c r="H347" s="215">
        <v>45233</v>
      </c>
      <c r="I347" s="101">
        <v>1520872</v>
      </c>
      <c r="J347" s="101">
        <v>1324</v>
      </c>
      <c r="K347" s="101">
        <v>1522196</v>
      </c>
      <c r="L347" s="101">
        <v>99.91</v>
      </c>
      <c r="M347" s="71">
        <f t="shared" si="104"/>
        <v>1.5221960000000001</v>
      </c>
      <c r="O347" s="215">
        <v>45233</v>
      </c>
      <c r="P347" s="101">
        <v>433712</v>
      </c>
      <c r="Q347" s="101">
        <v>0</v>
      </c>
      <c r="R347" s="101">
        <v>433712</v>
      </c>
      <c r="S347" s="101">
        <v>100</v>
      </c>
      <c r="T347" s="71">
        <f t="shared" si="103"/>
        <v>0.43371199999999999</v>
      </c>
      <c r="V347" s="113">
        <v>45233</v>
      </c>
      <c r="W347" s="101">
        <v>1104508</v>
      </c>
      <c r="X347" s="101">
        <v>336</v>
      </c>
      <c r="Y347" s="101">
        <v>1104844</v>
      </c>
      <c r="Z347" s="101">
        <v>99.97</v>
      </c>
      <c r="AA347" s="71">
        <f t="shared" si="100"/>
        <v>1.1048439999999999</v>
      </c>
      <c r="AC347" s="113">
        <v>45233</v>
      </c>
      <c r="AD347" s="101">
        <v>983930</v>
      </c>
      <c r="AE347" s="101">
        <v>140</v>
      </c>
      <c r="AF347" s="101">
        <v>984070</v>
      </c>
      <c r="AG347" s="101">
        <v>99.99</v>
      </c>
      <c r="AH347" s="255">
        <f t="shared" si="102"/>
        <v>0.98407</v>
      </c>
      <c r="AJ347" s="215">
        <v>45233</v>
      </c>
      <c r="AK347" s="48">
        <v>0</v>
      </c>
      <c r="AL347" s="48">
        <v>108</v>
      </c>
      <c r="AM347" s="48">
        <v>108</v>
      </c>
      <c r="AN347" s="48">
        <v>0</v>
      </c>
      <c r="AQ347" s="215">
        <v>45233</v>
      </c>
      <c r="AR347" s="104">
        <v>2208</v>
      </c>
      <c r="AS347" s="104">
        <v>126</v>
      </c>
      <c r="AT347" s="104">
        <v>2334</v>
      </c>
      <c r="AU347" s="104">
        <v>94.6</v>
      </c>
      <c r="AX347" s="215">
        <v>45233</v>
      </c>
      <c r="AY347" s="104">
        <v>1912</v>
      </c>
      <c r="AZ347" s="104">
        <v>30</v>
      </c>
      <c r="BA347" s="104">
        <v>1942</v>
      </c>
      <c r="BB347" s="104">
        <v>98.46</v>
      </c>
      <c r="BE347" s="113">
        <v>45233</v>
      </c>
      <c r="BF347" s="101">
        <v>9990</v>
      </c>
      <c r="BG347" s="101">
        <v>186</v>
      </c>
      <c r="BH347" s="101">
        <v>10176</v>
      </c>
      <c r="BI347" s="101">
        <v>98.17</v>
      </c>
      <c r="BL347" s="113">
        <v>45233</v>
      </c>
      <c r="BM347" s="101">
        <v>3018</v>
      </c>
      <c r="BN347" s="101">
        <v>0</v>
      </c>
      <c r="BO347" s="101">
        <v>3018</v>
      </c>
      <c r="BP347" s="101">
        <v>100</v>
      </c>
      <c r="BS347" s="215">
        <v>45233</v>
      </c>
      <c r="BT347" s="104">
        <v>40656</v>
      </c>
      <c r="BU347" s="104">
        <v>0</v>
      </c>
      <c r="BV347" s="104">
        <v>40656</v>
      </c>
      <c r="BW347" s="104">
        <v>100</v>
      </c>
      <c r="BX347" s="103">
        <f t="shared" si="106"/>
        <v>4.0655999999999998E-2</v>
      </c>
      <c r="BZ347" s="215">
        <v>45233</v>
      </c>
      <c r="CA347" s="48">
        <v>37071375</v>
      </c>
      <c r="CB347" s="48">
        <v>2187078</v>
      </c>
      <c r="CC347" s="71">
        <f t="shared" si="101"/>
        <v>16.950184218395503</v>
      </c>
      <c r="CE347" s="113">
        <v>45233</v>
      </c>
      <c r="CF347">
        <v>13505092</v>
      </c>
      <c r="CG347">
        <v>12550</v>
      </c>
      <c r="CH347">
        <v>13517642</v>
      </c>
      <c r="CI347" s="46">
        <f t="shared" si="99"/>
        <v>99.907158363862564</v>
      </c>
      <c r="CJ347" s="71">
        <f t="shared" si="98"/>
        <v>13.517642</v>
      </c>
      <c r="CL347" s="140">
        <v>45203</v>
      </c>
      <c r="CM347" t="s">
        <v>238</v>
      </c>
      <c r="CN347">
        <v>1026</v>
      </c>
      <c r="CO347">
        <v>503</v>
      </c>
    </row>
    <row r="348" spans="1:93" hidden="1" x14ac:dyDescent="0.25">
      <c r="A348" s="215">
        <v>45234</v>
      </c>
      <c r="B348" s="104">
        <v>6295744</v>
      </c>
      <c r="C348" s="104">
        <v>1430</v>
      </c>
      <c r="D348" s="104">
        <v>6297174</v>
      </c>
      <c r="E348" s="104">
        <v>99.98</v>
      </c>
      <c r="F348" s="71">
        <f t="shared" si="105"/>
        <v>6.297174</v>
      </c>
      <c r="H348" s="215">
        <v>45234</v>
      </c>
      <c r="I348" s="101">
        <v>1332434</v>
      </c>
      <c r="J348" s="101">
        <v>1438</v>
      </c>
      <c r="K348" s="101">
        <v>1333872</v>
      </c>
      <c r="L348" s="101">
        <v>99.89</v>
      </c>
      <c r="M348" s="71">
        <f t="shared" si="104"/>
        <v>1.3338719999999999</v>
      </c>
      <c r="O348" s="215">
        <v>45234</v>
      </c>
      <c r="P348" s="101">
        <v>406830</v>
      </c>
      <c r="Q348" s="101">
        <v>2</v>
      </c>
      <c r="R348" s="101">
        <v>406832</v>
      </c>
      <c r="S348" s="101">
        <v>100</v>
      </c>
      <c r="T348" s="71">
        <f t="shared" si="103"/>
        <v>0.40683200000000003</v>
      </c>
      <c r="V348" s="113">
        <v>45234</v>
      </c>
      <c r="W348" s="101">
        <v>1007166</v>
      </c>
      <c r="X348" s="101">
        <v>194</v>
      </c>
      <c r="Y348" s="101">
        <v>1007360</v>
      </c>
      <c r="Z348" s="101">
        <v>99.98</v>
      </c>
      <c r="AA348" s="71">
        <f t="shared" si="100"/>
        <v>1.00736</v>
      </c>
      <c r="AC348" s="113">
        <v>45234</v>
      </c>
      <c r="AD348" s="101">
        <v>854426</v>
      </c>
      <c r="AE348" s="101">
        <v>148</v>
      </c>
      <c r="AF348" s="101">
        <v>854574</v>
      </c>
      <c r="AG348" s="101">
        <v>99.98</v>
      </c>
      <c r="AH348" s="255">
        <f t="shared" si="102"/>
        <v>0.85457399999999994</v>
      </c>
      <c r="AJ348" s="215">
        <v>45234</v>
      </c>
      <c r="AK348" s="48">
        <v>0</v>
      </c>
      <c r="AL348" s="48">
        <v>66</v>
      </c>
      <c r="AM348" s="48">
        <v>66</v>
      </c>
      <c r="AN348" s="48">
        <v>0</v>
      </c>
      <c r="AQ348" s="215">
        <v>45234</v>
      </c>
      <c r="AR348" s="104">
        <v>1212</v>
      </c>
      <c r="AS348" s="104">
        <v>88</v>
      </c>
      <c r="AT348" s="104">
        <v>1300</v>
      </c>
      <c r="AU348" s="104">
        <v>93.23</v>
      </c>
      <c r="AX348" s="215">
        <v>45234</v>
      </c>
      <c r="AY348" s="104">
        <v>692</v>
      </c>
      <c r="AZ348" s="104">
        <v>10</v>
      </c>
      <c r="BA348" s="104">
        <v>702</v>
      </c>
      <c r="BB348" s="104">
        <v>98.58</v>
      </c>
      <c r="BE348" s="113">
        <v>45234</v>
      </c>
      <c r="BF348" s="101">
        <v>8222</v>
      </c>
      <c r="BG348" s="101">
        <v>176</v>
      </c>
      <c r="BH348" s="101">
        <v>8398</v>
      </c>
      <c r="BI348" s="101">
        <v>97.9</v>
      </c>
      <c r="BL348" s="113">
        <v>45234</v>
      </c>
      <c r="BM348" s="101">
        <v>12292</v>
      </c>
      <c r="BN348" s="101">
        <v>0</v>
      </c>
      <c r="BO348" s="101">
        <v>12292</v>
      </c>
      <c r="BP348" s="101">
        <v>100</v>
      </c>
      <c r="BS348" s="215">
        <v>45234</v>
      </c>
      <c r="BT348" s="104">
        <v>45900</v>
      </c>
      <c r="BU348" s="104">
        <v>0</v>
      </c>
      <c r="BV348" s="104">
        <v>45900</v>
      </c>
      <c r="BW348" s="104">
        <v>100</v>
      </c>
      <c r="BX348" s="103">
        <f t="shared" si="106"/>
        <v>4.5900000000000003E-2</v>
      </c>
      <c r="BZ348" s="215">
        <v>45234</v>
      </c>
      <c r="CA348" s="48">
        <v>35469881</v>
      </c>
      <c r="CB348" s="48">
        <v>2090725</v>
      </c>
      <c r="CC348" s="71">
        <f t="shared" si="101"/>
        <v>16.965349818842746</v>
      </c>
      <c r="CE348" s="113">
        <v>45234</v>
      </c>
      <c r="CF348">
        <v>11924166</v>
      </c>
      <c r="CG348">
        <v>10170</v>
      </c>
      <c r="CH348">
        <v>11934336</v>
      </c>
      <c r="CI348" s="46">
        <f t="shared" si="99"/>
        <v>99.914783696386621</v>
      </c>
      <c r="CJ348" s="71">
        <f t="shared" si="98"/>
        <v>11.934336</v>
      </c>
    </row>
    <row r="349" spans="1:93" hidden="1" x14ac:dyDescent="0.25">
      <c r="A349" s="215">
        <v>45235</v>
      </c>
      <c r="B349" s="104">
        <v>5414326</v>
      </c>
      <c r="C349" s="104">
        <v>1314</v>
      </c>
      <c r="D349" s="104">
        <v>5415640</v>
      </c>
      <c r="E349" s="104">
        <v>99.98</v>
      </c>
      <c r="F349" s="71">
        <f t="shared" si="105"/>
        <v>5.4156399999999998</v>
      </c>
      <c r="H349" s="215">
        <v>45235</v>
      </c>
      <c r="I349" s="101">
        <v>1261912</v>
      </c>
      <c r="J349" s="101">
        <v>364</v>
      </c>
      <c r="K349" s="101">
        <v>1262276</v>
      </c>
      <c r="L349" s="101">
        <v>99.97</v>
      </c>
      <c r="M349" s="71">
        <f t="shared" si="104"/>
        <v>1.262276</v>
      </c>
      <c r="O349" s="215">
        <v>45235</v>
      </c>
      <c r="P349" s="101">
        <v>416520</v>
      </c>
      <c r="Q349" s="101">
        <v>6</v>
      </c>
      <c r="R349" s="101">
        <v>416526</v>
      </c>
      <c r="S349" s="101">
        <v>100</v>
      </c>
      <c r="T349" s="71">
        <f>R349/1000000</f>
        <v>0.41652600000000001</v>
      </c>
      <c r="V349" s="113">
        <v>45235</v>
      </c>
      <c r="W349" s="101">
        <v>974942</v>
      </c>
      <c r="X349" s="101">
        <v>180</v>
      </c>
      <c r="Y349" s="101">
        <v>975122</v>
      </c>
      <c r="Z349" s="101">
        <v>99.98</v>
      </c>
      <c r="AA349" s="71">
        <f t="shared" si="100"/>
        <v>0.97512200000000004</v>
      </c>
      <c r="AC349" s="113">
        <v>45235</v>
      </c>
      <c r="AD349" s="101">
        <v>751700</v>
      </c>
      <c r="AE349" s="101">
        <v>64</v>
      </c>
      <c r="AF349" s="101">
        <v>751764</v>
      </c>
      <c r="AG349" s="101">
        <v>99.99</v>
      </c>
      <c r="AH349" s="255">
        <f t="shared" si="102"/>
        <v>0.75176399999999999</v>
      </c>
      <c r="AJ349" s="215">
        <v>45235</v>
      </c>
      <c r="AK349" s="48">
        <v>0</v>
      </c>
      <c r="AL349" s="48">
        <v>70</v>
      </c>
      <c r="AM349" s="48">
        <v>70</v>
      </c>
      <c r="AN349" s="48">
        <v>0</v>
      </c>
      <c r="AQ349" s="215">
        <v>45235</v>
      </c>
      <c r="AR349" s="104">
        <v>1210</v>
      </c>
      <c r="AS349" s="104">
        <v>52</v>
      </c>
      <c r="AT349" s="104">
        <v>1262</v>
      </c>
      <c r="AU349" s="104">
        <v>95.88</v>
      </c>
      <c r="AX349" s="215">
        <v>45235</v>
      </c>
      <c r="AY349" s="104">
        <v>456</v>
      </c>
      <c r="AZ349" s="104">
        <v>90</v>
      </c>
      <c r="BA349" s="104">
        <v>546</v>
      </c>
      <c r="BB349" s="104">
        <v>83.52</v>
      </c>
      <c r="BE349" s="113">
        <v>45235</v>
      </c>
      <c r="BF349" s="101">
        <v>7090</v>
      </c>
      <c r="BG349" s="101">
        <v>138</v>
      </c>
      <c r="BH349" s="101">
        <v>7228</v>
      </c>
      <c r="BI349" s="101">
        <v>98.09</v>
      </c>
      <c r="BL349" s="113">
        <v>45235</v>
      </c>
      <c r="BM349" s="101">
        <v>6138</v>
      </c>
      <c r="BN349" s="101">
        <v>0</v>
      </c>
      <c r="BO349" s="101">
        <v>6138</v>
      </c>
      <c r="BP349" s="101">
        <v>100</v>
      </c>
      <c r="BS349" s="215">
        <v>45235</v>
      </c>
      <c r="BT349" s="104">
        <v>35912</v>
      </c>
      <c r="BU349" s="104">
        <v>0</v>
      </c>
      <c r="BV349" s="104">
        <v>35912</v>
      </c>
      <c r="BW349" s="104">
        <v>100</v>
      </c>
      <c r="BX349" s="103">
        <f t="shared" si="106"/>
        <v>3.5911999999999999E-2</v>
      </c>
      <c r="BZ349" s="215">
        <v>45235</v>
      </c>
      <c r="CA349" s="48">
        <v>31105931</v>
      </c>
      <c r="CB349" s="48">
        <v>1912377</v>
      </c>
      <c r="CC349" s="71">
        <f t="shared" si="101"/>
        <v>16.265585185347867</v>
      </c>
      <c r="CE349" s="113">
        <v>45235</v>
      </c>
      <c r="CF349">
        <v>10692878</v>
      </c>
      <c r="CG349">
        <v>8414</v>
      </c>
      <c r="CH349">
        <v>10701292</v>
      </c>
      <c r="CI349" s="46">
        <f t="shared" si="99"/>
        <v>99.921373979889538</v>
      </c>
      <c r="CJ349" s="71">
        <f t="shared" si="98"/>
        <v>10.701292</v>
      </c>
      <c r="CL349" s="140">
        <v>45204</v>
      </c>
      <c r="CM349" t="s">
        <v>237</v>
      </c>
      <c r="CN349">
        <v>11654</v>
      </c>
      <c r="CO349">
        <v>527</v>
      </c>
    </row>
    <row r="350" spans="1:93" hidden="1" x14ac:dyDescent="0.25">
      <c r="A350" s="215">
        <v>45236</v>
      </c>
      <c r="B350" s="104">
        <v>7060522</v>
      </c>
      <c r="C350" s="104">
        <v>21918</v>
      </c>
      <c r="D350" s="104">
        <v>7082440</v>
      </c>
      <c r="E350" s="104">
        <v>99.69</v>
      </c>
      <c r="F350" s="71">
        <f t="shared" si="105"/>
        <v>7.0824400000000001</v>
      </c>
      <c r="H350" s="215">
        <v>45236</v>
      </c>
      <c r="I350" s="101">
        <v>1509149</v>
      </c>
      <c r="J350" s="101">
        <v>12414</v>
      </c>
      <c r="K350" s="101">
        <v>1521563</v>
      </c>
      <c r="L350" s="101">
        <v>99.18</v>
      </c>
      <c r="M350" s="71">
        <f t="shared" si="104"/>
        <v>1.521563</v>
      </c>
      <c r="O350" s="215">
        <v>45236</v>
      </c>
      <c r="P350" s="101">
        <v>452050</v>
      </c>
      <c r="Q350" s="101">
        <v>11</v>
      </c>
      <c r="R350" s="101">
        <v>452061</v>
      </c>
      <c r="S350" s="101">
        <v>100</v>
      </c>
      <c r="T350" s="71">
        <f>R350/1000000</f>
        <v>0.45206099999999999</v>
      </c>
      <c r="V350" s="113">
        <v>45236</v>
      </c>
      <c r="W350" s="101">
        <v>1165950</v>
      </c>
      <c r="X350" s="101">
        <v>1654</v>
      </c>
      <c r="Y350" s="101">
        <v>1167604</v>
      </c>
      <c r="Z350" s="101">
        <v>99.86</v>
      </c>
      <c r="AA350" s="71">
        <f t="shared" si="100"/>
        <v>1.1676040000000001</v>
      </c>
      <c r="AC350" s="113">
        <v>45236</v>
      </c>
      <c r="AD350" s="101">
        <v>837868</v>
      </c>
      <c r="AE350" s="101">
        <v>96</v>
      </c>
      <c r="AF350" s="101">
        <v>837964</v>
      </c>
      <c r="AG350" s="101">
        <v>99.99</v>
      </c>
      <c r="AH350" s="255">
        <f t="shared" si="102"/>
        <v>0.83796400000000004</v>
      </c>
      <c r="AJ350" s="215">
        <v>45236</v>
      </c>
      <c r="AK350" s="48">
        <v>0</v>
      </c>
      <c r="AL350" s="48">
        <v>41</v>
      </c>
      <c r="AM350" s="48">
        <v>41</v>
      </c>
      <c r="AN350" s="48">
        <v>0</v>
      </c>
      <c r="AQ350" s="215">
        <v>45236</v>
      </c>
      <c r="AR350" s="104">
        <v>4559</v>
      </c>
      <c r="AS350" s="104">
        <v>199</v>
      </c>
      <c r="AT350" s="104">
        <v>4758</v>
      </c>
      <c r="AU350" s="104">
        <v>95.82</v>
      </c>
      <c r="AX350" s="215">
        <v>45236</v>
      </c>
      <c r="AY350" s="104">
        <v>1851</v>
      </c>
      <c r="AZ350" s="104">
        <v>62</v>
      </c>
      <c r="BA350" s="104">
        <v>1913</v>
      </c>
      <c r="BB350" s="104">
        <v>96.76</v>
      </c>
      <c r="BE350" s="113">
        <v>45236</v>
      </c>
      <c r="BF350" s="101">
        <v>8591</v>
      </c>
      <c r="BG350" s="101">
        <v>231</v>
      </c>
      <c r="BH350" s="101">
        <v>8822</v>
      </c>
      <c r="BI350" s="101">
        <v>97.38</v>
      </c>
      <c r="BL350" s="113">
        <v>45236</v>
      </c>
      <c r="BM350" s="101">
        <v>4053</v>
      </c>
      <c r="BN350" s="101">
        <v>0</v>
      </c>
      <c r="BO350" s="101">
        <v>4053</v>
      </c>
      <c r="BP350" s="101">
        <v>100</v>
      </c>
      <c r="BS350" s="215">
        <v>45236</v>
      </c>
      <c r="BT350" s="104">
        <v>22959</v>
      </c>
      <c r="BU350" s="104">
        <v>3</v>
      </c>
      <c r="BV350" s="104">
        <v>22962</v>
      </c>
      <c r="BW350" s="104">
        <v>99.99</v>
      </c>
      <c r="BX350" s="103">
        <f t="shared" si="106"/>
        <v>2.2962E-2</v>
      </c>
      <c r="BZ350" s="215">
        <v>45236</v>
      </c>
      <c r="CA350" s="48">
        <v>31009783</v>
      </c>
      <c r="CB350" s="48">
        <v>1933633</v>
      </c>
      <c r="CC350" s="71">
        <f t="shared" si="101"/>
        <v>16.037057187170472</v>
      </c>
      <c r="CE350" s="113">
        <v>45236</v>
      </c>
      <c r="CF350">
        <v>13211464</v>
      </c>
      <c r="CG350">
        <v>47898</v>
      </c>
      <c r="CH350">
        <v>13259362</v>
      </c>
      <c r="CI350" s="46">
        <f t="shared" si="99"/>
        <v>99.638760899657171</v>
      </c>
      <c r="CJ350" s="71">
        <f t="shared" si="98"/>
        <v>13.259361999999999</v>
      </c>
      <c r="CL350" s="140">
        <v>45204</v>
      </c>
      <c r="CM350" s="252" t="s">
        <v>239</v>
      </c>
      <c r="CN350">
        <v>2554</v>
      </c>
      <c r="CO350">
        <v>504</v>
      </c>
    </row>
    <row r="351" spans="1:93" hidden="1" x14ac:dyDescent="0.25">
      <c r="A351" s="215">
        <v>45237</v>
      </c>
      <c r="B351" s="104">
        <v>5547388</v>
      </c>
      <c r="C351" s="104">
        <v>1770</v>
      </c>
      <c r="D351" s="104">
        <v>5549158</v>
      </c>
      <c r="E351" s="104">
        <v>99.97</v>
      </c>
      <c r="F351" s="71">
        <f t="shared" si="105"/>
        <v>5.5491580000000003</v>
      </c>
      <c r="H351" s="215">
        <v>45237</v>
      </c>
      <c r="I351" s="101">
        <v>1701845</v>
      </c>
      <c r="J351" s="101">
        <v>609</v>
      </c>
      <c r="K351" s="101">
        <v>1702454</v>
      </c>
      <c r="L351" s="101">
        <v>99.96</v>
      </c>
      <c r="M351" s="71">
        <f t="shared" si="104"/>
        <v>1.7024539999999999</v>
      </c>
      <c r="O351" s="215">
        <v>45237</v>
      </c>
      <c r="P351" s="101">
        <v>432313</v>
      </c>
      <c r="Q351" s="101">
        <v>2</v>
      </c>
      <c r="R351" s="101">
        <v>432315</v>
      </c>
      <c r="S351" s="101">
        <v>100</v>
      </c>
      <c r="T351" s="71">
        <f>R351/1000000</f>
        <v>0.432315</v>
      </c>
      <c r="V351" s="113">
        <v>45237</v>
      </c>
      <c r="W351" s="101">
        <v>791750</v>
      </c>
      <c r="X351" s="101">
        <v>161</v>
      </c>
      <c r="Y351" s="101">
        <v>791911</v>
      </c>
      <c r="Z351" s="101">
        <v>99.98</v>
      </c>
      <c r="AA351" s="71">
        <f t="shared" si="100"/>
        <v>0.79191100000000003</v>
      </c>
      <c r="AC351" s="113">
        <v>45237</v>
      </c>
      <c r="AD351" s="101">
        <v>915920</v>
      </c>
      <c r="AE351" s="101">
        <v>3592</v>
      </c>
      <c r="AF351" s="101">
        <v>919512</v>
      </c>
      <c r="AG351" s="101">
        <v>99.61</v>
      </c>
      <c r="AH351" s="255">
        <f t="shared" si="102"/>
        <v>0.919512</v>
      </c>
      <c r="AJ351" s="215">
        <v>45237</v>
      </c>
      <c r="AK351" s="48">
        <v>0</v>
      </c>
      <c r="AL351" s="48">
        <v>36</v>
      </c>
      <c r="AM351" s="48">
        <v>41</v>
      </c>
      <c r="AN351" s="48">
        <v>0</v>
      </c>
      <c r="AQ351" s="215">
        <v>45237</v>
      </c>
      <c r="AR351" s="104">
        <v>2208</v>
      </c>
      <c r="AS351" s="104">
        <v>130</v>
      </c>
      <c r="AT351" s="104">
        <v>2338</v>
      </c>
      <c r="AU351" s="104">
        <v>94.44</v>
      </c>
      <c r="AX351" s="215">
        <v>45237</v>
      </c>
      <c r="AY351" s="104">
        <v>1818</v>
      </c>
      <c r="AZ351" s="104">
        <v>49</v>
      </c>
      <c r="BA351" s="104">
        <v>1867</v>
      </c>
      <c r="BB351" s="104">
        <v>97.38</v>
      </c>
      <c r="BE351" s="113">
        <v>45237</v>
      </c>
      <c r="BF351" s="101">
        <v>9101</v>
      </c>
      <c r="BG351" s="101">
        <v>230</v>
      </c>
      <c r="BH351" s="101">
        <v>9331</v>
      </c>
      <c r="BI351" s="101">
        <v>97.54</v>
      </c>
      <c r="BL351" s="113">
        <v>45237</v>
      </c>
      <c r="BM351" s="101">
        <v>7936</v>
      </c>
      <c r="BN351" s="101">
        <v>0</v>
      </c>
      <c r="BO351" s="101">
        <v>7936</v>
      </c>
      <c r="BP351" s="101">
        <v>100</v>
      </c>
      <c r="BS351" s="215">
        <v>45237</v>
      </c>
      <c r="BT351" s="104">
        <v>35013</v>
      </c>
      <c r="BU351" s="104">
        <v>232</v>
      </c>
      <c r="BV351" s="104">
        <v>35245</v>
      </c>
      <c r="BW351" s="104">
        <v>99.34</v>
      </c>
      <c r="BZ351" s="215">
        <v>45237</v>
      </c>
      <c r="CA351" s="48">
        <v>31746700</v>
      </c>
      <c r="CB351" s="48">
        <v>2152177</v>
      </c>
      <c r="CC351" s="71">
        <f t="shared" si="101"/>
        <v>14.750970761233857</v>
      </c>
      <c r="CE351" s="113">
        <v>45237</v>
      </c>
      <c r="CF351">
        <v>11650761</v>
      </c>
      <c r="CG351">
        <v>16947</v>
      </c>
      <c r="CH351">
        <v>11667708</v>
      </c>
      <c r="CI351" s="46">
        <f t="shared" si="99"/>
        <v>99.854752964335404</v>
      </c>
      <c r="CJ351" s="71">
        <f t="shared" si="98"/>
        <v>11.667707999999999</v>
      </c>
      <c r="CL351" s="140">
        <v>45204</v>
      </c>
      <c r="CM351" s="252" t="s">
        <v>240</v>
      </c>
      <c r="CN351">
        <v>2532</v>
      </c>
      <c r="CO351">
        <v>516</v>
      </c>
    </row>
    <row r="352" spans="1:93" hidden="1" x14ac:dyDescent="0.25">
      <c r="A352" s="215">
        <v>45238</v>
      </c>
      <c r="B352" s="104">
        <v>5238197</v>
      </c>
      <c r="C352" s="104">
        <v>1405</v>
      </c>
      <c r="D352" s="104">
        <v>5239602</v>
      </c>
      <c r="E352" s="104">
        <v>99.97</v>
      </c>
      <c r="F352" s="71">
        <f t="shared" si="105"/>
        <v>5.2396019999999996</v>
      </c>
      <c r="H352" s="215">
        <v>45238</v>
      </c>
      <c r="I352" s="101">
        <v>1193494</v>
      </c>
      <c r="J352" s="101">
        <v>346</v>
      </c>
      <c r="K352" s="101">
        <v>1193840</v>
      </c>
      <c r="L352" s="101">
        <v>99.97</v>
      </c>
      <c r="M352" s="71">
        <f t="shared" si="104"/>
        <v>1.19384</v>
      </c>
      <c r="O352" s="215">
        <v>45238</v>
      </c>
      <c r="P352" s="101">
        <v>367233</v>
      </c>
      <c r="Q352" s="101">
        <v>1</v>
      </c>
      <c r="R352" s="101">
        <v>367234</v>
      </c>
      <c r="S352" s="101">
        <v>100</v>
      </c>
      <c r="T352" s="71">
        <f>R352/1000000</f>
        <v>0.367234</v>
      </c>
      <c r="V352" s="113">
        <v>45238</v>
      </c>
      <c r="W352" s="101">
        <v>742877</v>
      </c>
      <c r="X352" s="101">
        <v>117</v>
      </c>
      <c r="Y352" s="101">
        <v>742994</v>
      </c>
      <c r="Z352" s="101">
        <v>99.98</v>
      </c>
      <c r="AA352" s="71">
        <f t="shared" si="100"/>
        <v>0.74299400000000004</v>
      </c>
      <c r="AC352" s="113">
        <v>45238</v>
      </c>
      <c r="AD352" s="101">
        <v>743940</v>
      </c>
      <c r="AE352" s="101">
        <v>1202</v>
      </c>
      <c r="AF352" s="101">
        <v>745142</v>
      </c>
      <c r="AG352" s="101">
        <v>99.84</v>
      </c>
      <c r="AH352" s="255">
        <f t="shared" si="102"/>
        <v>0.74514199999999997</v>
      </c>
      <c r="AJ352" s="215">
        <v>45238</v>
      </c>
      <c r="AK352" s="48">
        <v>0</v>
      </c>
      <c r="AL352" s="48">
        <v>29</v>
      </c>
      <c r="AM352" s="48">
        <v>29</v>
      </c>
      <c r="AN352" s="48">
        <v>0</v>
      </c>
      <c r="AQ352" s="215">
        <v>45238</v>
      </c>
      <c r="AR352" s="104">
        <v>2042</v>
      </c>
      <c r="AS352" s="104">
        <v>138</v>
      </c>
      <c r="AT352" s="104">
        <v>2180</v>
      </c>
      <c r="AU352" s="104">
        <v>93.67</v>
      </c>
      <c r="AX352" s="215">
        <v>45238</v>
      </c>
      <c r="AY352" s="104">
        <v>1482</v>
      </c>
      <c r="AZ352" s="104">
        <v>42</v>
      </c>
      <c r="BA352" s="104">
        <v>1524</v>
      </c>
      <c r="BB352" s="104">
        <v>97.24</v>
      </c>
      <c r="BE352" s="113">
        <v>45238</v>
      </c>
      <c r="BF352" s="101">
        <v>7477</v>
      </c>
      <c r="BG352" s="101">
        <v>154</v>
      </c>
      <c r="BH352" s="101">
        <v>7631</v>
      </c>
      <c r="BI352" s="101">
        <v>97.98</v>
      </c>
      <c r="BL352" s="113">
        <v>45238</v>
      </c>
      <c r="BM352" s="101">
        <v>9344</v>
      </c>
      <c r="BN352" s="101">
        <v>0</v>
      </c>
      <c r="BO352" s="101">
        <v>9344</v>
      </c>
      <c r="BP352" s="101">
        <v>100</v>
      </c>
      <c r="BS352" s="215">
        <v>45238</v>
      </c>
      <c r="BT352" s="104">
        <v>34649</v>
      </c>
      <c r="BU352" s="104">
        <v>0</v>
      </c>
      <c r="BV352" s="104">
        <v>34649</v>
      </c>
      <c r="BW352" s="104">
        <v>100</v>
      </c>
      <c r="BZ352" s="215">
        <v>45238</v>
      </c>
      <c r="CA352" s="48">
        <v>29704646</v>
      </c>
      <c r="CB352" s="48">
        <v>2016763</v>
      </c>
      <c r="CC352" s="71">
        <f t="shared" si="101"/>
        <v>14.728872951358191</v>
      </c>
      <c r="CE352" s="113">
        <v>45238</v>
      </c>
      <c r="CF352">
        <v>10230356</v>
      </c>
      <c r="CG352">
        <v>11522</v>
      </c>
      <c r="CH352">
        <v>10241878</v>
      </c>
      <c r="CI352" s="46">
        <f t="shared" si="99"/>
        <v>99.887501100872328</v>
      </c>
      <c r="CJ352" s="71">
        <f t="shared" si="98"/>
        <v>10.241878</v>
      </c>
      <c r="CL352" s="140">
        <v>45204</v>
      </c>
      <c r="CM352" t="s">
        <v>250</v>
      </c>
      <c r="CN352">
        <v>1255</v>
      </c>
      <c r="CO352">
        <v>549</v>
      </c>
    </row>
    <row r="353" spans="1:93" hidden="1" x14ac:dyDescent="0.25">
      <c r="A353" s="215">
        <v>45239</v>
      </c>
      <c r="B353" s="104">
        <v>5070163</v>
      </c>
      <c r="C353" s="104">
        <v>2368</v>
      </c>
      <c r="D353" s="104">
        <v>5072531</v>
      </c>
      <c r="E353" s="104">
        <v>99.95</v>
      </c>
      <c r="F353" s="71">
        <f t="shared" si="105"/>
        <v>5.0725309999999997</v>
      </c>
      <c r="H353" s="215">
        <v>45239</v>
      </c>
      <c r="I353" s="101">
        <v>1184813</v>
      </c>
      <c r="J353" s="101">
        <v>291</v>
      </c>
      <c r="K353" s="101">
        <v>1185104</v>
      </c>
      <c r="L353" s="101">
        <v>99.98</v>
      </c>
      <c r="M353" s="71">
        <f t="shared" si="104"/>
        <v>1.1851039999999999</v>
      </c>
      <c r="O353" s="215">
        <v>45239</v>
      </c>
      <c r="P353" s="101">
        <v>373769</v>
      </c>
      <c r="Q353" s="101">
        <v>29</v>
      </c>
      <c r="R353" s="101">
        <v>373798</v>
      </c>
      <c r="S353" s="101">
        <v>99.99</v>
      </c>
      <c r="T353" s="71">
        <f>R353/1000000</f>
        <v>0.37379800000000002</v>
      </c>
      <c r="V353" s="113">
        <v>45239</v>
      </c>
      <c r="W353" s="101">
        <v>761618</v>
      </c>
      <c r="X353" s="101">
        <v>144</v>
      </c>
      <c r="Y353" s="101">
        <v>761762</v>
      </c>
      <c r="Z353" s="101">
        <v>99.98</v>
      </c>
      <c r="AA353" s="71">
        <f t="shared" si="100"/>
        <v>0.76176200000000005</v>
      </c>
      <c r="AC353" s="113">
        <v>45239</v>
      </c>
      <c r="AD353" s="101">
        <v>828280</v>
      </c>
      <c r="AE353" s="101">
        <v>1482</v>
      </c>
      <c r="AF353" s="101">
        <v>829762</v>
      </c>
      <c r="AG353" s="101">
        <v>99.82</v>
      </c>
      <c r="AH353" s="255">
        <f t="shared" si="102"/>
        <v>0.829762</v>
      </c>
      <c r="AJ353" s="215">
        <v>45239</v>
      </c>
      <c r="AK353" s="48">
        <v>0</v>
      </c>
      <c r="AL353" s="48">
        <v>42</v>
      </c>
      <c r="AM353" s="48">
        <v>42</v>
      </c>
      <c r="AN353" s="48">
        <v>0</v>
      </c>
      <c r="AQ353" s="215">
        <v>45239</v>
      </c>
      <c r="AR353" s="104">
        <v>1277</v>
      </c>
      <c r="AS353" s="104">
        <v>78</v>
      </c>
      <c r="AT353" s="104">
        <v>1355</v>
      </c>
      <c r="AU353" s="104">
        <v>94.24</v>
      </c>
      <c r="AX353" s="215">
        <v>45239</v>
      </c>
      <c r="AY353" s="104">
        <v>1778</v>
      </c>
      <c r="AZ353" s="104">
        <v>33</v>
      </c>
      <c r="BA353" s="104">
        <v>1811</v>
      </c>
      <c r="BB353" s="104">
        <v>98.18</v>
      </c>
      <c r="BE353" s="113">
        <v>45239</v>
      </c>
      <c r="BF353" s="101">
        <v>4057</v>
      </c>
      <c r="BG353" s="101">
        <v>103</v>
      </c>
      <c r="BH353" s="101">
        <v>4160</v>
      </c>
      <c r="BI353" s="101">
        <v>97.52</v>
      </c>
      <c r="BL353" s="113">
        <v>45239</v>
      </c>
      <c r="BM353" s="101">
        <v>10320</v>
      </c>
      <c r="BN353" s="101">
        <v>0</v>
      </c>
      <c r="BO353" s="101">
        <v>10320</v>
      </c>
      <c r="BP353" s="101">
        <v>100</v>
      </c>
      <c r="BS353" s="215">
        <v>45239</v>
      </c>
      <c r="BT353" s="104">
        <v>24126</v>
      </c>
      <c r="BU353" s="104">
        <v>0</v>
      </c>
      <c r="BV353" s="104">
        <v>24126</v>
      </c>
      <c r="BW353" s="104">
        <v>100</v>
      </c>
      <c r="BZ353" s="215">
        <v>45239</v>
      </c>
      <c r="CA353" s="48">
        <v>29453421</v>
      </c>
      <c r="CB353" s="48">
        <v>1960373</v>
      </c>
      <c r="CC353" s="71">
        <f t="shared" si="101"/>
        <v>15.024396377628134</v>
      </c>
      <c r="CE353" s="113">
        <v>45239</v>
      </c>
      <c r="CF353">
        <v>10130407</v>
      </c>
      <c r="CG353">
        <v>11585</v>
      </c>
      <c r="CH353">
        <v>10141992</v>
      </c>
      <c r="CI353" s="46">
        <f t="shared" si="99"/>
        <v>99.885771946970578</v>
      </c>
      <c r="CJ353" s="71">
        <f t="shared" si="98"/>
        <v>10.141992</v>
      </c>
      <c r="CL353" s="140">
        <v>45204</v>
      </c>
      <c r="CM353" t="s">
        <v>238</v>
      </c>
      <c r="CN353">
        <v>802</v>
      </c>
      <c r="CO353">
        <v>503</v>
      </c>
    </row>
    <row r="354" spans="1:93" hidden="1" x14ac:dyDescent="0.25">
      <c r="A354" s="215">
        <v>45240</v>
      </c>
      <c r="B354" s="104">
        <v>5365695</v>
      </c>
      <c r="C354" s="104">
        <v>5179</v>
      </c>
      <c r="D354" s="104">
        <v>5370874</v>
      </c>
      <c r="E354" s="104">
        <v>99.9</v>
      </c>
      <c r="F354" s="71">
        <f t="shared" si="105"/>
        <v>5.3708739999999997</v>
      </c>
      <c r="H354" s="215">
        <v>45240</v>
      </c>
      <c r="I354" s="101">
        <v>1389614</v>
      </c>
      <c r="J354" s="101">
        <v>518</v>
      </c>
      <c r="K354" s="101">
        <v>1390132</v>
      </c>
      <c r="L354" s="101">
        <v>99.96</v>
      </c>
      <c r="M354" s="71">
        <f t="shared" si="104"/>
        <v>1.3901319999999999</v>
      </c>
      <c r="O354" s="215">
        <v>45240</v>
      </c>
      <c r="P354" s="101">
        <v>384152</v>
      </c>
      <c r="Q354" s="101">
        <v>20</v>
      </c>
      <c r="R354" s="101">
        <v>384172</v>
      </c>
      <c r="S354" s="101">
        <v>99.99</v>
      </c>
      <c r="T354" s="71">
        <f t="shared" ref="T354:T417" si="107">R354/1000000</f>
        <v>0.38417200000000001</v>
      </c>
      <c r="V354" s="113">
        <v>45240</v>
      </c>
      <c r="W354" s="101">
        <v>814950</v>
      </c>
      <c r="X354" s="101">
        <v>458</v>
      </c>
      <c r="Y354" s="101">
        <v>815408</v>
      </c>
      <c r="Z354" s="101">
        <v>99.94</v>
      </c>
      <c r="AA354" s="71">
        <f t="shared" si="100"/>
        <v>0.81540800000000002</v>
      </c>
      <c r="AC354" s="113">
        <v>45240</v>
      </c>
      <c r="AD354" s="101">
        <v>772299</v>
      </c>
      <c r="AE354" s="101">
        <v>311</v>
      </c>
      <c r="AF354" s="101">
        <v>772610</v>
      </c>
      <c r="AG354" s="101">
        <v>99.96</v>
      </c>
      <c r="AH354" s="255">
        <f t="shared" si="102"/>
        <v>0.77261000000000002</v>
      </c>
      <c r="AJ354" s="215">
        <v>45240</v>
      </c>
      <c r="AK354" s="48">
        <v>0</v>
      </c>
      <c r="AL354" s="48">
        <v>92</v>
      </c>
      <c r="AM354" s="48">
        <v>92</v>
      </c>
      <c r="AN354" s="48">
        <v>0</v>
      </c>
      <c r="AQ354" s="215">
        <v>45240</v>
      </c>
      <c r="AR354" s="104">
        <v>1373</v>
      </c>
      <c r="AS354" s="104">
        <v>70</v>
      </c>
      <c r="AT354" s="104">
        <v>1443</v>
      </c>
      <c r="AU354" s="104">
        <v>95.15</v>
      </c>
      <c r="AX354" s="215">
        <v>45240</v>
      </c>
      <c r="AY354" s="104">
        <v>1479</v>
      </c>
      <c r="AZ354" s="104">
        <v>38</v>
      </c>
      <c r="BA354" s="104">
        <v>1517</v>
      </c>
      <c r="BB354" s="104">
        <v>97.5</v>
      </c>
      <c r="BE354" s="113">
        <v>45240</v>
      </c>
      <c r="BF354" s="101">
        <v>6078</v>
      </c>
      <c r="BG354" s="101">
        <v>111</v>
      </c>
      <c r="BH354" s="101">
        <v>6189</v>
      </c>
      <c r="BI354" s="101">
        <v>98.21</v>
      </c>
      <c r="BL354" s="113">
        <v>45240</v>
      </c>
      <c r="BM354" s="101">
        <v>9675</v>
      </c>
      <c r="BN354" s="101">
        <v>0</v>
      </c>
      <c r="BO354" s="101">
        <v>9675</v>
      </c>
      <c r="BP354" s="101">
        <v>100</v>
      </c>
      <c r="BS354" s="215">
        <v>45240</v>
      </c>
      <c r="BT354" s="104">
        <v>28349</v>
      </c>
      <c r="BU354" s="104">
        <v>0</v>
      </c>
      <c r="BV354" s="104">
        <v>28349</v>
      </c>
      <c r="BW354" s="104">
        <v>100</v>
      </c>
      <c r="BZ354" s="215">
        <v>45240</v>
      </c>
      <c r="CA354" s="48">
        <v>32071615</v>
      </c>
      <c r="CB354" s="48">
        <v>2092517</v>
      </c>
      <c r="CC354" s="71">
        <f t="shared" si="101"/>
        <v>15.326812159710052</v>
      </c>
      <c r="CE354" s="113">
        <v>45240</v>
      </c>
      <c r="CF354">
        <v>10780334</v>
      </c>
      <c r="CG354">
        <v>13257</v>
      </c>
      <c r="CH354">
        <v>10793591</v>
      </c>
      <c r="CI354" s="46">
        <f t="shared" si="99"/>
        <v>99.877177113714978</v>
      </c>
      <c r="CJ354" s="71">
        <f t="shared" si="98"/>
        <v>10.793590999999999</v>
      </c>
      <c r="CL354" s="140">
        <v>45207</v>
      </c>
      <c r="CM354" t="s">
        <v>237</v>
      </c>
      <c r="CN354">
        <v>22132</v>
      </c>
      <c r="CO354">
        <v>527</v>
      </c>
    </row>
    <row r="355" spans="1:93" hidden="1" x14ac:dyDescent="0.25">
      <c r="A355" s="215">
        <v>45241</v>
      </c>
      <c r="B355" s="104">
        <v>5247370</v>
      </c>
      <c r="C355" s="104">
        <v>3670</v>
      </c>
      <c r="D355" s="104">
        <v>5251040</v>
      </c>
      <c r="E355" s="104">
        <v>99.93</v>
      </c>
      <c r="F355" s="71">
        <f t="shared" si="105"/>
        <v>5.2510399999999997</v>
      </c>
      <c r="H355" s="215">
        <v>45241</v>
      </c>
      <c r="I355" s="101">
        <v>1310372</v>
      </c>
      <c r="J355" s="101">
        <v>520</v>
      </c>
      <c r="K355" s="101">
        <v>1310892</v>
      </c>
      <c r="L355" s="101">
        <v>99.96</v>
      </c>
      <c r="M355" s="71">
        <f t="shared" si="104"/>
        <v>1.3108919999999999</v>
      </c>
      <c r="O355" s="215">
        <v>45241</v>
      </c>
      <c r="P355" s="101">
        <v>402602</v>
      </c>
      <c r="Q355" s="101">
        <v>12</v>
      </c>
      <c r="R355" s="101">
        <v>402614</v>
      </c>
      <c r="S355" s="101">
        <v>100</v>
      </c>
      <c r="T355" s="71">
        <f t="shared" si="107"/>
        <v>0.40261400000000003</v>
      </c>
      <c r="V355" s="113">
        <v>45241</v>
      </c>
      <c r="W355" s="101">
        <v>800032</v>
      </c>
      <c r="X355" s="101">
        <v>326</v>
      </c>
      <c r="Y355" s="101">
        <v>800358</v>
      </c>
      <c r="Z355" s="101">
        <v>99.96</v>
      </c>
      <c r="AA355" s="71">
        <f t="shared" si="100"/>
        <v>0.80035800000000001</v>
      </c>
      <c r="AC355" s="113">
        <v>45241</v>
      </c>
      <c r="AD355" s="101">
        <v>801382</v>
      </c>
      <c r="AE355" s="101">
        <v>1742</v>
      </c>
      <c r="AF355" s="101">
        <v>803124</v>
      </c>
      <c r="AG355" s="101">
        <v>99.78</v>
      </c>
      <c r="AH355" s="255">
        <f t="shared" si="102"/>
        <v>0.80312399999999995</v>
      </c>
      <c r="AJ355" s="215">
        <v>45241</v>
      </c>
      <c r="AK355" s="48">
        <v>0</v>
      </c>
      <c r="AL355" s="48">
        <v>66</v>
      </c>
      <c r="AM355" s="48">
        <v>66</v>
      </c>
      <c r="AN355" s="48">
        <v>0</v>
      </c>
      <c r="AQ355" s="215">
        <v>45241</v>
      </c>
      <c r="AR355" s="104">
        <v>916</v>
      </c>
      <c r="AS355" s="104">
        <v>64</v>
      </c>
      <c r="AT355" s="104">
        <v>980</v>
      </c>
      <c r="AU355" s="104">
        <v>93.47</v>
      </c>
      <c r="AX355" s="215">
        <v>45241</v>
      </c>
      <c r="AY355" s="104">
        <v>1254</v>
      </c>
      <c r="AZ355" s="104">
        <v>46</v>
      </c>
      <c r="BA355" s="104">
        <v>1300</v>
      </c>
      <c r="BB355" s="104">
        <v>96.46</v>
      </c>
      <c r="BE355" s="113">
        <v>45241</v>
      </c>
      <c r="BF355" s="101">
        <v>38250</v>
      </c>
      <c r="BG355" s="101">
        <v>11092</v>
      </c>
      <c r="BH355" s="101">
        <v>49342</v>
      </c>
      <c r="BI355" s="101">
        <v>77.52</v>
      </c>
      <c r="BL355" s="113">
        <v>45241</v>
      </c>
      <c r="BM355" s="101">
        <v>10008</v>
      </c>
      <c r="BN355" s="101">
        <v>0</v>
      </c>
      <c r="BO355" s="101">
        <v>10008</v>
      </c>
      <c r="BP355" s="101">
        <v>100</v>
      </c>
      <c r="BS355" s="215">
        <v>45241</v>
      </c>
      <c r="BT355" s="104">
        <v>53214</v>
      </c>
      <c r="BU355" s="104">
        <v>0</v>
      </c>
      <c r="BV355" s="104">
        <v>53214</v>
      </c>
      <c r="BW355" s="104">
        <v>100</v>
      </c>
      <c r="BZ355" s="215">
        <v>45241</v>
      </c>
      <c r="CA355" s="48">
        <v>31884423</v>
      </c>
      <c r="CB355" s="48">
        <v>2090686</v>
      </c>
      <c r="CC355" s="71">
        <f t="shared" si="101"/>
        <v>15.25069905284677</v>
      </c>
      <c r="CE355" s="113">
        <v>45241</v>
      </c>
      <c r="CF355">
        <v>10711650</v>
      </c>
      <c r="CG355">
        <v>24434</v>
      </c>
      <c r="CH355">
        <v>10736084</v>
      </c>
      <c r="CI355" s="46">
        <f t="shared" si="99"/>
        <v>99.772412361900308</v>
      </c>
      <c r="CJ355" s="71">
        <f t="shared" ref="CJ355:CJ418" si="108">CH355/1000000</f>
        <v>10.736084</v>
      </c>
      <c r="CL355" s="140">
        <v>45207</v>
      </c>
      <c r="CM355" s="252" t="s">
        <v>243</v>
      </c>
      <c r="CN355">
        <v>13506</v>
      </c>
      <c r="CO355">
        <v>540</v>
      </c>
    </row>
    <row r="356" spans="1:93" hidden="1" x14ac:dyDescent="0.25">
      <c r="A356" s="215">
        <v>45242</v>
      </c>
      <c r="B356" s="104">
        <v>4549608</v>
      </c>
      <c r="C356" s="104">
        <v>2878</v>
      </c>
      <c r="D356" s="104">
        <v>4552486</v>
      </c>
      <c r="E356" s="104">
        <v>99.94</v>
      </c>
      <c r="F356" s="71">
        <f t="shared" si="105"/>
        <v>4.552486</v>
      </c>
      <c r="H356" s="215">
        <v>45242</v>
      </c>
      <c r="I356" s="101">
        <v>1305420</v>
      </c>
      <c r="J356" s="101">
        <v>648</v>
      </c>
      <c r="K356" s="101">
        <v>1306068</v>
      </c>
      <c r="L356" s="101">
        <v>99.95</v>
      </c>
      <c r="M356" s="71">
        <f t="shared" si="104"/>
        <v>1.306068</v>
      </c>
      <c r="O356" s="215">
        <v>45242</v>
      </c>
      <c r="P356" s="101">
        <v>419668</v>
      </c>
      <c r="Q356" s="101">
        <v>128</v>
      </c>
      <c r="R356" s="101">
        <v>419796</v>
      </c>
      <c r="S356" s="101">
        <v>99.97</v>
      </c>
      <c r="T356" s="71">
        <f t="shared" si="107"/>
        <v>0.419796</v>
      </c>
      <c r="V356" s="113">
        <v>45242</v>
      </c>
      <c r="W356" s="101">
        <v>813296</v>
      </c>
      <c r="X356" s="101">
        <v>456</v>
      </c>
      <c r="Y356" s="101">
        <v>813752</v>
      </c>
      <c r="Z356" s="101">
        <v>99.94</v>
      </c>
      <c r="AA356" s="71">
        <f t="shared" si="100"/>
        <v>0.81375200000000003</v>
      </c>
      <c r="AC356" s="113">
        <v>45242</v>
      </c>
      <c r="AD356" s="101">
        <v>759262</v>
      </c>
      <c r="AE356" s="101">
        <v>282</v>
      </c>
      <c r="AF356" s="101">
        <v>759544</v>
      </c>
      <c r="AG356" s="101">
        <v>99.96</v>
      </c>
      <c r="AH356" s="255">
        <f t="shared" si="102"/>
        <v>0.759544</v>
      </c>
      <c r="AJ356" s="215">
        <v>45242</v>
      </c>
      <c r="AK356" s="48">
        <v>0</v>
      </c>
      <c r="AL356" s="48">
        <v>50</v>
      </c>
      <c r="AM356" s="48">
        <v>50</v>
      </c>
      <c r="AN356" s="48">
        <v>0</v>
      </c>
      <c r="AQ356" s="215">
        <v>45242</v>
      </c>
      <c r="AR356" s="104">
        <v>940</v>
      </c>
      <c r="AS356" s="104">
        <v>64</v>
      </c>
      <c r="AT356" s="104">
        <v>1004</v>
      </c>
      <c r="AU356" s="104">
        <v>93.63</v>
      </c>
      <c r="AX356" s="215">
        <v>45242</v>
      </c>
      <c r="AY356" s="104">
        <v>152</v>
      </c>
      <c r="AZ356" s="104">
        <v>94</v>
      </c>
      <c r="BA356" s="104">
        <v>246</v>
      </c>
      <c r="BB356" s="104">
        <v>61.79</v>
      </c>
      <c r="BE356" s="113">
        <v>45242</v>
      </c>
      <c r="BF356" s="101">
        <v>18872</v>
      </c>
      <c r="BG356" s="101">
        <v>326</v>
      </c>
      <c r="BH356" s="101">
        <v>19198</v>
      </c>
      <c r="BI356" s="101">
        <v>98.3</v>
      </c>
      <c r="BL356" s="113">
        <v>45242</v>
      </c>
      <c r="BM356" s="101">
        <v>4306</v>
      </c>
      <c r="BN356" s="101">
        <v>0</v>
      </c>
      <c r="BO356" s="101">
        <v>4306</v>
      </c>
      <c r="BP356" s="101">
        <v>100</v>
      </c>
      <c r="BS356" s="215">
        <v>45242</v>
      </c>
      <c r="BT356" s="104">
        <v>47194</v>
      </c>
      <c r="BU356" s="104">
        <v>0</v>
      </c>
      <c r="BV356" s="104">
        <v>47194</v>
      </c>
      <c r="BW356" s="104">
        <v>100</v>
      </c>
      <c r="BZ356" s="215">
        <v>45242</v>
      </c>
      <c r="CA356" s="48">
        <v>28489696</v>
      </c>
      <c r="CB356" s="48">
        <v>1901962</v>
      </c>
      <c r="CC356" s="71">
        <f t="shared" si="101"/>
        <v>14.9791089411881</v>
      </c>
      <c r="CE356" s="113">
        <v>45242</v>
      </c>
      <c r="CF356">
        <v>9833610</v>
      </c>
      <c r="CG356">
        <v>11738</v>
      </c>
      <c r="CH356">
        <v>9845348</v>
      </c>
      <c r="CI356" s="46">
        <f t="shared" si="99"/>
        <v>99.880776179775467</v>
      </c>
      <c r="CJ356" s="71">
        <f t="shared" si="108"/>
        <v>9.8453479999999995</v>
      </c>
      <c r="CL356" s="140">
        <v>45207</v>
      </c>
      <c r="CM356" s="252" t="s">
        <v>251</v>
      </c>
      <c r="CN356">
        <v>4726</v>
      </c>
      <c r="CO356">
        <v>539</v>
      </c>
    </row>
    <row r="357" spans="1:93" hidden="1" x14ac:dyDescent="0.25">
      <c r="A357" s="215">
        <v>45243</v>
      </c>
      <c r="B357" s="104">
        <v>5386226</v>
      </c>
      <c r="C357" s="104">
        <v>5099</v>
      </c>
      <c r="D357" s="104">
        <v>5391325</v>
      </c>
      <c r="E357" s="104">
        <v>99.91</v>
      </c>
      <c r="F357" s="71">
        <f t="shared" si="105"/>
        <v>5.3913250000000001</v>
      </c>
      <c r="H357" s="215">
        <v>45243</v>
      </c>
      <c r="I357" s="101">
        <v>1358665</v>
      </c>
      <c r="J357" s="101">
        <v>1239</v>
      </c>
      <c r="K357" s="101">
        <v>1359904</v>
      </c>
      <c r="L357" s="101">
        <v>99.91</v>
      </c>
      <c r="M357" s="71">
        <f t="shared" si="104"/>
        <v>1.359904</v>
      </c>
      <c r="O357" s="215">
        <v>45243</v>
      </c>
      <c r="P357" s="101">
        <v>399551</v>
      </c>
      <c r="Q357" s="101">
        <v>48</v>
      </c>
      <c r="R357" s="101">
        <v>399599</v>
      </c>
      <c r="S357" s="101">
        <v>99.99</v>
      </c>
      <c r="T357" s="71">
        <f t="shared" si="107"/>
        <v>0.39959899999999998</v>
      </c>
      <c r="V357" s="113">
        <v>45243</v>
      </c>
      <c r="W357" s="101">
        <v>909179</v>
      </c>
      <c r="X357" s="101">
        <v>838</v>
      </c>
      <c r="Y357" s="101">
        <v>910017</v>
      </c>
      <c r="Z357" s="101">
        <v>99.91</v>
      </c>
      <c r="AA357" s="71">
        <f t="shared" si="100"/>
        <v>0.91001699999999996</v>
      </c>
      <c r="AC357" s="113">
        <v>45243</v>
      </c>
      <c r="AD357" s="101">
        <v>746293</v>
      </c>
      <c r="AE357" s="101">
        <v>212</v>
      </c>
      <c r="AF357" s="101">
        <v>746505</v>
      </c>
      <c r="AG357" s="101">
        <v>99.97</v>
      </c>
      <c r="AH357" s="255">
        <f t="shared" si="102"/>
        <v>0.74650499999999997</v>
      </c>
      <c r="AJ357" s="215">
        <v>45243</v>
      </c>
      <c r="AK357" s="48">
        <v>0</v>
      </c>
      <c r="AL357" s="48">
        <v>17</v>
      </c>
      <c r="AM357" s="48">
        <v>17</v>
      </c>
      <c r="AN357" s="48">
        <v>0</v>
      </c>
      <c r="AQ357" s="215">
        <v>45243</v>
      </c>
      <c r="AR357" s="104">
        <v>1624</v>
      </c>
      <c r="AS357" s="104">
        <v>78</v>
      </c>
      <c r="AT357" s="104">
        <v>1702</v>
      </c>
      <c r="AU357" s="104">
        <v>95.42</v>
      </c>
      <c r="AX357" s="215">
        <v>45243</v>
      </c>
      <c r="AY357" s="104">
        <v>2260</v>
      </c>
      <c r="AZ357" s="104">
        <v>28</v>
      </c>
      <c r="BA357" s="104">
        <v>2288</v>
      </c>
      <c r="BB357" s="104">
        <v>98.78</v>
      </c>
      <c r="BE357" s="113">
        <v>45243</v>
      </c>
      <c r="BF357" s="101">
        <v>11098</v>
      </c>
      <c r="BG357" s="101">
        <v>172</v>
      </c>
      <c r="BH357" s="101">
        <v>11270</v>
      </c>
      <c r="BI357" s="101">
        <v>98.47</v>
      </c>
      <c r="BL357" s="113">
        <v>45243</v>
      </c>
      <c r="BM357" s="101">
        <v>8343</v>
      </c>
      <c r="BN357" s="101">
        <v>0</v>
      </c>
      <c r="BO357" s="101">
        <v>8343</v>
      </c>
      <c r="BP357" s="101">
        <v>100</v>
      </c>
      <c r="BS357" s="215">
        <v>45243</v>
      </c>
      <c r="BT357" s="104">
        <v>14216</v>
      </c>
      <c r="BU357" s="104">
        <v>0</v>
      </c>
      <c r="BV357" s="104">
        <v>14216</v>
      </c>
      <c r="BW357" s="104">
        <v>100</v>
      </c>
      <c r="BZ357" s="215">
        <v>45243</v>
      </c>
      <c r="CA357" s="48">
        <v>31156850</v>
      </c>
      <c r="CB357" s="48">
        <v>1991114</v>
      </c>
      <c r="CC357" s="71">
        <f t="shared" si="101"/>
        <v>15.647948836681376</v>
      </c>
      <c r="CE357" s="113">
        <v>45243</v>
      </c>
      <c r="CF357">
        <v>10739811</v>
      </c>
      <c r="CG357">
        <v>14324</v>
      </c>
      <c r="CH357">
        <v>10754135</v>
      </c>
      <c r="CI357" s="46">
        <f t="shared" si="99"/>
        <v>99.86680472209062</v>
      </c>
      <c r="CJ357" s="71">
        <f t="shared" si="108"/>
        <v>10.754135</v>
      </c>
      <c r="CL357" s="140">
        <v>45207</v>
      </c>
      <c r="CM357" s="252" t="s">
        <v>239</v>
      </c>
      <c r="CN357">
        <v>3184</v>
      </c>
      <c r="CO357">
        <v>504</v>
      </c>
    </row>
    <row r="358" spans="1:93" hidden="1" x14ac:dyDescent="0.25">
      <c r="A358" s="215">
        <v>45244</v>
      </c>
      <c r="B358" s="104">
        <v>5963068</v>
      </c>
      <c r="C358" s="104">
        <v>5138</v>
      </c>
      <c r="D358" s="104">
        <v>5968206</v>
      </c>
      <c r="E358" s="104">
        <v>99.91</v>
      </c>
      <c r="F358" s="71">
        <f t="shared" si="105"/>
        <v>5.9682060000000003</v>
      </c>
      <c r="H358" s="215">
        <v>45244</v>
      </c>
      <c r="I358" s="101">
        <v>1574746</v>
      </c>
      <c r="J358" s="101">
        <v>514</v>
      </c>
      <c r="K358" s="101">
        <v>1575260</v>
      </c>
      <c r="L358" s="101">
        <v>99.97</v>
      </c>
      <c r="M358" s="71">
        <f t="shared" si="104"/>
        <v>1.5752600000000001</v>
      </c>
      <c r="O358" s="215">
        <v>45244</v>
      </c>
      <c r="P358" s="101">
        <v>402326</v>
      </c>
      <c r="Q358" s="101">
        <v>46</v>
      </c>
      <c r="R358" s="101">
        <v>402372</v>
      </c>
      <c r="S358" s="101">
        <v>99.99</v>
      </c>
      <c r="T358" s="71">
        <f t="shared" si="107"/>
        <v>0.40237200000000001</v>
      </c>
      <c r="V358" s="113">
        <v>45244</v>
      </c>
      <c r="W358" s="101">
        <v>1003050</v>
      </c>
      <c r="X358" s="101">
        <v>494</v>
      </c>
      <c r="Y358" s="101">
        <v>1003544</v>
      </c>
      <c r="Z358" s="101">
        <v>99.95</v>
      </c>
      <c r="AA358" s="71">
        <f t="shared" si="100"/>
        <v>1.003544</v>
      </c>
      <c r="AC358" s="113">
        <v>45244</v>
      </c>
      <c r="AD358" s="101">
        <v>774070</v>
      </c>
      <c r="AE358" s="101">
        <v>2070</v>
      </c>
      <c r="AF358" s="101">
        <v>776140</v>
      </c>
      <c r="AG358" s="101">
        <v>99.73</v>
      </c>
      <c r="AH358" s="255">
        <f t="shared" si="102"/>
        <v>0.77614000000000005</v>
      </c>
      <c r="AJ358" s="215">
        <v>45244</v>
      </c>
      <c r="AK358" s="48">
        <v>0</v>
      </c>
      <c r="AL358" s="48">
        <v>24</v>
      </c>
      <c r="AM358" s="48">
        <v>24</v>
      </c>
      <c r="AN358" s="48">
        <v>0</v>
      </c>
      <c r="AQ358" s="215">
        <v>45244</v>
      </c>
      <c r="AR358" s="104">
        <v>1844</v>
      </c>
      <c r="AS358" s="104">
        <v>104</v>
      </c>
      <c r="AT358" s="104">
        <v>1948</v>
      </c>
      <c r="AU358" s="104">
        <v>94.66</v>
      </c>
      <c r="AX358" s="215">
        <v>45244</v>
      </c>
      <c r="AY358" s="104">
        <v>1760</v>
      </c>
      <c r="AZ358" s="104">
        <v>70</v>
      </c>
      <c r="BA358" s="104">
        <v>1830</v>
      </c>
      <c r="BB358" s="104">
        <v>96.17</v>
      </c>
      <c r="BE358" s="113">
        <v>45244</v>
      </c>
      <c r="BF358" s="101">
        <v>11902</v>
      </c>
      <c r="BG358" s="101">
        <v>226</v>
      </c>
      <c r="BH358" s="101">
        <v>12128</v>
      </c>
      <c r="BI358" s="101">
        <v>98.14</v>
      </c>
      <c r="BL358" s="113">
        <v>45244</v>
      </c>
      <c r="BM358" s="101">
        <v>9840</v>
      </c>
      <c r="BN358" s="101">
        <v>0</v>
      </c>
      <c r="BO358" s="101">
        <v>9840</v>
      </c>
      <c r="BP358" s="101">
        <v>100</v>
      </c>
      <c r="BS358" s="215">
        <v>45244</v>
      </c>
      <c r="BT358" s="104">
        <v>7648</v>
      </c>
      <c r="BU358" s="104">
        <v>0</v>
      </c>
      <c r="BV358" s="104">
        <v>7648</v>
      </c>
      <c r="BW358" s="104">
        <v>100</v>
      </c>
      <c r="BZ358" s="215">
        <v>45244</v>
      </c>
      <c r="CA358" s="48">
        <v>34170439</v>
      </c>
      <c r="CB358" s="48">
        <v>2081283</v>
      </c>
      <c r="CC358" s="71">
        <f t="shared" si="101"/>
        <v>16.417968628004939</v>
      </c>
      <c r="CE358" s="113">
        <v>45244</v>
      </c>
      <c r="CF358">
        <v>11723636</v>
      </c>
      <c r="CG358">
        <v>15436</v>
      </c>
      <c r="CH358">
        <v>11739072</v>
      </c>
      <c r="CI358" s="46">
        <f t="shared" si="99"/>
        <v>99.868507493607666</v>
      </c>
      <c r="CJ358" s="71">
        <f t="shared" si="108"/>
        <v>11.739072</v>
      </c>
      <c r="CL358" s="140">
        <v>45207</v>
      </c>
      <c r="CM358" t="s">
        <v>250</v>
      </c>
      <c r="CN358">
        <v>2468</v>
      </c>
      <c r="CO358">
        <v>549</v>
      </c>
    </row>
    <row r="359" spans="1:93" hidden="1" x14ac:dyDescent="0.25">
      <c r="A359" s="215">
        <v>45245</v>
      </c>
      <c r="B359" s="104">
        <v>5806038</v>
      </c>
      <c r="C359" s="104">
        <v>3288</v>
      </c>
      <c r="D359" s="104">
        <v>5809326</v>
      </c>
      <c r="E359" s="104">
        <v>99.94</v>
      </c>
      <c r="F359" s="71">
        <f t="shared" si="105"/>
        <v>5.8093260000000004</v>
      </c>
      <c r="H359" s="215">
        <v>45245</v>
      </c>
      <c r="I359" s="101">
        <v>1351720</v>
      </c>
      <c r="J359" s="101">
        <v>322</v>
      </c>
      <c r="K359" s="101">
        <v>1352042</v>
      </c>
      <c r="L359" s="101">
        <v>99.98</v>
      </c>
      <c r="M359" s="71">
        <f t="shared" si="104"/>
        <v>1.352042</v>
      </c>
      <c r="O359" s="215">
        <v>45245</v>
      </c>
      <c r="P359" s="101">
        <v>412248</v>
      </c>
      <c r="Q359" s="101">
        <v>122</v>
      </c>
      <c r="R359" s="101">
        <v>412370</v>
      </c>
      <c r="S359" s="101">
        <v>99.97</v>
      </c>
      <c r="T359" s="71">
        <f t="shared" si="107"/>
        <v>0.41237000000000001</v>
      </c>
      <c r="V359" s="113">
        <v>45245</v>
      </c>
      <c r="W359" s="101">
        <v>967906</v>
      </c>
      <c r="X359" s="101">
        <v>508</v>
      </c>
      <c r="Y359" s="101">
        <v>968414</v>
      </c>
      <c r="Z359" s="101">
        <v>99.95</v>
      </c>
      <c r="AA359" s="71">
        <f t="shared" si="100"/>
        <v>0.968414</v>
      </c>
      <c r="AC359" s="113">
        <v>45245</v>
      </c>
      <c r="AD359" s="101">
        <v>769558</v>
      </c>
      <c r="AE359" s="101">
        <v>3000</v>
      </c>
      <c r="AF359" s="101">
        <v>772558</v>
      </c>
      <c r="AG359" s="101">
        <v>99.61</v>
      </c>
      <c r="AH359" s="255">
        <f t="shared" si="102"/>
        <v>0.77255799999999997</v>
      </c>
      <c r="AJ359" s="215">
        <v>45245</v>
      </c>
      <c r="AK359" s="48">
        <v>0</v>
      </c>
      <c r="AL359" s="48">
        <v>44</v>
      </c>
      <c r="AM359" s="48">
        <v>44</v>
      </c>
      <c r="AN359" s="48">
        <v>0</v>
      </c>
      <c r="AQ359" s="215">
        <v>45245</v>
      </c>
      <c r="AR359" s="104">
        <v>1254</v>
      </c>
      <c r="AS359" s="104">
        <v>86</v>
      </c>
      <c r="AT359" s="104">
        <v>1340</v>
      </c>
      <c r="AU359" s="104">
        <v>93.58</v>
      </c>
      <c r="AX359" s="215">
        <v>45245</v>
      </c>
      <c r="AY359" s="104">
        <v>668</v>
      </c>
      <c r="AZ359" s="104">
        <v>18</v>
      </c>
      <c r="BA359" s="104">
        <v>686</v>
      </c>
      <c r="BB359" s="104">
        <v>97.38</v>
      </c>
      <c r="BE359" s="113">
        <v>45245</v>
      </c>
      <c r="BF359" s="101">
        <v>10242</v>
      </c>
      <c r="BG359" s="101">
        <v>208</v>
      </c>
      <c r="BH359" s="101">
        <v>10450</v>
      </c>
      <c r="BI359" s="101">
        <v>98.01</v>
      </c>
      <c r="BL359" s="113">
        <v>45245</v>
      </c>
      <c r="BM359" s="101">
        <v>7820</v>
      </c>
      <c r="BN359" s="101">
        <v>0</v>
      </c>
      <c r="BO359" s="101">
        <v>7820</v>
      </c>
      <c r="BP359" s="101">
        <v>100</v>
      </c>
      <c r="BS359" s="215">
        <v>45245</v>
      </c>
      <c r="BT359" s="104">
        <v>9712</v>
      </c>
      <c r="BU359" s="104">
        <v>0</v>
      </c>
      <c r="BV359" s="104">
        <v>9712</v>
      </c>
      <c r="BW359" s="104">
        <v>100</v>
      </c>
      <c r="BZ359" s="215">
        <v>45245</v>
      </c>
      <c r="CA359" s="48">
        <v>32983475</v>
      </c>
      <c r="CB359" s="48">
        <v>2029982</v>
      </c>
      <c r="CC359" s="71">
        <f t="shared" si="101"/>
        <v>16.248161313745641</v>
      </c>
      <c r="CE359" s="113">
        <v>45245</v>
      </c>
      <c r="CF359">
        <v>11286672</v>
      </c>
      <c r="CG359">
        <v>14886</v>
      </c>
      <c r="CH359">
        <v>11301558</v>
      </c>
      <c r="CI359" s="46">
        <f t="shared" si="99"/>
        <v>99.868283647263496</v>
      </c>
      <c r="CJ359" s="71">
        <f t="shared" si="108"/>
        <v>11.301558</v>
      </c>
      <c r="CL359" s="140">
        <v>45208</v>
      </c>
      <c r="CM359" t="s">
        <v>237</v>
      </c>
      <c r="CN359">
        <v>34334</v>
      </c>
      <c r="CO359">
        <v>527</v>
      </c>
    </row>
    <row r="360" spans="1:93" hidden="1" x14ac:dyDescent="0.25">
      <c r="A360" s="215">
        <v>45246</v>
      </c>
      <c r="B360" s="104">
        <v>7147602</v>
      </c>
      <c r="C360" s="104">
        <v>1696</v>
      </c>
      <c r="D360" s="104">
        <v>7149298</v>
      </c>
      <c r="E360" s="104">
        <v>99.98</v>
      </c>
      <c r="F360" s="71">
        <f t="shared" si="105"/>
        <v>7.1492979999999999</v>
      </c>
      <c r="H360" s="215">
        <v>45246</v>
      </c>
      <c r="I360" s="101">
        <v>1595624</v>
      </c>
      <c r="J360" s="101">
        <v>382</v>
      </c>
      <c r="K360" s="101">
        <v>1596006</v>
      </c>
      <c r="L360" s="101">
        <v>99.98</v>
      </c>
      <c r="M360" s="71">
        <f t="shared" si="104"/>
        <v>1.596006</v>
      </c>
      <c r="O360" s="215">
        <v>45246</v>
      </c>
      <c r="P360" s="101">
        <v>416604</v>
      </c>
      <c r="Q360" s="101">
        <v>46</v>
      </c>
      <c r="R360" s="101">
        <v>416650</v>
      </c>
      <c r="S360" s="101">
        <v>99.99</v>
      </c>
      <c r="T360" s="71">
        <f t="shared" si="107"/>
        <v>0.41665000000000002</v>
      </c>
      <c r="V360" s="113">
        <v>45246</v>
      </c>
      <c r="W360" s="101">
        <v>924558</v>
      </c>
      <c r="X360" s="101">
        <v>160</v>
      </c>
      <c r="Y360" s="101">
        <v>924718</v>
      </c>
      <c r="Z360" s="101">
        <v>99.98</v>
      </c>
      <c r="AA360" s="71">
        <f t="shared" si="100"/>
        <v>0.92471800000000004</v>
      </c>
      <c r="AC360" s="113">
        <v>45246</v>
      </c>
      <c r="AD360" s="101">
        <v>874226</v>
      </c>
      <c r="AE360" s="101">
        <v>2224</v>
      </c>
      <c r="AF360" s="101">
        <v>876450</v>
      </c>
      <c r="AG360" s="101">
        <v>99.75</v>
      </c>
      <c r="AH360" s="255">
        <f t="shared" si="102"/>
        <v>0.87644999999999995</v>
      </c>
      <c r="AJ360" s="215">
        <v>45246</v>
      </c>
      <c r="AK360" s="48">
        <v>0</v>
      </c>
      <c r="AL360" s="48">
        <v>22</v>
      </c>
      <c r="AM360" s="48">
        <v>22</v>
      </c>
      <c r="AN360" s="48">
        <v>0</v>
      </c>
      <c r="AQ360" s="215">
        <v>45246</v>
      </c>
      <c r="AR360" s="104">
        <v>1656</v>
      </c>
      <c r="AS360" s="104">
        <v>92</v>
      </c>
      <c r="AT360" s="104">
        <v>1748</v>
      </c>
      <c r="AU360" s="104">
        <v>94.74</v>
      </c>
      <c r="AX360" s="215">
        <v>45246</v>
      </c>
      <c r="AY360" s="104">
        <v>1654</v>
      </c>
      <c r="AZ360" s="104">
        <v>40</v>
      </c>
      <c r="BA360" s="104">
        <v>1694</v>
      </c>
      <c r="BB360" s="104">
        <v>97.64</v>
      </c>
      <c r="BE360" s="113">
        <v>45246</v>
      </c>
      <c r="BF360" s="101">
        <v>9208</v>
      </c>
      <c r="BG360" s="101">
        <v>278</v>
      </c>
      <c r="BH360" s="101">
        <v>9486</v>
      </c>
      <c r="BI360" s="101">
        <v>97.07</v>
      </c>
      <c r="BL360" s="113">
        <v>45246</v>
      </c>
      <c r="BM360" s="101">
        <v>9024</v>
      </c>
      <c r="BN360" s="101">
        <v>0</v>
      </c>
      <c r="BO360" s="101">
        <v>9024</v>
      </c>
      <c r="BP360" s="101">
        <v>100</v>
      </c>
      <c r="BS360" s="215">
        <v>45246</v>
      </c>
      <c r="BT360" s="104">
        <v>59966</v>
      </c>
      <c r="BU360" s="104">
        <v>0</v>
      </c>
      <c r="BV360" s="104">
        <v>59966</v>
      </c>
      <c r="BW360" s="104">
        <v>100</v>
      </c>
      <c r="BZ360" s="215">
        <v>45246</v>
      </c>
      <c r="CA360" s="48">
        <v>38301406</v>
      </c>
      <c r="CB360" s="48">
        <v>2029600</v>
      </c>
      <c r="CC360" s="71">
        <f t="shared" si="101"/>
        <v>18.871406188411509</v>
      </c>
      <c r="CE360" s="113">
        <v>45246</v>
      </c>
      <c r="CF360">
        <v>13123210</v>
      </c>
      <c r="CG360">
        <v>11346</v>
      </c>
      <c r="CH360">
        <v>13134556</v>
      </c>
      <c r="CI360" s="46">
        <f t="shared" si="99"/>
        <v>99.913617178989526</v>
      </c>
      <c r="CJ360" s="71">
        <f t="shared" si="108"/>
        <v>13.134556</v>
      </c>
      <c r="CL360" s="140">
        <v>45208</v>
      </c>
      <c r="CM360" s="252" t="s">
        <v>251</v>
      </c>
      <c r="CN360">
        <v>4686</v>
      </c>
      <c r="CO360">
        <v>539</v>
      </c>
    </row>
    <row r="361" spans="1:93" hidden="1" x14ac:dyDescent="0.25">
      <c r="A361" s="215">
        <v>45247</v>
      </c>
      <c r="B361" s="104">
        <v>7184986</v>
      </c>
      <c r="C361" s="104">
        <v>1790</v>
      </c>
      <c r="D361" s="104">
        <v>7186776</v>
      </c>
      <c r="E361" s="104">
        <v>99.98</v>
      </c>
      <c r="F361" s="71">
        <f t="shared" si="105"/>
        <v>7.1867760000000001</v>
      </c>
      <c r="H361" s="215">
        <v>45247</v>
      </c>
      <c r="I361" s="101">
        <v>1617548</v>
      </c>
      <c r="J361" s="101">
        <v>358</v>
      </c>
      <c r="K361" s="101">
        <v>1617906</v>
      </c>
      <c r="L361" s="101">
        <v>99.98</v>
      </c>
      <c r="M361" s="71">
        <f t="shared" si="104"/>
        <v>1.6179060000000001</v>
      </c>
      <c r="O361" s="215">
        <v>45247</v>
      </c>
      <c r="P361" s="101">
        <v>404554</v>
      </c>
      <c r="Q361" s="101">
        <v>22</v>
      </c>
      <c r="R361" s="101">
        <v>404576</v>
      </c>
      <c r="S361" s="101">
        <v>99.99</v>
      </c>
      <c r="T361" s="71">
        <f t="shared" si="107"/>
        <v>0.40457599999999999</v>
      </c>
      <c r="V361" s="113">
        <v>45247</v>
      </c>
      <c r="W361" s="101">
        <v>1018236</v>
      </c>
      <c r="X361" s="101">
        <v>184</v>
      </c>
      <c r="Y361" s="101">
        <v>1018420</v>
      </c>
      <c r="Z361" s="101">
        <v>99.98</v>
      </c>
      <c r="AA361" s="71">
        <f t="shared" si="100"/>
        <v>1.0184200000000001</v>
      </c>
      <c r="AC361" s="113">
        <v>45247</v>
      </c>
      <c r="AD361" s="101">
        <v>786342</v>
      </c>
      <c r="AE361" s="101">
        <v>330</v>
      </c>
      <c r="AF361" s="101">
        <v>786672</v>
      </c>
      <c r="AG361" s="101">
        <v>99.96</v>
      </c>
      <c r="AH361" s="255">
        <f t="shared" si="102"/>
        <v>0.78667200000000004</v>
      </c>
      <c r="AJ361" s="215">
        <v>45247</v>
      </c>
      <c r="AK361" s="48">
        <v>0</v>
      </c>
      <c r="AL361" s="48">
        <v>44</v>
      </c>
      <c r="AM361" s="48">
        <v>44</v>
      </c>
      <c r="AN361" s="48">
        <v>0</v>
      </c>
      <c r="AQ361" s="215">
        <v>45247</v>
      </c>
      <c r="AR361" s="104">
        <v>1458</v>
      </c>
      <c r="AS361" s="104">
        <v>126</v>
      </c>
      <c r="AT361" s="104">
        <v>1584</v>
      </c>
      <c r="AU361" s="104">
        <v>92.05</v>
      </c>
      <c r="AX361" s="215">
        <v>45247</v>
      </c>
      <c r="AY361" s="104">
        <v>1694</v>
      </c>
      <c r="AZ361" s="104">
        <v>76</v>
      </c>
      <c r="BA361" s="104">
        <v>1770</v>
      </c>
      <c r="BB361" s="104">
        <v>95.71</v>
      </c>
      <c r="BE361" s="113">
        <v>45247</v>
      </c>
      <c r="BF361" s="101">
        <v>9210</v>
      </c>
      <c r="BG361" s="101">
        <v>242</v>
      </c>
      <c r="BH361" s="101">
        <v>9452</v>
      </c>
      <c r="BI361" s="101">
        <v>97.44</v>
      </c>
      <c r="BL361" s="113">
        <v>45247</v>
      </c>
      <c r="BM361" s="101">
        <v>7646</v>
      </c>
      <c r="BN361" s="101">
        <v>0</v>
      </c>
      <c r="BO361" s="101">
        <v>7646</v>
      </c>
      <c r="BP361" s="101">
        <v>100</v>
      </c>
      <c r="BS361" s="215">
        <v>45247</v>
      </c>
      <c r="BT361" s="104">
        <v>22732</v>
      </c>
      <c r="BU361" s="104">
        <v>0</v>
      </c>
      <c r="BV361" s="104">
        <v>22732</v>
      </c>
      <c r="BW361" s="104">
        <v>100</v>
      </c>
      <c r="BZ361" s="215">
        <v>45247</v>
      </c>
      <c r="CA361" s="48">
        <v>39438728</v>
      </c>
      <c r="CB361" s="48">
        <v>2121273</v>
      </c>
      <c r="CC361" s="71">
        <f t="shared" si="101"/>
        <v>18.592009609324212</v>
      </c>
      <c r="CE361" s="113">
        <v>45247</v>
      </c>
      <c r="CF361">
        <v>13238780</v>
      </c>
      <c r="CG361">
        <v>9460</v>
      </c>
      <c r="CH361">
        <v>13248240</v>
      </c>
      <c r="CI361" s="46">
        <f t="shared" si="99"/>
        <v>99.928594288750816</v>
      </c>
      <c r="CJ361" s="71">
        <f t="shared" si="108"/>
        <v>13.248239999999999</v>
      </c>
      <c r="CL361" s="140">
        <v>45208</v>
      </c>
      <c r="CM361" t="s">
        <v>250</v>
      </c>
      <c r="CN361">
        <v>3080</v>
      </c>
      <c r="CO361">
        <v>549</v>
      </c>
    </row>
    <row r="362" spans="1:93" hidden="1" x14ac:dyDescent="0.25">
      <c r="A362" s="215">
        <v>45248</v>
      </c>
      <c r="B362" s="104">
        <v>6697882</v>
      </c>
      <c r="C362" s="104">
        <v>2224</v>
      </c>
      <c r="D362" s="104">
        <v>6700106</v>
      </c>
      <c r="E362" s="104">
        <v>99.97</v>
      </c>
      <c r="F362" s="71">
        <f t="shared" si="105"/>
        <v>6.7001059999999999</v>
      </c>
      <c r="H362" s="215">
        <v>45248</v>
      </c>
      <c r="I362" s="101">
        <v>1468418</v>
      </c>
      <c r="J362" s="101">
        <v>490</v>
      </c>
      <c r="K362" s="101">
        <v>1468908</v>
      </c>
      <c r="L362" s="101">
        <v>99.97</v>
      </c>
      <c r="M362" s="71">
        <f t="shared" si="104"/>
        <v>1.4689080000000001</v>
      </c>
      <c r="O362" s="215">
        <v>45248</v>
      </c>
      <c r="P362" s="101">
        <v>406434</v>
      </c>
      <c r="Q362" s="101">
        <v>4</v>
      </c>
      <c r="R362" s="101">
        <v>406438</v>
      </c>
      <c r="S362" s="101">
        <v>100</v>
      </c>
      <c r="T362" s="71">
        <f t="shared" si="107"/>
        <v>0.40643800000000002</v>
      </c>
      <c r="V362" s="113">
        <v>45248</v>
      </c>
      <c r="W362" s="101">
        <v>947644</v>
      </c>
      <c r="X362" s="101">
        <v>314</v>
      </c>
      <c r="Y362" s="101">
        <v>947958</v>
      </c>
      <c r="Z362" s="101">
        <v>99.97</v>
      </c>
      <c r="AA362" s="71">
        <f t="shared" si="100"/>
        <v>0.94795799999999997</v>
      </c>
      <c r="AC362" s="113">
        <v>45248</v>
      </c>
      <c r="AD362" s="101">
        <v>763034</v>
      </c>
      <c r="AE362" s="101">
        <v>258</v>
      </c>
      <c r="AF362" s="101">
        <v>763292</v>
      </c>
      <c r="AG362" s="101">
        <v>99.97</v>
      </c>
      <c r="AH362" s="255">
        <f t="shared" si="102"/>
        <v>0.76329199999999997</v>
      </c>
      <c r="AJ362" s="215">
        <v>45248</v>
      </c>
      <c r="AK362" s="48">
        <v>0</v>
      </c>
      <c r="AL362" s="48">
        <v>24</v>
      </c>
      <c r="AM362" s="48">
        <v>24</v>
      </c>
      <c r="AN362" s="48">
        <v>0</v>
      </c>
      <c r="AQ362" s="215">
        <v>45248</v>
      </c>
      <c r="AR362" s="104">
        <v>1712</v>
      </c>
      <c r="AS362" s="104">
        <v>74</v>
      </c>
      <c r="AT362" s="104">
        <v>1786</v>
      </c>
      <c r="AU362" s="104">
        <v>95.86</v>
      </c>
      <c r="AX362" s="215">
        <v>45248</v>
      </c>
      <c r="AY362" s="104">
        <v>908</v>
      </c>
      <c r="AZ362" s="104">
        <v>32</v>
      </c>
      <c r="BA362" s="104">
        <v>940</v>
      </c>
      <c r="BB362" s="104">
        <v>96.6</v>
      </c>
      <c r="BE362" s="113">
        <v>45248</v>
      </c>
      <c r="BF362" s="101">
        <v>7904</v>
      </c>
      <c r="BG362" s="101">
        <v>122</v>
      </c>
      <c r="BH362" s="101">
        <v>8026</v>
      </c>
      <c r="BI362" s="101">
        <v>98.48</v>
      </c>
      <c r="BL362" s="113">
        <v>45248</v>
      </c>
      <c r="BM362" s="101">
        <v>7796</v>
      </c>
      <c r="BN362" s="101">
        <v>0</v>
      </c>
      <c r="BO362" s="101">
        <v>7796</v>
      </c>
      <c r="BP362" s="101">
        <v>100</v>
      </c>
      <c r="BS362" s="215">
        <v>45248</v>
      </c>
      <c r="BT362" s="104">
        <v>55576</v>
      </c>
      <c r="BU362" s="104">
        <v>0</v>
      </c>
      <c r="BV362" s="104">
        <v>55576</v>
      </c>
      <c r="BW362" s="104">
        <v>100</v>
      </c>
      <c r="BZ362" s="215">
        <v>45248</v>
      </c>
      <c r="CA362" s="48">
        <v>37047974</v>
      </c>
      <c r="CB362" s="48">
        <v>2057030</v>
      </c>
      <c r="CC362" s="71">
        <f t="shared" si="101"/>
        <v>18.010419877201596</v>
      </c>
      <c r="CE362" s="113">
        <v>45248</v>
      </c>
      <c r="CF362">
        <v>12461748</v>
      </c>
      <c r="CG362">
        <v>9604</v>
      </c>
      <c r="CH362">
        <v>12471352</v>
      </c>
      <c r="CI362" s="46">
        <f t="shared" si="99"/>
        <v>99.922991508859667</v>
      </c>
      <c r="CJ362" s="71">
        <f t="shared" si="108"/>
        <v>12.471352</v>
      </c>
      <c r="CL362" s="140">
        <v>45208</v>
      </c>
      <c r="CM362" t="s">
        <v>240</v>
      </c>
      <c r="CN362">
        <v>2544</v>
      </c>
      <c r="CO362">
        <v>516</v>
      </c>
    </row>
    <row r="363" spans="1:93" hidden="1" x14ac:dyDescent="0.25">
      <c r="A363" s="215">
        <v>45249</v>
      </c>
      <c r="B363" s="104">
        <v>5813672</v>
      </c>
      <c r="C363" s="104">
        <v>1864</v>
      </c>
      <c r="D363" s="104">
        <v>5815536</v>
      </c>
      <c r="E363" s="104">
        <v>99.97</v>
      </c>
      <c r="F363" s="71">
        <f t="shared" si="105"/>
        <v>5.8155359999999998</v>
      </c>
      <c r="H363" s="215">
        <v>45249</v>
      </c>
      <c r="I363" s="101">
        <v>1431158</v>
      </c>
      <c r="J363" s="101">
        <v>738</v>
      </c>
      <c r="K363" s="101">
        <v>1431896</v>
      </c>
      <c r="L363" s="101">
        <v>99.95</v>
      </c>
      <c r="M363" s="71">
        <f t="shared" si="104"/>
        <v>1.4318960000000001</v>
      </c>
      <c r="O363" s="215">
        <v>45249</v>
      </c>
      <c r="P363" s="101">
        <v>394774</v>
      </c>
      <c r="Q363" s="101">
        <v>6</v>
      </c>
      <c r="R363" s="101">
        <v>394780</v>
      </c>
      <c r="S363" s="101">
        <v>100</v>
      </c>
      <c r="T363" s="71">
        <f t="shared" si="107"/>
        <v>0.39478000000000002</v>
      </c>
      <c r="V363" s="113">
        <v>45249</v>
      </c>
      <c r="W363" s="101">
        <v>870894</v>
      </c>
      <c r="X363" s="101">
        <v>164</v>
      </c>
      <c r="Y363" s="101">
        <v>871058</v>
      </c>
      <c r="Z363" s="101">
        <v>99.98</v>
      </c>
      <c r="AA363" s="71">
        <f t="shared" si="100"/>
        <v>0.871058</v>
      </c>
      <c r="AC363" s="113">
        <v>45249</v>
      </c>
      <c r="AD363" s="101">
        <v>694438</v>
      </c>
      <c r="AE363" s="101">
        <v>344</v>
      </c>
      <c r="AF363" s="101">
        <v>694782</v>
      </c>
      <c r="AG363" s="101">
        <v>99.95</v>
      </c>
      <c r="AH363" s="255">
        <f t="shared" si="102"/>
        <v>0.69478200000000001</v>
      </c>
      <c r="AJ363" s="215">
        <v>45249</v>
      </c>
      <c r="AK363" s="48">
        <v>0</v>
      </c>
      <c r="AL363" s="48">
        <v>20</v>
      </c>
      <c r="AM363" s="48">
        <v>20</v>
      </c>
      <c r="AN363" s="48">
        <v>0</v>
      </c>
      <c r="AQ363" s="215">
        <v>45249</v>
      </c>
      <c r="AR363" s="104">
        <v>1226</v>
      </c>
      <c r="AS363" s="104">
        <v>64</v>
      </c>
      <c r="AT363" s="104">
        <v>1290</v>
      </c>
      <c r="AU363" s="104">
        <v>95.04</v>
      </c>
      <c r="AX363" s="215">
        <v>45249</v>
      </c>
      <c r="AY363" s="104">
        <v>136</v>
      </c>
      <c r="AZ363" s="104">
        <v>62</v>
      </c>
      <c r="BA363" s="104">
        <v>198</v>
      </c>
      <c r="BB363" s="104">
        <v>68.69</v>
      </c>
      <c r="BE363" s="113">
        <v>45249</v>
      </c>
      <c r="BF363" s="101">
        <v>7680</v>
      </c>
      <c r="BG363" s="101">
        <v>164</v>
      </c>
      <c r="BH363" s="101">
        <v>7844</v>
      </c>
      <c r="BI363" s="101">
        <v>97.91</v>
      </c>
      <c r="BL363" s="113">
        <v>45249</v>
      </c>
      <c r="BM363" s="101">
        <v>4778</v>
      </c>
      <c r="BN363" s="101">
        <v>0</v>
      </c>
      <c r="BO363" s="101">
        <v>4778</v>
      </c>
      <c r="BP363" s="101">
        <v>100</v>
      </c>
      <c r="BS363" s="215">
        <v>45249</v>
      </c>
      <c r="BT363" s="104">
        <v>20872</v>
      </c>
      <c r="BU363" s="104">
        <v>0</v>
      </c>
      <c r="BV363" s="104">
        <v>20872</v>
      </c>
      <c r="BW363" s="104">
        <v>100</v>
      </c>
      <c r="BZ363" s="215">
        <v>45249</v>
      </c>
      <c r="CA363" s="48">
        <v>32483431</v>
      </c>
      <c r="CB363" s="48">
        <v>1890059</v>
      </c>
      <c r="CC363" s="71">
        <f t="shared" si="101"/>
        <v>17.186464020435341</v>
      </c>
      <c r="CE363" s="113">
        <v>45249</v>
      </c>
      <c r="CF363">
        <v>11156692</v>
      </c>
      <c r="CG363">
        <v>9330</v>
      </c>
      <c r="CH363">
        <v>11166022</v>
      </c>
      <c r="CI363" s="46">
        <f t="shared" si="99"/>
        <v>99.916442937332562</v>
      </c>
      <c r="CJ363" s="71">
        <f t="shared" si="108"/>
        <v>11.166022</v>
      </c>
      <c r="CL363" s="140">
        <v>45208</v>
      </c>
      <c r="CM363" s="252" t="s">
        <v>239</v>
      </c>
      <c r="CN363">
        <v>1048</v>
      </c>
      <c r="CO363">
        <v>504</v>
      </c>
    </row>
    <row r="364" spans="1:93" hidden="1" x14ac:dyDescent="0.25">
      <c r="A364" s="215">
        <v>45250</v>
      </c>
      <c r="B364" s="104">
        <v>6920022</v>
      </c>
      <c r="C364" s="104">
        <v>26316</v>
      </c>
      <c r="D364" s="104">
        <v>6946338</v>
      </c>
      <c r="E364" s="104">
        <v>99.62</v>
      </c>
      <c r="F364" s="71">
        <f t="shared" si="105"/>
        <v>6.9463379999999999</v>
      </c>
      <c r="H364" s="215">
        <v>45250</v>
      </c>
      <c r="I364" s="101">
        <v>1544366</v>
      </c>
      <c r="J364" s="101">
        <v>318</v>
      </c>
      <c r="K364" s="101">
        <v>1544684</v>
      </c>
      <c r="L364" s="101">
        <v>99.98</v>
      </c>
      <c r="M364" s="71">
        <f t="shared" si="104"/>
        <v>1.5446839999999999</v>
      </c>
      <c r="O364" s="215">
        <v>45250</v>
      </c>
      <c r="P364" s="101">
        <v>391256</v>
      </c>
      <c r="Q364" s="101">
        <v>2</v>
      </c>
      <c r="R364" s="101">
        <v>391258</v>
      </c>
      <c r="S364" s="101">
        <v>100</v>
      </c>
      <c r="T364" s="71">
        <f t="shared" si="107"/>
        <v>0.39125799999999999</v>
      </c>
      <c r="V364" s="113">
        <v>45250</v>
      </c>
      <c r="W364" s="101">
        <v>962748</v>
      </c>
      <c r="X364" s="101">
        <v>150</v>
      </c>
      <c r="Y364" s="101">
        <v>962898</v>
      </c>
      <c r="Z364" s="101">
        <v>99.98</v>
      </c>
      <c r="AA364" s="71">
        <f t="shared" si="100"/>
        <v>0.96289800000000003</v>
      </c>
      <c r="AC364" s="113">
        <v>45250</v>
      </c>
      <c r="AD364" s="101">
        <v>700962</v>
      </c>
      <c r="AE364" s="101">
        <v>118</v>
      </c>
      <c r="AF364" s="101">
        <v>701080</v>
      </c>
      <c r="AG364" s="101">
        <v>99.98</v>
      </c>
      <c r="AH364" s="255">
        <f t="shared" si="102"/>
        <v>0.70108000000000004</v>
      </c>
      <c r="AJ364" s="215">
        <v>45250</v>
      </c>
      <c r="AK364" s="48">
        <v>0</v>
      </c>
      <c r="AL364" s="48">
        <v>16</v>
      </c>
      <c r="AM364" s="48">
        <v>16</v>
      </c>
      <c r="AN364" s="48">
        <v>0</v>
      </c>
      <c r="AQ364" s="215">
        <v>45250</v>
      </c>
      <c r="AR364" s="104">
        <v>1656</v>
      </c>
      <c r="AS364" s="104">
        <v>74</v>
      </c>
      <c r="AT364" s="104">
        <v>1730</v>
      </c>
      <c r="AU364" s="104">
        <v>95.72</v>
      </c>
      <c r="AX364" s="215">
        <v>45250</v>
      </c>
      <c r="AY364" s="104">
        <v>2284</v>
      </c>
      <c r="AZ364" s="104">
        <v>50</v>
      </c>
      <c r="BA364" s="104">
        <v>2334</v>
      </c>
      <c r="BB364" s="104">
        <v>97.86</v>
      </c>
      <c r="BE364" s="113">
        <v>45250</v>
      </c>
      <c r="BF364" s="101">
        <v>9372</v>
      </c>
      <c r="BG364" s="101">
        <v>234</v>
      </c>
      <c r="BH364" s="101">
        <v>9606</v>
      </c>
      <c r="BI364" s="101">
        <v>97.56</v>
      </c>
      <c r="BL364" s="113">
        <v>45250</v>
      </c>
      <c r="BM364" s="101">
        <v>8944</v>
      </c>
      <c r="BN364" s="101">
        <v>0</v>
      </c>
      <c r="BO364" s="101">
        <v>8944</v>
      </c>
      <c r="BP364" s="101">
        <v>100</v>
      </c>
      <c r="BS364" s="215">
        <v>45250</v>
      </c>
      <c r="BT364" s="104">
        <v>63220</v>
      </c>
      <c r="BU364" s="104">
        <v>492</v>
      </c>
      <c r="BV364" s="104">
        <v>63712</v>
      </c>
      <c r="BW364" s="104">
        <v>99.23</v>
      </c>
      <c r="BZ364" s="215">
        <v>45250</v>
      </c>
      <c r="CA364" s="48">
        <v>36783618</v>
      </c>
      <c r="CB364" s="48">
        <v>2060410</v>
      </c>
      <c r="CC364" s="71">
        <f t="shared" si="101"/>
        <v>17.852572060900499</v>
      </c>
      <c r="CE364" s="113">
        <v>45250</v>
      </c>
      <c r="CF364">
        <v>12596736</v>
      </c>
      <c r="CG364">
        <v>42798</v>
      </c>
      <c r="CH364">
        <v>12639534</v>
      </c>
      <c r="CI364" s="46">
        <f t="shared" si="99"/>
        <v>99.66139574449501</v>
      </c>
      <c r="CJ364" s="71">
        <f t="shared" si="108"/>
        <v>12.639533999999999</v>
      </c>
      <c r="CL364" s="140">
        <v>45209</v>
      </c>
      <c r="CM364" s="252" t="s">
        <v>251</v>
      </c>
      <c r="CN364">
        <v>4200</v>
      </c>
      <c r="CO364">
        <v>539</v>
      </c>
    </row>
    <row r="365" spans="1:93" hidden="1" x14ac:dyDescent="0.25">
      <c r="A365" s="215">
        <v>45251</v>
      </c>
      <c r="B365" s="104">
        <v>6578185</v>
      </c>
      <c r="C365" s="104">
        <v>22431</v>
      </c>
      <c r="D365" s="104">
        <v>6600616</v>
      </c>
      <c r="E365" s="104">
        <v>99.66</v>
      </c>
      <c r="F365" s="71">
        <f t="shared" si="105"/>
        <v>6.6006159999999996</v>
      </c>
      <c r="H365" s="215">
        <v>45251</v>
      </c>
      <c r="I365" s="101">
        <v>1679933</v>
      </c>
      <c r="J365" s="101">
        <v>424</v>
      </c>
      <c r="K365" s="101">
        <v>1680357</v>
      </c>
      <c r="L365" s="101">
        <v>99.97</v>
      </c>
      <c r="M365" s="71">
        <f t="shared" si="104"/>
        <v>1.6803570000000001</v>
      </c>
      <c r="O365" s="215">
        <v>45251</v>
      </c>
      <c r="P365" s="101">
        <v>392370</v>
      </c>
      <c r="Q365" s="101">
        <v>78</v>
      </c>
      <c r="R365" s="101">
        <v>392448</v>
      </c>
      <c r="S365" s="101">
        <v>99.98</v>
      </c>
      <c r="T365" s="71">
        <f t="shared" si="107"/>
        <v>0.39244800000000002</v>
      </c>
      <c r="V365" s="113">
        <v>45251</v>
      </c>
      <c r="W365" s="101">
        <v>942551</v>
      </c>
      <c r="X365" s="101">
        <v>176</v>
      </c>
      <c r="Y365" s="101">
        <v>942727</v>
      </c>
      <c r="Z365" s="101">
        <v>99.98</v>
      </c>
      <c r="AA365" s="71">
        <f t="shared" si="100"/>
        <v>0.94272699999999998</v>
      </c>
      <c r="AC365" s="113">
        <v>45251</v>
      </c>
      <c r="AD365" s="101">
        <v>684747</v>
      </c>
      <c r="AE365" s="101">
        <v>124</v>
      </c>
      <c r="AF365" s="101">
        <v>684871</v>
      </c>
      <c r="AG365" s="101">
        <v>99.98</v>
      </c>
      <c r="AH365" s="255">
        <f t="shared" si="102"/>
        <v>0.68487100000000001</v>
      </c>
      <c r="AJ365" s="215">
        <v>45251</v>
      </c>
      <c r="AK365" s="48">
        <v>0</v>
      </c>
      <c r="AL365" s="48">
        <v>22</v>
      </c>
      <c r="AM365" s="48">
        <v>22</v>
      </c>
      <c r="AN365" s="48">
        <v>0</v>
      </c>
      <c r="AQ365" s="215">
        <v>45251</v>
      </c>
      <c r="AR365" s="104">
        <v>2586</v>
      </c>
      <c r="AS365" s="104">
        <v>90</v>
      </c>
      <c r="AT365" s="104">
        <v>2676</v>
      </c>
      <c r="AU365" s="104">
        <v>96.64</v>
      </c>
      <c r="AX365" s="215">
        <v>45251</v>
      </c>
      <c r="AY365" s="104">
        <v>2282</v>
      </c>
      <c r="AZ365" s="104">
        <v>58</v>
      </c>
      <c r="BA365" s="104">
        <v>2340</v>
      </c>
      <c r="BB365" s="104">
        <v>97.52</v>
      </c>
      <c r="BE365" s="113">
        <v>45251</v>
      </c>
      <c r="BF365" s="101">
        <v>9165</v>
      </c>
      <c r="BG365" s="101">
        <v>198</v>
      </c>
      <c r="BH365" s="101">
        <v>9363</v>
      </c>
      <c r="BI365" s="101">
        <v>97.89</v>
      </c>
      <c r="BL365" s="113">
        <v>45251</v>
      </c>
      <c r="BM365" s="101">
        <v>11866</v>
      </c>
      <c r="BN365" s="101">
        <v>0</v>
      </c>
      <c r="BO365" s="101">
        <v>11866</v>
      </c>
      <c r="BP365" s="101">
        <v>100</v>
      </c>
      <c r="BS365" s="215">
        <v>45251</v>
      </c>
      <c r="BT365" s="104">
        <v>28988</v>
      </c>
      <c r="BU365" s="104">
        <v>0</v>
      </c>
      <c r="BV365" s="104">
        <v>28988</v>
      </c>
      <c r="BW365" s="104">
        <v>100</v>
      </c>
      <c r="BZ365" s="215">
        <v>45251</v>
      </c>
      <c r="CA365" s="48">
        <v>34224430</v>
      </c>
      <c r="CB365" s="48">
        <v>2092067</v>
      </c>
      <c r="CC365" s="71">
        <f t="shared" si="101"/>
        <v>16.359146241492265</v>
      </c>
      <c r="CE365" s="113">
        <v>45251</v>
      </c>
      <c r="CF365">
        <v>12364816</v>
      </c>
      <c r="CG365">
        <v>36969</v>
      </c>
      <c r="CH365">
        <v>12401785</v>
      </c>
      <c r="CI365" s="46">
        <f t="shared" si="99"/>
        <v>99.701905814364622</v>
      </c>
      <c r="CJ365" s="71">
        <f t="shared" si="108"/>
        <v>12.401785</v>
      </c>
      <c r="CL365" s="140">
        <v>45209</v>
      </c>
      <c r="CM365" t="s">
        <v>250</v>
      </c>
      <c r="CN365">
        <v>2628</v>
      </c>
      <c r="CO365">
        <v>549</v>
      </c>
    </row>
    <row r="366" spans="1:93" hidden="1" x14ac:dyDescent="0.25">
      <c r="A366" s="215">
        <v>45252</v>
      </c>
      <c r="B366" s="104">
        <v>6123740</v>
      </c>
      <c r="C366" s="104">
        <v>2632</v>
      </c>
      <c r="D366" s="104">
        <v>6126372</v>
      </c>
      <c r="E366" s="104">
        <v>99.96</v>
      </c>
      <c r="F366" s="71">
        <f t="shared" si="105"/>
        <v>6.1263719999999999</v>
      </c>
      <c r="H366" s="215">
        <v>45252</v>
      </c>
      <c r="I366" s="101">
        <v>1306232</v>
      </c>
      <c r="J366" s="101">
        <v>602</v>
      </c>
      <c r="K366" s="101">
        <v>1306834</v>
      </c>
      <c r="L366" s="101">
        <v>99.95</v>
      </c>
      <c r="M366" s="71">
        <f t="shared" si="104"/>
        <v>1.3068340000000001</v>
      </c>
      <c r="O366" s="215">
        <v>45252</v>
      </c>
      <c r="P366" s="101">
        <v>356644</v>
      </c>
      <c r="Q366" s="101">
        <v>0</v>
      </c>
      <c r="R366" s="101">
        <v>356644</v>
      </c>
      <c r="S366" s="101">
        <v>100</v>
      </c>
      <c r="T366" s="71">
        <f t="shared" si="107"/>
        <v>0.35664400000000002</v>
      </c>
      <c r="V366" s="113">
        <v>45252</v>
      </c>
      <c r="W366" s="101">
        <v>884246</v>
      </c>
      <c r="X366" s="101">
        <v>162</v>
      </c>
      <c r="Y366" s="101">
        <v>884408</v>
      </c>
      <c r="Z366" s="101">
        <v>99.98</v>
      </c>
      <c r="AA366" s="71">
        <f t="shared" si="100"/>
        <v>0.88440799999999997</v>
      </c>
      <c r="AC366" s="113">
        <v>45252</v>
      </c>
      <c r="AD366" s="101">
        <v>659460</v>
      </c>
      <c r="AE366" s="101">
        <v>96</v>
      </c>
      <c r="AF366" s="101">
        <v>659556</v>
      </c>
      <c r="AG366" s="101">
        <v>99.99</v>
      </c>
      <c r="AH366" s="255">
        <f t="shared" si="102"/>
        <v>0.65955600000000003</v>
      </c>
      <c r="AJ366" s="215">
        <v>45252</v>
      </c>
      <c r="AK366" s="48">
        <v>0</v>
      </c>
      <c r="AL366" s="48">
        <v>34</v>
      </c>
      <c r="AM366" s="48">
        <v>34</v>
      </c>
      <c r="AN366" s="48">
        <v>0</v>
      </c>
      <c r="AQ366" s="215">
        <v>45252</v>
      </c>
      <c r="AR366" s="104">
        <v>1530</v>
      </c>
      <c r="AS366" s="104">
        <v>44</v>
      </c>
      <c r="AT366" s="104">
        <v>1574</v>
      </c>
      <c r="AU366" s="104">
        <v>97.2</v>
      </c>
      <c r="AX366" s="215">
        <v>45252</v>
      </c>
      <c r="AY366" s="104">
        <v>1408</v>
      </c>
      <c r="AZ366" s="104">
        <v>30</v>
      </c>
      <c r="BA366" s="104">
        <v>1438</v>
      </c>
      <c r="BB366" s="104">
        <v>97.91</v>
      </c>
      <c r="BE366" s="113">
        <v>45252</v>
      </c>
      <c r="BF366" s="101">
        <v>9262</v>
      </c>
      <c r="BG366" s="101">
        <v>242</v>
      </c>
      <c r="BH366" s="101">
        <v>9504</v>
      </c>
      <c r="BI366" s="101">
        <v>97.45</v>
      </c>
      <c r="BL366" s="113">
        <v>45252</v>
      </c>
      <c r="BM366" s="101">
        <v>5934</v>
      </c>
      <c r="BN366" s="101">
        <v>0</v>
      </c>
      <c r="BO366" s="101">
        <v>5934</v>
      </c>
      <c r="BP366" s="101">
        <v>100</v>
      </c>
      <c r="BS366" s="215">
        <v>45252</v>
      </c>
      <c r="BT366" s="104">
        <v>22362</v>
      </c>
      <c r="BU366" s="104">
        <v>28</v>
      </c>
      <c r="BV366" s="104">
        <v>22390</v>
      </c>
      <c r="BW366" s="104">
        <v>99.87</v>
      </c>
      <c r="BZ366" s="215">
        <v>45252</v>
      </c>
      <c r="CA366" s="48">
        <v>33159600</v>
      </c>
      <c r="CB366" s="48">
        <v>1973635</v>
      </c>
      <c r="CC366" s="71">
        <f t="shared" si="101"/>
        <v>16.801282911987272</v>
      </c>
      <c r="CE366" s="113">
        <v>45252</v>
      </c>
      <c r="CF366">
        <v>11305048</v>
      </c>
      <c r="CG366">
        <v>10090</v>
      </c>
      <c r="CH366">
        <v>11315138</v>
      </c>
      <c r="CI366" s="46">
        <f t="shared" si="99"/>
        <v>99.910827424287703</v>
      </c>
      <c r="CJ366" s="71">
        <f t="shared" si="108"/>
        <v>11.315137999999999</v>
      </c>
      <c r="CL366" s="140">
        <v>45209</v>
      </c>
      <c r="CM366" t="s">
        <v>240</v>
      </c>
      <c r="CN366">
        <v>2434</v>
      </c>
      <c r="CO366">
        <v>516</v>
      </c>
    </row>
    <row r="367" spans="1:93" ht="15.75" hidden="1" x14ac:dyDescent="0.25">
      <c r="A367" s="215">
        <v>45253</v>
      </c>
      <c r="B367" s="205">
        <v>6083456</v>
      </c>
      <c r="C367" s="205">
        <v>15704</v>
      </c>
      <c r="D367" s="205">
        <v>6099160</v>
      </c>
      <c r="E367" s="205">
        <v>99.74</v>
      </c>
      <c r="F367" s="71">
        <f t="shared" si="105"/>
        <v>6.0991600000000004</v>
      </c>
      <c r="H367" s="215">
        <v>45253</v>
      </c>
      <c r="I367" s="194">
        <v>1401210</v>
      </c>
      <c r="J367" s="194">
        <v>346</v>
      </c>
      <c r="K367" s="194">
        <v>1401556</v>
      </c>
      <c r="L367" s="194">
        <v>99.98</v>
      </c>
      <c r="M367" s="71">
        <f t="shared" si="104"/>
        <v>1.401556</v>
      </c>
      <c r="O367" s="215">
        <v>45253</v>
      </c>
      <c r="P367" s="194">
        <v>373788</v>
      </c>
      <c r="Q367" s="194">
        <v>0</v>
      </c>
      <c r="R367" s="194">
        <v>373788</v>
      </c>
      <c r="S367" s="194">
        <v>100</v>
      </c>
      <c r="T367" s="71">
        <f t="shared" si="107"/>
        <v>0.37378800000000001</v>
      </c>
      <c r="V367" s="113">
        <v>45253</v>
      </c>
      <c r="W367" s="194">
        <v>877544</v>
      </c>
      <c r="X367" s="194">
        <v>164</v>
      </c>
      <c r="Y367" s="194">
        <v>877708</v>
      </c>
      <c r="Z367" s="194">
        <v>99.98</v>
      </c>
      <c r="AA367" s="71">
        <f t="shared" si="100"/>
        <v>0.87770800000000004</v>
      </c>
      <c r="AC367" s="113">
        <v>45253</v>
      </c>
      <c r="AD367" s="194">
        <v>676230</v>
      </c>
      <c r="AE367" s="194">
        <v>108</v>
      </c>
      <c r="AF367" s="194">
        <v>676338</v>
      </c>
      <c r="AG367" s="194">
        <v>99.98</v>
      </c>
      <c r="AH367" s="255">
        <f t="shared" si="102"/>
        <v>0.67633799999999999</v>
      </c>
      <c r="AJ367" s="215">
        <v>45253</v>
      </c>
      <c r="AK367" s="48">
        <v>0</v>
      </c>
      <c r="AL367" s="48">
        <v>18</v>
      </c>
      <c r="AM367" s="48">
        <v>18</v>
      </c>
      <c r="AN367" s="48">
        <v>0</v>
      </c>
      <c r="AQ367" s="215">
        <v>45253</v>
      </c>
      <c r="AR367" s="205">
        <v>2306</v>
      </c>
      <c r="AS367" s="205">
        <v>102</v>
      </c>
      <c r="AT367" s="205">
        <v>2408</v>
      </c>
      <c r="AU367" s="205">
        <v>95.76</v>
      </c>
      <c r="AX367" s="215">
        <v>45253</v>
      </c>
      <c r="AY367" s="205">
        <v>1604</v>
      </c>
      <c r="AZ367" s="205">
        <v>38</v>
      </c>
      <c r="BA367" s="205">
        <v>1642</v>
      </c>
      <c r="BB367" s="205">
        <v>97.69</v>
      </c>
      <c r="BE367" s="113">
        <v>45253</v>
      </c>
      <c r="BF367" s="194">
        <v>8560</v>
      </c>
      <c r="BG367" s="194">
        <v>394</v>
      </c>
      <c r="BH367" s="194">
        <v>8954</v>
      </c>
      <c r="BI367" s="194">
        <v>95.6</v>
      </c>
      <c r="BL367" s="113">
        <v>45253</v>
      </c>
      <c r="BM367" s="194">
        <v>5248</v>
      </c>
      <c r="BN367" s="194">
        <v>0</v>
      </c>
      <c r="BO367" s="194">
        <v>5248</v>
      </c>
      <c r="BP367" s="194">
        <v>100</v>
      </c>
      <c r="BS367" s="215">
        <v>45253</v>
      </c>
      <c r="BT367" s="205">
        <v>11606</v>
      </c>
      <c r="BU367" s="205">
        <v>0</v>
      </c>
      <c r="BV367" s="205">
        <v>11606</v>
      </c>
      <c r="BW367" s="205">
        <v>100</v>
      </c>
      <c r="BZ367" s="215">
        <v>45253</v>
      </c>
      <c r="CA367" s="48">
        <v>33192255</v>
      </c>
      <c r="CB367" s="48">
        <v>1959551</v>
      </c>
      <c r="CC367" s="71">
        <f t="shared" si="101"/>
        <v>16.938704325633779</v>
      </c>
      <c r="CE367" s="113">
        <v>45253</v>
      </c>
      <c r="CF367">
        <v>11358858</v>
      </c>
      <c r="CG367">
        <v>27790</v>
      </c>
      <c r="CH367">
        <v>11386648</v>
      </c>
      <c r="CI367" s="46">
        <f t="shared" ref="CI367:CI401" si="109">CF367/CH367%</f>
        <v>99.755942222856106</v>
      </c>
      <c r="CJ367" s="71">
        <f t="shared" si="108"/>
        <v>11.386647999999999</v>
      </c>
      <c r="CL367" s="140">
        <v>45209</v>
      </c>
      <c r="CM367" t="s">
        <v>237</v>
      </c>
      <c r="CN367">
        <v>2042</v>
      </c>
      <c r="CO367">
        <v>527</v>
      </c>
    </row>
    <row r="368" spans="1:93" ht="15.75" hidden="1" x14ac:dyDescent="0.25">
      <c r="A368" s="215">
        <v>45254</v>
      </c>
      <c r="B368" s="205">
        <v>6909026</v>
      </c>
      <c r="C368" s="205">
        <v>22634</v>
      </c>
      <c r="D368" s="205">
        <v>6931660</v>
      </c>
      <c r="E368" s="205">
        <v>99.67</v>
      </c>
      <c r="F368" s="71">
        <f t="shared" si="105"/>
        <v>6.9316599999999999</v>
      </c>
      <c r="H368" s="215">
        <v>45254</v>
      </c>
      <c r="I368" s="194">
        <v>1541002</v>
      </c>
      <c r="J368" s="194">
        <v>412</v>
      </c>
      <c r="K368" s="194">
        <v>1541414</v>
      </c>
      <c r="L368" s="194">
        <v>99.97</v>
      </c>
      <c r="M368" s="71">
        <f t="shared" si="104"/>
        <v>1.5414140000000001</v>
      </c>
      <c r="O368" s="215">
        <v>45254</v>
      </c>
      <c r="P368" s="194">
        <v>389836</v>
      </c>
      <c r="Q368" s="194">
        <v>0</v>
      </c>
      <c r="R368" s="194">
        <v>389836</v>
      </c>
      <c r="S368" s="194">
        <v>100</v>
      </c>
      <c r="T368" s="71">
        <f t="shared" si="107"/>
        <v>0.38983600000000002</v>
      </c>
      <c r="V368" s="113">
        <v>45254</v>
      </c>
      <c r="W368" s="194">
        <v>980172</v>
      </c>
      <c r="X368" s="194">
        <v>224</v>
      </c>
      <c r="Y368" s="194">
        <v>980396</v>
      </c>
      <c r="Z368" s="194">
        <v>99.98</v>
      </c>
      <c r="AA368" s="71">
        <f t="shared" si="100"/>
        <v>0.98039600000000005</v>
      </c>
      <c r="AC368" s="113">
        <v>45254</v>
      </c>
      <c r="AD368" s="194">
        <v>681060</v>
      </c>
      <c r="AE368" s="194">
        <v>236</v>
      </c>
      <c r="AF368" s="194">
        <v>681296</v>
      </c>
      <c r="AG368" s="194">
        <v>99.97</v>
      </c>
      <c r="AH368" s="255">
        <f t="shared" si="102"/>
        <v>0.68129600000000001</v>
      </c>
      <c r="AJ368" s="215">
        <v>45254</v>
      </c>
      <c r="AK368" s="48">
        <v>0</v>
      </c>
      <c r="AL368" s="48">
        <v>14</v>
      </c>
      <c r="AM368" s="48">
        <v>14</v>
      </c>
      <c r="AN368" s="48">
        <v>0</v>
      </c>
      <c r="AQ368" s="215">
        <v>45254</v>
      </c>
      <c r="AR368" s="205">
        <v>1800</v>
      </c>
      <c r="AS368" s="205">
        <v>66</v>
      </c>
      <c r="AT368" s="205">
        <v>1866</v>
      </c>
      <c r="AU368" s="205">
        <v>96.46</v>
      </c>
      <c r="AX368" s="215">
        <v>45254</v>
      </c>
      <c r="AY368" s="205">
        <v>1436</v>
      </c>
      <c r="AZ368" s="205">
        <v>32</v>
      </c>
      <c r="BA368" s="205">
        <v>1468</v>
      </c>
      <c r="BB368" s="205">
        <v>97.82</v>
      </c>
      <c r="BE368" s="113">
        <v>45254</v>
      </c>
      <c r="BF368" s="194">
        <v>9098</v>
      </c>
      <c r="BG368" s="194">
        <v>512</v>
      </c>
      <c r="BH368" s="194">
        <v>9610</v>
      </c>
      <c r="BI368" s="194">
        <v>94.67</v>
      </c>
      <c r="BL368" s="113">
        <v>45254</v>
      </c>
      <c r="BM368" s="194">
        <v>4980</v>
      </c>
      <c r="BN368" s="194">
        <v>0</v>
      </c>
      <c r="BO368" s="194">
        <v>4980</v>
      </c>
      <c r="BP368" s="194">
        <v>100</v>
      </c>
      <c r="BS368" s="215">
        <v>45254</v>
      </c>
      <c r="BT368" s="205">
        <v>16462</v>
      </c>
      <c r="BU368" s="205">
        <v>58</v>
      </c>
      <c r="BV368" s="205">
        <v>16520</v>
      </c>
      <c r="BW368" s="205">
        <v>99.65</v>
      </c>
      <c r="BZ368" s="215">
        <v>45254</v>
      </c>
      <c r="CA368" s="48">
        <v>37886659</v>
      </c>
      <c r="CB368" s="48">
        <v>2118107</v>
      </c>
      <c r="CC368" s="71">
        <f t="shared" si="101"/>
        <v>17.887037340417645</v>
      </c>
      <c r="CE368" s="113">
        <v>45254</v>
      </c>
      <c r="CF368">
        <v>12713858</v>
      </c>
      <c r="CG368">
        <v>37152</v>
      </c>
      <c r="CH368">
        <v>12751010</v>
      </c>
      <c r="CI368" s="46">
        <f t="shared" si="109"/>
        <v>99.70863484539656</v>
      </c>
      <c r="CJ368" s="71">
        <f t="shared" si="108"/>
        <v>12.751010000000001</v>
      </c>
      <c r="CL368" s="140">
        <v>45209</v>
      </c>
      <c r="CM368" s="252" t="s">
        <v>239</v>
      </c>
      <c r="CN368">
        <v>1404</v>
      </c>
      <c r="CO368">
        <v>504</v>
      </c>
    </row>
    <row r="369" spans="1:93" ht="15.75" hidden="1" x14ac:dyDescent="0.25">
      <c r="A369" s="215">
        <v>45255</v>
      </c>
      <c r="B369" s="205">
        <v>6590662</v>
      </c>
      <c r="C369" s="205">
        <v>16736</v>
      </c>
      <c r="D369" s="205">
        <v>6607398</v>
      </c>
      <c r="E369" s="205">
        <v>99.75</v>
      </c>
      <c r="F369" s="71">
        <f t="shared" si="105"/>
        <v>6.6073979999999999</v>
      </c>
      <c r="H369" s="215">
        <v>45255</v>
      </c>
      <c r="I369" s="194">
        <v>1444978</v>
      </c>
      <c r="J369" s="194">
        <v>390</v>
      </c>
      <c r="K369" s="194">
        <v>1445368</v>
      </c>
      <c r="L369" s="194">
        <v>99.97</v>
      </c>
      <c r="M369" s="71">
        <f t="shared" si="104"/>
        <v>1.445368</v>
      </c>
      <c r="O369" s="215">
        <v>45255</v>
      </c>
      <c r="P369" s="194">
        <v>401644</v>
      </c>
      <c r="Q369" s="194">
        <v>168</v>
      </c>
      <c r="R369" s="194">
        <v>401812</v>
      </c>
      <c r="S369" s="194">
        <v>99.96</v>
      </c>
      <c r="T369" s="71">
        <f t="shared" si="107"/>
        <v>0.401812</v>
      </c>
      <c r="V369" s="113">
        <v>45255</v>
      </c>
      <c r="W369" s="194">
        <v>969066</v>
      </c>
      <c r="X369" s="194">
        <v>150</v>
      </c>
      <c r="Y369" s="194">
        <v>969216</v>
      </c>
      <c r="Z369" s="194">
        <v>99.98</v>
      </c>
      <c r="AA369" s="71">
        <f t="shared" si="100"/>
        <v>0.96921599999999997</v>
      </c>
      <c r="AC369" s="113">
        <v>45255</v>
      </c>
      <c r="AD369" s="194">
        <v>691500</v>
      </c>
      <c r="AE369" s="194">
        <v>1188</v>
      </c>
      <c r="AF369" s="194">
        <v>692688</v>
      </c>
      <c r="AG369" s="194">
        <v>99.83</v>
      </c>
      <c r="AH369" s="255">
        <f t="shared" si="102"/>
        <v>0.69268799999999997</v>
      </c>
      <c r="AJ369" s="215">
        <v>45255</v>
      </c>
      <c r="AK369" s="48">
        <v>0</v>
      </c>
      <c r="AL369" s="48">
        <v>22</v>
      </c>
      <c r="AM369" s="48">
        <v>22</v>
      </c>
      <c r="AN369" s="48">
        <v>0</v>
      </c>
      <c r="AQ369" s="215">
        <v>45255</v>
      </c>
      <c r="AR369" s="205">
        <v>2578</v>
      </c>
      <c r="AS369" s="205">
        <v>118</v>
      </c>
      <c r="AT369" s="205">
        <v>2696</v>
      </c>
      <c r="AU369" s="205">
        <v>95.62</v>
      </c>
      <c r="AX369" s="215">
        <v>45255</v>
      </c>
      <c r="AY369" s="205">
        <v>852</v>
      </c>
      <c r="AZ369" s="205">
        <v>24</v>
      </c>
      <c r="BA369" s="205">
        <v>876</v>
      </c>
      <c r="BB369" s="205">
        <v>97.26</v>
      </c>
      <c r="BE369" s="113">
        <v>45255</v>
      </c>
      <c r="BF369" s="194">
        <v>8830</v>
      </c>
      <c r="BG369" s="194">
        <v>262</v>
      </c>
      <c r="BH369" s="194">
        <v>9092</v>
      </c>
      <c r="BI369" s="194">
        <v>97.12</v>
      </c>
      <c r="BL369" s="113">
        <v>45255</v>
      </c>
      <c r="BM369" s="194">
        <v>4866</v>
      </c>
      <c r="BN369" s="194">
        <v>0</v>
      </c>
      <c r="BO369" s="194">
        <v>4866</v>
      </c>
      <c r="BP369" s="194">
        <v>100</v>
      </c>
      <c r="BS369" s="215">
        <v>45255</v>
      </c>
      <c r="BT369" s="205">
        <v>33896</v>
      </c>
      <c r="BU369" s="205">
        <v>0</v>
      </c>
      <c r="BV369" s="205">
        <v>33896</v>
      </c>
      <c r="BW369" s="205">
        <v>100</v>
      </c>
      <c r="BZ369" s="215">
        <v>45255</v>
      </c>
      <c r="CA369" s="48">
        <v>36578427</v>
      </c>
      <c r="CB369" s="48">
        <v>2072352</v>
      </c>
      <c r="CC369" s="71">
        <f t="shared" si="101"/>
        <v>17.65068241302636</v>
      </c>
      <c r="CE369" s="113">
        <v>45255</v>
      </c>
      <c r="CF369">
        <v>12233550</v>
      </c>
      <c r="CG369">
        <v>30756</v>
      </c>
      <c r="CH369">
        <v>12264306</v>
      </c>
      <c r="CI369" s="46">
        <f t="shared" si="109"/>
        <v>99.749223478279163</v>
      </c>
      <c r="CJ369" s="71">
        <f t="shared" si="108"/>
        <v>12.264305999999999</v>
      </c>
      <c r="CL369" s="140">
        <v>45210</v>
      </c>
      <c r="CM369" t="s">
        <v>240</v>
      </c>
      <c r="CN369">
        <v>9354</v>
      </c>
      <c r="CO369">
        <v>516</v>
      </c>
    </row>
    <row r="370" spans="1:93" ht="15.75" hidden="1" x14ac:dyDescent="0.25">
      <c r="A370" s="215">
        <v>45256</v>
      </c>
      <c r="B370" s="205">
        <v>5686160</v>
      </c>
      <c r="C370" s="205">
        <v>11762</v>
      </c>
      <c r="D370" s="205">
        <v>5697922</v>
      </c>
      <c r="E370" s="205">
        <v>99.79</v>
      </c>
      <c r="F370" s="71">
        <f t="shared" si="105"/>
        <v>5.6979220000000002</v>
      </c>
      <c r="H370" s="215">
        <v>45256</v>
      </c>
      <c r="I370" s="194">
        <v>1323060</v>
      </c>
      <c r="J370" s="194">
        <v>308</v>
      </c>
      <c r="K370" s="194">
        <v>1323368</v>
      </c>
      <c r="L370" s="194">
        <v>99.98</v>
      </c>
      <c r="M370" s="71">
        <f t="shared" si="104"/>
        <v>1.3233680000000001</v>
      </c>
      <c r="O370" s="215">
        <v>45256</v>
      </c>
      <c r="P370" s="194">
        <v>399032</v>
      </c>
      <c r="Q370" s="194">
        <v>14</v>
      </c>
      <c r="R370" s="194">
        <v>399046</v>
      </c>
      <c r="S370" s="194">
        <v>100</v>
      </c>
      <c r="T370" s="71">
        <f t="shared" si="107"/>
        <v>0.39904600000000001</v>
      </c>
      <c r="V370" s="113">
        <v>45256</v>
      </c>
      <c r="W370" s="194">
        <v>888200</v>
      </c>
      <c r="X370" s="194">
        <v>146</v>
      </c>
      <c r="Y370" s="194">
        <v>888346</v>
      </c>
      <c r="Z370" s="194">
        <v>99.98</v>
      </c>
      <c r="AA370" s="71">
        <f t="shared" si="100"/>
        <v>0.88834599999999997</v>
      </c>
      <c r="AC370" s="113">
        <v>45256</v>
      </c>
      <c r="AD370" s="194">
        <v>629858</v>
      </c>
      <c r="AE370" s="194">
        <v>734</v>
      </c>
      <c r="AF370" s="194">
        <v>630592</v>
      </c>
      <c r="AG370" s="194">
        <v>99.88</v>
      </c>
      <c r="AH370" s="255">
        <f t="shared" si="102"/>
        <v>0.63059200000000004</v>
      </c>
      <c r="AJ370" s="215">
        <v>45256</v>
      </c>
      <c r="AK370" s="48">
        <v>0</v>
      </c>
      <c r="AL370" s="48">
        <v>20</v>
      </c>
      <c r="AM370" s="48">
        <v>20</v>
      </c>
      <c r="AN370" s="48">
        <v>0</v>
      </c>
      <c r="AQ370" s="215">
        <v>45256</v>
      </c>
      <c r="AR370" s="205">
        <v>948</v>
      </c>
      <c r="AS370" s="205">
        <v>40</v>
      </c>
      <c r="AT370" s="205">
        <v>988</v>
      </c>
      <c r="AU370" s="205">
        <v>95.95</v>
      </c>
      <c r="AX370" s="215">
        <v>45256</v>
      </c>
      <c r="AY370" s="205">
        <v>270</v>
      </c>
      <c r="AZ370" s="205">
        <v>48</v>
      </c>
      <c r="BA370" s="205">
        <v>318</v>
      </c>
      <c r="BB370" s="205">
        <v>84.91</v>
      </c>
      <c r="BE370" s="113">
        <v>45256</v>
      </c>
      <c r="BF370" s="194">
        <v>7138</v>
      </c>
      <c r="BG370" s="194">
        <v>182</v>
      </c>
      <c r="BH370" s="194">
        <v>7320</v>
      </c>
      <c r="BI370" s="194">
        <v>97.51</v>
      </c>
      <c r="BL370" s="113">
        <v>45256</v>
      </c>
      <c r="BM370" s="194">
        <v>3056</v>
      </c>
      <c r="BN370" s="194">
        <v>0</v>
      </c>
      <c r="BO370" s="194">
        <v>3056</v>
      </c>
      <c r="BP370" s="194">
        <v>100</v>
      </c>
      <c r="BS370" s="215">
        <v>45256</v>
      </c>
      <c r="BT370" s="205">
        <v>26964</v>
      </c>
      <c r="BU370" s="205">
        <v>0</v>
      </c>
      <c r="BV370" s="205">
        <v>26964</v>
      </c>
      <c r="BW370" s="205">
        <v>100</v>
      </c>
      <c r="BZ370" s="215">
        <v>45256</v>
      </c>
      <c r="CA370" s="48">
        <v>31719991</v>
      </c>
      <c r="CB370" s="48">
        <v>1878929</v>
      </c>
      <c r="CC370" s="71">
        <f t="shared" si="101"/>
        <v>16.881952963629814</v>
      </c>
      <c r="CE370" s="113">
        <v>45256</v>
      </c>
      <c r="CF370">
        <v>10882474</v>
      </c>
      <c r="CG370">
        <v>22888</v>
      </c>
      <c r="CH370">
        <v>10905362</v>
      </c>
      <c r="CI370" s="46">
        <f t="shared" si="109"/>
        <v>99.79012159339598</v>
      </c>
      <c r="CJ370" s="71">
        <f t="shared" si="108"/>
        <v>10.905362</v>
      </c>
      <c r="CL370" s="140">
        <v>45210</v>
      </c>
      <c r="CM370" s="252" t="s">
        <v>251</v>
      </c>
      <c r="CN370">
        <v>4452</v>
      </c>
      <c r="CO370">
        <v>539</v>
      </c>
    </row>
    <row r="371" spans="1:93" ht="15.75" hidden="1" x14ac:dyDescent="0.25">
      <c r="A371" s="215">
        <v>45257</v>
      </c>
      <c r="B371" s="205">
        <v>6773288</v>
      </c>
      <c r="C371" s="205">
        <v>31040</v>
      </c>
      <c r="D371" s="205">
        <v>6804328</v>
      </c>
      <c r="E371" s="205">
        <v>99.54</v>
      </c>
      <c r="F371" s="71">
        <f t="shared" si="105"/>
        <v>6.8043279999999999</v>
      </c>
      <c r="H371" s="215">
        <v>45257</v>
      </c>
      <c r="I371" s="194">
        <v>1382890</v>
      </c>
      <c r="J371" s="194">
        <v>338</v>
      </c>
      <c r="K371" s="194">
        <v>1383228</v>
      </c>
      <c r="L371" s="194">
        <v>99.98</v>
      </c>
      <c r="M371" s="71">
        <f t="shared" si="104"/>
        <v>1.3832279999999999</v>
      </c>
      <c r="O371" s="215">
        <v>45257</v>
      </c>
      <c r="P371" s="194">
        <v>397054</v>
      </c>
      <c r="Q371" s="194">
        <v>20</v>
      </c>
      <c r="R371" s="194">
        <v>397074</v>
      </c>
      <c r="S371" s="194">
        <v>99.99</v>
      </c>
      <c r="T371" s="71">
        <f t="shared" si="107"/>
        <v>0.39707399999999998</v>
      </c>
      <c r="V371" s="113">
        <v>45257</v>
      </c>
      <c r="W371" s="194">
        <v>976818</v>
      </c>
      <c r="X371" s="194">
        <v>598</v>
      </c>
      <c r="Y371" s="194">
        <v>977416</v>
      </c>
      <c r="Z371" s="194">
        <v>99.94</v>
      </c>
      <c r="AA371" s="71">
        <f t="shared" si="100"/>
        <v>0.97741599999999995</v>
      </c>
      <c r="AC371" s="113">
        <v>45257</v>
      </c>
      <c r="AD371" s="194">
        <v>655894</v>
      </c>
      <c r="AE371" s="194">
        <v>176</v>
      </c>
      <c r="AF371" s="194">
        <v>656070</v>
      </c>
      <c r="AG371" s="194">
        <v>99.97</v>
      </c>
      <c r="AH371" s="255">
        <f t="shared" si="102"/>
        <v>0.65607000000000004</v>
      </c>
      <c r="AJ371" s="215">
        <v>45257</v>
      </c>
      <c r="AK371" s="48">
        <v>0</v>
      </c>
      <c r="AL371" s="48">
        <v>12</v>
      </c>
      <c r="AM371" s="48">
        <v>12</v>
      </c>
      <c r="AN371" s="48">
        <v>0</v>
      </c>
      <c r="AQ371" s="215">
        <v>45257</v>
      </c>
      <c r="AR371" s="205">
        <v>2802</v>
      </c>
      <c r="AS371" s="205">
        <v>82</v>
      </c>
      <c r="AT371" s="205">
        <v>2884</v>
      </c>
      <c r="AU371" s="205">
        <v>97.16</v>
      </c>
      <c r="AX371" s="215">
        <v>45257</v>
      </c>
      <c r="AY371" s="205">
        <v>1960</v>
      </c>
      <c r="AZ371" s="205">
        <v>192</v>
      </c>
      <c r="BA371" s="205">
        <v>2152</v>
      </c>
      <c r="BB371" s="205">
        <v>91.08</v>
      </c>
      <c r="BE371" s="113">
        <v>45257</v>
      </c>
      <c r="BF371" s="194">
        <v>8240</v>
      </c>
      <c r="BG371" s="194">
        <v>360</v>
      </c>
      <c r="BH371" s="194">
        <v>8600</v>
      </c>
      <c r="BI371" s="194">
        <v>95.81</v>
      </c>
      <c r="BL371" s="113">
        <v>45257</v>
      </c>
      <c r="BM371" s="194">
        <v>4180</v>
      </c>
      <c r="BN371" s="194">
        <v>0</v>
      </c>
      <c r="BO371" s="194">
        <v>4180</v>
      </c>
      <c r="BP371" s="194">
        <v>100</v>
      </c>
      <c r="BS371" s="215">
        <v>45257</v>
      </c>
      <c r="BT371" s="205">
        <v>13810</v>
      </c>
      <c r="BU371" s="205">
        <v>0</v>
      </c>
      <c r="BV371" s="205">
        <v>13810</v>
      </c>
      <c r="BW371" s="205">
        <v>100</v>
      </c>
      <c r="BZ371" s="215">
        <v>45257</v>
      </c>
      <c r="CA371" s="48">
        <v>35944476</v>
      </c>
      <c r="CB371" s="48">
        <v>2085226</v>
      </c>
      <c r="CC371" s="71">
        <f t="shared" si="101"/>
        <v>17.237688384856124</v>
      </c>
      <c r="CE371" s="113">
        <v>45257</v>
      </c>
      <c r="CF371">
        <v>12249506</v>
      </c>
      <c r="CG371">
        <v>48462</v>
      </c>
      <c r="CH371">
        <v>12297968</v>
      </c>
      <c r="CI371" s="46">
        <f t="shared" si="109"/>
        <v>99.605934899163842</v>
      </c>
      <c r="CJ371" s="71">
        <f t="shared" si="108"/>
        <v>12.297967999999999</v>
      </c>
      <c r="CL371" s="140">
        <v>45210</v>
      </c>
      <c r="CM371" t="s">
        <v>237</v>
      </c>
      <c r="CN371">
        <v>1528</v>
      </c>
      <c r="CO371">
        <v>527</v>
      </c>
    </row>
    <row r="372" spans="1:93" ht="15.75" hidden="1" x14ac:dyDescent="0.25">
      <c r="A372" s="215">
        <v>45258</v>
      </c>
      <c r="B372" s="205">
        <v>7088342</v>
      </c>
      <c r="C372" s="205">
        <v>23796</v>
      </c>
      <c r="D372" s="205">
        <v>7112138</v>
      </c>
      <c r="E372" s="205">
        <v>99.67</v>
      </c>
      <c r="F372" s="71">
        <f t="shared" si="105"/>
        <v>7.1121379999999998</v>
      </c>
      <c r="H372" s="215">
        <v>45258</v>
      </c>
      <c r="I372" s="194">
        <v>1540396</v>
      </c>
      <c r="J372" s="194">
        <v>648</v>
      </c>
      <c r="K372" s="194">
        <v>1541044</v>
      </c>
      <c r="L372" s="194">
        <v>99.96</v>
      </c>
      <c r="M372" s="71">
        <f t="shared" si="104"/>
        <v>1.5410440000000001</v>
      </c>
      <c r="O372" s="215">
        <v>45258</v>
      </c>
      <c r="P372" s="194">
        <v>447788</v>
      </c>
      <c r="Q372" s="194">
        <v>0</v>
      </c>
      <c r="R372" s="194">
        <v>447788</v>
      </c>
      <c r="S372" s="194">
        <v>100</v>
      </c>
      <c r="T372" s="71">
        <f t="shared" si="107"/>
        <v>0.44778800000000002</v>
      </c>
      <c r="V372" s="113">
        <v>45258</v>
      </c>
      <c r="W372" s="194">
        <v>963704</v>
      </c>
      <c r="X372" s="194">
        <v>620</v>
      </c>
      <c r="Y372" s="194">
        <v>964324</v>
      </c>
      <c r="Z372" s="194">
        <v>99.94</v>
      </c>
      <c r="AA372" s="71">
        <f t="shared" si="100"/>
        <v>0.96432399999999996</v>
      </c>
      <c r="AC372" s="113">
        <v>45258</v>
      </c>
      <c r="AD372" s="194">
        <v>649802</v>
      </c>
      <c r="AE372" s="194">
        <v>364</v>
      </c>
      <c r="AF372" s="194">
        <v>650166</v>
      </c>
      <c r="AG372" s="194">
        <v>99.94</v>
      </c>
      <c r="AH372" s="255">
        <f t="shared" si="102"/>
        <v>0.65016600000000002</v>
      </c>
      <c r="AJ372" s="215">
        <v>45258</v>
      </c>
      <c r="AK372" s="48">
        <v>0</v>
      </c>
      <c r="AL372" s="48">
        <v>30</v>
      </c>
      <c r="AM372" s="48">
        <v>30</v>
      </c>
      <c r="AN372" s="48">
        <v>0</v>
      </c>
      <c r="AQ372" s="215">
        <v>45258</v>
      </c>
      <c r="AR372" s="205">
        <v>1988</v>
      </c>
      <c r="AS372" s="205">
        <v>88</v>
      </c>
      <c r="AT372" s="205">
        <v>2076</v>
      </c>
      <c r="AU372" s="205">
        <v>95.76</v>
      </c>
      <c r="AX372" s="215">
        <v>45258</v>
      </c>
      <c r="AY372" s="205">
        <v>2266</v>
      </c>
      <c r="AZ372" s="205">
        <v>58</v>
      </c>
      <c r="BA372" s="205">
        <v>2324</v>
      </c>
      <c r="BB372" s="205">
        <v>97.5</v>
      </c>
      <c r="BE372" s="113">
        <v>45258</v>
      </c>
      <c r="BF372" s="194">
        <v>9748</v>
      </c>
      <c r="BG372" s="194">
        <v>306</v>
      </c>
      <c r="BH372" s="194">
        <v>10054</v>
      </c>
      <c r="BI372" s="194">
        <v>96.96</v>
      </c>
      <c r="BL372" s="113">
        <v>45258</v>
      </c>
      <c r="BM372" s="194">
        <v>3672</v>
      </c>
      <c r="BN372" s="194">
        <v>0</v>
      </c>
      <c r="BO372" s="194">
        <v>3672</v>
      </c>
      <c r="BP372" s="194">
        <v>100</v>
      </c>
      <c r="BS372" s="215">
        <v>45258</v>
      </c>
      <c r="BT372" s="205">
        <v>71868</v>
      </c>
      <c r="BU372" s="205">
        <v>0</v>
      </c>
      <c r="BV372" s="205">
        <v>71868</v>
      </c>
      <c r="BW372" s="205">
        <v>100</v>
      </c>
      <c r="BZ372" s="215">
        <v>45258</v>
      </c>
      <c r="CA372" s="48">
        <v>37881458</v>
      </c>
      <c r="CB372" s="48">
        <v>2162751</v>
      </c>
      <c r="CC372" s="71">
        <f t="shared" si="101"/>
        <v>17.515404223602253</v>
      </c>
      <c r="CE372" s="113">
        <v>45258</v>
      </c>
      <c r="CF372">
        <v>12896200</v>
      </c>
      <c r="CG372">
        <v>44120</v>
      </c>
      <c r="CH372">
        <v>12940320</v>
      </c>
      <c r="CI372" s="46">
        <f t="shared" si="109"/>
        <v>99.659050162592578</v>
      </c>
      <c r="CJ372" s="71">
        <f t="shared" si="108"/>
        <v>12.94032</v>
      </c>
      <c r="CL372" s="140">
        <v>45210</v>
      </c>
      <c r="CM372" t="s">
        <v>250</v>
      </c>
      <c r="CN372">
        <v>1356</v>
      </c>
      <c r="CO372">
        <v>549</v>
      </c>
    </row>
    <row r="373" spans="1:93" ht="15.75" hidden="1" x14ac:dyDescent="0.25">
      <c r="A373" s="215">
        <v>45259</v>
      </c>
      <c r="B373" s="205">
        <v>6923942</v>
      </c>
      <c r="C373" s="205">
        <v>29638</v>
      </c>
      <c r="D373" s="205">
        <v>6953580</v>
      </c>
      <c r="E373" s="205">
        <v>99.57</v>
      </c>
      <c r="F373" s="71">
        <f t="shared" si="105"/>
        <v>6.9535799999999997</v>
      </c>
      <c r="H373" s="215">
        <v>45259</v>
      </c>
      <c r="I373" s="194">
        <v>1403886</v>
      </c>
      <c r="J373" s="194">
        <v>330</v>
      </c>
      <c r="K373" s="194">
        <v>1404216</v>
      </c>
      <c r="L373" s="194">
        <v>99.98</v>
      </c>
      <c r="M373" s="71">
        <f t="shared" si="104"/>
        <v>1.4042159999999999</v>
      </c>
      <c r="O373" s="215">
        <v>45259</v>
      </c>
      <c r="P373" s="194">
        <v>434196</v>
      </c>
      <c r="Q373" s="194">
        <v>24</v>
      </c>
      <c r="R373" s="194">
        <v>434220</v>
      </c>
      <c r="S373" s="194">
        <v>99.99</v>
      </c>
      <c r="T373" s="71">
        <f t="shared" si="107"/>
        <v>0.43421999999999999</v>
      </c>
      <c r="V373" s="113">
        <v>45259</v>
      </c>
      <c r="W373" s="194">
        <v>928002</v>
      </c>
      <c r="X373" s="194">
        <v>1076</v>
      </c>
      <c r="Y373" s="194">
        <v>929078</v>
      </c>
      <c r="Z373" s="194">
        <v>99.88</v>
      </c>
      <c r="AA373" s="71">
        <f t="shared" si="100"/>
        <v>0.92907799999999996</v>
      </c>
      <c r="AC373" s="113">
        <v>45259</v>
      </c>
      <c r="AD373" s="194">
        <v>675070</v>
      </c>
      <c r="AE373" s="194">
        <v>1144</v>
      </c>
      <c r="AF373" s="194">
        <v>676214</v>
      </c>
      <c r="AG373" s="194">
        <v>99.83</v>
      </c>
      <c r="AH373" s="255">
        <f t="shared" si="102"/>
        <v>0.67621399999999998</v>
      </c>
      <c r="AJ373" s="215">
        <v>45259</v>
      </c>
      <c r="AK373" s="48">
        <v>0</v>
      </c>
      <c r="AL373" s="48">
        <v>18</v>
      </c>
      <c r="AM373" s="48">
        <v>18</v>
      </c>
      <c r="AN373" s="48">
        <v>0</v>
      </c>
      <c r="AQ373" s="215">
        <v>45259</v>
      </c>
      <c r="AR373" s="205">
        <v>2278</v>
      </c>
      <c r="AS373" s="205">
        <v>58</v>
      </c>
      <c r="AT373" s="205">
        <v>2336</v>
      </c>
      <c r="AU373" s="205">
        <v>97.52</v>
      </c>
      <c r="AX373" s="215">
        <v>45259</v>
      </c>
      <c r="AY373" s="205">
        <v>2766</v>
      </c>
      <c r="AZ373" s="205">
        <v>92</v>
      </c>
      <c r="BA373" s="205">
        <v>2858</v>
      </c>
      <c r="BB373" s="205">
        <v>96.78</v>
      </c>
      <c r="BE373" s="113">
        <v>45259</v>
      </c>
      <c r="BF373" s="194">
        <v>9334</v>
      </c>
      <c r="BG373" s="194">
        <v>298</v>
      </c>
      <c r="BH373" s="194">
        <v>9632</v>
      </c>
      <c r="BI373" s="194">
        <v>96.91</v>
      </c>
      <c r="BL373" s="113">
        <v>45259</v>
      </c>
      <c r="BM373" s="194">
        <v>3896</v>
      </c>
      <c r="BN373" s="194">
        <v>0</v>
      </c>
      <c r="BO373" s="194">
        <v>3896</v>
      </c>
      <c r="BP373" s="194">
        <v>100</v>
      </c>
      <c r="BS373" s="215">
        <v>45259</v>
      </c>
      <c r="BT373" s="205">
        <v>25718</v>
      </c>
      <c r="BU373" s="205">
        <v>4</v>
      </c>
      <c r="BV373" s="205">
        <v>25722</v>
      </c>
      <c r="BW373" s="205">
        <v>99.98</v>
      </c>
      <c r="BZ373" s="215">
        <v>45259</v>
      </c>
      <c r="CA373" s="48">
        <v>36395394</v>
      </c>
      <c r="CB373" s="48">
        <v>2193572</v>
      </c>
      <c r="CC373" s="71">
        <f t="shared" si="101"/>
        <v>16.59183924667164</v>
      </c>
      <c r="CE373" s="113">
        <v>45259</v>
      </c>
      <c r="CF373">
        <v>12355308</v>
      </c>
      <c r="CG373">
        <v>51164</v>
      </c>
      <c r="CH373">
        <v>12406472</v>
      </c>
      <c r="CI373" s="46">
        <f t="shared" si="109"/>
        <v>99.587602341745495</v>
      </c>
      <c r="CJ373" s="71">
        <f t="shared" si="108"/>
        <v>12.406472000000001</v>
      </c>
      <c r="CL373" s="140">
        <v>45210</v>
      </c>
      <c r="CM373" t="s">
        <v>238</v>
      </c>
      <c r="CN373">
        <v>1336</v>
      </c>
      <c r="CO373">
        <v>503</v>
      </c>
    </row>
    <row r="374" spans="1:93" ht="15.75" hidden="1" x14ac:dyDescent="0.25">
      <c r="A374" s="215">
        <v>45260</v>
      </c>
      <c r="B374" s="205">
        <v>6727426</v>
      </c>
      <c r="C374" s="205">
        <v>21998</v>
      </c>
      <c r="D374" s="205">
        <v>6749424</v>
      </c>
      <c r="E374" s="205">
        <v>99.67</v>
      </c>
      <c r="F374" s="71">
        <f t="shared" si="105"/>
        <v>6.7494240000000003</v>
      </c>
      <c r="H374" s="215">
        <v>45260</v>
      </c>
      <c r="I374" s="194">
        <v>1556696</v>
      </c>
      <c r="J374" s="194">
        <v>328</v>
      </c>
      <c r="K374" s="194">
        <v>1557024</v>
      </c>
      <c r="L374" s="194">
        <v>99.98</v>
      </c>
      <c r="M374" s="71">
        <f t="shared" si="104"/>
        <v>1.557024</v>
      </c>
      <c r="O374" s="215">
        <v>45260</v>
      </c>
      <c r="P374" s="194">
        <v>439410</v>
      </c>
      <c r="Q374" s="194">
        <v>8</v>
      </c>
      <c r="R374" s="194">
        <v>439418</v>
      </c>
      <c r="S374" s="194">
        <v>100</v>
      </c>
      <c r="T374" s="71">
        <f t="shared" si="107"/>
        <v>0.43941799999999998</v>
      </c>
      <c r="V374" s="113">
        <v>45260</v>
      </c>
      <c r="W374" s="194">
        <v>933886</v>
      </c>
      <c r="X374" s="194">
        <v>164</v>
      </c>
      <c r="Y374" s="194">
        <v>934050</v>
      </c>
      <c r="Z374" s="194">
        <v>99.98</v>
      </c>
      <c r="AA374" s="71">
        <f t="shared" si="100"/>
        <v>0.93405000000000005</v>
      </c>
      <c r="AC374" s="113">
        <v>45260</v>
      </c>
      <c r="AD374" s="194">
        <v>703658</v>
      </c>
      <c r="AE374" s="194">
        <v>294</v>
      </c>
      <c r="AF374" s="194">
        <v>703952</v>
      </c>
      <c r="AG374" s="194">
        <v>99.96</v>
      </c>
      <c r="AH374" s="255">
        <f t="shared" si="102"/>
        <v>0.70395200000000002</v>
      </c>
      <c r="AJ374" s="215">
        <v>45260</v>
      </c>
      <c r="AK374" s="48">
        <v>0</v>
      </c>
      <c r="AL374" s="48">
        <v>16</v>
      </c>
      <c r="AM374" s="48">
        <v>16</v>
      </c>
      <c r="AN374" s="48">
        <v>0</v>
      </c>
      <c r="AQ374" s="215">
        <v>45260</v>
      </c>
      <c r="AR374" s="205">
        <v>3092</v>
      </c>
      <c r="AS374" s="205">
        <v>100</v>
      </c>
      <c r="AT374" s="205">
        <v>3192</v>
      </c>
      <c r="AU374" s="205">
        <v>96.87</v>
      </c>
      <c r="AX374" s="215">
        <v>45260</v>
      </c>
      <c r="AY374" s="205">
        <v>2066</v>
      </c>
      <c r="AZ374" s="205">
        <v>20</v>
      </c>
      <c r="BA374" s="205">
        <v>2086</v>
      </c>
      <c r="BB374" s="205">
        <v>99.04</v>
      </c>
      <c r="BE374" s="113">
        <v>45260</v>
      </c>
      <c r="BF374" s="194">
        <v>9102</v>
      </c>
      <c r="BG374" s="194">
        <v>240</v>
      </c>
      <c r="BH374" s="194">
        <v>9342</v>
      </c>
      <c r="BI374" s="194">
        <v>97.43</v>
      </c>
      <c r="BL374" s="113">
        <v>45260</v>
      </c>
      <c r="BM374" s="194">
        <v>3186</v>
      </c>
      <c r="BN374" s="194">
        <v>0</v>
      </c>
      <c r="BO374" s="194">
        <v>3186</v>
      </c>
      <c r="BP374" s="194">
        <v>100</v>
      </c>
      <c r="BS374" s="215">
        <v>45260</v>
      </c>
      <c r="BT374" s="205">
        <v>23122</v>
      </c>
      <c r="BU374" s="205">
        <v>0</v>
      </c>
      <c r="BV374" s="205">
        <v>23122</v>
      </c>
      <c r="BW374" s="205">
        <v>100</v>
      </c>
      <c r="BZ374" s="215">
        <v>45260</v>
      </c>
      <c r="CA374" s="48">
        <v>36456415</v>
      </c>
      <c r="CB374" s="48">
        <v>2081778</v>
      </c>
      <c r="CC374" s="71">
        <f t="shared" si="101"/>
        <v>17.512153072998178</v>
      </c>
      <c r="CE374" s="113">
        <v>45260</v>
      </c>
      <c r="CF374">
        <v>12392592</v>
      </c>
      <c r="CG374">
        <v>31180</v>
      </c>
      <c r="CH374">
        <v>12423772</v>
      </c>
      <c r="CI374" s="46">
        <f t="shared" si="109"/>
        <v>99.749029521790959</v>
      </c>
      <c r="CJ374" s="71">
        <f t="shared" si="108"/>
        <v>12.423772</v>
      </c>
      <c r="CL374" s="140">
        <v>45211</v>
      </c>
      <c r="CM374" s="252" t="s">
        <v>243</v>
      </c>
      <c r="CN374">
        <v>483294</v>
      </c>
      <c r="CO374">
        <v>540</v>
      </c>
    </row>
    <row r="375" spans="1:93" ht="15.75" hidden="1" x14ac:dyDescent="0.25">
      <c r="A375" s="215">
        <v>45261</v>
      </c>
      <c r="B375" s="205">
        <v>6182991</v>
      </c>
      <c r="C375" s="205">
        <v>1594</v>
      </c>
      <c r="D375" s="205">
        <v>6184585</v>
      </c>
      <c r="E375" s="205">
        <v>99.97</v>
      </c>
      <c r="F375" s="71">
        <f t="shared" si="105"/>
        <v>6.1845850000000002</v>
      </c>
      <c r="H375" s="215">
        <v>45261</v>
      </c>
      <c r="I375" s="194">
        <v>3540883</v>
      </c>
      <c r="J375" s="194">
        <v>416</v>
      </c>
      <c r="K375" s="194">
        <v>3541299</v>
      </c>
      <c r="L375" s="194">
        <v>99.99</v>
      </c>
      <c r="M375" s="71">
        <f t="shared" si="104"/>
        <v>3.541299</v>
      </c>
      <c r="O375" s="215">
        <v>45261</v>
      </c>
      <c r="P375" s="194">
        <v>426450</v>
      </c>
      <c r="Q375" s="194">
        <v>4</v>
      </c>
      <c r="R375" s="194">
        <v>426454</v>
      </c>
      <c r="S375" s="194">
        <v>100</v>
      </c>
      <c r="T375" s="71">
        <f t="shared" si="107"/>
        <v>0.426454</v>
      </c>
      <c r="V375" s="113">
        <v>45261</v>
      </c>
      <c r="W375" s="194">
        <v>941052</v>
      </c>
      <c r="X375" s="194">
        <v>154</v>
      </c>
      <c r="Y375" s="194">
        <v>941206</v>
      </c>
      <c r="Z375" s="194">
        <v>99.98</v>
      </c>
      <c r="AA375" s="71">
        <f t="shared" si="100"/>
        <v>0.94120599999999999</v>
      </c>
      <c r="AC375" s="113">
        <v>45261</v>
      </c>
      <c r="AD375" s="194">
        <v>759565</v>
      </c>
      <c r="AE375" s="194">
        <v>672</v>
      </c>
      <c r="AF375" s="194">
        <v>760237</v>
      </c>
      <c r="AG375" s="194">
        <v>99.91</v>
      </c>
      <c r="AH375" s="255">
        <f t="shared" si="102"/>
        <v>0.76023700000000005</v>
      </c>
      <c r="AJ375" s="215">
        <v>45261</v>
      </c>
      <c r="AK375" s="48">
        <v>0</v>
      </c>
      <c r="AL375" s="48">
        <v>59</v>
      </c>
      <c r="AM375" s="48">
        <v>59</v>
      </c>
      <c r="AN375" s="48">
        <v>0</v>
      </c>
      <c r="AQ375" s="215">
        <v>45261</v>
      </c>
      <c r="AR375" s="205">
        <v>2069</v>
      </c>
      <c r="AS375" s="205">
        <v>87</v>
      </c>
      <c r="AT375" s="205">
        <v>2156</v>
      </c>
      <c r="AU375" s="205">
        <v>95.96</v>
      </c>
      <c r="AX375" s="215">
        <v>45261</v>
      </c>
      <c r="AY375" s="205">
        <v>1985</v>
      </c>
      <c r="AZ375" s="205">
        <v>96</v>
      </c>
      <c r="BA375" s="205">
        <v>2081</v>
      </c>
      <c r="BB375" s="205">
        <v>95.39</v>
      </c>
      <c r="BE375" s="113">
        <v>45261</v>
      </c>
      <c r="BF375" s="194">
        <v>10917</v>
      </c>
      <c r="BG375" s="194">
        <v>562</v>
      </c>
      <c r="BH375" s="194">
        <v>11479</v>
      </c>
      <c r="BI375" s="194">
        <v>95.1</v>
      </c>
      <c r="BL375" s="113">
        <v>45261</v>
      </c>
      <c r="BM375" s="194">
        <v>4242</v>
      </c>
      <c r="BN375" s="194">
        <v>0</v>
      </c>
      <c r="BO375" s="194">
        <v>4242</v>
      </c>
      <c r="BP375" s="194">
        <v>100</v>
      </c>
      <c r="BS375" s="215">
        <v>45261</v>
      </c>
      <c r="BT375" s="205">
        <v>15122</v>
      </c>
      <c r="BU375" s="205">
        <v>110</v>
      </c>
      <c r="BV375" s="205">
        <v>15232</v>
      </c>
      <c r="BW375" s="205">
        <v>99.28</v>
      </c>
      <c r="BZ375" s="215">
        <v>45261</v>
      </c>
      <c r="CA375" s="48">
        <v>43630007</v>
      </c>
      <c r="CB375" s="48">
        <v>2623291</v>
      </c>
      <c r="CC375" s="71">
        <f t="shared" si="101"/>
        <v>16.63178313042663</v>
      </c>
      <c r="CE375" s="113">
        <v>45261</v>
      </c>
      <c r="CF375">
        <v>14074070</v>
      </c>
      <c r="CG375">
        <v>13504</v>
      </c>
      <c r="CH375">
        <v>14087574</v>
      </c>
      <c r="CI375" s="46">
        <f t="shared" si="109"/>
        <v>99.904142473359869</v>
      </c>
      <c r="CJ375" s="71">
        <f t="shared" si="108"/>
        <v>14.087574</v>
      </c>
      <c r="CL375" s="140">
        <v>45211</v>
      </c>
      <c r="CM375" s="252" t="s">
        <v>239</v>
      </c>
      <c r="CN375">
        <v>154622</v>
      </c>
      <c r="CO375">
        <v>504</v>
      </c>
    </row>
    <row r="376" spans="1:93" ht="15.75" hidden="1" x14ac:dyDescent="0.25">
      <c r="A376" s="215">
        <v>45262</v>
      </c>
      <c r="B376" s="205">
        <v>6500440</v>
      </c>
      <c r="C376" s="205">
        <v>3344</v>
      </c>
      <c r="D376" s="205">
        <v>6503784</v>
      </c>
      <c r="E376" s="205">
        <v>99.95</v>
      </c>
      <c r="F376" s="71">
        <f t="shared" si="105"/>
        <v>6.5037839999999996</v>
      </c>
      <c r="H376" s="215">
        <v>45262</v>
      </c>
      <c r="I376" s="194">
        <v>1585084</v>
      </c>
      <c r="J376" s="194">
        <v>384</v>
      </c>
      <c r="K376" s="194">
        <v>1585468</v>
      </c>
      <c r="L376" s="194">
        <v>99.98</v>
      </c>
      <c r="M376" s="71">
        <f t="shared" si="104"/>
        <v>1.5854680000000001</v>
      </c>
      <c r="O376" s="215">
        <v>45262</v>
      </c>
      <c r="P376" s="194">
        <v>433474</v>
      </c>
      <c r="Q376" s="194">
        <v>2</v>
      </c>
      <c r="R376" s="194">
        <v>433476</v>
      </c>
      <c r="S376" s="194">
        <v>100</v>
      </c>
      <c r="T376" s="71">
        <f t="shared" si="107"/>
        <v>0.43347599999999997</v>
      </c>
      <c r="V376" s="113">
        <v>45262</v>
      </c>
      <c r="W376" s="194">
        <v>1013228</v>
      </c>
      <c r="X376" s="194">
        <v>182</v>
      </c>
      <c r="Y376" s="194">
        <v>1013410</v>
      </c>
      <c r="Z376" s="194">
        <v>99.98</v>
      </c>
      <c r="AA376" s="71">
        <f t="shared" si="100"/>
        <v>1.0134099999999999</v>
      </c>
      <c r="AC376" s="113">
        <v>45262</v>
      </c>
      <c r="AD376" s="194">
        <v>768498</v>
      </c>
      <c r="AE376" s="194">
        <v>6610</v>
      </c>
      <c r="AF376" s="194">
        <v>775108</v>
      </c>
      <c r="AG376" s="194">
        <v>99.15</v>
      </c>
      <c r="AH376" s="255">
        <f t="shared" si="102"/>
        <v>0.77510800000000002</v>
      </c>
      <c r="AJ376" s="215">
        <v>45262</v>
      </c>
      <c r="AK376" s="48">
        <v>0</v>
      </c>
      <c r="AL376" s="48">
        <v>30</v>
      </c>
      <c r="AM376" s="48">
        <v>30</v>
      </c>
      <c r="AN376" s="48">
        <v>0</v>
      </c>
      <c r="AQ376" s="215">
        <v>45262</v>
      </c>
      <c r="AR376" s="205">
        <v>2806</v>
      </c>
      <c r="AS376" s="205">
        <v>96</v>
      </c>
      <c r="AT376" s="205">
        <v>2902</v>
      </c>
      <c r="AU376" s="205">
        <v>96.69</v>
      </c>
      <c r="AX376" s="215">
        <v>45262</v>
      </c>
      <c r="AY376" s="205">
        <v>1308</v>
      </c>
      <c r="AZ376" s="205">
        <v>12</v>
      </c>
      <c r="BA376" s="205">
        <v>1320</v>
      </c>
      <c r="BB376" s="205">
        <v>99.09</v>
      </c>
      <c r="BE376" s="113">
        <v>45262</v>
      </c>
      <c r="BF376" s="194">
        <v>8390</v>
      </c>
      <c r="BG376" s="194">
        <v>388</v>
      </c>
      <c r="BH376" s="194">
        <v>8778</v>
      </c>
      <c r="BI376" s="194">
        <v>95.58</v>
      </c>
      <c r="BL376" s="113">
        <v>45262</v>
      </c>
      <c r="BM376" s="194">
        <v>5676</v>
      </c>
      <c r="BN376" s="194">
        <v>0</v>
      </c>
      <c r="BO376" s="194">
        <v>5676</v>
      </c>
      <c r="BP376" s="194">
        <v>100</v>
      </c>
      <c r="BS376" s="215">
        <v>45262</v>
      </c>
      <c r="BT376" s="205">
        <v>30828</v>
      </c>
      <c r="BU376" s="205">
        <v>2</v>
      </c>
      <c r="BV376" s="205">
        <v>30830</v>
      </c>
      <c r="BW376" s="205">
        <v>99.99</v>
      </c>
      <c r="BZ376" s="215">
        <v>45262</v>
      </c>
      <c r="CA376" s="48">
        <v>36865951</v>
      </c>
      <c r="CB376" s="48">
        <v>2178313</v>
      </c>
      <c r="CC376" s="71">
        <f t="shared" si="101"/>
        <v>16.92408345357164</v>
      </c>
      <c r="CE376" s="113">
        <v>45262</v>
      </c>
      <c r="CF376">
        <v>12408054</v>
      </c>
      <c r="CG376">
        <v>19116</v>
      </c>
      <c r="CH376">
        <v>12427170</v>
      </c>
      <c r="CI376" s="46">
        <f t="shared" si="109"/>
        <v>99.846175758438974</v>
      </c>
      <c r="CJ376" s="71">
        <f t="shared" si="108"/>
        <v>12.42717</v>
      </c>
      <c r="CL376" s="140">
        <v>45211</v>
      </c>
      <c r="CM376" t="s">
        <v>238</v>
      </c>
      <c r="CN376">
        <v>4638</v>
      </c>
      <c r="CO376">
        <v>503</v>
      </c>
    </row>
    <row r="377" spans="1:93" ht="15.75" hidden="1" x14ac:dyDescent="0.25">
      <c r="A377" s="215">
        <v>45263</v>
      </c>
      <c r="B377" s="205">
        <v>5520342</v>
      </c>
      <c r="C377" s="205">
        <v>1466</v>
      </c>
      <c r="D377" s="205">
        <v>5521808</v>
      </c>
      <c r="E377" s="205">
        <v>99.97</v>
      </c>
      <c r="F377" s="71">
        <f t="shared" si="105"/>
        <v>5.521808</v>
      </c>
      <c r="H377" s="215">
        <v>45263</v>
      </c>
      <c r="I377" s="194">
        <v>1357550</v>
      </c>
      <c r="J377" s="194">
        <v>1492</v>
      </c>
      <c r="K377" s="194">
        <v>1359042</v>
      </c>
      <c r="L377" s="194">
        <v>99.89</v>
      </c>
      <c r="M377" s="71">
        <f t="shared" si="104"/>
        <v>1.3590420000000001</v>
      </c>
      <c r="O377" s="215">
        <v>45263</v>
      </c>
      <c r="P377" s="194">
        <v>424142</v>
      </c>
      <c r="Q377" s="194">
        <v>554</v>
      </c>
      <c r="R377" s="194">
        <v>424696</v>
      </c>
      <c r="S377" s="194">
        <v>99.87</v>
      </c>
      <c r="T377" s="71">
        <f t="shared" si="107"/>
        <v>0.42469600000000002</v>
      </c>
      <c r="V377" s="113">
        <v>45263</v>
      </c>
      <c r="W377" s="194">
        <v>931066</v>
      </c>
      <c r="X377" s="194">
        <v>174</v>
      </c>
      <c r="Y377" s="194">
        <v>931240</v>
      </c>
      <c r="Z377" s="194">
        <v>99.98</v>
      </c>
      <c r="AA377" s="71">
        <f t="shared" si="100"/>
        <v>0.93123999999999996</v>
      </c>
      <c r="AC377" s="113">
        <v>45263</v>
      </c>
      <c r="AD377" s="194">
        <v>727670</v>
      </c>
      <c r="AE377" s="194">
        <v>9884</v>
      </c>
      <c r="AF377" s="194">
        <v>737554</v>
      </c>
      <c r="AG377" s="194">
        <v>98.66</v>
      </c>
      <c r="AH377" s="255">
        <f t="shared" si="102"/>
        <v>0.73755400000000004</v>
      </c>
      <c r="AJ377" s="215">
        <v>45263</v>
      </c>
      <c r="AK377" s="48">
        <v>0</v>
      </c>
      <c r="AL377" s="48">
        <v>20</v>
      </c>
      <c r="AM377" s="48">
        <v>20</v>
      </c>
      <c r="AN377" s="48">
        <v>0</v>
      </c>
      <c r="AQ377" s="215">
        <v>45263</v>
      </c>
      <c r="AR377" s="205">
        <v>1456</v>
      </c>
      <c r="AS377" s="205">
        <v>84</v>
      </c>
      <c r="AT377" s="205">
        <v>1540</v>
      </c>
      <c r="AU377" s="205">
        <v>94.55</v>
      </c>
      <c r="AX377" s="215">
        <v>45263</v>
      </c>
      <c r="AY377" s="205">
        <v>138</v>
      </c>
      <c r="AZ377" s="205">
        <v>84</v>
      </c>
      <c r="BA377" s="205">
        <v>222</v>
      </c>
      <c r="BB377" s="205">
        <v>62.16</v>
      </c>
      <c r="BE377" s="113">
        <v>45263</v>
      </c>
      <c r="BF377" s="194">
        <v>7286</v>
      </c>
      <c r="BG377" s="194">
        <v>308</v>
      </c>
      <c r="BH377" s="194">
        <v>7594</v>
      </c>
      <c r="BI377" s="194">
        <v>95.94</v>
      </c>
      <c r="BL377" s="113">
        <v>45263</v>
      </c>
      <c r="BM377" s="194">
        <v>3434</v>
      </c>
      <c r="BN377" s="194">
        <v>0</v>
      </c>
      <c r="BO377" s="194">
        <v>3434</v>
      </c>
      <c r="BP377" s="194">
        <v>100</v>
      </c>
      <c r="BS377" s="215">
        <v>45263</v>
      </c>
      <c r="BT377" s="205">
        <v>32568</v>
      </c>
      <c r="BU377" s="205">
        <v>2</v>
      </c>
      <c r="BV377" s="205">
        <v>32570</v>
      </c>
      <c r="BW377" s="205">
        <v>99.99</v>
      </c>
      <c r="BZ377" s="215">
        <v>45263</v>
      </c>
      <c r="CA377" s="48">
        <v>31645208</v>
      </c>
      <c r="CB377" s="48">
        <v>1954961</v>
      </c>
      <c r="CC377" s="71">
        <f t="shared" si="101"/>
        <v>16.18713007574064</v>
      </c>
      <c r="CE377" s="113">
        <v>45263</v>
      </c>
      <c r="CF377">
        <v>10867038</v>
      </c>
      <c r="CG377">
        <v>22702</v>
      </c>
      <c r="CH377">
        <v>10889740</v>
      </c>
      <c r="CI377" s="46">
        <f t="shared" si="109"/>
        <v>99.791528539708025</v>
      </c>
      <c r="CJ377" s="71">
        <f t="shared" si="108"/>
        <v>10.88974</v>
      </c>
      <c r="CL377" s="140">
        <v>45211</v>
      </c>
      <c r="CM377" s="252" t="s">
        <v>251</v>
      </c>
      <c r="CN377">
        <v>4508</v>
      </c>
      <c r="CO377">
        <v>539</v>
      </c>
    </row>
    <row r="378" spans="1:93" ht="15.75" hidden="1" x14ac:dyDescent="0.25">
      <c r="A378" s="215">
        <v>45264</v>
      </c>
      <c r="B378" s="205">
        <v>6512654</v>
      </c>
      <c r="C378" s="205">
        <v>1754</v>
      </c>
      <c r="D378" s="205">
        <v>6514408</v>
      </c>
      <c r="E378" s="205">
        <v>99.97</v>
      </c>
      <c r="F378" s="71">
        <f t="shared" si="105"/>
        <v>6.5144080000000004</v>
      </c>
      <c r="H378" s="215">
        <v>45264</v>
      </c>
      <c r="I378" s="194">
        <v>1366854</v>
      </c>
      <c r="J378" s="194">
        <v>292</v>
      </c>
      <c r="K378" s="194">
        <v>1367146</v>
      </c>
      <c r="L378" s="194">
        <v>99.98</v>
      </c>
      <c r="M378" s="71">
        <f t="shared" si="104"/>
        <v>1.367146</v>
      </c>
      <c r="O378" s="215">
        <v>45264</v>
      </c>
      <c r="P378" s="194">
        <v>428288</v>
      </c>
      <c r="Q378" s="194">
        <v>0</v>
      </c>
      <c r="R378" s="194">
        <v>428288</v>
      </c>
      <c r="S378" s="194">
        <v>100</v>
      </c>
      <c r="T378" s="71">
        <f t="shared" si="107"/>
        <v>0.428288</v>
      </c>
      <c r="V378" s="113">
        <v>45264</v>
      </c>
      <c r="W378" s="194">
        <v>1012342</v>
      </c>
      <c r="X378" s="194">
        <v>186</v>
      </c>
      <c r="Y378" s="194">
        <v>1012528</v>
      </c>
      <c r="Z378" s="194">
        <v>99.98</v>
      </c>
      <c r="AA378" s="71">
        <f t="shared" si="100"/>
        <v>1.0125280000000001</v>
      </c>
      <c r="AC378" s="113">
        <v>45264</v>
      </c>
      <c r="AD378" s="194">
        <v>719732</v>
      </c>
      <c r="AE378" s="194">
        <v>230</v>
      </c>
      <c r="AF378" s="194">
        <v>719962</v>
      </c>
      <c r="AG378" s="194">
        <v>99.97</v>
      </c>
      <c r="AH378" s="255">
        <f t="shared" si="102"/>
        <v>0.71996199999999999</v>
      </c>
      <c r="AJ378" s="215">
        <v>45264</v>
      </c>
      <c r="AK378" s="48">
        <v>0</v>
      </c>
      <c r="AL378" s="48">
        <v>28</v>
      </c>
      <c r="AM378" s="48">
        <v>28</v>
      </c>
      <c r="AN378" s="48">
        <v>0</v>
      </c>
      <c r="AQ378" s="215">
        <v>45264</v>
      </c>
      <c r="AR378" s="205">
        <v>2274</v>
      </c>
      <c r="AS378" s="205">
        <v>108</v>
      </c>
      <c r="AT378" s="205">
        <v>2382</v>
      </c>
      <c r="AU378" s="205">
        <v>95.47</v>
      </c>
      <c r="AX378" s="215">
        <v>45264</v>
      </c>
      <c r="AY378" s="205">
        <v>2148</v>
      </c>
      <c r="AZ378" s="205">
        <v>50</v>
      </c>
      <c r="BA378" s="205">
        <v>2198</v>
      </c>
      <c r="BB378" s="205">
        <v>97.73</v>
      </c>
      <c r="BE378" s="113">
        <v>45264</v>
      </c>
      <c r="BF378" s="194">
        <v>9060</v>
      </c>
      <c r="BG378" s="194">
        <v>484</v>
      </c>
      <c r="BH378" s="194">
        <v>9544</v>
      </c>
      <c r="BI378" s="194">
        <v>94.93</v>
      </c>
      <c r="BL378" s="113">
        <v>45264</v>
      </c>
      <c r="BM378" s="194">
        <v>5284</v>
      </c>
      <c r="BN378" s="194">
        <v>0</v>
      </c>
      <c r="BO378" s="194">
        <v>5284</v>
      </c>
      <c r="BP378" s="194">
        <v>100</v>
      </c>
      <c r="BS378" s="215">
        <v>45264</v>
      </c>
      <c r="BT378" s="205">
        <v>22970</v>
      </c>
      <c r="BU378" s="205">
        <v>0</v>
      </c>
      <c r="BV378" s="205">
        <v>22970</v>
      </c>
      <c r="BW378" s="205">
        <v>100</v>
      </c>
      <c r="BZ378" s="215">
        <v>45264</v>
      </c>
      <c r="CA378" s="48">
        <v>35492216</v>
      </c>
      <c r="CB378" s="48">
        <v>2214963</v>
      </c>
      <c r="CC378" s="71">
        <f t="shared" si="101"/>
        <v>16.023841481776444</v>
      </c>
      <c r="CE378" s="113">
        <v>45264</v>
      </c>
      <c r="CF378">
        <v>12127660</v>
      </c>
      <c r="CG378">
        <v>11624</v>
      </c>
      <c r="CH378">
        <v>12139284</v>
      </c>
      <c r="CI378" s="46">
        <f t="shared" si="109"/>
        <v>99.904244764353479</v>
      </c>
      <c r="CJ378" s="71">
        <f t="shared" si="108"/>
        <v>12.139284</v>
      </c>
      <c r="CL378" s="140">
        <v>45211</v>
      </c>
      <c r="CM378" t="s">
        <v>240</v>
      </c>
      <c r="CN378">
        <v>2550</v>
      </c>
      <c r="CO378">
        <v>516</v>
      </c>
    </row>
    <row r="379" spans="1:93" ht="15.75" hidden="1" x14ac:dyDescent="0.25">
      <c r="A379" s="215">
        <v>45265</v>
      </c>
      <c r="B379" s="205">
        <v>6459736</v>
      </c>
      <c r="C379" s="205">
        <v>5608</v>
      </c>
      <c r="D379" s="205">
        <v>6465344</v>
      </c>
      <c r="E379" s="205">
        <v>99.91</v>
      </c>
      <c r="F379" s="71">
        <f t="shared" si="105"/>
        <v>6.465344</v>
      </c>
      <c r="H379" s="215">
        <v>45265</v>
      </c>
      <c r="I379" s="194">
        <v>1507302</v>
      </c>
      <c r="J379" s="194">
        <v>512</v>
      </c>
      <c r="K379" s="194">
        <v>1507814</v>
      </c>
      <c r="L379" s="194">
        <v>99.97</v>
      </c>
      <c r="M379" s="71">
        <f t="shared" si="104"/>
        <v>1.507814</v>
      </c>
      <c r="O379" s="215">
        <v>45265</v>
      </c>
      <c r="P379" s="194">
        <v>491264</v>
      </c>
      <c r="Q379" s="194">
        <v>0</v>
      </c>
      <c r="R379" s="194">
        <v>491264</v>
      </c>
      <c r="S379" s="194">
        <v>100</v>
      </c>
      <c r="T379" s="71">
        <f t="shared" si="107"/>
        <v>0.49126399999999998</v>
      </c>
      <c r="V379" s="113">
        <v>45265</v>
      </c>
      <c r="W379" s="194">
        <v>991094</v>
      </c>
      <c r="X379" s="194">
        <v>774</v>
      </c>
      <c r="Y379" s="194">
        <v>991868</v>
      </c>
      <c r="Z379" s="194">
        <v>99.92</v>
      </c>
      <c r="AA379" s="71">
        <f t="shared" si="100"/>
        <v>0.99186799999999997</v>
      </c>
      <c r="AC379" s="113">
        <v>45265</v>
      </c>
      <c r="AD379" s="194">
        <v>768442</v>
      </c>
      <c r="AE379" s="194">
        <v>1154</v>
      </c>
      <c r="AF379" s="194">
        <v>769596</v>
      </c>
      <c r="AG379" s="194">
        <v>99.85</v>
      </c>
      <c r="AH379" s="255">
        <f t="shared" si="102"/>
        <v>0.76959599999999995</v>
      </c>
      <c r="AJ379" s="215">
        <v>45265</v>
      </c>
      <c r="AK379" s="48">
        <v>0</v>
      </c>
      <c r="AL379" s="48">
        <v>24</v>
      </c>
      <c r="AM379" s="48">
        <v>24</v>
      </c>
      <c r="AN379" s="48">
        <v>0</v>
      </c>
      <c r="AQ379" s="215">
        <v>45265</v>
      </c>
      <c r="AR379" s="205">
        <v>3016</v>
      </c>
      <c r="AS379" s="205">
        <v>142</v>
      </c>
      <c r="AT379" s="205">
        <v>3158</v>
      </c>
      <c r="AU379" s="205">
        <v>95.5</v>
      </c>
      <c r="AX379" s="215">
        <v>45265</v>
      </c>
      <c r="AY379" s="205">
        <v>1476</v>
      </c>
      <c r="AZ379" s="205">
        <v>16</v>
      </c>
      <c r="BA379" s="205">
        <v>1492</v>
      </c>
      <c r="BB379" s="205">
        <v>98.93</v>
      </c>
      <c r="BE379" s="113">
        <v>45265</v>
      </c>
      <c r="BF379" s="194">
        <v>42406</v>
      </c>
      <c r="BG379" s="194">
        <v>8434</v>
      </c>
      <c r="BH379" s="194">
        <v>50840</v>
      </c>
      <c r="BI379" s="194">
        <v>83.41</v>
      </c>
      <c r="BL379" s="113">
        <v>45265</v>
      </c>
      <c r="BM379" s="194">
        <v>4278</v>
      </c>
      <c r="BN379" s="194">
        <v>0</v>
      </c>
      <c r="BO379" s="194">
        <v>4278</v>
      </c>
      <c r="BP379" s="194">
        <v>100</v>
      </c>
      <c r="BS379" s="215">
        <v>45265</v>
      </c>
      <c r="BT379" s="205">
        <v>19896</v>
      </c>
      <c r="BU379" s="205">
        <v>0</v>
      </c>
      <c r="BV379" s="205">
        <v>19896</v>
      </c>
      <c r="BW379" s="205">
        <v>100</v>
      </c>
      <c r="BZ379" s="215">
        <v>45265</v>
      </c>
      <c r="CA379" s="48">
        <v>35781526</v>
      </c>
      <c r="CB379" s="48">
        <v>2179269</v>
      </c>
      <c r="CC379" s="71">
        <f t="shared" si="101"/>
        <v>16.419049690515489</v>
      </c>
      <c r="CE379" s="113">
        <v>45265</v>
      </c>
      <c r="CF379">
        <v>12298096</v>
      </c>
      <c r="CG379">
        <v>24586</v>
      </c>
      <c r="CH379">
        <v>12322682</v>
      </c>
      <c r="CI379" s="46">
        <f t="shared" si="109"/>
        <v>99.800481745775798</v>
      </c>
      <c r="CJ379" s="71">
        <f t="shared" si="108"/>
        <v>12.322682</v>
      </c>
    </row>
    <row r="380" spans="1:93" ht="15.75" hidden="1" x14ac:dyDescent="0.25">
      <c r="A380" s="215">
        <v>45266</v>
      </c>
      <c r="B380" s="205">
        <v>6442716</v>
      </c>
      <c r="C380" s="205">
        <v>1776</v>
      </c>
      <c r="D380" s="205">
        <v>6444492</v>
      </c>
      <c r="E380" s="205">
        <v>99.97</v>
      </c>
      <c r="F380" s="71">
        <f t="shared" si="105"/>
        <v>6.4444920000000003</v>
      </c>
      <c r="H380" s="215">
        <v>45266</v>
      </c>
      <c r="I380" s="194">
        <v>1273558</v>
      </c>
      <c r="J380" s="194">
        <v>338</v>
      </c>
      <c r="K380" s="194">
        <v>1273896</v>
      </c>
      <c r="L380" s="194">
        <v>99.97</v>
      </c>
      <c r="M380" s="71">
        <f t="shared" si="104"/>
        <v>1.2738959999999999</v>
      </c>
      <c r="O380" s="215">
        <v>45266</v>
      </c>
      <c r="P380" s="194">
        <v>399018</v>
      </c>
      <c r="Q380" s="194">
        <v>34</v>
      </c>
      <c r="R380" s="194">
        <v>399052</v>
      </c>
      <c r="S380" s="194">
        <v>99.99</v>
      </c>
      <c r="T380" s="71">
        <f t="shared" si="107"/>
        <v>0.39905200000000002</v>
      </c>
      <c r="V380" s="113">
        <v>45266</v>
      </c>
      <c r="W380" s="194">
        <v>954080</v>
      </c>
      <c r="X380" s="194">
        <v>158</v>
      </c>
      <c r="Y380" s="194">
        <v>954238</v>
      </c>
      <c r="Z380" s="194">
        <v>99.98</v>
      </c>
      <c r="AA380" s="71">
        <f t="shared" si="100"/>
        <v>0.95423800000000003</v>
      </c>
      <c r="AC380" s="113">
        <v>45266</v>
      </c>
      <c r="AD380" s="194">
        <v>828046</v>
      </c>
      <c r="AE380" s="194">
        <v>25888</v>
      </c>
      <c r="AF380" s="194">
        <v>853934</v>
      </c>
      <c r="AG380" s="194">
        <v>96.97</v>
      </c>
      <c r="AH380" s="255">
        <f t="shared" si="102"/>
        <v>0.85393399999999997</v>
      </c>
      <c r="AJ380" s="215">
        <v>45266</v>
      </c>
      <c r="AK380" s="48">
        <v>0</v>
      </c>
      <c r="AL380" s="48">
        <v>16</v>
      </c>
      <c r="AM380" s="48">
        <v>16</v>
      </c>
      <c r="AN380" s="48">
        <v>0</v>
      </c>
      <c r="AQ380" s="215">
        <v>45266</v>
      </c>
      <c r="AR380" s="205">
        <v>1194</v>
      </c>
      <c r="AS380" s="205">
        <v>132</v>
      </c>
      <c r="AT380" s="205">
        <v>1326</v>
      </c>
      <c r="AU380" s="205">
        <v>90.05</v>
      </c>
      <c r="AX380" s="215">
        <v>45266</v>
      </c>
      <c r="AY380" s="205">
        <v>1228</v>
      </c>
      <c r="AZ380" s="205">
        <v>264</v>
      </c>
      <c r="BA380" s="205">
        <v>1492</v>
      </c>
      <c r="BB380" s="205">
        <v>82.31</v>
      </c>
      <c r="BE380" s="113">
        <v>45266</v>
      </c>
      <c r="BF380" s="194">
        <v>13598</v>
      </c>
      <c r="BG380" s="194">
        <v>538</v>
      </c>
      <c r="BH380" s="194">
        <v>14136</v>
      </c>
      <c r="BI380" s="194">
        <v>96.19</v>
      </c>
      <c r="BL380" s="113">
        <v>45266</v>
      </c>
      <c r="BM380" s="194">
        <v>4958</v>
      </c>
      <c r="BN380" s="194">
        <v>0</v>
      </c>
      <c r="BO380" s="194">
        <v>4958</v>
      </c>
      <c r="BP380" s="194">
        <v>100</v>
      </c>
      <c r="BS380" s="215">
        <v>45266</v>
      </c>
      <c r="BT380" s="205">
        <v>22318</v>
      </c>
      <c r="BU380" s="205">
        <v>0</v>
      </c>
      <c r="BV380" s="205">
        <v>22318</v>
      </c>
      <c r="BW380" s="205">
        <v>100</v>
      </c>
      <c r="BZ380" s="215">
        <v>45266</v>
      </c>
      <c r="CA380" s="48">
        <v>34781240</v>
      </c>
      <c r="CB380" s="48">
        <v>2075400</v>
      </c>
      <c r="CC380" s="71">
        <f t="shared" si="101"/>
        <v>16.75881275898622</v>
      </c>
      <c r="CE380" s="113">
        <v>45266</v>
      </c>
      <c r="CF380">
        <v>11836278</v>
      </c>
      <c r="CG380">
        <v>41100</v>
      </c>
      <c r="CH380">
        <v>11877378</v>
      </c>
      <c r="CI380" s="46">
        <f t="shared" si="109"/>
        <v>99.65396403145543</v>
      </c>
      <c r="CJ380" s="71">
        <f t="shared" si="108"/>
        <v>11.877378</v>
      </c>
      <c r="CL380" s="140">
        <v>45214</v>
      </c>
      <c r="CM380" s="252" t="s">
        <v>251</v>
      </c>
      <c r="CN380">
        <v>4070</v>
      </c>
      <c r="CO380">
        <v>539</v>
      </c>
    </row>
    <row r="381" spans="1:93" ht="15.75" hidden="1" x14ac:dyDescent="0.25">
      <c r="A381" s="215">
        <v>45267</v>
      </c>
      <c r="B381" s="104">
        <v>6236202</v>
      </c>
      <c r="C381" s="104">
        <v>5886</v>
      </c>
      <c r="D381" s="104">
        <v>6242088</v>
      </c>
      <c r="E381" s="104">
        <v>99.91</v>
      </c>
      <c r="F381" s="71">
        <f t="shared" si="105"/>
        <v>6.2420879999999999</v>
      </c>
      <c r="H381" s="215">
        <v>45267</v>
      </c>
      <c r="I381" s="101">
        <v>1340502</v>
      </c>
      <c r="J381" s="101">
        <v>288</v>
      </c>
      <c r="K381" s="101">
        <v>1340790</v>
      </c>
      <c r="L381" s="101">
        <v>99.98</v>
      </c>
      <c r="M381" s="71">
        <f t="shared" si="104"/>
        <v>1.3407899999999999</v>
      </c>
      <c r="O381" s="215">
        <v>45267</v>
      </c>
      <c r="P381" s="101">
        <v>401266</v>
      </c>
      <c r="Q381" s="101">
        <v>0</v>
      </c>
      <c r="R381" s="101">
        <v>401266</v>
      </c>
      <c r="S381" s="101">
        <v>100</v>
      </c>
      <c r="T381" s="71">
        <f t="shared" si="107"/>
        <v>0.40126600000000001</v>
      </c>
      <c r="V381" s="215">
        <v>45267</v>
      </c>
      <c r="W381" s="101">
        <v>957776</v>
      </c>
      <c r="X381" s="101">
        <v>142</v>
      </c>
      <c r="Y381" s="101">
        <v>957918</v>
      </c>
      <c r="Z381" s="101">
        <v>99.99</v>
      </c>
      <c r="AA381" s="71">
        <f t="shared" si="100"/>
        <v>0.95791800000000005</v>
      </c>
      <c r="AC381" s="215">
        <v>45267</v>
      </c>
      <c r="AD381" s="101">
        <v>805368</v>
      </c>
      <c r="AE381" s="101">
        <v>9992</v>
      </c>
      <c r="AF381" s="101">
        <v>815360</v>
      </c>
      <c r="AG381" s="101">
        <v>98.77</v>
      </c>
      <c r="AH381" s="255">
        <f t="shared" si="102"/>
        <v>0.81535999999999997</v>
      </c>
      <c r="AJ381" s="215">
        <v>45267</v>
      </c>
      <c r="AK381" s="48">
        <v>0</v>
      </c>
      <c r="AL381" s="48">
        <v>48</v>
      </c>
      <c r="AM381" s="48">
        <v>48</v>
      </c>
      <c r="AN381" s="48">
        <v>0</v>
      </c>
      <c r="AQ381" s="215">
        <v>45267</v>
      </c>
      <c r="AR381" s="205">
        <v>686</v>
      </c>
      <c r="AS381" s="205">
        <v>94</v>
      </c>
      <c r="AT381" s="205">
        <v>780</v>
      </c>
      <c r="AU381" s="205">
        <v>87.95</v>
      </c>
      <c r="AX381" s="215">
        <v>45267</v>
      </c>
      <c r="AY381" s="104">
        <v>1898</v>
      </c>
      <c r="AZ381" s="104">
        <v>32</v>
      </c>
      <c r="BA381" s="104">
        <v>1930</v>
      </c>
      <c r="BB381" s="104">
        <v>98.34</v>
      </c>
      <c r="BE381" s="113">
        <v>45267</v>
      </c>
      <c r="BF381" s="194">
        <v>10154</v>
      </c>
      <c r="BG381" s="194">
        <v>496</v>
      </c>
      <c r="BH381" s="194">
        <v>10650</v>
      </c>
      <c r="BI381" s="194">
        <v>95.34</v>
      </c>
      <c r="BL381" s="113">
        <v>45267</v>
      </c>
      <c r="BM381" s="101">
        <v>6426</v>
      </c>
      <c r="BN381" s="101">
        <v>0</v>
      </c>
      <c r="BO381" s="101">
        <v>6426</v>
      </c>
      <c r="BP381" s="101">
        <v>100</v>
      </c>
      <c r="BS381" s="215">
        <v>45267</v>
      </c>
      <c r="BT381" s="104">
        <v>17890</v>
      </c>
      <c r="BU381" s="104">
        <v>0</v>
      </c>
      <c r="BV381" s="104">
        <v>17890</v>
      </c>
      <c r="BW381" s="104">
        <v>100</v>
      </c>
      <c r="BZ381" s="215">
        <v>45267</v>
      </c>
      <c r="CA381" s="48">
        <v>34294780</v>
      </c>
      <c r="CB381" s="48">
        <v>2062238</v>
      </c>
      <c r="CC381" s="71">
        <f t="shared" si="101"/>
        <v>16.629884620494821</v>
      </c>
      <c r="CE381" s="113">
        <v>45267</v>
      </c>
      <c r="CF381">
        <v>11766902</v>
      </c>
      <c r="CG381">
        <v>26204</v>
      </c>
      <c r="CH381">
        <v>11793106</v>
      </c>
      <c r="CI381" s="46">
        <f t="shared" si="109"/>
        <v>99.777802387259129</v>
      </c>
      <c r="CJ381" s="71">
        <f t="shared" si="108"/>
        <v>11.793106</v>
      </c>
      <c r="CL381" s="140">
        <v>45214</v>
      </c>
      <c r="CM381" t="s">
        <v>238</v>
      </c>
      <c r="CN381">
        <v>3158</v>
      </c>
      <c r="CO381">
        <v>503</v>
      </c>
    </row>
    <row r="382" spans="1:93" ht="15.75" hidden="1" x14ac:dyDescent="0.25">
      <c r="A382" s="215">
        <v>45268</v>
      </c>
      <c r="B382" s="205">
        <v>6679726</v>
      </c>
      <c r="C382" s="205">
        <v>6856</v>
      </c>
      <c r="D382" s="205">
        <v>6686582</v>
      </c>
      <c r="E382" s="205">
        <v>99.9</v>
      </c>
      <c r="F382" s="71">
        <f t="shared" si="105"/>
        <v>6.6865819999999996</v>
      </c>
      <c r="H382" s="215">
        <v>45268</v>
      </c>
      <c r="I382" s="194">
        <v>1521176</v>
      </c>
      <c r="J382" s="194">
        <v>362</v>
      </c>
      <c r="K382" s="194">
        <v>1521538</v>
      </c>
      <c r="L382" s="194">
        <v>99.98</v>
      </c>
      <c r="M382" s="71">
        <f t="shared" si="104"/>
        <v>1.5215380000000001</v>
      </c>
      <c r="O382" s="215">
        <v>45268</v>
      </c>
      <c r="P382" s="194">
        <v>410818</v>
      </c>
      <c r="Q382" s="194">
        <v>0</v>
      </c>
      <c r="R382" s="194">
        <v>410818</v>
      </c>
      <c r="S382" s="194">
        <v>100</v>
      </c>
      <c r="T382" s="71">
        <f t="shared" si="107"/>
        <v>0.41081800000000002</v>
      </c>
      <c r="V382" s="215">
        <v>45268</v>
      </c>
      <c r="W382" s="194">
        <v>1029714</v>
      </c>
      <c r="X382" s="194">
        <v>192</v>
      </c>
      <c r="Y382" s="194">
        <v>1029906</v>
      </c>
      <c r="Z382" s="194">
        <v>99.98</v>
      </c>
      <c r="AA382" s="71">
        <f t="shared" si="100"/>
        <v>1.029906</v>
      </c>
      <c r="AC382" s="215">
        <v>45268</v>
      </c>
      <c r="AD382" s="194">
        <v>825932</v>
      </c>
      <c r="AE382" s="194">
        <v>996</v>
      </c>
      <c r="AF382" s="194">
        <v>826928</v>
      </c>
      <c r="AG382" s="194">
        <v>99.88</v>
      </c>
      <c r="AH382" s="255">
        <f t="shared" si="102"/>
        <v>0.826928</v>
      </c>
      <c r="AJ382" s="215">
        <v>45268</v>
      </c>
      <c r="AK382" s="48">
        <v>0</v>
      </c>
      <c r="AL382" s="48">
        <v>22</v>
      </c>
      <c r="AM382" s="48">
        <v>22</v>
      </c>
      <c r="AN382" s="48">
        <v>0</v>
      </c>
      <c r="AQ382" s="215">
        <v>45268</v>
      </c>
      <c r="AR382" s="205">
        <v>674</v>
      </c>
      <c r="AS382" s="205">
        <v>68</v>
      </c>
      <c r="AT382" s="205">
        <v>742</v>
      </c>
      <c r="AU382" s="205">
        <v>90.84</v>
      </c>
      <c r="AX382" s="215">
        <v>45268</v>
      </c>
      <c r="AY382" s="205">
        <v>1552</v>
      </c>
      <c r="AZ382" s="205">
        <v>40</v>
      </c>
      <c r="BA382" s="205">
        <v>1592</v>
      </c>
      <c r="BB382" s="205">
        <v>97.49</v>
      </c>
      <c r="BE382" s="113">
        <v>45268</v>
      </c>
      <c r="BF382" s="194">
        <v>9376</v>
      </c>
      <c r="BG382" s="194">
        <v>486</v>
      </c>
      <c r="BH382" s="194">
        <v>9862</v>
      </c>
      <c r="BI382" s="194">
        <v>95.07</v>
      </c>
      <c r="BL382" s="113">
        <v>45268</v>
      </c>
      <c r="BM382" s="194">
        <v>3894</v>
      </c>
      <c r="BN382" s="194">
        <v>0</v>
      </c>
      <c r="BO382" s="194">
        <v>3894</v>
      </c>
      <c r="BP382" s="194">
        <v>100</v>
      </c>
      <c r="BS382" s="215">
        <v>45268</v>
      </c>
      <c r="BT382" s="205">
        <v>29968</v>
      </c>
      <c r="BU382" s="205">
        <v>0</v>
      </c>
      <c r="BV382" s="205">
        <v>29968</v>
      </c>
      <c r="BW382" s="205">
        <v>100</v>
      </c>
      <c r="BZ382" s="215">
        <v>45268</v>
      </c>
      <c r="CA382" s="48">
        <v>37466702</v>
      </c>
      <c r="CB382" s="48">
        <v>2172193</v>
      </c>
      <c r="CC382" s="71">
        <f t="shared" si="101"/>
        <v>17.248330143776357</v>
      </c>
      <c r="CE382" s="113">
        <v>45268</v>
      </c>
      <c r="CF382">
        <v>12638982</v>
      </c>
      <c r="CG382">
        <v>18940</v>
      </c>
      <c r="CH382">
        <v>12657922</v>
      </c>
      <c r="CI382" s="46">
        <f t="shared" si="109"/>
        <v>99.850370384649239</v>
      </c>
      <c r="CJ382" s="71">
        <f t="shared" si="108"/>
        <v>12.657921999999999</v>
      </c>
      <c r="CL382" s="140">
        <v>45214</v>
      </c>
      <c r="CM382" t="s">
        <v>240</v>
      </c>
      <c r="CN382">
        <v>1770</v>
      </c>
      <c r="CO382">
        <v>516</v>
      </c>
    </row>
    <row r="383" spans="1:93" ht="15.75" hidden="1" x14ac:dyDescent="0.25">
      <c r="A383" s="215">
        <v>45269</v>
      </c>
      <c r="B383" s="205">
        <v>6194212</v>
      </c>
      <c r="C383" s="205">
        <v>3334</v>
      </c>
      <c r="D383" s="205">
        <v>6197546</v>
      </c>
      <c r="E383" s="205">
        <v>99.95</v>
      </c>
      <c r="F383" s="71">
        <f t="shared" si="105"/>
        <v>6.197546</v>
      </c>
      <c r="H383" s="215">
        <v>45269</v>
      </c>
      <c r="I383" s="194">
        <v>1340270</v>
      </c>
      <c r="J383" s="194">
        <v>330</v>
      </c>
      <c r="K383" s="194">
        <v>1340600</v>
      </c>
      <c r="L383" s="194">
        <v>99.98</v>
      </c>
      <c r="M383" s="71">
        <f t="shared" si="104"/>
        <v>1.3406</v>
      </c>
      <c r="O383" s="215">
        <v>45269</v>
      </c>
      <c r="P383" s="194">
        <v>409448</v>
      </c>
      <c r="Q383" s="194">
        <v>0</v>
      </c>
      <c r="R383" s="194">
        <v>409448</v>
      </c>
      <c r="S383" s="194">
        <v>100</v>
      </c>
      <c r="T383" s="71">
        <f t="shared" si="107"/>
        <v>0.40944799999999998</v>
      </c>
      <c r="V383" s="215">
        <v>45269</v>
      </c>
      <c r="W383" s="194">
        <v>1015540</v>
      </c>
      <c r="X383" s="194">
        <v>196</v>
      </c>
      <c r="Y383" s="194">
        <v>1015736</v>
      </c>
      <c r="Z383" s="194">
        <v>99.98</v>
      </c>
      <c r="AA383" s="71">
        <f t="shared" si="100"/>
        <v>1.015736</v>
      </c>
      <c r="AC383" s="215">
        <v>45269</v>
      </c>
      <c r="AD383" s="194">
        <v>837812</v>
      </c>
      <c r="AE383" s="194">
        <v>21710</v>
      </c>
      <c r="AF383" s="194">
        <v>859522</v>
      </c>
      <c r="AG383" s="194">
        <v>97.47</v>
      </c>
      <c r="AH383" s="255">
        <f t="shared" si="102"/>
        <v>0.85952200000000001</v>
      </c>
      <c r="AJ383" s="215">
        <v>45269</v>
      </c>
      <c r="AK383" s="48">
        <v>0</v>
      </c>
      <c r="AL383" s="48">
        <v>18</v>
      </c>
      <c r="AM383" s="48">
        <v>18</v>
      </c>
      <c r="AN383" s="48">
        <v>0</v>
      </c>
      <c r="AQ383" s="215">
        <v>45269</v>
      </c>
      <c r="AR383" s="205">
        <v>622</v>
      </c>
      <c r="AS383" s="205">
        <v>44</v>
      </c>
      <c r="AT383" s="205">
        <v>666</v>
      </c>
      <c r="AU383" s="205">
        <v>93.39</v>
      </c>
      <c r="AX383" s="215">
        <v>45269</v>
      </c>
      <c r="AY383" s="205">
        <v>808</v>
      </c>
      <c r="AZ383" s="205">
        <v>14</v>
      </c>
      <c r="BA383" s="205">
        <v>822</v>
      </c>
      <c r="BB383" s="205">
        <v>98.3</v>
      </c>
      <c r="BE383" s="113">
        <v>45269</v>
      </c>
      <c r="BF383" s="194">
        <v>8216</v>
      </c>
      <c r="BG383" s="194">
        <v>412</v>
      </c>
      <c r="BH383" s="194">
        <v>8628</v>
      </c>
      <c r="BI383" s="194">
        <v>95.22</v>
      </c>
      <c r="BL383" s="113">
        <v>45269</v>
      </c>
      <c r="BM383" s="194">
        <v>3630</v>
      </c>
      <c r="BN383" s="194">
        <v>0</v>
      </c>
      <c r="BO383" s="194">
        <v>3630</v>
      </c>
      <c r="BP383" s="194">
        <v>100</v>
      </c>
      <c r="BS383" s="215">
        <v>45269</v>
      </c>
      <c r="BT383" s="205">
        <v>83412</v>
      </c>
      <c r="BU383" s="205">
        <v>0</v>
      </c>
      <c r="BV383" s="205">
        <v>83412</v>
      </c>
      <c r="BW383" s="205">
        <v>100</v>
      </c>
      <c r="BZ383" s="215">
        <v>45269</v>
      </c>
      <c r="CA383" s="48">
        <v>32555250</v>
      </c>
      <c r="CB383" s="48">
        <v>279091</v>
      </c>
      <c r="CC383" s="71">
        <f t="shared" si="101"/>
        <v>116.64743757412457</v>
      </c>
      <c r="CE383" s="113">
        <v>45269</v>
      </c>
      <c r="CF383">
        <v>11797372</v>
      </c>
      <c r="CG383">
        <v>33620</v>
      </c>
      <c r="CH383">
        <v>11830992</v>
      </c>
      <c r="CI383" s="46">
        <f t="shared" si="109"/>
        <v>99.715831098524959</v>
      </c>
      <c r="CJ383" s="71">
        <f t="shared" si="108"/>
        <v>11.830992</v>
      </c>
      <c r="CL383" s="140">
        <v>45214</v>
      </c>
      <c r="CM383" t="s">
        <v>237</v>
      </c>
      <c r="CN383">
        <v>1146</v>
      </c>
      <c r="CO383">
        <v>527</v>
      </c>
    </row>
    <row r="384" spans="1:93" ht="15.75" hidden="1" x14ac:dyDescent="0.25">
      <c r="A384" s="215">
        <v>45270</v>
      </c>
      <c r="B384" s="205">
        <v>3023474</v>
      </c>
      <c r="C384" s="205">
        <v>12200</v>
      </c>
      <c r="D384" s="205">
        <v>3035674</v>
      </c>
      <c r="E384" s="205">
        <v>99.6</v>
      </c>
      <c r="F384" s="71">
        <f t="shared" si="105"/>
        <v>3.0356740000000002</v>
      </c>
      <c r="H384" s="215">
        <v>45270</v>
      </c>
      <c r="I384" s="194">
        <v>780846</v>
      </c>
      <c r="J384" s="194">
        <v>774</v>
      </c>
      <c r="K384" s="194">
        <v>781620</v>
      </c>
      <c r="L384" s="194">
        <v>99.9</v>
      </c>
      <c r="M384" s="71">
        <f t="shared" si="104"/>
        <v>0.78161999999999998</v>
      </c>
      <c r="O384" s="215">
        <v>45270</v>
      </c>
      <c r="P384" s="194">
        <v>242472</v>
      </c>
      <c r="Q384" s="194">
        <v>0</v>
      </c>
      <c r="R384" s="194">
        <v>242472</v>
      </c>
      <c r="S384" s="194">
        <v>100</v>
      </c>
      <c r="T384" s="71">
        <f t="shared" si="107"/>
        <v>0.24247199999999999</v>
      </c>
      <c r="V384" s="215">
        <v>45270</v>
      </c>
      <c r="W384" s="194">
        <v>581242</v>
      </c>
      <c r="X384" s="194">
        <v>100</v>
      </c>
      <c r="Y384" s="194">
        <v>581342</v>
      </c>
      <c r="Z384" s="194">
        <v>99.98</v>
      </c>
      <c r="AA384" s="71">
        <f t="shared" si="100"/>
        <v>0.58134200000000003</v>
      </c>
      <c r="AC384" s="215">
        <v>45270</v>
      </c>
      <c r="AD384" s="194">
        <v>413004</v>
      </c>
      <c r="AE384" s="194">
        <v>1790</v>
      </c>
      <c r="AF384" s="194">
        <v>414794</v>
      </c>
      <c r="AG384" s="194">
        <v>99.57</v>
      </c>
      <c r="AH384" s="255">
        <f t="shared" si="102"/>
        <v>0.414794</v>
      </c>
      <c r="AJ384" s="215">
        <v>45270</v>
      </c>
      <c r="AK384" s="48">
        <v>0</v>
      </c>
      <c r="AL384" s="48">
        <v>8</v>
      </c>
      <c r="AM384" s="48">
        <v>8</v>
      </c>
      <c r="AN384" s="48">
        <v>0</v>
      </c>
      <c r="AQ384" s="215">
        <v>45270</v>
      </c>
      <c r="AR384" s="205">
        <v>246</v>
      </c>
      <c r="AS384" s="205">
        <v>20</v>
      </c>
      <c r="AT384" s="205">
        <v>266</v>
      </c>
      <c r="AU384" s="205">
        <v>92.48</v>
      </c>
      <c r="AX384" s="215">
        <v>45270</v>
      </c>
      <c r="AY384" s="205">
        <v>298</v>
      </c>
      <c r="AZ384" s="205">
        <v>10</v>
      </c>
      <c r="BA384" s="205">
        <v>308</v>
      </c>
      <c r="BB384" s="205">
        <v>96.75</v>
      </c>
      <c r="BE384" s="113">
        <v>45270</v>
      </c>
      <c r="BF384" s="194">
        <v>4050</v>
      </c>
      <c r="BG384" s="194">
        <v>198</v>
      </c>
      <c r="BH384" s="194">
        <v>4248</v>
      </c>
      <c r="BI384" s="194">
        <v>95.34</v>
      </c>
      <c r="BL384" s="113">
        <v>45270</v>
      </c>
      <c r="BM384" s="194">
        <v>1998</v>
      </c>
      <c r="BN384" s="194">
        <v>0</v>
      </c>
      <c r="BO384" s="194">
        <v>1998</v>
      </c>
      <c r="BP384" s="194">
        <v>100</v>
      </c>
      <c r="BS384" s="215">
        <v>45270</v>
      </c>
      <c r="BT384" s="205">
        <v>26308</v>
      </c>
      <c r="BU384" s="205">
        <v>0</v>
      </c>
      <c r="BV384" s="205">
        <v>26308</v>
      </c>
      <c r="BW384" s="205">
        <v>100</v>
      </c>
      <c r="BZ384" s="215">
        <v>45270</v>
      </c>
      <c r="CA384" s="48">
        <f>20467+6012</f>
        <v>26479</v>
      </c>
      <c r="CB384" s="48">
        <f>3885+4389</f>
        <v>8274</v>
      </c>
      <c r="CC384" s="71">
        <f t="shared" si="101"/>
        <v>3.200265893159294</v>
      </c>
      <c r="CE384" s="113">
        <v>45270</v>
      </c>
      <c r="CF384">
        <f>159857+6111848</f>
        <v>6271705</v>
      </c>
      <c r="CG384">
        <f>498+19900</f>
        <v>20398</v>
      </c>
      <c r="CH384">
        <f>160355+6131748</f>
        <v>6292103</v>
      </c>
      <c r="CI384" s="46">
        <f t="shared" si="109"/>
        <v>99.6758158599756</v>
      </c>
      <c r="CJ384" s="71">
        <f t="shared" si="108"/>
        <v>6.292103</v>
      </c>
      <c r="CL384" s="140">
        <v>45214</v>
      </c>
      <c r="CM384" t="s">
        <v>244</v>
      </c>
      <c r="CN384">
        <v>722</v>
      </c>
      <c r="CO384">
        <v>513</v>
      </c>
    </row>
    <row r="385" spans="1:93" ht="15.75" hidden="1" x14ac:dyDescent="0.25">
      <c r="A385" s="215">
        <v>45271</v>
      </c>
      <c r="B385" s="205">
        <v>6610775</v>
      </c>
      <c r="C385" s="205">
        <v>27759</v>
      </c>
      <c r="D385" s="205">
        <v>6638534</v>
      </c>
      <c r="E385" s="205">
        <v>99.58</v>
      </c>
      <c r="F385" s="71">
        <f t="shared" si="105"/>
        <v>6.6385339999999999</v>
      </c>
      <c r="H385" s="215">
        <v>45271</v>
      </c>
      <c r="I385" s="194">
        <v>1411429</v>
      </c>
      <c r="J385" s="194">
        <v>1232</v>
      </c>
      <c r="K385" s="194">
        <v>1412661</v>
      </c>
      <c r="L385" s="194">
        <v>99.91</v>
      </c>
      <c r="M385" s="71">
        <f t="shared" si="104"/>
        <v>1.4126609999999999</v>
      </c>
      <c r="O385" s="215">
        <v>45271</v>
      </c>
      <c r="P385" s="194">
        <v>427107</v>
      </c>
      <c r="Q385" s="194">
        <v>0</v>
      </c>
      <c r="R385" s="194">
        <v>427107</v>
      </c>
      <c r="S385" s="194">
        <v>100</v>
      </c>
      <c r="T385" s="71">
        <f t="shared" si="107"/>
        <v>0.42710700000000001</v>
      </c>
      <c r="V385" s="215">
        <v>45271</v>
      </c>
      <c r="W385" s="194">
        <v>1067532</v>
      </c>
      <c r="X385" s="194">
        <v>210</v>
      </c>
      <c r="Y385" s="194">
        <v>1067742</v>
      </c>
      <c r="Z385" s="194">
        <v>99.98</v>
      </c>
      <c r="AA385" s="71">
        <f t="shared" si="100"/>
        <v>1.067742</v>
      </c>
      <c r="AC385" s="215">
        <v>45271</v>
      </c>
      <c r="AD385" s="194">
        <v>822711</v>
      </c>
      <c r="AE385" s="194">
        <v>406</v>
      </c>
      <c r="AF385" s="194">
        <v>823117</v>
      </c>
      <c r="AG385" s="194">
        <v>99.95</v>
      </c>
      <c r="AH385" s="255">
        <f t="shared" si="102"/>
        <v>0.82311699999999999</v>
      </c>
      <c r="AJ385" s="215">
        <v>45271</v>
      </c>
      <c r="AK385" s="48">
        <v>0</v>
      </c>
      <c r="AL385" s="48">
        <v>16</v>
      </c>
      <c r="AM385" s="48">
        <v>16</v>
      </c>
      <c r="AN385" s="48">
        <v>0</v>
      </c>
      <c r="AQ385" s="215">
        <v>45271</v>
      </c>
      <c r="AR385" s="205">
        <v>467</v>
      </c>
      <c r="AS385" s="205">
        <v>6</v>
      </c>
      <c r="AT385" s="205">
        <v>473</v>
      </c>
      <c r="AU385" s="205">
        <v>98.73</v>
      </c>
      <c r="AX385" s="215">
        <v>45271</v>
      </c>
      <c r="AY385" s="205">
        <v>2112</v>
      </c>
      <c r="AZ385" s="205">
        <v>50</v>
      </c>
      <c r="BA385" s="205">
        <v>2162</v>
      </c>
      <c r="BB385" s="205">
        <v>97.69</v>
      </c>
      <c r="BE385" s="113">
        <v>45271</v>
      </c>
      <c r="BF385" s="194">
        <v>9254</v>
      </c>
      <c r="BG385" s="194">
        <v>453</v>
      </c>
      <c r="BH385" s="194">
        <v>9707</v>
      </c>
      <c r="BI385" s="194">
        <v>95.33</v>
      </c>
      <c r="BL385" s="113">
        <v>45271</v>
      </c>
      <c r="BM385" s="194">
        <v>4731</v>
      </c>
      <c r="BN385" s="194">
        <v>0</v>
      </c>
      <c r="BO385" s="194">
        <v>4731</v>
      </c>
      <c r="BP385" s="194">
        <v>100</v>
      </c>
      <c r="BS385" s="215">
        <v>45271</v>
      </c>
      <c r="BT385" s="205">
        <v>26908</v>
      </c>
      <c r="BU385" s="205">
        <v>182</v>
      </c>
      <c r="BV385" s="205">
        <v>27090</v>
      </c>
      <c r="BW385" s="205">
        <v>99.33</v>
      </c>
      <c r="BZ385" s="215">
        <v>45271</v>
      </c>
      <c r="CA385" s="48">
        <v>34424770</v>
      </c>
      <c r="CB385" s="48">
        <v>2058092</v>
      </c>
      <c r="CC385" s="71">
        <f t="shared" si="101"/>
        <v>16.726545752084942</v>
      </c>
      <c r="CE385" s="113">
        <v>45271</v>
      </c>
      <c r="CF385">
        <v>12445249</v>
      </c>
      <c r="CG385">
        <v>40335</v>
      </c>
      <c r="CH385">
        <v>12485584</v>
      </c>
      <c r="CI385" s="46">
        <f t="shared" si="109"/>
        <v>99.676947429932</v>
      </c>
      <c r="CJ385" s="71">
        <f t="shared" si="108"/>
        <v>12.485583999999999</v>
      </c>
    </row>
    <row r="386" spans="1:93" ht="15.75" hidden="1" x14ac:dyDescent="0.25">
      <c r="A386" s="215">
        <v>45272</v>
      </c>
      <c r="B386" s="205">
        <v>6051109</v>
      </c>
      <c r="C386" s="205">
        <v>25901</v>
      </c>
      <c r="D386" s="205">
        <v>6077010</v>
      </c>
      <c r="E386" s="205">
        <v>99.57</v>
      </c>
      <c r="F386" s="71">
        <f t="shared" si="105"/>
        <v>6.0770099999999996</v>
      </c>
      <c r="H386" s="215">
        <v>45272</v>
      </c>
      <c r="I386" s="194">
        <v>1374221</v>
      </c>
      <c r="J386" s="194">
        <v>10830</v>
      </c>
      <c r="K386" s="194">
        <v>1385051</v>
      </c>
      <c r="L386" s="194">
        <v>99.22</v>
      </c>
      <c r="M386" s="71">
        <f t="shared" si="104"/>
        <v>1.385051</v>
      </c>
      <c r="O386" s="215">
        <v>45272</v>
      </c>
      <c r="P386" s="194">
        <v>444674</v>
      </c>
      <c r="Q386" s="194">
        <v>0</v>
      </c>
      <c r="R386" s="194">
        <v>444674</v>
      </c>
      <c r="S386" s="194">
        <v>100</v>
      </c>
      <c r="T386" s="71">
        <f t="shared" si="107"/>
        <v>0.44467400000000001</v>
      </c>
      <c r="V386" s="215">
        <v>45272</v>
      </c>
      <c r="W386" s="194">
        <v>957861</v>
      </c>
      <c r="X386" s="194">
        <v>466</v>
      </c>
      <c r="Y386" s="194">
        <v>958327</v>
      </c>
      <c r="Z386" s="194">
        <v>99.95</v>
      </c>
      <c r="AA386" s="71">
        <f t="shared" si="100"/>
        <v>0.95832700000000004</v>
      </c>
      <c r="AC386" s="215">
        <v>45272</v>
      </c>
      <c r="AD386" s="194">
        <v>769229</v>
      </c>
      <c r="AE386" s="194">
        <v>2013</v>
      </c>
      <c r="AF386" s="194">
        <v>771242</v>
      </c>
      <c r="AG386" s="194">
        <v>99.74</v>
      </c>
      <c r="AH386" s="255">
        <f t="shared" si="102"/>
        <v>0.77124199999999998</v>
      </c>
      <c r="AJ386" s="215">
        <v>45272</v>
      </c>
      <c r="AK386" s="48">
        <v>0</v>
      </c>
      <c r="AL386" s="48">
        <v>9</v>
      </c>
      <c r="AM386" s="48">
        <v>9</v>
      </c>
      <c r="AN386" s="48">
        <v>0</v>
      </c>
      <c r="AQ386" s="215">
        <v>45272</v>
      </c>
      <c r="AR386" s="205">
        <v>429</v>
      </c>
      <c r="AS386" s="205">
        <v>0</v>
      </c>
      <c r="AT386" s="205">
        <v>429</v>
      </c>
      <c r="AU386" s="205">
        <v>100</v>
      </c>
      <c r="AX386" s="215">
        <v>45272</v>
      </c>
      <c r="AY386" s="205">
        <v>1346</v>
      </c>
      <c r="AZ386" s="205">
        <v>10</v>
      </c>
      <c r="BA386" s="205">
        <v>1356</v>
      </c>
      <c r="BB386" s="205">
        <v>99.26</v>
      </c>
      <c r="BE386" s="113">
        <v>45272</v>
      </c>
      <c r="BF386" s="194">
        <v>41407</v>
      </c>
      <c r="BG386" s="194">
        <v>1248</v>
      </c>
      <c r="BH386" s="194">
        <v>42655</v>
      </c>
      <c r="BI386" s="194">
        <v>97.07</v>
      </c>
      <c r="BL386" s="113">
        <v>45272</v>
      </c>
      <c r="BM386" s="194">
        <v>3415</v>
      </c>
      <c r="BN386" s="194">
        <v>0</v>
      </c>
      <c r="BO386" s="194">
        <v>3415</v>
      </c>
      <c r="BP386" s="194">
        <v>100</v>
      </c>
      <c r="BS386" s="215">
        <v>45272</v>
      </c>
      <c r="BT386" s="205">
        <v>33472</v>
      </c>
      <c r="BU386" s="205">
        <v>0</v>
      </c>
      <c r="BV386" s="205">
        <v>33472</v>
      </c>
      <c r="BW386" s="205">
        <v>100</v>
      </c>
      <c r="BZ386" s="215">
        <v>45272</v>
      </c>
      <c r="CA386" s="48">
        <v>42867</v>
      </c>
      <c r="CB386" s="48">
        <v>7387</v>
      </c>
      <c r="CC386" s="71">
        <f t="shared" si="101"/>
        <v>5.8030323541356434</v>
      </c>
      <c r="CE386" s="113">
        <v>45272</v>
      </c>
      <c r="CF386">
        <v>11570378</v>
      </c>
      <c r="CG386">
        <v>52409</v>
      </c>
      <c r="CH386">
        <v>11622787</v>
      </c>
      <c r="CI386" s="46">
        <f t="shared" si="109"/>
        <v>99.54908405359231</v>
      </c>
      <c r="CJ386" s="71">
        <f t="shared" si="108"/>
        <v>11.622787000000001</v>
      </c>
    </row>
    <row r="387" spans="1:93" ht="15.75" hidden="1" x14ac:dyDescent="0.25">
      <c r="A387" s="215">
        <v>45273</v>
      </c>
      <c r="B387" s="205">
        <v>6259436</v>
      </c>
      <c r="C387" s="205">
        <v>17844</v>
      </c>
      <c r="D387" s="205">
        <v>6277280</v>
      </c>
      <c r="E387" s="205">
        <v>99.72</v>
      </c>
      <c r="F387" s="71">
        <f t="shared" si="105"/>
        <v>6.2772800000000002</v>
      </c>
      <c r="H387" s="215">
        <v>45273</v>
      </c>
      <c r="I387" s="194">
        <v>1287093</v>
      </c>
      <c r="J387" s="194">
        <v>1541</v>
      </c>
      <c r="K387" s="194">
        <v>1288634</v>
      </c>
      <c r="L387" s="194">
        <v>99.88</v>
      </c>
      <c r="M387" s="71">
        <f t="shared" si="104"/>
        <v>1.2886340000000001</v>
      </c>
      <c r="O387" s="215">
        <v>45273</v>
      </c>
      <c r="P387" s="194">
        <v>381279</v>
      </c>
      <c r="Q387" s="194">
        <v>2</v>
      </c>
      <c r="R387" s="194">
        <v>381281</v>
      </c>
      <c r="S387" s="194">
        <v>100</v>
      </c>
      <c r="T387" s="71">
        <f t="shared" si="107"/>
        <v>0.38128099999999998</v>
      </c>
      <c r="V387" s="215">
        <v>45273</v>
      </c>
      <c r="W387" s="194">
        <v>945117</v>
      </c>
      <c r="X387" s="194">
        <v>184</v>
      </c>
      <c r="Y387" s="194">
        <v>945301</v>
      </c>
      <c r="Z387" s="194">
        <v>99.98</v>
      </c>
      <c r="AA387" s="71">
        <f t="shared" si="100"/>
        <v>0.94530099999999995</v>
      </c>
      <c r="AC387" s="215">
        <v>45273</v>
      </c>
      <c r="AD387" s="194">
        <v>758363</v>
      </c>
      <c r="AE387" s="194">
        <v>10972</v>
      </c>
      <c r="AF387" s="194">
        <v>769335</v>
      </c>
      <c r="AG387" s="194">
        <v>98.57</v>
      </c>
      <c r="AH387" s="255">
        <f t="shared" si="102"/>
        <v>0.76933499999999999</v>
      </c>
      <c r="AJ387" s="215">
        <v>45273</v>
      </c>
      <c r="AK387" s="48">
        <v>0</v>
      </c>
      <c r="AL387" s="48">
        <v>21</v>
      </c>
      <c r="AM387" s="48">
        <v>21</v>
      </c>
      <c r="AN387" s="48">
        <v>0</v>
      </c>
      <c r="AQ387" s="215">
        <v>45273</v>
      </c>
      <c r="AR387" s="205">
        <v>784</v>
      </c>
      <c r="AS387" s="205">
        <v>2</v>
      </c>
      <c r="AT387" s="205">
        <v>786</v>
      </c>
      <c r="AU387" s="205">
        <v>99.75</v>
      </c>
      <c r="AX387" s="215">
        <v>45273</v>
      </c>
      <c r="AY387" s="205">
        <v>1504</v>
      </c>
      <c r="AZ387" s="205">
        <v>29</v>
      </c>
      <c r="BA387" s="205">
        <v>1533</v>
      </c>
      <c r="BB387" s="205">
        <v>98.11</v>
      </c>
      <c r="BE387" s="113">
        <v>45273</v>
      </c>
      <c r="BF387" s="194">
        <v>13740</v>
      </c>
      <c r="BG387" s="194">
        <v>1158</v>
      </c>
      <c r="BH387" s="194">
        <v>14898</v>
      </c>
      <c r="BI387" s="194">
        <v>92.23</v>
      </c>
      <c r="BL387" s="113">
        <v>45273</v>
      </c>
      <c r="BM387" s="194">
        <v>3045</v>
      </c>
      <c r="BN387" s="194">
        <v>0</v>
      </c>
      <c r="BO387" s="194">
        <v>3045</v>
      </c>
      <c r="BP387" s="194">
        <v>100</v>
      </c>
      <c r="BS387" s="215">
        <v>45273</v>
      </c>
      <c r="BT387" s="205">
        <v>22182</v>
      </c>
      <c r="BU387" s="205">
        <v>0</v>
      </c>
      <c r="BV387" s="205">
        <v>22182</v>
      </c>
      <c r="BW387" s="205">
        <v>100</v>
      </c>
      <c r="BZ387" s="215">
        <v>45273</v>
      </c>
      <c r="CA387" s="48">
        <v>43177</v>
      </c>
      <c r="CB387" s="48">
        <v>8115</v>
      </c>
      <c r="CC387" s="71">
        <f t="shared" si="101"/>
        <v>5.3206407886629696</v>
      </c>
      <c r="CE387" s="113">
        <v>45273</v>
      </c>
      <c r="CF387">
        <v>11525473</v>
      </c>
      <c r="CG387">
        <v>40412</v>
      </c>
      <c r="CH387">
        <v>11565885</v>
      </c>
      <c r="CI387" s="46">
        <f t="shared" si="109"/>
        <v>99.650593102041043</v>
      </c>
      <c r="CJ387" s="71">
        <f t="shared" si="108"/>
        <v>11.565885</v>
      </c>
      <c r="CL387" s="140">
        <v>45215</v>
      </c>
      <c r="CM387" s="252" t="s">
        <v>251</v>
      </c>
      <c r="CN387">
        <v>4186</v>
      </c>
      <c r="CO387">
        <v>539</v>
      </c>
    </row>
    <row r="388" spans="1:93" ht="15.75" hidden="1" x14ac:dyDescent="0.25">
      <c r="A388" s="215">
        <v>45274</v>
      </c>
      <c r="B388" s="205">
        <v>6525044</v>
      </c>
      <c r="C388" s="205">
        <v>30141</v>
      </c>
      <c r="D388" s="205">
        <v>6555185</v>
      </c>
      <c r="E388" s="205">
        <v>99.54</v>
      </c>
      <c r="F388" s="71">
        <f t="shared" si="105"/>
        <v>6.5551849999999998</v>
      </c>
      <c r="H388" s="215">
        <v>45274</v>
      </c>
      <c r="I388" s="194">
        <v>1364234</v>
      </c>
      <c r="J388" s="194">
        <v>1297</v>
      </c>
      <c r="K388" s="194">
        <v>1365531</v>
      </c>
      <c r="L388" s="194">
        <v>99.91</v>
      </c>
      <c r="M388" s="71">
        <f t="shared" si="104"/>
        <v>1.3655310000000001</v>
      </c>
      <c r="O388" s="215">
        <v>45274</v>
      </c>
      <c r="P388" s="194">
        <v>395923</v>
      </c>
      <c r="Q388" s="194">
        <v>0</v>
      </c>
      <c r="R388" s="194">
        <v>395923</v>
      </c>
      <c r="S388" s="194">
        <v>100</v>
      </c>
      <c r="T388" s="71">
        <f t="shared" si="107"/>
        <v>0.39592300000000002</v>
      </c>
      <c r="V388" s="215">
        <v>45274</v>
      </c>
      <c r="W388" s="194">
        <v>992524</v>
      </c>
      <c r="X388" s="194">
        <v>244</v>
      </c>
      <c r="Y388" s="194">
        <v>992768</v>
      </c>
      <c r="Z388" s="194">
        <v>99.98</v>
      </c>
      <c r="AA388" s="71">
        <f t="shared" si="100"/>
        <v>0.99276799999999998</v>
      </c>
      <c r="AC388" s="215">
        <v>45274</v>
      </c>
      <c r="AD388" s="194">
        <v>833887</v>
      </c>
      <c r="AE388" s="194">
        <v>10610</v>
      </c>
      <c r="AF388" s="194">
        <v>844497</v>
      </c>
      <c r="AG388" s="194">
        <v>98.74</v>
      </c>
      <c r="AH388" s="255">
        <f t="shared" si="102"/>
        <v>0.84449700000000005</v>
      </c>
      <c r="AJ388" s="215">
        <v>45274</v>
      </c>
      <c r="AK388" s="48">
        <v>0</v>
      </c>
      <c r="AL388" s="48">
        <v>75</v>
      </c>
      <c r="AM388" s="48">
        <v>75</v>
      </c>
      <c r="AN388" s="48">
        <v>0</v>
      </c>
      <c r="AQ388" s="215">
        <v>45274</v>
      </c>
      <c r="AR388" s="205">
        <v>4851</v>
      </c>
      <c r="AS388" s="205">
        <v>10</v>
      </c>
      <c r="AT388" s="205">
        <v>4861</v>
      </c>
      <c r="AU388" s="205">
        <v>99.79</v>
      </c>
      <c r="AX388" s="215">
        <v>45274</v>
      </c>
      <c r="AY388" s="205">
        <v>2147</v>
      </c>
      <c r="AZ388" s="205">
        <v>15</v>
      </c>
      <c r="BA388" s="205">
        <v>2162</v>
      </c>
      <c r="BB388" s="205">
        <v>99.31</v>
      </c>
      <c r="BE388" s="215">
        <v>45274</v>
      </c>
      <c r="BF388" s="194">
        <v>28637</v>
      </c>
      <c r="BG388" s="194">
        <v>2236</v>
      </c>
      <c r="BH388" s="194">
        <v>30873</v>
      </c>
      <c r="BI388" s="194">
        <v>92.76</v>
      </c>
      <c r="BL388" s="215">
        <v>45274</v>
      </c>
      <c r="BM388" s="194">
        <v>2879</v>
      </c>
      <c r="BN388" s="194">
        <v>0</v>
      </c>
      <c r="BO388" s="194">
        <v>2879</v>
      </c>
      <c r="BP388" s="194">
        <v>100</v>
      </c>
      <c r="BS388" s="215">
        <v>45274</v>
      </c>
      <c r="BT388" s="205">
        <v>22429</v>
      </c>
      <c r="BU388" s="205">
        <v>0</v>
      </c>
      <c r="BV388" s="205">
        <v>22429</v>
      </c>
      <c r="BW388" s="205">
        <v>100</v>
      </c>
      <c r="BZ388" s="215">
        <v>45274</v>
      </c>
      <c r="CA388" s="48">
        <v>26639894</v>
      </c>
      <c r="CB388" s="48">
        <v>1742948</v>
      </c>
      <c r="CC388" s="71">
        <f t="shared" si="101"/>
        <v>15.284388289266232</v>
      </c>
      <c r="CE388" s="113">
        <v>45274</v>
      </c>
      <c r="CF388">
        <v>12178725</v>
      </c>
      <c r="CG388">
        <v>53429</v>
      </c>
      <c r="CH388">
        <v>12232154</v>
      </c>
      <c r="CI388" s="46">
        <f t="shared" si="109"/>
        <v>99.563208573077162</v>
      </c>
      <c r="CJ388" s="71">
        <f t="shared" si="108"/>
        <v>12.232154</v>
      </c>
      <c r="CL388" s="140">
        <v>45215</v>
      </c>
      <c r="CM388" t="s">
        <v>237</v>
      </c>
      <c r="CN388">
        <v>2696</v>
      </c>
      <c r="CO388">
        <v>527</v>
      </c>
    </row>
    <row r="389" spans="1:93" ht="15.75" hidden="1" x14ac:dyDescent="0.25">
      <c r="A389" s="215">
        <v>45275</v>
      </c>
      <c r="B389" s="205">
        <v>6338901</v>
      </c>
      <c r="C389" s="205">
        <v>29216</v>
      </c>
      <c r="D389" s="205">
        <v>6368117</v>
      </c>
      <c r="E389" s="205">
        <v>99.54</v>
      </c>
      <c r="F389" s="71">
        <f t="shared" si="105"/>
        <v>6.3681169999999998</v>
      </c>
      <c r="H389" s="215">
        <v>45275</v>
      </c>
      <c r="I389" s="194">
        <v>1557142</v>
      </c>
      <c r="J389" s="194">
        <v>1331</v>
      </c>
      <c r="K389" s="194">
        <v>1558473</v>
      </c>
      <c r="L389" s="194">
        <v>99.91</v>
      </c>
      <c r="M389" s="71">
        <f t="shared" si="104"/>
        <v>1.558473</v>
      </c>
      <c r="O389" s="215">
        <v>45275</v>
      </c>
      <c r="P389" s="194">
        <v>462513</v>
      </c>
      <c r="Q389" s="194">
        <v>2</v>
      </c>
      <c r="R389" s="194">
        <v>462515</v>
      </c>
      <c r="S389" s="194">
        <v>100</v>
      </c>
      <c r="T389" s="71">
        <f t="shared" si="107"/>
        <v>0.46251500000000001</v>
      </c>
      <c r="V389" s="215">
        <v>45275</v>
      </c>
      <c r="W389" s="194">
        <v>1024216</v>
      </c>
      <c r="X389" s="194">
        <v>158</v>
      </c>
      <c r="Y389" s="194">
        <v>1024374</v>
      </c>
      <c r="Z389" s="194">
        <v>99.98</v>
      </c>
      <c r="AA389" s="71">
        <f t="shared" ref="AA389:AA447" si="110">Y389/1000000</f>
        <v>1.0243739999999999</v>
      </c>
      <c r="AC389" s="215">
        <v>45275</v>
      </c>
      <c r="AD389" s="194">
        <v>923669</v>
      </c>
      <c r="AE389" s="194">
        <v>3977</v>
      </c>
      <c r="AF389" s="194">
        <v>927646</v>
      </c>
      <c r="AG389" s="194">
        <v>99.57</v>
      </c>
      <c r="AH389" s="255">
        <f t="shared" si="102"/>
        <v>0.92764599999999997</v>
      </c>
      <c r="AJ389" s="215">
        <v>45275</v>
      </c>
      <c r="AK389" s="48">
        <v>0</v>
      </c>
      <c r="AL389" s="48">
        <v>31</v>
      </c>
      <c r="AM389" s="48">
        <v>31</v>
      </c>
      <c r="AN389" s="48">
        <v>0</v>
      </c>
      <c r="AQ389" s="215">
        <v>45275</v>
      </c>
      <c r="AR389" s="205">
        <v>1074</v>
      </c>
      <c r="AS389" s="205">
        <v>2</v>
      </c>
      <c r="AT389" s="205">
        <v>1076</v>
      </c>
      <c r="AU389" s="205">
        <v>99.81</v>
      </c>
      <c r="AX389" s="215">
        <v>45275</v>
      </c>
      <c r="AY389" s="205">
        <v>1558</v>
      </c>
      <c r="AZ389" s="205">
        <v>22</v>
      </c>
      <c r="BA389" s="205">
        <v>1580</v>
      </c>
      <c r="BB389" s="205">
        <v>98.61</v>
      </c>
      <c r="BE389" s="215">
        <v>45275</v>
      </c>
      <c r="BF389" s="194">
        <v>15357</v>
      </c>
      <c r="BG389" s="194">
        <v>1263</v>
      </c>
      <c r="BH389" s="194">
        <v>16620</v>
      </c>
      <c r="BI389" s="194">
        <v>92.4</v>
      </c>
      <c r="BL389" s="215">
        <v>45275</v>
      </c>
      <c r="BM389" s="194">
        <v>30489</v>
      </c>
      <c r="BN389" s="194">
        <v>0</v>
      </c>
      <c r="BO389" s="194">
        <v>30489</v>
      </c>
      <c r="BP389" s="194">
        <v>100</v>
      </c>
      <c r="BS389" s="215">
        <v>45275</v>
      </c>
      <c r="BT389" s="205">
        <v>22693</v>
      </c>
      <c r="BU389" s="205">
        <v>0</v>
      </c>
      <c r="BV389" s="205">
        <v>22693</v>
      </c>
      <c r="BW389" s="205">
        <v>100</v>
      </c>
      <c r="BZ389" s="215">
        <v>45275</v>
      </c>
      <c r="CA389" s="48">
        <v>35068868</v>
      </c>
      <c r="CB389" s="48">
        <v>2182396</v>
      </c>
      <c r="CC389" s="71">
        <f t="shared" si="101"/>
        <v>16.068975566304189</v>
      </c>
      <c r="CE389" s="113">
        <v>45275</v>
      </c>
      <c r="CF389">
        <v>12588827</v>
      </c>
      <c r="CG389">
        <v>45711</v>
      </c>
      <c r="CH389">
        <v>12634538</v>
      </c>
      <c r="CI389" s="46">
        <f t="shared" si="109"/>
        <v>99.638206003258688</v>
      </c>
      <c r="CJ389" s="71">
        <f t="shared" si="108"/>
        <v>12.634537999999999</v>
      </c>
      <c r="CL389" s="140">
        <v>45215</v>
      </c>
      <c r="CM389" t="s">
        <v>238</v>
      </c>
      <c r="CN389">
        <v>2656</v>
      </c>
      <c r="CO389">
        <v>503</v>
      </c>
    </row>
    <row r="390" spans="1:93" ht="15.75" hidden="1" x14ac:dyDescent="0.25">
      <c r="A390" s="215">
        <v>45276</v>
      </c>
      <c r="B390" s="205">
        <v>6886448</v>
      </c>
      <c r="C390" s="205">
        <v>26399</v>
      </c>
      <c r="D390" s="205">
        <v>6912847</v>
      </c>
      <c r="E390" s="205">
        <v>99.62</v>
      </c>
      <c r="F390" s="71">
        <f t="shared" si="105"/>
        <v>6.9128470000000002</v>
      </c>
      <c r="H390" s="215">
        <v>45276</v>
      </c>
      <c r="I390" s="194">
        <v>1571273</v>
      </c>
      <c r="J390" s="194">
        <v>1381</v>
      </c>
      <c r="K390" s="194">
        <v>1572654</v>
      </c>
      <c r="L390" s="194">
        <v>99.91</v>
      </c>
      <c r="M390" s="71">
        <f t="shared" si="104"/>
        <v>1.572654</v>
      </c>
      <c r="O390" s="215">
        <v>45276</v>
      </c>
      <c r="P390" s="194">
        <v>471131</v>
      </c>
      <c r="Q390" s="194">
        <v>55</v>
      </c>
      <c r="R390" s="194">
        <v>471186</v>
      </c>
      <c r="S390" s="194">
        <v>99.99</v>
      </c>
      <c r="T390" s="71">
        <f t="shared" si="107"/>
        <v>0.47118599999999999</v>
      </c>
      <c r="V390" s="215">
        <v>45276</v>
      </c>
      <c r="W390" s="194">
        <v>1167175</v>
      </c>
      <c r="X390" s="194">
        <v>164</v>
      </c>
      <c r="Y390" s="194">
        <v>1167339</v>
      </c>
      <c r="Z390" s="194">
        <v>99.99</v>
      </c>
      <c r="AA390" s="71">
        <f t="shared" si="110"/>
        <v>1.1673389999999999</v>
      </c>
      <c r="AC390" s="215">
        <v>45276</v>
      </c>
      <c r="AD390" s="194">
        <v>1002918</v>
      </c>
      <c r="AE390" s="194">
        <v>4823</v>
      </c>
      <c r="AF390" s="194">
        <v>1007741</v>
      </c>
      <c r="AG390" s="194">
        <v>99.52</v>
      </c>
      <c r="AH390" s="255">
        <f t="shared" si="102"/>
        <v>1.007741</v>
      </c>
      <c r="AJ390" s="215">
        <v>45276</v>
      </c>
      <c r="AK390" s="48">
        <v>0</v>
      </c>
      <c r="AL390" s="48">
        <v>16</v>
      </c>
      <c r="AM390" s="48">
        <v>16</v>
      </c>
      <c r="AN390" s="48">
        <v>0</v>
      </c>
      <c r="AQ390" s="215">
        <v>45276</v>
      </c>
      <c r="AR390" s="205">
        <v>564</v>
      </c>
      <c r="AS390" s="205">
        <v>0</v>
      </c>
      <c r="AT390" s="205">
        <v>564</v>
      </c>
      <c r="AU390" s="205">
        <v>100</v>
      </c>
      <c r="AX390" s="215">
        <v>45276</v>
      </c>
      <c r="AY390" s="205">
        <v>1012</v>
      </c>
      <c r="AZ390" s="205">
        <v>14</v>
      </c>
      <c r="BA390" s="205">
        <v>1026</v>
      </c>
      <c r="BB390" s="205">
        <v>98.64</v>
      </c>
      <c r="BE390" s="215">
        <v>45276</v>
      </c>
      <c r="BF390" s="194">
        <v>9969</v>
      </c>
      <c r="BG390" s="194">
        <v>821</v>
      </c>
      <c r="BH390" s="194">
        <v>10790</v>
      </c>
      <c r="BI390" s="194">
        <v>92.39</v>
      </c>
      <c r="BL390" s="215">
        <v>45276</v>
      </c>
      <c r="BM390" s="194">
        <v>33908</v>
      </c>
      <c r="BN390" s="194">
        <v>0</v>
      </c>
      <c r="BO390" s="194">
        <v>33908</v>
      </c>
      <c r="BP390" s="194">
        <v>100</v>
      </c>
      <c r="BS390" s="215">
        <v>45276</v>
      </c>
      <c r="BT390" s="205">
        <v>34879</v>
      </c>
      <c r="BU390" s="205">
        <v>0</v>
      </c>
      <c r="BV390" s="205">
        <v>34879</v>
      </c>
      <c r="BW390" s="205">
        <v>100</v>
      </c>
      <c r="BZ390" s="215">
        <v>45276</v>
      </c>
      <c r="CA390" s="48">
        <v>34570648</v>
      </c>
      <c r="CB390" s="48">
        <v>2137163</v>
      </c>
      <c r="CC390" s="71">
        <f t="shared" ref="CC390:CC453" si="111">CA390/CB390</f>
        <v>16.175952887075063</v>
      </c>
      <c r="CE390" s="113">
        <v>45276</v>
      </c>
      <c r="CF390">
        <v>13494461</v>
      </c>
      <c r="CG390">
        <v>43135</v>
      </c>
      <c r="CH390">
        <v>13537596</v>
      </c>
      <c r="CI390" s="46">
        <f t="shared" si="109"/>
        <v>99.68136883387568</v>
      </c>
      <c r="CJ390" s="71">
        <f t="shared" si="108"/>
        <v>13.537596000000001</v>
      </c>
      <c r="CL390" s="140">
        <v>45215</v>
      </c>
      <c r="CM390" t="s">
        <v>240</v>
      </c>
      <c r="CN390">
        <v>1948</v>
      </c>
      <c r="CO390">
        <v>516</v>
      </c>
    </row>
    <row r="391" spans="1:93" ht="15.75" hidden="1" x14ac:dyDescent="0.25">
      <c r="A391" s="215">
        <v>45277</v>
      </c>
      <c r="B391" s="205">
        <v>5346084</v>
      </c>
      <c r="C391" s="205">
        <v>21948</v>
      </c>
      <c r="D391" s="205">
        <v>5368032</v>
      </c>
      <c r="E391" s="205">
        <v>99.59</v>
      </c>
      <c r="F391" s="71">
        <f t="shared" si="105"/>
        <v>5.3680320000000004</v>
      </c>
      <c r="H391" s="215">
        <v>45277</v>
      </c>
      <c r="I391" s="194">
        <v>1396725</v>
      </c>
      <c r="J391" s="194">
        <v>4312</v>
      </c>
      <c r="K391" s="194">
        <v>1401037</v>
      </c>
      <c r="L391" s="194">
        <v>99.69</v>
      </c>
      <c r="M391" s="71">
        <f t="shared" si="104"/>
        <v>1.4010370000000001</v>
      </c>
      <c r="O391" s="215">
        <v>45277</v>
      </c>
      <c r="P391" s="194">
        <v>461275</v>
      </c>
      <c r="Q391" s="194">
        <v>2</v>
      </c>
      <c r="R391" s="194">
        <v>461277</v>
      </c>
      <c r="S391" s="194">
        <v>100</v>
      </c>
      <c r="T391" s="71">
        <f t="shared" si="107"/>
        <v>0.46127699999999999</v>
      </c>
      <c r="V391" s="215">
        <v>45277</v>
      </c>
      <c r="W391" s="194">
        <v>923150</v>
      </c>
      <c r="X391" s="194">
        <v>151</v>
      </c>
      <c r="Y391" s="194">
        <v>923301</v>
      </c>
      <c r="Z391" s="194">
        <v>99.98</v>
      </c>
      <c r="AA391" s="71">
        <f t="shared" si="110"/>
        <v>0.92330100000000004</v>
      </c>
      <c r="AC391" s="215">
        <v>45277</v>
      </c>
      <c r="AD391" s="194">
        <v>829274</v>
      </c>
      <c r="AE391" s="194">
        <v>1782</v>
      </c>
      <c r="AF391" s="194">
        <v>831056</v>
      </c>
      <c r="AG391" s="194">
        <v>99.79</v>
      </c>
      <c r="AH391" s="255">
        <f t="shared" ref="AH391:AH456" si="112">AF391/1000000</f>
        <v>0.83105600000000002</v>
      </c>
      <c r="AJ391" s="215">
        <v>45277</v>
      </c>
      <c r="AK391" s="48">
        <v>0</v>
      </c>
      <c r="AL391" s="48">
        <v>18</v>
      </c>
      <c r="AM391" s="48">
        <v>18</v>
      </c>
      <c r="AN391" s="48">
        <v>0</v>
      </c>
      <c r="AQ391" s="215">
        <v>45277</v>
      </c>
      <c r="AR391" s="205">
        <v>308</v>
      </c>
      <c r="AS391" s="205">
        <v>2</v>
      </c>
      <c r="AT391" s="205">
        <v>310</v>
      </c>
      <c r="AU391" s="205">
        <v>99.35</v>
      </c>
      <c r="AX391" s="215">
        <v>45277</v>
      </c>
      <c r="AY391" s="205">
        <v>156</v>
      </c>
      <c r="AZ391" s="205">
        <v>47</v>
      </c>
      <c r="BA391" s="205">
        <v>203</v>
      </c>
      <c r="BB391" s="205">
        <v>76.849999999999994</v>
      </c>
      <c r="BE391" s="215">
        <v>45277</v>
      </c>
      <c r="BF391" s="194">
        <v>8972</v>
      </c>
      <c r="BG391" s="194">
        <v>711</v>
      </c>
      <c r="BH391" s="194">
        <v>9683</v>
      </c>
      <c r="BI391" s="194">
        <v>92.66</v>
      </c>
      <c r="BL391" s="215">
        <v>45277</v>
      </c>
      <c r="BM391" s="194">
        <v>3200</v>
      </c>
      <c r="BN391" s="194">
        <v>0</v>
      </c>
      <c r="BO391" s="194">
        <v>3200</v>
      </c>
      <c r="BP391" s="194">
        <v>100</v>
      </c>
      <c r="BS391" s="215">
        <v>45277</v>
      </c>
      <c r="BT391" s="205">
        <v>34623</v>
      </c>
      <c r="BU391" s="205">
        <v>1</v>
      </c>
      <c r="BV391" s="205">
        <v>34624</v>
      </c>
      <c r="BW391" s="205">
        <v>100</v>
      </c>
      <c r="BZ391" s="215">
        <v>45277</v>
      </c>
      <c r="CA391" s="48">
        <v>30893624</v>
      </c>
      <c r="CB391" s="48">
        <v>1906860</v>
      </c>
      <c r="CC391" s="71">
        <f t="shared" si="111"/>
        <v>16.201306860493165</v>
      </c>
      <c r="CE391" s="113">
        <v>45277</v>
      </c>
      <c r="CF391">
        <v>10950253</v>
      </c>
      <c r="CG391">
        <v>39739</v>
      </c>
      <c r="CH391">
        <v>10989992</v>
      </c>
      <c r="CI391" s="46">
        <f t="shared" si="109"/>
        <v>99.638407380096368</v>
      </c>
      <c r="CJ391" s="71">
        <f t="shared" si="108"/>
        <v>10.989992000000001</v>
      </c>
      <c r="CL391" s="140">
        <v>45215</v>
      </c>
      <c r="CM391" t="s">
        <v>244</v>
      </c>
      <c r="CN391">
        <v>608</v>
      </c>
      <c r="CO391">
        <v>513</v>
      </c>
    </row>
    <row r="392" spans="1:93" ht="15.75" hidden="1" x14ac:dyDescent="0.25">
      <c r="A392" s="215">
        <v>45278</v>
      </c>
      <c r="B392" s="205">
        <v>6075339</v>
      </c>
      <c r="C392" s="205">
        <v>29456</v>
      </c>
      <c r="D392" s="205">
        <v>6104795</v>
      </c>
      <c r="E392" s="205">
        <v>99.52</v>
      </c>
      <c r="F392" s="71">
        <f t="shared" si="105"/>
        <v>6.1047950000000002</v>
      </c>
      <c r="H392" s="215">
        <v>45278</v>
      </c>
      <c r="I392" s="194">
        <v>1387560</v>
      </c>
      <c r="J392" s="194">
        <v>1219</v>
      </c>
      <c r="K392" s="194">
        <v>1388779</v>
      </c>
      <c r="L392" s="194">
        <v>99.91</v>
      </c>
      <c r="M392" s="71">
        <f t="shared" si="104"/>
        <v>1.388779</v>
      </c>
      <c r="O392" s="215">
        <v>45278</v>
      </c>
      <c r="P392" s="194">
        <v>449719</v>
      </c>
      <c r="Q392" s="194">
        <v>28</v>
      </c>
      <c r="R392" s="194">
        <v>449747</v>
      </c>
      <c r="S392" s="194">
        <v>99.99</v>
      </c>
      <c r="T392" s="71">
        <f t="shared" si="107"/>
        <v>0.44974700000000001</v>
      </c>
      <c r="V392" s="215">
        <v>45278</v>
      </c>
      <c r="W392" s="194">
        <v>985689</v>
      </c>
      <c r="X392" s="194">
        <v>190</v>
      </c>
      <c r="Y392" s="194">
        <v>985879</v>
      </c>
      <c r="Z392" s="194">
        <v>99.98</v>
      </c>
      <c r="AA392" s="71">
        <f t="shared" si="110"/>
        <v>0.98587899999999995</v>
      </c>
      <c r="AC392" s="215">
        <v>45278</v>
      </c>
      <c r="AD392" s="194">
        <v>859730</v>
      </c>
      <c r="AE392" s="194">
        <v>829</v>
      </c>
      <c r="AF392" s="194">
        <v>860559</v>
      </c>
      <c r="AG392" s="194">
        <v>99.9</v>
      </c>
      <c r="AH392" s="255">
        <f t="shared" si="112"/>
        <v>0.86055899999999996</v>
      </c>
      <c r="AJ392" s="215">
        <v>45278</v>
      </c>
      <c r="AK392" s="48">
        <v>0</v>
      </c>
      <c r="AL392" s="48">
        <v>10</v>
      </c>
      <c r="AM392" s="48">
        <v>10</v>
      </c>
      <c r="AN392" s="48">
        <v>0</v>
      </c>
      <c r="AQ392" s="215">
        <v>45278</v>
      </c>
      <c r="AR392" s="205">
        <v>462</v>
      </c>
      <c r="AS392" s="205">
        <v>0</v>
      </c>
      <c r="AT392" s="205">
        <v>462</v>
      </c>
      <c r="AU392" s="205">
        <v>100</v>
      </c>
      <c r="AX392" s="215">
        <v>45278</v>
      </c>
      <c r="AY392" s="205">
        <v>2197</v>
      </c>
      <c r="AZ392" s="205">
        <v>19</v>
      </c>
      <c r="BA392" s="205">
        <v>2216</v>
      </c>
      <c r="BB392" s="205">
        <v>99.14</v>
      </c>
      <c r="BE392" s="215">
        <v>45278</v>
      </c>
      <c r="BF392" s="194">
        <v>9953</v>
      </c>
      <c r="BG392" s="194">
        <v>980</v>
      </c>
      <c r="BH392" s="194">
        <v>10933</v>
      </c>
      <c r="BI392" s="194">
        <v>91.04</v>
      </c>
      <c r="BL392" s="215">
        <v>45278</v>
      </c>
      <c r="BM392" s="194">
        <v>46453</v>
      </c>
      <c r="BN392" s="194">
        <v>0</v>
      </c>
      <c r="BO392" s="194">
        <v>46453</v>
      </c>
      <c r="BP392" s="194">
        <v>100</v>
      </c>
      <c r="BS392" s="215">
        <v>45278</v>
      </c>
      <c r="BT392" s="205">
        <v>21861</v>
      </c>
      <c r="BU392" s="205">
        <v>1</v>
      </c>
      <c r="BV392" s="205">
        <v>21862</v>
      </c>
      <c r="BW392" s="205">
        <v>100</v>
      </c>
      <c r="BZ392" s="215">
        <v>45278</v>
      </c>
      <c r="CA392" s="48">
        <v>9642894</v>
      </c>
      <c r="CB392" s="48">
        <v>850403</v>
      </c>
      <c r="CC392" s="71">
        <f t="shared" si="111"/>
        <v>11.33920505924838</v>
      </c>
      <c r="CE392" s="113">
        <v>45278</v>
      </c>
      <c r="CF392">
        <v>11856704</v>
      </c>
      <c r="CG392">
        <v>41921</v>
      </c>
      <c r="CH392">
        <v>11898625</v>
      </c>
      <c r="CI392" s="46">
        <f t="shared" si="109"/>
        <v>99.647681980060725</v>
      </c>
      <c r="CJ392" s="71">
        <f t="shared" si="108"/>
        <v>11.898624999999999</v>
      </c>
    </row>
    <row r="393" spans="1:93" ht="15.75" hidden="1" x14ac:dyDescent="0.25">
      <c r="A393" s="215">
        <v>45279</v>
      </c>
      <c r="B393" s="205">
        <v>6017462</v>
      </c>
      <c r="C393" s="205">
        <v>24208</v>
      </c>
      <c r="D393" s="205">
        <v>6041670</v>
      </c>
      <c r="E393" s="205">
        <v>99.6</v>
      </c>
      <c r="F393" s="71">
        <f t="shared" si="105"/>
        <v>6.0416699999999999</v>
      </c>
      <c r="H393" s="215">
        <v>45279</v>
      </c>
      <c r="I393" s="194">
        <v>1381691</v>
      </c>
      <c r="J393" s="194">
        <v>1248</v>
      </c>
      <c r="K393" s="194">
        <v>1382939</v>
      </c>
      <c r="L393" s="194">
        <v>99.91</v>
      </c>
      <c r="M393" s="71">
        <f t="shared" si="104"/>
        <v>1.3829389999999999</v>
      </c>
      <c r="O393" s="215">
        <v>45279</v>
      </c>
      <c r="P393" s="194">
        <v>470212</v>
      </c>
      <c r="Q393" s="194">
        <v>0</v>
      </c>
      <c r="R393" s="194">
        <v>470212</v>
      </c>
      <c r="S393" s="194">
        <v>100</v>
      </c>
      <c r="T393" s="71">
        <f t="shared" si="107"/>
        <v>0.47021200000000002</v>
      </c>
      <c r="V393" s="215">
        <v>45279</v>
      </c>
      <c r="W393" s="194">
        <v>920026</v>
      </c>
      <c r="X393" s="194">
        <v>135</v>
      </c>
      <c r="Y393" s="194">
        <v>920161</v>
      </c>
      <c r="Z393" s="194">
        <v>99.99</v>
      </c>
      <c r="AA393" s="71">
        <f t="shared" si="110"/>
        <v>0.92016100000000001</v>
      </c>
      <c r="AC393" s="215">
        <v>45279</v>
      </c>
      <c r="AD393" s="194">
        <v>817132</v>
      </c>
      <c r="AE393" s="194">
        <v>5860</v>
      </c>
      <c r="AF393" s="194">
        <v>822992</v>
      </c>
      <c r="AG393" s="194">
        <v>99.29</v>
      </c>
      <c r="AH393" s="255">
        <f t="shared" si="112"/>
        <v>0.82299199999999995</v>
      </c>
      <c r="AJ393" s="215">
        <v>45279</v>
      </c>
      <c r="AK393" s="48">
        <v>0</v>
      </c>
      <c r="AL393" s="48">
        <v>19</v>
      </c>
      <c r="AM393" s="48">
        <v>19</v>
      </c>
      <c r="AN393" s="48">
        <v>0</v>
      </c>
      <c r="AQ393" s="215">
        <v>45279</v>
      </c>
      <c r="AR393" s="205">
        <v>434</v>
      </c>
      <c r="AS393" s="205">
        <v>0</v>
      </c>
      <c r="AT393" s="205">
        <v>434</v>
      </c>
      <c r="AU393" s="205">
        <v>100</v>
      </c>
      <c r="AX393" s="215">
        <v>45279</v>
      </c>
      <c r="AY393" s="205">
        <v>1606</v>
      </c>
      <c r="AZ393" s="205">
        <v>16</v>
      </c>
      <c r="BA393" s="205">
        <v>1622</v>
      </c>
      <c r="BB393" s="205">
        <v>99.01</v>
      </c>
      <c r="BE393" s="215">
        <v>45279</v>
      </c>
      <c r="BF393" s="194">
        <v>47484</v>
      </c>
      <c r="BG393" s="194">
        <v>2288</v>
      </c>
      <c r="BH393" s="194">
        <v>49772</v>
      </c>
      <c r="BI393" s="194">
        <v>95.4</v>
      </c>
      <c r="BL393" s="215">
        <v>45279</v>
      </c>
      <c r="BM393" s="194">
        <v>21875</v>
      </c>
      <c r="BN393" s="194">
        <v>0</v>
      </c>
      <c r="BO393" s="194">
        <v>21875</v>
      </c>
      <c r="BP393" s="194">
        <v>100</v>
      </c>
      <c r="BS393" s="215">
        <v>45279</v>
      </c>
      <c r="BT393" s="205">
        <v>18698</v>
      </c>
      <c r="BU393" s="205">
        <v>4</v>
      </c>
      <c r="BV393" s="205">
        <v>18702</v>
      </c>
      <c r="BW393" s="205">
        <v>99.98</v>
      </c>
      <c r="BZ393" s="215">
        <v>45279</v>
      </c>
      <c r="CA393" s="48">
        <v>763399</v>
      </c>
      <c r="CB393" s="48">
        <v>85330</v>
      </c>
      <c r="CC393" s="71">
        <f t="shared" si="111"/>
        <v>8.9464315012305171</v>
      </c>
      <c r="CE393" s="113">
        <v>45279</v>
      </c>
      <c r="CF393">
        <v>11572898</v>
      </c>
      <c r="CG393">
        <v>42548</v>
      </c>
      <c r="CH393">
        <v>11615446</v>
      </c>
      <c r="CI393" s="46">
        <f t="shared" si="109"/>
        <v>99.633694651070641</v>
      </c>
      <c r="CJ393" s="71">
        <f t="shared" si="108"/>
        <v>11.615446</v>
      </c>
      <c r="CL393" s="140">
        <v>45216</v>
      </c>
      <c r="CM393" s="252" t="s">
        <v>251</v>
      </c>
      <c r="CN393">
        <v>4040</v>
      </c>
      <c r="CO393">
        <v>539</v>
      </c>
    </row>
    <row r="394" spans="1:93" ht="15.75" hidden="1" x14ac:dyDescent="0.25">
      <c r="A394" s="215">
        <v>45280</v>
      </c>
      <c r="B394" s="104">
        <v>6393060</v>
      </c>
      <c r="C394" s="104">
        <v>25705</v>
      </c>
      <c r="D394" s="104">
        <v>6418765</v>
      </c>
      <c r="E394" s="104">
        <v>99.6</v>
      </c>
      <c r="F394" s="71">
        <f t="shared" si="105"/>
        <v>6.4187649999999996</v>
      </c>
      <c r="H394" s="215">
        <v>45280</v>
      </c>
      <c r="I394" s="101">
        <v>1349479</v>
      </c>
      <c r="J394" s="101">
        <v>1280</v>
      </c>
      <c r="K394" s="101">
        <v>1350759</v>
      </c>
      <c r="L394" s="101">
        <v>99.91</v>
      </c>
      <c r="M394" s="71">
        <f t="shared" si="104"/>
        <v>1.350759</v>
      </c>
      <c r="O394" s="215">
        <v>45280</v>
      </c>
      <c r="P394" s="101">
        <v>416436</v>
      </c>
      <c r="Q394" s="101">
        <v>2172</v>
      </c>
      <c r="R394" s="101">
        <v>418608</v>
      </c>
      <c r="S394" s="101">
        <v>99.48</v>
      </c>
      <c r="T394" s="71">
        <f t="shared" si="107"/>
        <v>0.41860799999999998</v>
      </c>
      <c r="V394" s="215">
        <v>45280</v>
      </c>
      <c r="W394" s="101">
        <v>999051</v>
      </c>
      <c r="X394" s="101">
        <v>156</v>
      </c>
      <c r="Y394" s="101">
        <v>999207</v>
      </c>
      <c r="Z394" s="101">
        <v>99.98</v>
      </c>
      <c r="AA394" s="71">
        <f t="shared" si="110"/>
        <v>0.99920699999999996</v>
      </c>
      <c r="AC394" s="215">
        <v>45280</v>
      </c>
      <c r="AD394" s="101">
        <v>948015</v>
      </c>
      <c r="AE394" s="101">
        <v>7507</v>
      </c>
      <c r="AF394" s="101">
        <v>955522</v>
      </c>
      <c r="AG394" s="101">
        <v>99.21</v>
      </c>
      <c r="AH394" s="255">
        <f t="shared" si="112"/>
        <v>0.95552199999999998</v>
      </c>
      <c r="AJ394" s="215">
        <v>45280</v>
      </c>
      <c r="AK394" s="48">
        <v>0</v>
      </c>
      <c r="AL394" s="48">
        <v>13</v>
      </c>
      <c r="AM394" s="48">
        <v>13</v>
      </c>
      <c r="AN394" s="48">
        <v>0</v>
      </c>
      <c r="AQ394" s="215">
        <v>45280</v>
      </c>
      <c r="AR394" s="205">
        <v>396</v>
      </c>
      <c r="AS394" s="205">
        <v>0</v>
      </c>
      <c r="AT394" s="205">
        <v>396</v>
      </c>
      <c r="AU394" s="205">
        <v>100</v>
      </c>
      <c r="AX394" s="215">
        <v>45280</v>
      </c>
      <c r="AY394" s="205">
        <v>1623</v>
      </c>
      <c r="AZ394" s="205">
        <v>45</v>
      </c>
      <c r="BA394" s="205">
        <v>1668</v>
      </c>
      <c r="BB394" s="205">
        <v>97.3</v>
      </c>
      <c r="BE394" s="215">
        <v>45280</v>
      </c>
      <c r="BF394" s="194">
        <v>12910</v>
      </c>
      <c r="BG394" s="194">
        <v>893</v>
      </c>
      <c r="BH394" s="194">
        <v>13803</v>
      </c>
      <c r="BI394" s="194">
        <v>93.53</v>
      </c>
      <c r="BL394" s="215">
        <v>45280</v>
      </c>
      <c r="BM394" s="194">
        <v>2946</v>
      </c>
      <c r="BN394" s="194">
        <v>0</v>
      </c>
      <c r="BO394" s="194">
        <v>2946</v>
      </c>
      <c r="BP394" s="194">
        <v>100</v>
      </c>
      <c r="BS394" s="215">
        <v>45280</v>
      </c>
      <c r="BT394" s="205">
        <v>28972</v>
      </c>
      <c r="BU394" s="205">
        <v>0</v>
      </c>
      <c r="BV394" s="205">
        <v>28972</v>
      </c>
      <c r="BW394" s="205">
        <v>100</v>
      </c>
      <c r="BZ394" s="215">
        <v>45280</v>
      </c>
      <c r="CA394" s="48">
        <v>32840619</v>
      </c>
      <c r="CB394" s="48">
        <v>1992656</v>
      </c>
      <c r="CC394" s="71">
        <f t="shared" si="111"/>
        <v>16.480827097100555</v>
      </c>
      <c r="CE394" s="113">
        <v>45280</v>
      </c>
      <c r="CF394">
        <v>12005519</v>
      </c>
      <c r="CG394">
        <v>46676</v>
      </c>
      <c r="CH394">
        <v>12052195</v>
      </c>
      <c r="CI394" s="46">
        <f t="shared" si="109"/>
        <v>99.612717849321228</v>
      </c>
      <c r="CJ394" s="71">
        <f t="shared" si="108"/>
        <v>12.052194999999999</v>
      </c>
      <c r="CL394" s="140">
        <v>45216</v>
      </c>
      <c r="CM394" t="s">
        <v>237</v>
      </c>
      <c r="CN394">
        <v>2762</v>
      </c>
      <c r="CO394">
        <v>527</v>
      </c>
    </row>
    <row r="395" spans="1:93" ht="15.75" hidden="1" x14ac:dyDescent="0.25">
      <c r="A395" s="215">
        <v>45281</v>
      </c>
      <c r="B395" s="104">
        <v>6838791</v>
      </c>
      <c r="C395" s="104">
        <v>26299</v>
      </c>
      <c r="D395" s="104">
        <v>6865090</v>
      </c>
      <c r="E395" s="104">
        <v>99.62</v>
      </c>
      <c r="F395" s="71">
        <f t="shared" si="105"/>
        <v>6.8650900000000004</v>
      </c>
      <c r="H395" s="215">
        <v>45281</v>
      </c>
      <c r="I395" s="101">
        <v>1520348</v>
      </c>
      <c r="J395" s="101">
        <v>1281</v>
      </c>
      <c r="K395" s="101">
        <v>1521629</v>
      </c>
      <c r="L395" s="101">
        <v>99.92</v>
      </c>
      <c r="M395" s="71">
        <f t="shared" si="104"/>
        <v>1.5216289999999999</v>
      </c>
      <c r="O395" s="215">
        <v>45281</v>
      </c>
      <c r="P395" s="101">
        <v>464723</v>
      </c>
      <c r="Q395" s="101">
        <v>0</v>
      </c>
      <c r="R395" s="101">
        <v>464723</v>
      </c>
      <c r="S395" s="101">
        <v>100</v>
      </c>
      <c r="T395" s="71">
        <f t="shared" si="107"/>
        <v>0.464723</v>
      </c>
      <c r="V395" s="215">
        <v>45281</v>
      </c>
      <c r="W395" s="101">
        <v>1070373</v>
      </c>
      <c r="X395" s="101">
        <v>156</v>
      </c>
      <c r="Y395" s="101">
        <v>1070529</v>
      </c>
      <c r="Z395" s="101">
        <v>99.99</v>
      </c>
      <c r="AA395" s="71">
        <f t="shared" si="110"/>
        <v>1.0705290000000001</v>
      </c>
      <c r="AC395" s="215">
        <v>45281</v>
      </c>
      <c r="AD395" s="101">
        <v>966108</v>
      </c>
      <c r="AE395" s="101">
        <v>1189</v>
      </c>
      <c r="AF395" s="101">
        <v>967297</v>
      </c>
      <c r="AG395" s="101">
        <v>99.88</v>
      </c>
      <c r="AH395" s="255">
        <f t="shared" si="112"/>
        <v>0.96729699999999996</v>
      </c>
      <c r="AJ395" s="215">
        <v>45281</v>
      </c>
      <c r="AK395" s="48">
        <v>0</v>
      </c>
      <c r="AL395" s="48">
        <v>20</v>
      </c>
      <c r="AM395" s="48">
        <v>20</v>
      </c>
      <c r="AN395" s="48">
        <v>0</v>
      </c>
      <c r="AQ395" s="215">
        <v>45281</v>
      </c>
      <c r="AR395" s="205">
        <v>605</v>
      </c>
      <c r="AS395" s="205">
        <v>2</v>
      </c>
      <c r="AT395" s="205">
        <v>607</v>
      </c>
      <c r="AU395" s="205">
        <v>99.67</v>
      </c>
      <c r="AX395" s="215">
        <v>45281</v>
      </c>
      <c r="AY395" s="205">
        <v>2175</v>
      </c>
      <c r="AZ395" s="205">
        <v>121</v>
      </c>
      <c r="BA395" s="205">
        <v>2296</v>
      </c>
      <c r="BB395" s="205">
        <v>94.73</v>
      </c>
      <c r="BE395" s="215">
        <v>45281</v>
      </c>
      <c r="BF395" s="194">
        <v>10949</v>
      </c>
      <c r="BG395" s="194">
        <v>973</v>
      </c>
      <c r="BH395" s="194">
        <v>11922</v>
      </c>
      <c r="BI395" s="194">
        <v>91.84</v>
      </c>
      <c r="BL395" s="215">
        <v>45281</v>
      </c>
      <c r="BM395" s="194">
        <v>3745</v>
      </c>
      <c r="BN395" s="194">
        <v>20</v>
      </c>
      <c r="BO395" s="194">
        <v>3765</v>
      </c>
      <c r="BP395" s="194">
        <v>99.47</v>
      </c>
      <c r="BS395" s="215">
        <v>45281</v>
      </c>
      <c r="BT395" s="205">
        <v>68268</v>
      </c>
      <c r="BU395" s="205">
        <v>0</v>
      </c>
      <c r="BV395" s="205">
        <v>68268</v>
      </c>
      <c r="BW395" s="205">
        <v>100</v>
      </c>
      <c r="BZ395" s="215">
        <v>45281</v>
      </c>
      <c r="CA395" s="48">
        <v>33260000</v>
      </c>
      <c r="CB395" s="48">
        <v>2028931</v>
      </c>
      <c r="CC395" s="71">
        <f t="shared" si="111"/>
        <v>16.392868954143832</v>
      </c>
      <c r="CE395" s="113">
        <v>45281</v>
      </c>
      <c r="CF395">
        <v>13085772</v>
      </c>
      <c r="CG395">
        <v>39343</v>
      </c>
      <c r="CH395">
        <v>13125115</v>
      </c>
      <c r="CI395" s="46">
        <f t="shared" si="109"/>
        <v>99.700246435935995</v>
      </c>
      <c r="CJ395" s="71">
        <f t="shared" si="108"/>
        <v>13.125114999999999</v>
      </c>
      <c r="CL395" s="140">
        <v>45216</v>
      </c>
      <c r="CM395" t="s">
        <v>238</v>
      </c>
      <c r="CN395">
        <v>2338</v>
      </c>
      <c r="CO395">
        <v>503</v>
      </c>
    </row>
    <row r="396" spans="1:93" ht="15.75" hidden="1" x14ac:dyDescent="0.25">
      <c r="A396" s="215">
        <v>45282</v>
      </c>
      <c r="B396" s="104">
        <v>8278530</v>
      </c>
      <c r="C396" s="104">
        <v>23080</v>
      </c>
      <c r="D396" s="104">
        <v>8301610</v>
      </c>
      <c r="E396" s="104">
        <v>99.72</v>
      </c>
      <c r="F396" s="71">
        <f t="shared" si="105"/>
        <v>8.3016100000000002</v>
      </c>
      <c r="H396" s="215">
        <v>45282</v>
      </c>
      <c r="I396" s="101">
        <v>1778259</v>
      </c>
      <c r="J396" s="101">
        <v>1494</v>
      </c>
      <c r="K396" s="101">
        <v>1779753</v>
      </c>
      <c r="L396" s="101">
        <v>99.92</v>
      </c>
      <c r="M396" s="71">
        <f t="shared" si="104"/>
        <v>1.7797529999999999</v>
      </c>
      <c r="O396" s="215">
        <v>45282</v>
      </c>
      <c r="P396" s="101">
        <v>505553</v>
      </c>
      <c r="Q396" s="101">
        <v>0</v>
      </c>
      <c r="R396" s="101">
        <v>505553</v>
      </c>
      <c r="S396" s="101">
        <v>100</v>
      </c>
      <c r="T396" s="71">
        <f t="shared" si="107"/>
        <v>0.50555300000000003</v>
      </c>
      <c r="V396" s="215">
        <v>45282</v>
      </c>
      <c r="W396" s="101">
        <v>1254631</v>
      </c>
      <c r="X396" s="101">
        <v>209</v>
      </c>
      <c r="Y396" s="101">
        <v>1254840</v>
      </c>
      <c r="Z396" s="101">
        <v>99.98</v>
      </c>
      <c r="AA396" s="71">
        <f t="shared" si="110"/>
        <v>1.25484</v>
      </c>
      <c r="AC396" s="215">
        <v>45282</v>
      </c>
      <c r="AD396" s="101">
        <v>1017850</v>
      </c>
      <c r="AE396" s="101">
        <v>2720</v>
      </c>
      <c r="AF396" s="101">
        <v>1020570</v>
      </c>
      <c r="AG396" s="101">
        <v>99.73</v>
      </c>
      <c r="AH396" s="255">
        <f t="shared" si="112"/>
        <v>1.02057</v>
      </c>
      <c r="AJ396" s="215">
        <v>45282</v>
      </c>
      <c r="AK396" s="48">
        <v>0</v>
      </c>
      <c r="AL396" s="48">
        <v>12</v>
      </c>
      <c r="AM396" s="48">
        <v>12</v>
      </c>
      <c r="AN396" s="48">
        <v>0</v>
      </c>
      <c r="AQ396" s="215">
        <v>45282</v>
      </c>
      <c r="AR396" s="205">
        <v>614</v>
      </c>
      <c r="AS396" s="205">
        <v>2</v>
      </c>
      <c r="AT396" s="205">
        <v>616</v>
      </c>
      <c r="AU396" s="205">
        <v>99.68</v>
      </c>
      <c r="AX396" s="215">
        <v>45282</v>
      </c>
      <c r="AY396" s="205">
        <v>2707</v>
      </c>
      <c r="AZ396" s="205">
        <v>55</v>
      </c>
      <c r="BA396" s="205">
        <v>2762</v>
      </c>
      <c r="BB396" s="205">
        <v>98.01</v>
      </c>
      <c r="BE396" s="215">
        <v>45282</v>
      </c>
      <c r="BF396" s="194">
        <v>13493</v>
      </c>
      <c r="BG396" s="194">
        <v>1238</v>
      </c>
      <c r="BH396" s="194">
        <v>14731</v>
      </c>
      <c r="BI396" s="194">
        <v>91.6</v>
      </c>
      <c r="BL396" s="215">
        <v>45282</v>
      </c>
      <c r="BM396" s="194">
        <v>5129</v>
      </c>
      <c r="BN396" s="194">
        <v>1</v>
      </c>
      <c r="BO396" s="194">
        <v>5130</v>
      </c>
      <c r="BP396" s="194">
        <v>99.98</v>
      </c>
      <c r="BS396" s="215">
        <v>45282</v>
      </c>
      <c r="BT396" s="205">
        <v>35246</v>
      </c>
      <c r="BU396" s="205">
        <v>14</v>
      </c>
      <c r="BV396" s="205">
        <v>35260</v>
      </c>
      <c r="BW396" s="205">
        <v>99.96</v>
      </c>
      <c r="BZ396" s="215">
        <v>45282</v>
      </c>
      <c r="CA396" s="48">
        <v>37184702</v>
      </c>
      <c r="CB396" s="48">
        <v>2181035</v>
      </c>
      <c r="CC396" s="71">
        <f t="shared" si="111"/>
        <v>17.049108336179842</v>
      </c>
      <c r="CE396" s="113">
        <v>45282</v>
      </c>
      <c r="CF396">
        <v>15455485</v>
      </c>
      <c r="CG396">
        <v>39968</v>
      </c>
      <c r="CH396">
        <v>15495453</v>
      </c>
      <c r="CI396" s="46">
        <f t="shared" si="109"/>
        <v>99.742066269375925</v>
      </c>
      <c r="CJ396" s="71">
        <f t="shared" si="108"/>
        <v>15.495452999999999</v>
      </c>
      <c r="CL396" s="140">
        <v>45216</v>
      </c>
      <c r="CM396" t="s">
        <v>240</v>
      </c>
      <c r="CN396">
        <v>1892</v>
      </c>
      <c r="CO396">
        <v>516</v>
      </c>
    </row>
    <row r="397" spans="1:93" ht="15.75" hidden="1" x14ac:dyDescent="0.25">
      <c r="A397" s="215">
        <v>45283</v>
      </c>
      <c r="B397" s="104">
        <v>6867978</v>
      </c>
      <c r="C397" s="104">
        <v>31419</v>
      </c>
      <c r="D397" s="104">
        <v>6899397</v>
      </c>
      <c r="E397" s="104">
        <v>99.54</v>
      </c>
      <c r="F397" s="71">
        <f t="shared" si="105"/>
        <v>6.8993969999999996</v>
      </c>
      <c r="H397" s="215">
        <v>45283</v>
      </c>
      <c r="I397" s="101">
        <v>1408318</v>
      </c>
      <c r="J397" s="101">
        <v>1914</v>
      </c>
      <c r="K397" s="101">
        <v>1410232</v>
      </c>
      <c r="L397" s="101">
        <v>99.86</v>
      </c>
      <c r="M397" s="71">
        <f t="shared" si="104"/>
        <v>1.4102319999999999</v>
      </c>
      <c r="O397" s="215">
        <v>45283</v>
      </c>
      <c r="P397" s="101">
        <v>411360</v>
      </c>
      <c r="Q397" s="101">
        <v>2</v>
      </c>
      <c r="R397" s="101">
        <v>411362</v>
      </c>
      <c r="S397" s="101">
        <v>100</v>
      </c>
      <c r="T397" s="71">
        <f t="shared" si="107"/>
        <v>0.41136200000000001</v>
      </c>
      <c r="V397" s="215">
        <v>45283</v>
      </c>
      <c r="W397" s="101">
        <v>1064010</v>
      </c>
      <c r="X397" s="101">
        <v>834</v>
      </c>
      <c r="Y397" s="101">
        <v>1064844</v>
      </c>
      <c r="Z397" s="101">
        <v>99.92</v>
      </c>
      <c r="AA397" s="71">
        <f t="shared" si="110"/>
        <v>1.0648439999999999</v>
      </c>
      <c r="AC397" s="215">
        <v>45283</v>
      </c>
      <c r="AD397" s="101">
        <v>881977</v>
      </c>
      <c r="AE397" s="101">
        <v>16519</v>
      </c>
      <c r="AF397" s="101">
        <v>898496</v>
      </c>
      <c r="AG397" s="101">
        <v>98.16</v>
      </c>
      <c r="AH397" s="255">
        <f t="shared" si="112"/>
        <v>0.89849599999999996</v>
      </c>
      <c r="AJ397" s="215">
        <v>45283</v>
      </c>
      <c r="AK397" s="48">
        <v>0</v>
      </c>
      <c r="AL397" s="48">
        <v>67</v>
      </c>
      <c r="AM397" s="48">
        <v>67</v>
      </c>
      <c r="AN397" s="48">
        <v>0</v>
      </c>
      <c r="AQ397" s="215">
        <v>45283</v>
      </c>
      <c r="AR397" s="205">
        <v>441</v>
      </c>
      <c r="AS397" s="205">
        <v>2</v>
      </c>
      <c r="AT397" s="205">
        <v>443</v>
      </c>
      <c r="AU397" s="205">
        <v>99.55</v>
      </c>
      <c r="AX397" s="215">
        <v>45283</v>
      </c>
      <c r="AY397" s="205">
        <v>1272</v>
      </c>
      <c r="AZ397" s="205">
        <v>15</v>
      </c>
      <c r="BA397" s="205">
        <v>1287</v>
      </c>
      <c r="BB397" s="205">
        <v>98.83</v>
      </c>
      <c r="BE397" s="215">
        <v>45283</v>
      </c>
      <c r="BF397" s="194">
        <v>8319</v>
      </c>
      <c r="BG397" s="194">
        <v>771</v>
      </c>
      <c r="BH397" s="194">
        <v>9090</v>
      </c>
      <c r="BI397" s="194">
        <v>91.52</v>
      </c>
      <c r="BL397" s="215">
        <v>45283</v>
      </c>
      <c r="BM397" s="194">
        <v>3522</v>
      </c>
      <c r="BN397" s="194">
        <v>0</v>
      </c>
      <c r="BO397" s="194">
        <v>3522</v>
      </c>
      <c r="BP397" s="194">
        <v>100</v>
      </c>
      <c r="BS397" s="215">
        <v>45283</v>
      </c>
      <c r="BT397" s="205">
        <v>38511</v>
      </c>
      <c r="BU397" s="205">
        <v>5</v>
      </c>
      <c r="BV397" s="205">
        <v>38516</v>
      </c>
      <c r="BW397" s="205">
        <v>99.99</v>
      </c>
      <c r="BZ397" s="215">
        <v>45283</v>
      </c>
      <c r="CA397" s="48">
        <v>37190784</v>
      </c>
      <c r="CB397" s="48">
        <v>2113470</v>
      </c>
      <c r="CC397" s="71">
        <f t="shared" si="111"/>
        <v>17.597024798080881</v>
      </c>
      <c r="CE397" s="113">
        <v>45283</v>
      </c>
      <c r="CF397">
        <v>12717243</v>
      </c>
      <c r="CG397">
        <v>60950</v>
      </c>
      <c r="CH397">
        <v>12778193</v>
      </c>
      <c r="CI397" s="46">
        <f t="shared" si="109"/>
        <v>99.523015499922408</v>
      </c>
      <c r="CJ397" s="71">
        <f t="shared" si="108"/>
        <v>12.778193</v>
      </c>
      <c r="CL397" s="140">
        <v>45216</v>
      </c>
      <c r="CM397" s="252" t="s">
        <v>239</v>
      </c>
      <c r="CN397">
        <v>706</v>
      </c>
      <c r="CO397">
        <v>504</v>
      </c>
    </row>
    <row r="398" spans="1:93" ht="15.75" hidden="1" x14ac:dyDescent="0.25">
      <c r="A398" s="215">
        <v>45284</v>
      </c>
      <c r="B398" s="104">
        <v>6067050</v>
      </c>
      <c r="C398" s="104">
        <v>30055</v>
      </c>
      <c r="D398" s="104">
        <v>6097105</v>
      </c>
      <c r="E398" s="104">
        <v>99.51</v>
      </c>
      <c r="F398" s="71">
        <f t="shared" si="105"/>
        <v>6.097105</v>
      </c>
      <c r="H398" s="215">
        <v>45284</v>
      </c>
      <c r="I398" s="101">
        <v>1420167</v>
      </c>
      <c r="J398" s="101">
        <v>1302</v>
      </c>
      <c r="K398" s="101">
        <v>1421469</v>
      </c>
      <c r="L398" s="101">
        <v>99.91</v>
      </c>
      <c r="M398" s="71">
        <f t="shared" si="104"/>
        <v>1.4214690000000001</v>
      </c>
      <c r="O398" s="215">
        <v>45284</v>
      </c>
      <c r="P398" s="101">
        <v>436935</v>
      </c>
      <c r="Q398" s="101">
        <v>0</v>
      </c>
      <c r="R398" s="101">
        <v>436935</v>
      </c>
      <c r="S398" s="101">
        <v>100</v>
      </c>
      <c r="T398" s="71">
        <f t="shared" si="107"/>
        <v>0.43693500000000002</v>
      </c>
      <c r="V398" s="215">
        <v>45284</v>
      </c>
      <c r="W398" s="101">
        <v>1091505</v>
      </c>
      <c r="X398" s="101">
        <v>530</v>
      </c>
      <c r="Y398" s="101">
        <v>1092035</v>
      </c>
      <c r="Z398" s="101">
        <v>99.95</v>
      </c>
      <c r="AA398" s="71">
        <f t="shared" si="110"/>
        <v>1.0920350000000001</v>
      </c>
      <c r="AC398" s="215">
        <v>45284</v>
      </c>
      <c r="AD398" s="101">
        <v>903356</v>
      </c>
      <c r="AE398" s="101">
        <v>656</v>
      </c>
      <c r="AF398" s="101">
        <v>904012</v>
      </c>
      <c r="AG398" s="101">
        <v>99.93</v>
      </c>
      <c r="AH398" s="255">
        <f t="shared" si="112"/>
        <v>0.90401200000000004</v>
      </c>
      <c r="AJ398" s="215">
        <v>45284</v>
      </c>
      <c r="AK398" s="48">
        <v>0</v>
      </c>
      <c r="AL398" s="48">
        <v>14</v>
      </c>
      <c r="AM398" s="48">
        <v>14</v>
      </c>
      <c r="AN398" s="48">
        <v>0</v>
      </c>
      <c r="AQ398" s="215">
        <v>45284</v>
      </c>
      <c r="AR398" s="205">
        <v>299</v>
      </c>
      <c r="AS398" s="205">
        <v>0</v>
      </c>
      <c r="AT398" s="205">
        <v>299</v>
      </c>
      <c r="AU398" s="205">
        <v>100</v>
      </c>
      <c r="AX398" s="215">
        <v>45284</v>
      </c>
      <c r="AY398" s="205">
        <v>238</v>
      </c>
      <c r="AZ398" s="205">
        <v>73</v>
      </c>
      <c r="BA398" s="205">
        <v>311</v>
      </c>
      <c r="BB398" s="205">
        <v>76.53</v>
      </c>
      <c r="BE398" s="215">
        <v>45284</v>
      </c>
      <c r="BF398" s="194">
        <v>7770</v>
      </c>
      <c r="BG398" s="194">
        <v>611</v>
      </c>
      <c r="BH398" s="194">
        <v>8381</v>
      </c>
      <c r="BI398" s="194">
        <v>92.71</v>
      </c>
      <c r="BL398" s="215">
        <v>45284</v>
      </c>
      <c r="BM398" s="194">
        <v>2714</v>
      </c>
      <c r="BN398" s="194">
        <v>0</v>
      </c>
      <c r="BO398" s="194">
        <v>2714</v>
      </c>
      <c r="BP398" s="194">
        <v>100</v>
      </c>
      <c r="BS398" s="215">
        <v>45284</v>
      </c>
      <c r="BT398" s="205">
        <v>17078</v>
      </c>
      <c r="BU398" s="205">
        <v>6</v>
      </c>
      <c r="BV398" s="205">
        <v>17084</v>
      </c>
      <c r="BW398" s="205">
        <v>99.96</v>
      </c>
      <c r="BZ398" s="215">
        <v>45284</v>
      </c>
      <c r="CA398" s="48">
        <v>32633816</v>
      </c>
      <c r="CB398" s="48">
        <v>1923038</v>
      </c>
      <c r="CC398" s="71">
        <f t="shared" si="111"/>
        <v>16.969927791338495</v>
      </c>
      <c r="CE398" s="113">
        <v>45284</v>
      </c>
      <c r="CF398">
        <v>11903117</v>
      </c>
      <c r="CG398">
        <v>40888</v>
      </c>
      <c r="CH398">
        <v>11944005</v>
      </c>
      <c r="CI398" s="46">
        <f t="shared" si="109"/>
        <v>99.657669265878567</v>
      </c>
      <c r="CJ398" s="71">
        <f t="shared" si="108"/>
        <v>11.944005000000001</v>
      </c>
    </row>
    <row r="399" spans="1:93" ht="15.75" hidden="1" x14ac:dyDescent="0.25">
      <c r="A399" s="215">
        <v>45285</v>
      </c>
      <c r="B399" s="104">
        <v>5316006</v>
      </c>
      <c r="C399" s="104">
        <v>49820</v>
      </c>
      <c r="D399" s="104">
        <v>5365826</v>
      </c>
      <c r="E399" s="104">
        <v>99.07</v>
      </c>
      <c r="F399" s="71">
        <f t="shared" si="105"/>
        <v>5.3658260000000002</v>
      </c>
      <c r="H399" s="215">
        <v>45285</v>
      </c>
      <c r="I399" s="101">
        <v>1375834</v>
      </c>
      <c r="J399" s="101">
        <v>1316</v>
      </c>
      <c r="K399" s="101">
        <v>1377150</v>
      </c>
      <c r="L399" s="101">
        <v>99.9</v>
      </c>
      <c r="M399" s="71">
        <f t="shared" ref="M399:M463" si="113">K399/1000000</f>
        <v>1.3771500000000001</v>
      </c>
      <c r="O399" s="215">
        <v>45285</v>
      </c>
      <c r="P399" s="101">
        <v>413368</v>
      </c>
      <c r="Q399" s="101">
        <v>0</v>
      </c>
      <c r="R399" s="101">
        <v>413368</v>
      </c>
      <c r="S399" s="101">
        <v>100</v>
      </c>
      <c r="T399" s="71">
        <f t="shared" si="107"/>
        <v>0.41336800000000001</v>
      </c>
      <c r="V399" s="215">
        <v>45285</v>
      </c>
      <c r="W399" s="101">
        <v>1084102</v>
      </c>
      <c r="X399" s="101">
        <v>180</v>
      </c>
      <c r="Y399" s="101">
        <v>1084282</v>
      </c>
      <c r="Z399" s="101">
        <v>99.98</v>
      </c>
      <c r="AA399" s="71">
        <f t="shared" si="110"/>
        <v>1.084282</v>
      </c>
      <c r="AC399" s="215">
        <v>45285</v>
      </c>
      <c r="AD399" s="101">
        <v>778964</v>
      </c>
      <c r="AE399" s="101">
        <v>509</v>
      </c>
      <c r="AF399" s="101">
        <v>779473</v>
      </c>
      <c r="AG399" s="101">
        <v>99.93</v>
      </c>
      <c r="AH399" s="255">
        <f t="shared" si="112"/>
        <v>0.77947299999999997</v>
      </c>
      <c r="AJ399" s="215">
        <v>45285</v>
      </c>
      <c r="AK399" s="48">
        <v>0</v>
      </c>
      <c r="AL399" s="48">
        <v>14</v>
      </c>
      <c r="AM399" s="48">
        <v>14</v>
      </c>
      <c r="AN399" s="48">
        <v>0</v>
      </c>
      <c r="AQ399" s="215">
        <v>45285</v>
      </c>
      <c r="AR399" s="205">
        <v>408</v>
      </c>
      <c r="AS399" s="205">
        <v>2</v>
      </c>
      <c r="AT399" s="205">
        <v>410</v>
      </c>
      <c r="AU399" s="205">
        <v>99.51</v>
      </c>
      <c r="AX399" s="215">
        <v>45285</v>
      </c>
      <c r="AY399" s="205">
        <v>426</v>
      </c>
      <c r="AZ399" s="205">
        <v>8</v>
      </c>
      <c r="BA399" s="205">
        <v>434</v>
      </c>
      <c r="BB399" s="205">
        <v>98.16</v>
      </c>
      <c r="BE399" s="215">
        <v>45285</v>
      </c>
      <c r="BF399" s="194">
        <v>7629</v>
      </c>
      <c r="BG399" s="194">
        <v>690</v>
      </c>
      <c r="BH399" s="194">
        <v>8319</v>
      </c>
      <c r="BI399" s="194">
        <v>91.71</v>
      </c>
      <c r="BL399" s="215">
        <v>45285</v>
      </c>
      <c r="BM399" s="194">
        <v>7287</v>
      </c>
      <c r="BN399" s="194">
        <v>0</v>
      </c>
      <c r="BO399" s="194">
        <v>7287</v>
      </c>
      <c r="BP399" s="194">
        <v>100</v>
      </c>
      <c r="BS399" s="215">
        <v>45285</v>
      </c>
      <c r="BT399" s="205">
        <v>11609</v>
      </c>
      <c r="BU399" s="205">
        <v>0</v>
      </c>
      <c r="BV399" s="205">
        <v>11609</v>
      </c>
      <c r="BW399" s="205">
        <v>100</v>
      </c>
      <c r="BZ399" s="215">
        <v>45285</v>
      </c>
      <c r="CA399" s="48">
        <v>32324134</v>
      </c>
      <c r="CB399" s="48">
        <v>1924196</v>
      </c>
      <c r="CC399" s="71">
        <f t="shared" si="111"/>
        <v>16.798774137353991</v>
      </c>
      <c r="CE399" s="113">
        <v>45285</v>
      </c>
      <c r="CF399">
        <v>10839290</v>
      </c>
      <c r="CG399">
        <v>58717</v>
      </c>
      <c r="CH399">
        <v>10898007</v>
      </c>
      <c r="CI399" s="46">
        <f t="shared" si="109"/>
        <v>99.461213412690952</v>
      </c>
      <c r="CJ399" s="71">
        <f t="shared" si="108"/>
        <v>10.898007</v>
      </c>
      <c r="CL399" s="140">
        <v>45217</v>
      </c>
      <c r="CM399" s="252" t="s">
        <v>251</v>
      </c>
      <c r="CN399">
        <v>4172</v>
      </c>
      <c r="CO399">
        <v>539</v>
      </c>
    </row>
    <row r="400" spans="1:93" ht="15.75" hidden="1" x14ac:dyDescent="0.25">
      <c r="A400" s="215">
        <v>45286</v>
      </c>
      <c r="B400" s="104">
        <v>6365882</v>
      </c>
      <c r="C400" s="104">
        <v>33763</v>
      </c>
      <c r="D400" s="104">
        <v>6399645</v>
      </c>
      <c r="E400" s="104">
        <v>99.47</v>
      </c>
      <c r="F400" s="71">
        <f t="shared" si="105"/>
        <v>6.3996449999999996</v>
      </c>
      <c r="H400" s="215">
        <v>45286</v>
      </c>
      <c r="I400" s="101">
        <v>1678736</v>
      </c>
      <c r="J400" s="101">
        <v>1526</v>
      </c>
      <c r="K400" s="101">
        <v>1680262</v>
      </c>
      <c r="L400" s="101">
        <v>99.91</v>
      </c>
      <c r="M400" s="71">
        <f t="shared" si="113"/>
        <v>1.6802619999999999</v>
      </c>
      <c r="O400" s="215">
        <v>45286</v>
      </c>
      <c r="P400" s="101">
        <v>427524</v>
      </c>
      <c r="Q400" s="101">
        <v>0</v>
      </c>
      <c r="R400" s="101">
        <v>427524</v>
      </c>
      <c r="S400" s="101">
        <v>100</v>
      </c>
      <c r="T400" s="71">
        <f t="shared" si="107"/>
        <v>0.42752400000000002</v>
      </c>
      <c r="V400" s="215">
        <v>45286</v>
      </c>
      <c r="W400" s="101">
        <v>1120031</v>
      </c>
      <c r="X400" s="101">
        <v>148</v>
      </c>
      <c r="Y400" s="101">
        <v>1120179</v>
      </c>
      <c r="Z400" s="101">
        <v>99.99</v>
      </c>
      <c r="AA400" s="71">
        <f t="shared" si="110"/>
        <v>1.120179</v>
      </c>
      <c r="AC400" s="215">
        <v>45286</v>
      </c>
      <c r="AD400" s="101">
        <v>825742</v>
      </c>
      <c r="AE400" s="101">
        <v>3352</v>
      </c>
      <c r="AF400" s="101">
        <v>829094</v>
      </c>
      <c r="AG400" s="101">
        <v>99.6</v>
      </c>
      <c r="AH400" s="255">
        <f t="shared" si="112"/>
        <v>0.829094</v>
      </c>
      <c r="AJ400" s="215">
        <v>45286</v>
      </c>
      <c r="AK400" s="48">
        <v>0</v>
      </c>
      <c r="AL400" s="48">
        <v>13</v>
      </c>
      <c r="AM400" s="48">
        <v>13</v>
      </c>
      <c r="AN400" s="48">
        <v>0</v>
      </c>
      <c r="AQ400" s="215">
        <v>45286</v>
      </c>
      <c r="AR400" s="205">
        <v>438</v>
      </c>
      <c r="AS400" s="205">
        <v>0</v>
      </c>
      <c r="AT400" s="205">
        <v>438</v>
      </c>
      <c r="AU400" s="205">
        <v>100</v>
      </c>
      <c r="AX400" s="215">
        <v>45286</v>
      </c>
      <c r="AY400" s="205">
        <v>1758</v>
      </c>
      <c r="AZ400" s="205">
        <v>16</v>
      </c>
      <c r="BA400" s="205">
        <v>1774</v>
      </c>
      <c r="BB400" s="205">
        <v>99.1</v>
      </c>
      <c r="BE400" s="215">
        <v>45286</v>
      </c>
      <c r="BF400" s="194">
        <v>10137</v>
      </c>
      <c r="BG400" s="194">
        <v>803</v>
      </c>
      <c r="BH400" s="194">
        <v>10940</v>
      </c>
      <c r="BI400" s="194">
        <v>92.66</v>
      </c>
      <c r="BL400" s="215">
        <v>45286</v>
      </c>
      <c r="BM400" s="194">
        <v>9191</v>
      </c>
      <c r="BN400" s="194">
        <v>0</v>
      </c>
      <c r="BO400" s="194">
        <v>9191</v>
      </c>
      <c r="BP400" s="194">
        <v>100</v>
      </c>
      <c r="BS400" s="215">
        <v>45286</v>
      </c>
      <c r="BT400" s="205">
        <v>21685</v>
      </c>
      <c r="BU400" s="205">
        <v>0</v>
      </c>
      <c r="BV400" s="205">
        <v>21685</v>
      </c>
      <c r="BW400" s="205">
        <v>100</v>
      </c>
      <c r="BZ400" s="215">
        <v>45286</v>
      </c>
      <c r="CA400" s="48">
        <v>26961120</v>
      </c>
      <c r="CB400" s="48">
        <v>1746806</v>
      </c>
      <c r="CC400" s="71">
        <f t="shared" si="111"/>
        <v>15.434524497854943</v>
      </c>
      <c r="CE400" s="113">
        <v>45286</v>
      </c>
      <c r="CF400">
        <v>12559127</v>
      </c>
      <c r="CG400">
        <v>47152</v>
      </c>
      <c r="CH400">
        <v>12606279</v>
      </c>
      <c r="CI400" s="46">
        <f t="shared" si="109"/>
        <v>99.62596417229858</v>
      </c>
      <c r="CJ400" s="71">
        <f t="shared" si="108"/>
        <v>12.606279000000001</v>
      </c>
      <c r="CL400" s="140">
        <v>45217</v>
      </c>
      <c r="CM400" t="s">
        <v>237</v>
      </c>
      <c r="CN400">
        <v>2912</v>
      </c>
      <c r="CO400">
        <v>527</v>
      </c>
    </row>
    <row r="401" spans="1:93" ht="15.75" hidden="1" x14ac:dyDescent="0.25">
      <c r="A401" s="215">
        <v>45287</v>
      </c>
      <c r="B401" s="104">
        <v>6592394</v>
      </c>
      <c r="C401" s="104">
        <v>26837</v>
      </c>
      <c r="D401" s="104">
        <v>6619231</v>
      </c>
      <c r="E401" s="104">
        <v>99.59</v>
      </c>
      <c r="F401" s="71">
        <f t="shared" si="105"/>
        <v>6.6192310000000001</v>
      </c>
      <c r="H401" s="215">
        <v>45287</v>
      </c>
      <c r="I401" s="101">
        <v>1459933</v>
      </c>
      <c r="J401" s="101">
        <v>1070</v>
      </c>
      <c r="K401" s="101">
        <v>1461003</v>
      </c>
      <c r="L401" s="101">
        <v>99.93</v>
      </c>
      <c r="M401" s="71">
        <f t="shared" si="113"/>
        <v>1.4610030000000001</v>
      </c>
      <c r="O401" s="215">
        <v>45287</v>
      </c>
      <c r="P401" s="101">
        <v>421198</v>
      </c>
      <c r="Q401" s="101">
        <v>0</v>
      </c>
      <c r="R401" s="101">
        <v>421198</v>
      </c>
      <c r="S401" s="101">
        <v>100</v>
      </c>
      <c r="T401" s="71">
        <f t="shared" si="107"/>
        <v>0.42119800000000002</v>
      </c>
      <c r="V401" s="215">
        <v>45287</v>
      </c>
      <c r="W401" s="101">
        <v>1077758</v>
      </c>
      <c r="X401" s="101">
        <v>217</v>
      </c>
      <c r="Y401" s="101">
        <v>1077975</v>
      </c>
      <c r="Z401" s="101">
        <v>99.98</v>
      </c>
      <c r="AA401" s="71">
        <f t="shared" si="110"/>
        <v>1.0779749999999999</v>
      </c>
      <c r="AC401" s="215">
        <v>45287</v>
      </c>
      <c r="AD401" s="101">
        <v>1010165</v>
      </c>
      <c r="AE401" s="101">
        <v>2213</v>
      </c>
      <c r="AF401" s="101">
        <v>1012378</v>
      </c>
      <c r="AG401" s="101">
        <v>99.78</v>
      </c>
      <c r="AH401" s="255">
        <f t="shared" si="112"/>
        <v>1.012378</v>
      </c>
      <c r="AJ401" s="215">
        <v>45287</v>
      </c>
      <c r="AK401" s="48">
        <v>0</v>
      </c>
      <c r="AL401" s="48">
        <v>18</v>
      </c>
      <c r="AM401" s="48">
        <v>18</v>
      </c>
      <c r="AN401" s="48">
        <v>0</v>
      </c>
      <c r="AQ401" s="215">
        <v>45287</v>
      </c>
      <c r="AR401" s="205">
        <v>618</v>
      </c>
      <c r="AS401" s="205">
        <v>11</v>
      </c>
      <c r="AT401" s="205">
        <v>629</v>
      </c>
      <c r="AU401" s="205">
        <v>98.25</v>
      </c>
      <c r="AX401" s="215">
        <v>45287</v>
      </c>
      <c r="AY401" s="205">
        <v>2302</v>
      </c>
      <c r="AZ401" s="205">
        <v>31</v>
      </c>
      <c r="BA401" s="205">
        <v>2333</v>
      </c>
      <c r="BB401" s="205">
        <v>98.67</v>
      </c>
      <c r="BE401" s="215">
        <v>45287</v>
      </c>
      <c r="BF401" s="101">
        <v>39503</v>
      </c>
      <c r="BG401" s="101">
        <v>2020</v>
      </c>
      <c r="BH401" s="101">
        <v>41523</v>
      </c>
      <c r="BI401" s="101">
        <v>95.14</v>
      </c>
      <c r="BL401" s="215">
        <v>45287</v>
      </c>
      <c r="BM401" s="101">
        <v>4937</v>
      </c>
      <c r="BN401" s="101">
        <v>0</v>
      </c>
      <c r="BO401" s="101">
        <v>4937</v>
      </c>
      <c r="BP401" s="101">
        <v>100</v>
      </c>
      <c r="BS401" s="215">
        <v>45287</v>
      </c>
      <c r="BT401" s="104">
        <v>30458</v>
      </c>
      <c r="BU401" s="104">
        <v>14</v>
      </c>
      <c r="BV401" s="104">
        <v>30472</v>
      </c>
      <c r="BW401" s="104">
        <v>99.95</v>
      </c>
      <c r="BZ401" s="215">
        <v>45287</v>
      </c>
      <c r="CA401" s="48">
        <v>622475</v>
      </c>
      <c r="CB401" s="48">
        <v>67621</v>
      </c>
      <c r="CC401" s="71">
        <f t="shared" si="111"/>
        <v>9.2053504088966438</v>
      </c>
      <c r="CE401" s="113">
        <v>45287</v>
      </c>
      <c r="CF401">
        <v>12639110</v>
      </c>
      <c r="CG401">
        <v>41536</v>
      </c>
      <c r="CH401">
        <v>12680646</v>
      </c>
      <c r="CI401" s="46">
        <f t="shared" si="109"/>
        <v>99.67244570978481</v>
      </c>
      <c r="CJ401" s="71">
        <f t="shared" si="108"/>
        <v>12.680645999999999</v>
      </c>
      <c r="CL401" s="140">
        <v>45217</v>
      </c>
      <c r="CM401" t="s">
        <v>238</v>
      </c>
      <c r="CN401">
        <v>2776</v>
      </c>
      <c r="CO401">
        <v>503</v>
      </c>
    </row>
    <row r="402" spans="1:93" ht="15.75" hidden="1" x14ac:dyDescent="0.25">
      <c r="A402" s="215">
        <v>45288</v>
      </c>
      <c r="B402" s="104">
        <v>7259758</v>
      </c>
      <c r="C402" s="104">
        <v>25194</v>
      </c>
      <c r="D402" s="104">
        <v>7284952</v>
      </c>
      <c r="E402" s="104">
        <v>99.65</v>
      </c>
      <c r="F402" s="71">
        <f t="shared" si="105"/>
        <v>7.2849519999999997</v>
      </c>
      <c r="H402" s="215">
        <v>45288</v>
      </c>
      <c r="I402" s="101">
        <v>1640753</v>
      </c>
      <c r="J402" s="101">
        <v>1333</v>
      </c>
      <c r="K402" s="101">
        <v>1642086</v>
      </c>
      <c r="L402" s="101">
        <v>99.92</v>
      </c>
      <c r="M402" s="71">
        <f t="shared" si="113"/>
        <v>1.6420859999999999</v>
      </c>
      <c r="O402" s="215">
        <v>45288</v>
      </c>
      <c r="P402" s="101">
        <v>487496</v>
      </c>
      <c r="Q402" s="101">
        <v>0</v>
      </c>
      <c r="R402" s="101">
        <v>487496</v>
      </c>
      <c r="S402" s="101">
        <v>100</v>
      </c>
      <c r="T402" s="71">
        <f t="shared" si="107"/>
        <v>0.48749599999999998</v>
      </c>
      <c r="V402" s="215">
        <v>45288</v>
      </c>
      <c r="W402" s="101">
        <v>1159274</v>
      </c>
      <c r="X402" s="101">
        <v>229</v>
      </c>
      <c r="Y402" s="101">
        <v>1159503</v>
      </c>
      <c r="Z402" s="101">
        <v>99.98</v>
      </c>
      <c r="AA402" s="71">
        <f t="shared" si="110"/>
        <v>1.159503</v>
      </c>
      <c r="AC402" s="215">
        <v>45288</v>
      </c>
      <c r="AD402" s="101">
        <v>1050058</v>
      </c>
      <c r="AE402" s="101">
        <v>1116</v>
      </c>
      <c r="AF402" s="101">
        <v>1051174</v>
      </c>
      <c r="AG402" s="101">
        <v>99.89</v>
      </c>
      <c r="AH402" s="255">
        <f t="shared" si="112"/>
        <v>1.0511740000000001</v>
      </c>
      <c r="AJ402" s="215">
        <v>45288</v>
      </c>
      <c r="AK402" s="48">
        <v>0</v>
      </c>
      <c r="AL402" s="48">
        <v>19</v>
      </c>
      <c r="AM402" s="48">
        <v>19</v>
      </c>
      <c r="AN402" s="48">
        <v>0</v>
      </c>
      <c r="AQ402" s="215">
        <v>45288</v>
      </c>
      <c r="AR402" s="205">
        <v>745</v>
      </c>
      <c r="AS402" s="205">
        <v>4</v>
      </c>
      <c r="AT402" s="205">
        <v>749</v>
      </c>
      <c r="AU402" s="205">
        <v>99.47</v>
      </c>
      <c r="AX402" s="215">
        <v>45288</v>
      </c>
      <c r="AY402" s="104">
        <v>2571</v>
      </c>
      <c r="AZ402" s="104">
        <v>23</v>
      </c>
      <c r="BA402" s="104">
        <v>2594</v>
      </c>
      <c r="BB402" s="104">
        <v>99.11</v>
      </c>
      <c r="BE402" s="215">
        <v>45288</v>
      </c>
      <c r="BF402" s="101">
        <v>11899</v>
      </c>
      <c r="BG402" s="101">
        <v>853</v>
      </c>
      <c r="BH402" s="101">
        <v>12752</v>
      </c>
      <c r="BI402" s="101">
        <v>93.31</v>
      </c>
      <c r="BL402" s="215">
        <v>45288</v>
      </c>
      <c r="BM402" s="101">
        <v>10929</v>
      </c>
      <c r="BN402" s="101">
        <v>0</v>
      </c>
      <c r="BO402" s="101">
        <v>10929</v>
      </c>
      <c r="BP402" s="101">
        <v>100</v>
      </c>
      <c r="BS402" s="215">
        <v>45288</v>
      </c>
      <c r="BT402" s="104">
        <v>20310</v>
      </c>
      <c r="BU402" s="104">
        <v>0</v>
      </c>
      <c r="BV402" s="104">
        <v>20310</v>
      </c>
      <c r="BW402" s="104">
        <v>100</v>
      </c>
      <c r="BZ402" s="215">
        <v>45288</v>
      </c>
      <c r="CA402" s="48">
        <v>33150928</v>
      </c>
      <c r="CB402" s="48">
        <v>1989030</v>
      </c>
      <c r="CC402" s="71">
        <f t="shared" si="111"/>
        <v>16.666881846930412</v>
      </c>
      <c r="CE402" s="215">
        <v>45288</v>
      </c>
      <c r="CF402" s="101">
        <v>13839153</v>
      </c>
      <c r="CG402" s="101">
        <v>39416</v>
      </c>
      <c r="CH402" s="101">
        <v>13878569</v>
      </c>
      <c r="CI402" s="101">
        <v>99.72</v>
      </c>
      <c r="CJ402" s="71">
        <f t="shared" si="108"/>
        <v>13.878569000000001</v>
      </c>
      <c r="CL402" s="140">
        <v>45217</v>
      </c>
      <c r="CM402" t="s">
        <v>240</v>
      </c>
      <c r="CN402">
        <v>1980</v>
      </c>
      <c r="CO402">
        <v>516</v>
      </c>
    </row>
    <row r="403" spans="1:93" ht="15.75" hidden="1" x14ac:dyDescent="0.25">
      <c r="A403" s="215">
        <v>45289</v>
      </c>
      <c r="B403" s="104">
        <v>8687117</v>
      </c>
      <c r="C403" s="104">
        <v>56708</v>
      </c>
      <c r="D403" s="104">
        <v>8743825</v>
      </c>
      <c r="E403" s="104">
        <v>99.35</v>
      </c>
      <c r="F403" s="71">
        <f t="shared" si="105"/>
        <v>8.7438249999999993</v>
      </c>
      <c r="H403" s="113">
        <v>45289</v>
      </c>
      <c r="I403" s="101">
        <v>1845510</v>
      </c>
      <c r="J403" s="101">
        <v>1632</v>
      </c>
      <c r="K403" s="101">
        <v>1847142</v>
      </c>
      <c r="L403" s="101">
        <v>99.91</v>
      </c>
      <c r="M403" s="71">
        <f t="shared" si="113"/>
        <v>1.8471420000000001</v>
      </c>
      <c r="O403" s="113">
        <v>45289</v>
      </c>
      <c r="P403" s="101">
        <v>534961</v>
      </c>
      <c r="Q403" s="101">
        <v>22</v>
      </c>
      <c r="R403" s="101">
        <v>534983</v>
      </c>
      <c r="S403" s="101">
        <v>100</v>
      </c>
      <c r="T403" s="71">
        <f t="shared" si="107"/>
        <v>0.53498299999999999</v>
      </c>
      <c r="V403" s="113">
        <v>45289</v>
      </c>
      <c r="W403" s="101">
        <v>1364658</v>
      </c>
      <c r="X403" s="101">
        <v>225</v>
      </c>
      <c r="Y403" s="101">
        <v>1364883</v>
      </c>
      <c r="Z403" s="101">
        <v>99.98</v>
      </c>
      <c r="AA403" s="71">
        <f t="shared" si="110"/>
        <v>1.3648830000000001</v>
      </c>
      <c r="AC403" s="113">
        <v>45289</v>
      </c>
      <c r="AD403" s="101">
        <v>1042964</v>
      </c>
      <c r="AE403" s="101">
        <v>2465</v>
      </c>
      <c r="AF403" s="101">
        <v>1045429</v>
      </c>
      <c r="AG403" s="101">
        <v>99.76</v>
      </c>
      <c r="AH403" s="255">
        <f t="shared" si="112"/>
        <v>1.0454289999999999</v>
      </c>
      <c r="AJ403" s="215">
        <v>45289</v>
      </c>
      <c r="AK403" s="48">
        <v>0</v>
      </c>
      <c r="AL403" s="48">
        <v>78</v>
      </c>
      <c r="AM403" s="48">
        <v>78</v>
      </c>
      <c r="AN403" s="48">
        <v>0</v>
      </c>
      <c r="AQ403" s="215">
        <v>45289</v>
      </c>
      <c r="AR403" s="48">
        <v>612</v>
      </c>
      <c r="AS403" s="205">
        <v>0</v>
      </c>
      <c r="AT403" s="48">
        <v>612</v>
      </c>
      <c r="AU403" s="205">
        <v>100</v>
      </c>
      <c r="AX403" s="215">
        <v>45289</v>
      </c>
      <c r="AY403" s="205">
        <v>2161</v>
      </c>
      <c r="AZ403" s="205">
        <v>70</v>
      </c>
      <c r="BA403" s="205">
        <v>2231</v>
      </c>
      <c r="BB403" s="205">
        <v>96.8</v>
      </c>
      <c r="BE403" s="215">
        <v>45289</v>
      </c>
      <c r="BF403" s="101">
        <v>11764</v>
      </c>
      <c r="BG403" s="101">
        <v>933</v>
      </c>
      <c r="BH403" s="101">
        <v>12697</v>
      </c>
      <c r="BI403" s="101">
        <v>92.65</v>
      </c>
      <c r="BL403" s="215">
        <v>45289</v>
      </c>
      <c r="BM403" s="101">
        <v>4975</v>
      </c>
      <c r="BN403" s="101">
        <v>0</v>
      </c>
      <c r="BO403" s="101">
        <v>4975</v>
      </c>
      <c r="BP403" s="101">
        <v>100</v>
      </c>
      <c r="BS403" s="215">
        <v>45289</v>
      </c>
      <c r="BT403" s="104">
        <v>24855</v>
      </c>
      <c r="BU403" s="104">
        <v>4</v>
      </c>
      <c r="BV403" s="104">
        <v>24859</v>
      </c>
      <c r="BW403" s="104">
        <v>99.98</v>
      </c>
      <c r="BZ403" s="215">
        <v>45289</v>
      </c>
      <c r="CA403" s="48">
        <v>37500663</v>
      </c>
      <c r="CB403" s="48">
        <v>2163096</v>
      </c>
      <c r="CC403" s="71">
        <f t="shared" si="111"/>
        <v>17.336568973360407</v>
      </c>
      <c r="CE403" s="215">
        <v>45289</v>
      </c>
      <c r="CF403" s="101">
        <v>16110715</v>
      </c>
      <c r="CG403" s="101">
        <v>74174</v>
      </c>
      <c r="CH403" s="101">
        <v>16184889</v>
      </c>
      <c r="CI403" s="101">
        <v>99.54</v>
      </c>
      <c r="CJ403" s="71">
        <f t="shared" si="108"/>
        <v>16.184888999999998</v>
      </c>
      <c r="CL403" s="140">
        <v>45217</v>
      </c>
      <c r="CM403" s="252" t="s">
        <v>239</v>
      </c>
      <c r="CN403">
        <v>662</v>
      </c>
      <c r="CO403">
        <v>504</v>
      </c>
    </row>
    <row r="404" spans="1:93" ht="15.75" hidden="1" x14ac:dyDescent="0.25">
      <c r="A404" s="215">
        <v>45290</v>
      </c>
      <c r="B404" s="104">
        <v>6819727</v>
      </c>
      <c r="C404" s="104">
        <v>62163</v>
      </c>
      <c r="D404" s="104">
        <v>6881890</v>
      </c>
      <c r="E404" s="104">
        <v>99.1</v>
      </c>
      <c r="F404" s="71">
        <f t="shared" ref="F404:F467" si="114">D404/1000000</f>
        <v>6.8818900000000003</v>
      </c>
      <c r="H404" s="113">
        <v>45290</v>
      </c>
      <c r="I404" s="101">
        <v>1332579</v>
      </c>
      <c r="J404" s="101">
        <v>1009</v>
      </c>
      <c r="K404" s="101">
        <v>1333588</v>
      </c>
      <c r="L404" s="101">
        <v>99.92</v>
      </c>
      <c r="M404" s="71">
        <f t="shared" si="113"/>
        <v>1.333588</v>
      </c>
      <c r="O404" s="113">
        <v>45290</v>
      </c>
      <c r="P404" s="101">
        <v>386177</v>
      </c>
      <c r="Q404" s="101">
        <v>78</v>
      </c>
      <c r="R404" s="101">
        <v>386255</v>
      </c>
      <c r="S404" s="101">
        <v>99.98</v>
      </c>
      <c r="T404" s="71">
        <f t="shared" si="107"/>
        <v>0.38625500000000001</v>
      </c>
      <c r="V404" s="113">
        <v>45290</v>
      </c>
      <c r="W404" s="101">
        <v>1044078</v>
      </c>
      <c r="X404" s="101">
        <v>198</v>
      </c>
      <c r="Y404" s="101">
        <v>1044276</v>
      </c>
      <c r="Z404" s="101">
        <v>99.98</v>
      </c>
      <c r="AA404" s="71">
        <f t="shared" si="110"/>
        <v>1.044276</v>
      </c>
      <c r="AC404" s="113">
        <v>45290</v>
      </c>
      <c r="AD404" s="101">
        <v>852861</v>
      </c>
      <c r="AE404" s="101">
        <v>20048</v>
      </c>
      <c r="AF404" s="101">
        <v>872909</v>
      </c>
      <c r="AG404" s="101">
        <v>97.7</v>
      </c>
      <c r="AH404" s="255">
        <f t="shared" si="112"/>
        <v>0.87290900000000005</v>
      </c>
      <c r="AJ404" s="215">
        <v>45290</v>
      </c>
      <c r="AK404" s="48">
        <v>0</v>
      </c>
      <c r="AL404" s="48">
        <v>12</v>
      </c>
      <c r="AM404" s="48">
        <v>12</v>
      </c>
      <c r="AN404" s="48">
        <v>0</v>
      </c>
      <c r="AQ404" s="215">
        <v>45290</v>
      </c>
      <c r="AR404" s="48">
        <v>355</v>
      </c>
      <c r="AS404" s="205">
        <v>0</v>
      </c>
      <c r="AT404" s="48">
        <v>355</v>
      </c>
      <c r="AU404" s="205">
        <v>100</v>
      </c>
      <c r="AX404" s="215">
        <v>45290</v>
      </c>
      <c r="AY404" s="205">
        <v>1070</v>
      </c>
      <c r="AZ404" s="205">
        <v>22</v>
      </c>
      <c r="BA404" s="205">
        <v>1092</v>
      </c>
      <c r="BB404" s="205">
        <v>97.99</v>
      </c>
      <c r="BE404" s="215">
        <v>45290</v>
      </c>
      <c r="BF404" s="101">
        <v>7467</v>
      </c>
      <c r="BG404" s="101">
        <v>543</v>
      </c>
      <c r="BH404" s="101">
        <v>8010</v>
      </c>
      <c r="BI404" s="101">
        <v>93.22</v>
      </c>
      <c r="BL404" s="215">
        <v>45290</v>
      </c>
      <c r="BM404" s="101">
        <v>4115</v>
      </c>
      <c r="BN404" s="101">
        <v>0</v>
      </c>
      <c r="BO404" s="101">
        <v>4115</v>
      </c>
      <c r="BP404" s="101">
        <v>100</v>
      </c>
      <c r="BS404" s="215">
        <v>45290</v>
      </c>
      <c r="BT404" s="104">
        <v>26970</v>
      </c>
      <c r="BU404" s="104">
        <v>13</v>
      </c>
      <c r="BV404" s="104">
        <v>26983</v>
      </c>
      <c r="BW404" s="104">
        <v>99.95</v>
      </c>
      <c r="BZ404" s="215">
        <v>45290</v>
      </c>
      <c r="CA404" s="48">
        <v>38440106</v>
      </c>
      <c r="CB404" s="48">
        <v>2153260</v>
      </c>
      <c r="CC404" s="71">
        <f t="shared" si="111"/>
        <v>17.852050379424686</v>
      </c>
      <c r="CE404" s="215">
        <v>45290</v>
      </c>
      <c r="CF404" s="101">
        <v>12283156</v>
      </c>
      <c r="CG404" s="101">
        <v>99439</v>
      </c>
      <c r="CH404" s="101">
        <v>12382595</v>
      </c>
      <c r="CI404" s="101">
        <v>99.2</v>
      </c>
      <c r="CJ404" s="71">
        <f t="shared" si="108"/>
        <v>12.382595</v>
      </c>
    </row>
    <row r="405" spans="1:93" ht="15.75" hidden="1" x14ac:dyDescent="0.25">
      <c r="A405" s="215">
        <v>45291</v>
      </c>
      <c r="B405" s="104">
        <v>6900326</v>
      </c>
      <c r="C405" s="104">
        <v>80047</v>
      </c>
      <c r="D405" s="104">
        <v>6980373</v>
      </c>
      <c r="E405" s="104">
        <v>98.85</v>
      </c>
      <c r="F405" s="71">
        <f t="shared" si="114"/>
        <v>6.9803730000000002</v>
      </c>
      <c r="H405" s="113">
        <v>45291</v>
      </c>
      <c r="I405" s="101">
        <v>1431083</v>
      </c>
      <c r="J405" s="101">
        <v>1047</v>
      </c>
      <c r="K405" s="101">
        <v>1432130</v>
      </c>
      <c r="L405" s="101">
        <v>99.93</v>
      </c>
      <c r="M405" s="71">
        <f t="shared" si="113"/>
        <v>1.4321299999999999</v>
      </c>
      <c r="O405" s="113">
        <v>45291</v>
      </c>
      <c r="P405" s="101">
        <v>403206</v>
      </c>
      <c r="Q405" s="101">
        <v>30</v>
      </c>
      <c r="R405" s="101">
        <v>403236</v>
      </c>
      <c r="S405" s="101">
        <v>99.99</v>
      </c>
      <c r="T405" s="71">
        <f t="shared" si="107"/>
        <v>0.40323599999999998</v>
      </c>
      <c r="V405" s="113">
        <v>45291</v>
      </c>
      <c r="W405" s="101">
        <v>1236046</v>
      </c>
      <c r="X405" s="101">
        <v>215</v>
      </c>
      <c r="Y405" s="101">
        <v>1236261</v>
      </c>
      <c r="Z405" s="101">
        <v>99.98</v>
      </c>
      <c r="AA405" s="71">
        <f t="shared" si="110"/>
        <v>1.2362610000000001</v>
      </c>
      <c r="AC405" s="113">
        <v>45291</v>
      </c>
      <c r="AD405" s="101">
        <v>953296</v>
      </c>
      <c r="AE405" s="101">
        <v>5382</v>
      </c>
      <c r="AF405" s="101">
        <v>958678</v>
      </c>
      <c r="AG405" s="101">
        <v>99.44</v>
      </c>
      <c r="AH405" s="255">
        <f t="shared" si="112"/>
        <v>0.95867800000000003</v>
      </c>
      <c r="AJ405" s="215">
        <v>45291</v>
      </c>
      <c r="AK405" s="48">
        <v>0</v>
      </c>
      <c r="AL405" s="48">
        <v>6</v>
      </c>
      <c r="AM405" s="48">
        <v>6</v>
      </c>
      <c r="AN405" s="48">
        <v>0</v>
      </c>
      <c r="AQ405" s="215">
        <v>45291</v>
      </c>
      <c r="AR405" s="48">
        <v>353</v>
      </c>
      <c r="AS405" s="205">
        <v>0</v>
      </c>
      <c r="AT405" s="48">
        <v>353</v>
      </c>
      <c r="AU405" s="205">
        <v>100</v>
      </c>
      <c r="AX405" s="215">
        <v>45291</v>
      </c>
      <c r="AY405" s="48">
        <v>408</v>
      </c>
      <c r="AZ405" s="48">
        <v>162</v>
      </c>
      <c r="BA405" s="48">
        <v>570</v>
      </c>
      <c r="BB405" s="48">
        <v>71.58</v>
      </c>
      <c r="BE405" s="215">
        <v>45291</v>
      </c>
      <c r="BF405" s="101">
        <v>7590</v>
      </c>
      <c r="BG405" s="101">
        <v>504</v>
      </c>
      <c r="BH405" s="101">
        <v>8094</v>
      </c>
      <c r="BI405" s="101">
        <v>93.77</v>
      </c>
      <c r="BL405" s="215">
        <v>45291</v>
      </c>
      <c r="BM405" s="101">
        <v>2300</v>
      </c>
      <c r="BN405" s="101">
        <v>0</v>
      </c>
      <c r="BO405" s="101">
        <v>2300</v>
      </c>
      <c r="BP405" s="101">
        <v>100</v>
      </c>
      <c r="BS405" s="215">
        <v>45291</v>
      </c>
      <c r="BT405" s="104">
        <v>13717</v>
      </c>
      <c r="BU405" s="104">
        <v>8</v>
      </c>
      <c r="BV405" s="104">
        <v>13725</v>
      </c>
      <c r="BW405" s="104">
        <v>99.94</v>
      </c>
      <c r="BZ405" s="215">
        <v>45291</v>
      </c>
      <c r="CA405" s="48">
        <v>37435520</v>
      </c>
      <c r="CB405" s="48">
        <v>2052141</v>
      </c>
      <c r="CC405" s="71">
        <f t="shared" si="111"/>
        <v>18.242177316276027</v>
      </c>
      <c r="CE405" s="215">
        <v>45291</v>
      </c>
      <c r="CF405" s="101">
        <v>12771427</v>
      </c>
      <c r="CG405" s="101">
        <v>103595</v>
      </c>
      <c r="CH405" s="101">
        <v>12875022</v>
      </c>
      <c r="CI405" s="101">
        <v>99.2</v>
      </c>
      <c r="CJ405" s="71">
        <f t="shared" si="108"/>
        <v>12.875022</v>
      </c>
      <c r="CL405" s="140">
        <v>45218</v>
      </c>
      <c r="CM405" s="252" t="s">
        <v>251</v>
      </c>
      <c r="CN405">
        <v>3808</v>
      </c>
      <c r="CO405">
        <v>539</v>
      </c>
    </row>
    <row r="406" spans="1:93" hidden="1" x14ac:dyDescent="0.25">
      <c r="A406" s="215">
        <v>45292</v>
      </c>
      <c r="B406" s="104">
        <v>5247764</v>
      </c>
      <c r="C406" s="104">
        <v>4365</v>
      </c>
      <c r="D406" s="104">
        <v>5252129</v>
      </c>
      <c r="E406" s="104">
        <v>99.92</v>
      </c>
      <c r="F406" s="71">
        <f t="shared" si="114"/>
        <v>5.252129</v>
      </c>
      <c r="H406" s="113">
        <v>45292</v>
      </c>
      <c r="I406" s="101">
        <v>1655658</v>
      </c>
      <c r="J406" s="101">
        <v>1189</v>
      </c>
      <c r="K406" s="101">
        <v>1656847</v>
      </c>
      <c r="L406" s="101">
        <v>99.93</v>
      </c>
      <c r="M406" s="71">
        <f t="shared" si="113"/>
        <v>1.656847</v>
      </c>
      <c r="O406" s="113">
        <v>45292</v>
      </c>
      <c r="P406" s="101">
        <v>491711</v>
      </c>
      <c r="Q406" s="101">
        <v>8</v>
      </c>
      <c r="R406" s="101">
        <v>491719</v>
      </c>
      <c r="S406" s="101">
        <v>100</v>
      </c>
      <c r="T406" s="71">
        <f t="shared" si="107"/>
        <v>0.49171900000000002</v>
      </c>
      <c r="V406" s="113">
        <v>45292</v>
      </c>
      <c r="W406" s="101">
        <v>1179283</v>
      </c>
      <c r="X406" s="101">
        <v>202</v>
      </c>
      <c r="Y406" s="101">
        <v>1179485</v>
      </c>
      <c r="Z406" s="101">
        <v>99.98</v>
      </c>
      <c r="AA406" s="71">
        <f t="shared" si="110"/>
        <v>1.1794849999999999</v>
      </c>
      <c r="AC406" s="113">
        <v>45292</v>
      </c>
      <c r="AD406" s="101">
        <v>780505</v>
      </c>
      <c r="AE406" s="101">
        <v>89</v>
      </c>
      <c r="AF406" s="101">
        <v>780594</v>
      </c>
      <c r="AG406" s="101">
        <v>99.99</v>
      </c>
      <c r="AH406" s="255">
        <f t="shared" si="112"/>
        <v>0.78059400000000001</v>
      </c>
      <c r="AJ406" s="215">
        <v>45292</v>
      </c>
      <c r="AK406" s="48">
        <v>0</v>
      </c>
      <c r="AL406" s="48">
        <v>12</v>
      </c>
      <c r="AM406" s="48">
        <v>12</v>
      </c>
      <c r="AN406" s="48">
        <v>0</v>
      </c>
      <c r="AQ406" s="215">
        <v>45292</v>
      </c>
      <c r="AR406" s="48">
        <v>258</v>
      </c>
      <c r="AS406" s="48">
        <v>2</v>
      </c>
      <c r="AT406" s="48">
        <v>260</v>
      </c>
      <c r="AU406" s="48">
        <v>99.23</v>
      </c>
      <c r="AX406" s="215">
        <v>45292</v>
      </c>
      <c r="AY406" s="48">
        <v>419</v>
      </c>
      <c r="AZ406" s="48">
        <v>28</v>
      </c>
      <c r="BA406" s="48">
        <v>447</v>
      </c>
      <c r="BB406" s="48">
        <v>93.74</v>
      </c>
      <c r="BE406" s="215">
        <v>45292</v>
      </c>
      <c r="BF406" s="101">
        <v>6515</v>
      </c>
      <c r="BG406" s="101">
        <v>442</v>
      </c>
      <c r="BH406" s="101">
        <v>6957</v>
      </c>
      <c r="BI406" s="101">
        <v>93.65</v>
      </c>
      <c r="BL406" s="215">
        <v>45292</v>
      </c>
      <c r="BM406" s="101">
        <v>3555</v>
      </c>
      <c r="BN406" s="101">
        <v>0</v>
      </c>
      <c r="BO406" s="101">
        <v>3555</v>
      </c>
      <c r="BP406" s="101">
        <v>100</v>
      </c>
      <c r="BS406" s="215">
        <v>45292</v>
      </c>
      <c r="BT406" s="104">
        <v>15165</v>
      </c>
      <c r="BU406" s="104">
        <v>2</v>
      </c>
      <c r="BV406" s="104">
        <v>15167</v>
      </c>
      <c r="BW406" s="104">
        <v>99.99</v>
      </c>
      <c r="BZ406" s="215">
        <v>45292</v>
      </c>
      <c r="CA406" s="48">
        <v>29896342</v>
      </c>
      <c r="CB406" s="48">
        <v>1836779</v>
      </c>
      <c r="CC406" s="71">
        <f t="shared" si="111"/>
        <v>16.276504685648082</v>
      </c>
      <c r="CE406" s="215">
        <v>45292</v>
      </c>
      <c r="CF406" s="103">
        <v>11408039</v>
      </c>
      <c r="CG406" s="101">
        <v>24077</v>
      </c>
      <c r="CH406" s="101">
        <v>11432116</v>
      </c>
      <c r="CI406" s="101">
        <v>99.79</v>
      </c>
      <c r="CJ406" s="71">
        <f t="shared" si="108"/>
        <v>11.432116000000001</v>
      </c>
      <c r="CL406" s="140">
        <v>45218</v>
      </c>
      <c r="CM406" t="s">
        <v>237</v>
      </c>
      <c r="CN406">
        <v>2568</v>
      </c>
      <c r="CO406">
        <v>527</v>
      </c>
    </row>
    <row r="407" spans="1:93" hidden="1" x14ac:dyDescent="0.25">
      <c r="A407" s="215">
        <v>45293</v>
      </c>
      <c r="B407" s="104">
        <v>5865913</v>
      </c>
      <c r="C407" s="104">
        <v>3248</v>
      </c>
      <c r="D407" s="104">
        <v>5869161</v>
      </c>
      <c r="E407" s="104">
        <v>99.94</v>
      </c>
      <c r="F407" s="71">
        <f t="shared" si="114"/>
        <v>5.8691610000000001</v>
      </c>
      <c r="H407" s="113">
        <v>45293</v>
      </c>
      <c r="I407" s="101">
        <v>1627977</v>
      </c>
      <c r="J407" s="101">
        <v>1273</v>
      </c>
      <c r="K407" s="101">
        <v>1629250</v>
      </c>
      <c r="L407" s="101">
        <v>99.92</v>
      </c>
      <c r="M407" s="71">
        <f t="shared" si="113"/>
        <v>1.6292500000000001</v>
      </c>
      <c r="O407" s="113">
        <v>45293</v>
      </c>
      <c r="P407" s="101">
        <v>455562</v>
      </c>
      <c r="Q407" s="101">
        <v>24</v>
      </c>
      <c r="R407" s="101">
        <v>455586</v>
      </c>
      <c r="S407" s="101">
        <v>99.99</v>
      </c>
      <c r="T407" s="71">
        <f t="shared" si="107"/>
        <v>0.45558599999999999</v>
      </c>
      <c r="V407" s="113">
        <v>45293</v>
      </c>
      <c r="W407" s="101">
        <v>1140266</v>
      </c>
      <c r="X407" s="101">
        <v>194</v>
      </c>
      <c r="Y407" s="101">
        <v>1140460</v>
      </c>
      <c r="Z407" s="101">
        <v>99.98</v>
      </c>
      <c r="AA407" s="71">
        <f t="shared" si="110"/>
        <v>1.14046</v>
      </c>
      <c r="AC407" s="113">
        <v>45293</v>
      </c>
      <c r="AD407" s="101">
        <v>728072</v>
      </c>
      <c r="AE407" s="101">
        <v>596</v>
      </c>
      <c r="AF407" s="101">
        <v>728668</v>
      </c>
      <c r="AG407" s="101">
        <v>99.92</v>
      </c>
      <c r="AH407" s="255">
        <f t="shared" si="112"/>
        <v>0.72866799999999998</v>
      </c>
      <c r="AJ407" s="215">
        <v>45293</v>
      </c>
      <c r="AK407" s="48">
        <v>0</v>
      </c>
      <c r="AL407" s="48">
        <v>12</v>
      </c>
      <c r="AM407" s="48">
        <v>12</v>
      </c>
      <c r="AN407" s="48">
        <v>0</v>
      </c>
      <c r="AQ407" s="215">
        <v>45293</v>
      </c>
      <c r="AR407" s="48">
        <v>435</v>
      </c>
      <c r="AS407" s="48">
        <v>2</v>
      </c>
      <c r="AT407" s="48">
        <v>437</v>
      </c>
      <c r="AU407" s="48">
        <v>99.54</v>
      </c>
      <c r="AX407" s="215">
        <v>45293</v>
      </c>
      <c r="AY407" s="48">
        <v>1641</v>
      </c>
      <c r="AZ407" s="48">
        <v>48</v>
      </c>
      <c r="BA407" s="48">
        <v>1689</v>
      </c>
      <c r="BB407" s="48">
        <v>97.16</v>
      </c>
      <c r="BE407" s="215">
        <v>45293</v>
      </c>
      <c r="BF407" s="101">
        <v>36807</v>
      </c>
      <c r="BG407" s="101">
        <v>1826</v>
      </c>
      <c r="BH407" s="101">
        <v>38633</v>
      </c>
      <c r="BI407" s="101">
        <v>95.27</v>
      </c>
      <c r="BL407" s="215">
        <v>45293</v>
      </c>
      <c r="BM407" s="101">
        <v>3222</v>
      </c>
      <c r="BN407" s="101">
        <v>0</v>
      </c>
      <c r="BO407" s="101">
        <v>3222</v>
      </c>
      <c r="BP407" s="101">
        <v>100</v>
      </c>
      <c r="BS407" s="215">
        <v>45293</v>
      </c>
      <c r="BT407" s="104">
        <v>15013</v>
      </c>
      <c r="BU407" s="104">
        <v>9</v>
      </c>
      <c r="BV407" s="104">
        <v>15022</v>
      </c>
      <c r="BW407" s="104">
        <v>99.94</v>
      </c>
      <c r="BZ407" s="215">
        <v>45293</v>
      </c>
      <c r="CA407" s="48">
        <v>32807166</v>
      </c>
      <c r="CB407" s="48">
        <v>1998232</v>
      </c>
      <c r="CC407" s="71">
        <f t="shared" si="111"/>
        <v>16.418096597392093</v>
      </c>
      <c r="CE407" s="215">
        <v>45293</v>
      </c>
      <c r="CF407" s="103">
        <v>12000394</v>
      </c>
      <c r="CG407" s="101">
        <v>19092</v>
      </c>
      <c r="CH407" s="101">
        <v>12019486</v>
      </c>
      <c r="CI407" s="101">
        <v>99.84</v>
      </c>
      <c r="CJ407" s="71">
        <f t="shared" si="108"/>
        <v>12.019486000000001</v>
      </c>
      <c r="CL407" s="140">
        <v>45218</v>
      </c>
      <c r="CM407" t="s">
        <v>238</v>
      </c>
      <c r="CN407">
        <v>2132</v>
      </c>
      <c r="CO407">
        <v>503</v>
      </c>
    </row>
    <row r="408" spans="1:93" hidden="1" x14ac:dyDescent="0.25">
      <c r="A408" s="215">
        <v>45294</v>
      </c>
      <c r="B408" s="104">
        <v>8308992</v>
      </c>
      <c r="C408" s="104">
        <v>2633</v>
      </c>
      <c r="D408" s="104">
        <v>8311625</v>
      </c>
      <c r="E408" s="104">
        <v>99.97</v>
      </c>
      <c r="F408" s="71">
        <f t="shared" si="114"/>
        <v>8.3116249999999994</v>
      </c>
      <c r="H408" s="113">
        <v>45294</v>
      </c>
      <c r="I408" s="101">
        <v>2054232</v>
      </c>
      <c r="J408" s="101">
        <v>1927</v>
      </c>
      <c r="K408" s="101">
        <v>2056159</v>
      </c>
      <c r="L408" s="101">
        <v>99.91</v>
      </c>
      <c r="M408" s="71">
        <f t="shared" si="113"/>
        <v>2.0561590000000001</v>
      </c>
      <c r="O408" s="113">
        <v>45294</v>
      </c>
      <c r="P408" s="101">
        <v>611818</v>
      </c>
      <c r="Q408" s="101">
        <v>34</v>
      </c>
      <c r="R408" s="101">
        <v>611852</v>
      </c>
      <c r="S408" s="101">
        <v>99.99</v>
      </c>
      <c r="T408" s="71">
        <f t="shared" si="107"/>
        <v>0.61185199999999995</v>
      </c>
      <c r="V408" s="113">
        <v>45294</v>
      </c>
      <c r="W408" s="101">
        <v>1557598</v>
      </c>
      <c r="X408" s="101">
        <v>270</v>
      </c>
      <c r="Y408" s="101">
        <v>1557868</v>
      </c>
      <c r="Z408" s="101">
        <v>99.98</v>
      </c>
      <c r="AA408" s="71">
        <f t="shared" si="110"/>
        <v>1.557868</v>
      </c>
      <c r="AC408" s="113">
        <v>45294</v>
      </c>
      <c r="AD408" s="101">
        <v>972625</v>
      </c>
      <c r="AE408" s="101">
        <v>614</v>
      </c>
      <c r="AF408" s="101">
        <v>973239</v>
      </c>
      <c r="AG408" s="101">
        <v>99.94</v>
      </c>
      <c r="AH408" s="255">
        <f t="shared" si="112"/>
        <v>0.97323899999999997</v>
      </c>
      <c r="AJ408" s="215">
        <v>45294</v>
      </c>
      <c r="AK408" s="48">
        <v>0</v>
      </c>
      <c r="AL408" s="48">
        <v>25</v>
      </c>
      <c r="AM408" s="48">
        <v>25</v>
      </c>
      <c r="AN408" s="48">
        <v>0</v>
      </c>
      <c r="AQ408" s="215">
        <v>45294</v>
      </c>
      <c r="AR408" s="48">
        <v>438</v>
      </c>
      <c r="AS408" s="48">
        <v>2</v>
      </c>
      <c r="AT408" s="48">
        <v>440</v>
      </c>
      <c r="AU408" s="48">
        <v>99.55</v>
      </c>
      <c r="AX408" s="215">
        <v>45294</v>
      </c>
      <c r="AY408" s="48">
        <v>2186</v>
      </c>
      <c r="AZ408" s="48">
        <v>47</v>
      </c>
      <c r="BA408" s="48">
        <v>2233</v>
      </c>
      <c r="BB408" s="48">
        <v>97.9</v>
      </c>
      <c r="BE408" s="113">
        <v>45294</v>
      </c>
      <c r="BF408" s="101">
        <v>16268</v>
      </c>
      <c r="BG408" s="101">
        <v>1183</v>
      </c>
      <c r="BH408" s="101">
        <v>17451</v>
      </c>
      <c r="BI408" s="101">
        <v>93.22</v>
      </c>
      <c r="BL408" s="113">
        <v>45294</v>
      </c>
      <c r="BM408" s="101">
        <v>4597</v>
      </c>
      <c r="BN408" s="101">
        <v>0</v>
      </c>
      <c r="BO408" s="101">
        <v>4597</v>
      </c>
      <c r="BP408" s="101">
        <v>100</v>
      </c>
      <c r="BS408" s="215">
        <v>45294</v>
      </c>
      <c r="BT408" s="104">
        <v>22822</v>
      </c>
      <c r="BU408" s="104">
        <v>18</v>
      </c>
      <c r="BV408" s="104">
        <v>22840</v>
      </c>
      <c r="BW408" s="104">
        <v>99.92</v>
      </c>
      <c r="BZ408" s="215">
        <v>45294</v>
      </c>
      <c r="CA408" s="48">
        <v>32265782</v>
      </c>
      <c r="CB408" s="48">
        <v>1988488</v>
      </c>
      <c r="CC408" s="71">
        <f t="shared" si="111"/>
        <v>16.226289522491459</v>
      </c>
      <c r="CE408" s="215">
        <v>45294</v>
      </c>
      <c r="CF408" s="103">
        <v>16296923</v>
      </c>
      <c r="CG408" s="101">
        <v>16514</v>
      </c>
      <c r="CH408" s="101">
        <v>16313437</v>
      </c>
      <c r="CI408" s="101">
        <v>99.9</v>
      </c>
      <c r="CJ408" s="71">
        <f t="shared" si="108"/>
        <v>16.313437</v>
      </c>
      <c r="CL408" s="140">
        <v>45218</v>
      </c>
      <c r="CM408" t="s">
        <v>240</v>
      </c>
      <c r="CN408">
        <v>1886</v>
      </c>
      <c r="CO408">
        <v>516</v>
      </c>
    </row>
    <row r="409" spans="1:93" hidden="1" x14ac:dyDescent="0.25">
      <c r="A409" s="215">
        <v>45295</v>
      </c>
      <c r="B409" s="104">
        <v>5751332</v>
      </c>
      <c r="C409" s="104">
        <v>1773</v>
      </c>
      <c r="D409" s="104">
        <v>5753105</v>
      </c>
      <c r="E409" s="104">
        <v>99.97</v>
      </c>
      <c r="F409" s="71">
        <f t="shared" si="114"/>
        <v>5.7531049999999997</v>
      </c>
      <c r="H409" s="113">
        <v>45295</v>
      </c>
      <c r="I409" s="101">
        <v>1441735</v>
      </c>
      <c r="J409" s="101">
        <v>1202</v>
      </c>
      <c r="K409" s="101">
        <v>1442937</v>
      </c>
      <c r="L409" s="101">
        <v>99.92</v>
      </c>
      <c r="M409" s="71">
        <f t="shared" si="113"/>
        <v>1.4429369999999999</v>
      </c>
      <c r="O409" s="113">
        <v>45295</v>
      </c>
      <c r="P409" s="101">
        <v>441878</v>
      </c>
      <c r="Q409" s="101">
        <v>58</v>
      </c>
      <c r="R409" s="101">
        <v>441936</v>
      </c>
      <c r="S409" s="101">
        <v>99.99</v>
      </c>
      <c r="T409" s="71">
        <f t="shared" si="107"/>
        <v>0.441936</v>
      </c>
      <c r="V409" s="113">
        <v>45295</v>
      </c>
      <c r="W409" s="101">
        <v>1047186</v>
      </c>
      <c r="X409" s="101">
        <v>205</v>
      </c>
      <c r="Y409" s="101">
        <v>1047391</v>
      </c>
      <c r="Z409" s="101">
        <v>99.98</v>
      </c>
      <c r="AA409" s="71">
        <f t="shared" si="110"/>
        <v>1.047391</v>
      </c>
      <c r="AC409" s="113">
        <v>45295</v>
      </c>
      <c r="AD409" s="101">
        <v>735905</v>
      </c>
      <c r="AE409" s="101">
        <v>1022</v>
      </c>
      <c r="AF409" s="101">
        <v>736927</v>
      </c>
      <c r="AG409" s="101">
        <v>99.86</v>
      </c>
      <c r="AH409" s="255">
        <f t="shared" si="112"/>
        <v>0.736927</v>
      </c>
      <c r="AJ409" s="215">
        <v>45295</v>
      </c>
      <c r="AK409" s="48">
        <v>0</v>
      </c>
      <c r="AL409" s="48">
        <v>24</v>
      </c>
      <c r="AM409" s="48">
        <v>24</v>
      </c>
      <c r="AN409" s="48">
        <v>0</v>
      </c>
      <c r="AQ409" s="215">
        <v>45295</v>
      </c>
      <c r="AR409" s="48">
        <v>448</v>
      </c>
      <c r="AS409" s="48">
        <v>0</v>
      </c>
      <c r="AT409" s="48">
        <v>448</v>
      </c>
      <c r="AU409" s="48">
        <v>100</v>
      </c>
      <c r="AX409" s="215">
        <v>45295</v>
      </c>
      <c r="AY409" s="48">
        <v>1434</v>
      </c>
      <c r="AZ409" s="48">
        <v>23</v>
      </c>
      <c r="BA409" s="48">
        <v>1457</v>
      </c>
      <c r="BB409" s="48">
        <v>98.42</v>
      </c>
      <c r="BE409" s="113">
        <v>45295</v>
      </c>
      <c r="BF409" s="101">
        <v>9901</v>
      </c>
      <c r="BG409" s="101">
        <v>691</v>
      </c>
      <c r="BH409" s="101">
        <v>10592</v>
      </c>
      <c r="BI409" s="101">
        <v>93.48</v>
      </c>
      <c r="BL409" s="113">
        <v>45295</v>
      </c>
      <c r="BM409" s="101">
        <v>5939</v>
      </c>
      <c r="BN409" s="101">
        <v>0</v>
      </c>
      <c r="BO409" s="101">
        <v>5939</v>
      </c>
      <c r="BP409" s="101">
        <v>100</v>
      </c>
      <c r="BS409" s="215">
        <v>45295</v>
      </c>
      <c r="BT409" s="104">
        <v>15627</v>
      </c>
      <c r="BU409" s="104">
        <v>6</v>
      </c>
      <c r="BV409" s="104">
        <v>15633</v>
      </c>
      <c r="BW409" s="104">
        <v>99.96</v>
      </c>
      <c r="BZ409" s="215">
        <v>45295</v>
      </c>
      <c r="CA409" s="48">
        <v>32254762</v>
      </c>
      <c r="CB409" s="48">
        <v>1992337</v>
      </c>
      <c r="CC409" s="71">
        <f t="shared" si="111"/>
        <v>16.18941072720127</v>
      </c>
      <c r="CE409" s="215">
        <v>45295</v>
      </c>
      <c r="CF409" s="103">
        <v>11432302</v>
      </c>
      <c r="CG409" s="101">
        <v>12080</v>
      </c>
      <c r="CH409" s="101">
        <v>11444382</v>
      </c>
      <c r="CI409" s="101">
        <v>99.89</v>
      </c>
      <c r="CJ409" s="71">
        <f t="shared" si="108"/>
        <v>11.444381999999999</v>
      </c>
      <c r="CL409" s="140">
        <v>45218</v>
      </c>
      <c r="CM409" s="252" t="s">
        <v>239</v>
      </c>
      <c r="CN409">
        <v>644</v>
      </c>
      <c r="CO409">
        <v>504</v>
      </c>
    </row>
    <row r="410" spans="1:93" hidden="1" x14ac:dyDescent="0.25">
      <c r="A410" s="215">
        <v>45296</v>
      </c>
      <c r="B410" s="104">
        <v>8499299</v>
      </c>
      <c r="C410" s="104">
        <v>2560</v>
      </c>
      <c r="D410" s="104">
        <v>8501859</v>
      </c>
      <c r="E410" s="104">
        <v>99.97</v>
      </c>
      <c r="F410" s="71">
        <f t="shared" si="114"/>
        <v>8.5018589999999996</v>
      </c>
      <c r="H410" s="113">
        <v>45296</v>
      </c>
      <c r="I410" s="101">
        <v>2217370</v>
      </c>
      <c r="J410" s="101">
        <v>1857</v>
      </c>
      <c r="K410" s="101">
        <v>2219227</v>
      </c>
      <c r="L410" s="101">
        <v>99.92</v>
      </c>
      <c r="M410" s="71">
        <f t="shared" si="113"/>
        <v>2.2192270000000001</v>
      </c>
      <c r="O410" s="113">
        <v>45296</v>
      </c>
      <c r="P410" s="101">
        <v>659417</v>
      </c>
      <c r="Q410" s="101">
        <v>3</v>
      </c>
      <c r="R410" s="101">
        <v>659420</v>
      </c>
      <c r="S410" s="101">
        <v>100</v>
      </c>
      <c r="T410" s="71">
        <f t="shared" si="107"/>
        <v>0.65942000000000001</v>
      </c>
      <c r="V410" s="113">
        <v>45296</v>
      </c>
      <c r="W410" s="101">
        <v>1541187</v>
      </c>
      <c r="X410" s="101">
        <v>283</v>
      </c>
      <c r="Y410" s="101">
        <v>1541470</v>
      </c>
      <c r="Z410" s="101">
        <v>99.98</v>
      </c>
      <c r="AA410" s="71">
        <f t="shared" si="110"/>
        <v>1.5414699999999999</v>
      </c>
      <c r="AC410" s="113">
        <v>45296</v>
      </c>
      <c r="AD410" s="101">
        <v>1175308</v>
      </c>
      <c r="AE410" s="101">
        <v>910</v>
      </c>
      <c r="AF410" s="101">
        <v>1176218</v>
      </c>
      <c r="AG410" s="101">
        <v>99.92</v>
      </c>
      <c r="AH410" s="255">
        <f t="shared" si="112"/>
        <v>1.176218</v>
      </c>
      <c r="AJ410" s="215">
        <v>45296</v>
      </c>
      <c r="AK410" s="48">
        <v>0</v>
      </c>
      <c r="AL410" s="48">
        <v>121</v>
      </c>
      <c r="AM410" s="48">
        <v>121</v>
      </c>
      <c r="AN410" s="48">
        <v>0</v>
      </c>
      <c r="AQ410" s="215">
        <v>45296</v>
      </c>
      <c r="AR410" s="48">
        <v>857</v>
      </c>
      <c r="AS410" s="48">
        <v>2</v>
      </c>
      <c r="AT410" s="48">
        <v>859</v>
      </c>
      <c r="AU410" s="48">
        <v>99.77</v>
      </c>
      <c r="AX410" s="215">
        <v>45296</v>
      </c>
      <c r="AY410" s="48">
        <v>2468</v>
      </c>
      <c r="AZ410" s="48">
        <v>40</v>
      </c>
      <c r="BA410" s="48">
        <v>2508</v>
      </c>
      <c r="BB410" s="48">
        <v>98.41</v>
      </c>
      <c r="BE410" s="113">
        <v>45296</v>
      </c>
      <c r="BF410" s="101">
        <v>12986</v>
      </c>
      <c r="BG410" s="101">
        <v>1131</v>
      </c>
      <c r="BH410" s="101">
        <v>14117</v>
      </c>
      <c r="BI410" s="101">
        <v>91.99</v>
      </c>
      <c r="BL410" s="113">
        <v>45296</v>
      </c>
      <c r="BM410" s="101">
        <v>6696</v>
      </c>
      <c r="BN410" s="101">
        <v>29</v>
      </c>
      <c r="BO410" s="101">
        <v>6725</v>
      </c>
      <c r="BP410" s="101">
        <v>99.57</v>
      </c>
      <c r="BS410" s="215">
        <v>45296</v>
      </c>
      <c r="BT410" s="104">
        <v>23109</v>
      </c>
      <c r="BU410" s="104">
        <v>1</v>
      </c>
      <c r="BV410" s="104">
        <v>23110</v>
      </c>
      <c r="BW410" s="104">
        <v>100</v>
      </c>
      <c r="BZ410" s="215">
        <v>45296</v>
      </c>
      <c r="CA410" s="48">
        <v>34601375</v>
      </c>
      <c r="CB410" s="48">
        <v>2099810</v>
      </c>
      <c r="CC410" s="71">
        <f t="shared" si="111"/>
        <v>16.478336135174136</v>
      </c>
      <c r="CE410" s="215">
        <v>45296</v>
      </c>
      <c r="CF410" s="103">
        <v>17259427</v>
      </c>
      <c r="CG410" s="101">
        <v>17605</v>
      </c>
      <c r="CH410" s="101">
        <v>17277032</v>
      </c>
      <c r="CI410" s="101">
        <v>99.9</v>
      </c>
      <c r="CJ410" s="71">
        <f t="shared" si="108"/>
        <v>17.277031999999998</v>
      </c>
      <c r="CL410" s="140">
        <v>45219</v>
      </c>
      <c r="CM410" s="252" t="s">
        <v>239</v>
      </c>
      <c r="CN410">
        <v>8934</v>
      </c>
      <c r="CO410">
        <v>504</v>
      </c>
    </row>
    <row r="411" spans="1:93" hidden="1" x14ac:dyDescent="0.25">
      <c r="A411" s="215">
        <v>45297</v>
      </c>
      <c r="B411" s="104">
        <v>8058544</v>
      </c>
      <c r="C411" s="104">
        <v>8032</v>
      </c>
      <c r="D411" s="104">
        <v>8066576</v>
      </c>
      <c r="E411" s="104">
        <v>99.9</v>
      </c>
      <c r="F411" s="71">
        <f t="shared" si="114"/>
        <v>8.0665759999999995</v>
      </c>
      <c r="H411" s="113">
        <v>45297</v>
      </c>
      <c r="I411" s="101">
        <v>1950051</v>
      </c>
      <c r="J411" s="101">
        <v>1638</v>
      </c>
      <c r="K411" s="101">
        <v>1951689</v>
      </c>
      <c r="L411" s="101">
        <v>99.92</v>
      </c>
      <c r="M411" s="71">
        <f t="shared" si="113"/>
        <v>1.951689</v>
      </c>
      <c r="O411" s="113">
        <v>45297</v>
      </c>
      <c r="P411" s="101">
        <v>561010</v>
      </c>
      <c r="Q411" s="101">
        <v>2</v>
      </c>
      <c r="R411" s="101">
        <v>561012</v>
      </c>
      <c r="S411" s="101">
        <v>100</v>
      </c>
      <c r="T411" s="71">
        <f t="shared" si="107"/>
        <v>0.56101199999999996</v>
      </c>
      <c r="V411" s="113">
        <v>45297</v>
      </c>
      <c r="W411" s="101">
        <v>1468641</v>
      </c>
      <c r="X411" s="101">
        <v>223</v>
      </c>
      <c r="Y411" s="101">
        <v>1468864</v>
      </c>
      <c r="Z411" s="101">
        <v>99.98</v>
      </c>
      <c r="AA411" s="71">
        <f t="shared" si="110"/>
        <v>1.4688639999999999</v>
      </c>
      <c r="AC411" s="113">
        <v>45297</v>
      </c>
      <c r="AD411" s="101">
        <v>974891</v>
      </c>
      <c r="AE411" s="101">
        <v>1103</v>
      </c>
      <c r="AF411" s="101">
        <v>975994</v>
      </c>
      <c r="AG411" s="101">
        <v>99.89</v>
      </c>
      <c r="AH411" s="255">
        <f t="shared" si="112"/>
        <v>0.97599400000000003</v>
      </c>
      <c r="AJ411" s="215">
        <v>45297</v>
      </c>
      <c r="AK411" s="48">
        <v>0</v>
      </c>
      <c r="AL411" s="48">
        <v>39</v>
      </c>
      <c r="AM411" s="48">
        <v>39</v>
      </c>
      <c r="AN411" s="48">
        <v>0</v>
      </c>
      <c r="AQ411" s="215">
        <v>45297</v>
      </c>
      <c r="AR411" s="48">
        <v>879</v>
      </c>
      <c r="AS411" s="48">
        <v>2</v>
      </c>
      <c r="AT411" s="48">
        <v>881</v>
      </c>
      <c r="AU411" s="48">
        <v>99.77</v>
      </c>
      <c r="AX411" s="215">
        <v>45297</v>
      </c>
      <c r="AY411" s="48">
        <v>1443</v>
      </c>
      <c r="AZ411" s="48">
        <v>32</v>
      </c>
      <c r="BA411" s="48">
        <v>1475</v>
      </c>
      <c r="BB411" s="48">
        <v>97.83</v>
      </c>
      <c r="BE411" s="113">
        <v>45297</v>
      </c>
      <c r="BF411" s="101">
        <v>10598</v>
      </c>
      <c r="BG411" s="101">
        <v>927</v>
      </c>
      <c r="BH411" s="101">
        <v>11525</v>
      </c>
      <c r="BI411" s="101">
        <v>91.96</v>
      </c>
      <c r="BL411" s="113">
        <v>45297</v>
      </c>
      <c r="BM411" s="101">
        <v>6317</v>
      </c>
      <c r="BN411" s="101">
        <v>0</v>
      </c>
      <c r="BO411" s="101">
        <v>6317</v>
      </c>
      <c r="BP411" s="101">
        <v>100</v>
      </c>
      <c r="BS411" s="215">
        <v>45297</v>
      </c>
      <c r="BT411" s="104">
        <v>27172</v>
      </c>
      <c r="BU411" s="104">
        <v>13</v>
      </c>
      <c r="BV411" s="104">
        <v>27185</v>
      </c>
      <c r="BW411" s="104">
        <v>99.95</v>
      </c>
      <c r="BZ411" s="215">
        <v>45297</v>
      </c>
      <c r="CA411" s="48">
        <v>33146756</v>
      </c>
      <c r="CB411" s="48">
        <v>2005161</v>
      </c>
      <c r="CC411" s="71">
        <f t="shared" si="111"/>
        <v>16.530720475812167</v>
      </c>
      <c r="CE411" s="215">
        <v>45297</v>
      </c>
      <c r="CF411" s="103">
        <v>15689839</v>
      </c>
      <c r="CG411" s="101">
        <v>20745</v>
      </c>
      <c r="CH411" s="101">
        <v>15710584</v>
      </c>
      <c r="CI411" s="101">
        <v>99.87</v>
      </c>
      <c r="CJ411" s="71">
        <f t="shared" si="108"/>
        <v>15.710584000000001</v>
      </c>
      <c r="CL411" s="140">
        <v>45219</v>
      </c>
      <c r="CM411" s="252" t="s">
        <v>251</v>
      </c>
      <c r="CN411">
        <v>3986</v>
      </c>
      <c r="CO411">
        <v>539</v>
      </c>
    </row>
    <row r="412" spans="1:93" hidden="1" x14ac:dyDescent="0.25">
      <c r="A412" s="215">
        <v>45298</v>
      </c>
      <c r="B412" s="104">
        <v>5618512</v>
      </c>
      <c r="C412" s="104">
        <v>9081</v>
      </c>
      <c r="D412" s="104">
        <v>5627593</v>
      </c>
      <c r="E412" s="104">
        <v>99.84</v>
      </c>
      <c r="F412" s="71">
        <f t="shared" si="114"/>
        <v>5.6275930000000001</v>
      </c>
      <c r="H412" s="113">
        <v>45298</v>
      </c>
      <c r="I412" s="101">
        <v>1605781</v>
      </c>
      <c r="J412" s="101">
        <v>1441</v>
      </c>
      <c r="K412" s="101">
        <v>1607222</v>
      </c>
      <c r="L412" s="101">
        <v>99.91</v>
      </c>
      <c r="M412" s="71">
        <f t="shared" si="113"/>
        <v>1.6072219999999999</v>
      </c>
      <c r="O412" s="113">
        <v>45298</v>
      </c>
      <c r="P412" s="101">
        <v>519984</v>
      </c>
      <c r="Q412" s="101">
        <v>2</v>
      </c>
      <c r="R412" s="101">
        <v>519986</v>
      </c>
      <c r="S412" s="101">
        <v>100</v>
      </c>
      <c r="T412" s="71">
        <f t="shared" si="107"/>
        <v>0.51998599999999995</v>
      </c>
      <c r="V412" s="113">
        <v>45298</v>
      </c>
      <c r="W412" s="101">
        <v>1039397</v>
      </c>
      <c r="X412" s="101">
        <v>162</v>
      </c>
      <c r="Y412" s="101">
        <v>1039559</v>
      </c>
      <c r="Z412" s="101">
        <v>99.98</v>
      </c>
      <c r="AA412" s="71">
        <f t="shared" si="110"/>
        <v>1.0395589999999999</v>
      </c>
      <c r="AC412" s="113">
        <v>45298</v>
      </c>
      <c r="AD412" s="101">
        <v>855484</v>
      </c>
      <c r="AE412" s="101">
        <v>652</v>
      </c>
      <c r="AF412" s="101">
        <v>856136</v>
      </c>
      <c r="AG412" s="101">
        <v>99.92</v>
      </c>
      <c r="AH412" s="255">
        <f t="shared" si="112"/>
        <v>0.85613600000000001</v>
      </c>
      <c r="AJ412" s="215">
        <v>45298</v>
      </c>
      <c r="AK412" s="48">
        <v>0</v>
      </c>
      <c r="AL412" s="48">
        <v>24</v>
      </c>
      <c r="AM412" s="48">
        <v>24</v>
      </c>
      <c r="AN412" s="48">
        <v>0</v>
      </c>
      <c r="AQ412" s="215">
        <v>45298</v>
      </c>
      <c r="AR412" s="48">
        <v>274</v>
      </c>
      <c r="AS412" s="48">
        <v>1</v>
      </c>
      <c r="AT412" s="48">
        <v>275</v>
      </c>
      <c r="AU412" s="48">
        <v>99.64</v>
      </c>
      <c r="AX412" s="215">
        <v>45298</v>
      </c>
      <c r="AY412" s="48">
        <v>276</v>
      </c>
      <c r="AZ412" s="48">
        <v>143</v>
      </c>
      <c r="BA412" s="48">
        <v>419</v>
      </c>
      <c r="BB412" s="48">
        <v>65.87</v>
      </c>
      <c r="BE412" s="113">
        <v>45298</v>
      </c>
      <c r="BF412" s="101">
        <v>7995</v>
      </c>
      <c r="BG412" s="101">
        <v>583</v>
      </c>
      <c r="BH412" s="101">
        <v>8578</v>
      </c>
      <c r="BI412" s="101">
        <v>93.2</v>
      </c>
      <c r="BL412" s="113">
        <v>45298</v>
      </c>
      <c r="BM412" s="101">
        <v>3971</v>
      </c>
      <c r="BN412" s="101">
        <v>0</v>
      </c>
      <c r="BO412" s="101">
        <v>3971</v>
      </c>
      <c r="BP412" s="101">
        <v>100</v>
      </c>
      <c r="BS412" s="215">
        <v>45298</v>
      </c>
      <c r="BT412" s="104">
        <v>24151</v>
      </c>
      <c r="BU412" s="104">
        <v>0</v>
      </c>
      <c r="BV412" s="104">
        <v>24151</v>
      </c>
      <c r="BW412" s="104">
        <v>100</v>
      </c>
      <c r="BZ412" s="215">
        <v>45298</v>
      </c>
      <c r="CA412" s="48">
        <v>12153584</v>
      </c>
      <c r="CB412" s="48">
        <v>976432</v>
      </c>
      <c r="CC412" s="71">
        <f t="shared" si="111"/>
        <v>12.446933324594033</v>
      </c>
      <c r="CE412" s="215">
        <v>45298</v>
      </c>
      <c r="CF412" s="103">
        <v>11852762</v>
      </c>
      <c r="CG412" s="101">
        <v>22444</v>
      </c>
      <c r="CH412" s="101">
        <v>11875206</v>
      </c>
      <c r="CI412" s="101">
        <v>99.81</v>
      </c>
      <c r="CJ412" s="71">
        <f t="shared" si="108"/>
        <v>11.875206</v>
      </c>
      <c r="CL412" s="140">
        <v>45219</v>
      </c>
      <c r="CM412" t="s">
        <v>237</v>
      </c>
      <c r="CN412">
        <v>2726</v>
      </c>
      <c r="CO412">
        <v>527</v>
      </c>
    </row>
    <row r="413" spans="1:93" hidden="1" x14ac:dyDescent="0.25">
      <c r="A413" s="215">
        <v>45299</v>
      </c>
      <c r="B413" s="104">
        <v>8852646</v>
      </c>
      <c r="C413" s="104">
        <v>33119</v>
      </c>
      <c r="D413" s="104">
        <v>8885765</v>
      </c>
      <c r="E413" s="104">
        <v>99.63</v>
      </c>
      <c r="F413" s="71">
        <f t="shared" si="114"/>
        <v>8.8857649999999992</v>
      </c>
      <c r="H413" s="113">
        <v>45299</v>
      </c>
      <c r="I413" s="101">
        <v>2039605</v>
      </c>
      <c r="J413" s="101">
        <v>1677</v>
      </c>
      <c r="K413" s="101">
        <v>2041282</v>
      </c>
      <c r="L413" s="101">
        <v>99.92</v>
      </c>
      <c r="M413" s="71">
        <f t="shared" si="113"/>
        <v>2.0412819999999998</v>
      </c>
      <c r="O413" s="113">
        <v>45299</v>
      </c>
      <c r="P413" s="101">
        <v>902597</v>
      </c>
      <c r="Q413" s="101">
        <v>1</v>
      </c>
      <c r="R413" s="101">
        <v>902598</v>
      </c>
      <c r="S413" s="101">
        <v>100</v>
      </c>
      <c r="T413" s="71">
        <f t="shared" si="107"/>
        <v>0.90259800000000001</v>
      </c>
      <c r="V413" s="113">
        <v>45299</v>
      </c>
      <c r="W413" s="101">
        <v>1536973</v>
      </c>
      <c r="X413" s="101">
        <v>273</v>
      </c>
      <c r="Y413" s="101">
        <v>1537246</v>
      </c>
      <c r="Z413" s="101">
        <v>99.98</v>
      </c>
      <c r="AA413" s="71">
        <f t="shared" si="110"/>
        <v>1.5372459999999999</v>
      </c>
      <c r="AC413" s="113">
        <v>45299</v>
      </c>
      <c r="AD413" s="101">
        <v>1153510</v>
      </c>
      <c r="AE413" s="101">
        <v>346</v>
      </c>
      <c r="AF413" s="101">
        <v>1153856</v>
      </c>
      <c r="AG413" s="101">
        <v>99.97</v>
      </c>
      <c r="AH413" s="255">
        <f t="shared" si="112"/>
        <v>1.153856</v>
      </c>
      <c r="AJ413" s="215">
        <v>45299</v>
      </c>
      <c r="AK413" s="48">
        <v>0</v>
      </c>
      <c r="AL413" s="48">
        <v>19</v>
      </c>
      <c r="AM413" s="48">
        <v>19</v>
      </c>
      <c r="AN413" s="48">
        <v>0</v>
      </c>
      <c r="AQ413" s="215">
        <v>45299</v>
      </c>
      <c r="AR413" s="48">
        <v>701</v>
      </c>
      <c r="AS413" s="48">
        <v>5</v>
      </c>
      <c r="AT413" s="48">
        <v>706</v>
      </c>
      <c r="AU413" s="48">
        <v>99.29</v>
      </c>
      <c r="AX413" s="215">
        <v>45299</v>
      </c>
      <c r="AY413" s="48">
        <v>2755</v>
      </c>
      <c r="AZ413" s="48">
        <v>47</v>
      </c>
      <c r="BA413" s="48">
        <v>2802</v>
      </c>
      <c r="BB413" s="48">
        <v>98.32</v>
      </c>
      <c r="BE413" s="113">
        <v>45299</v>
      </c>
      <c r="BF413" s="101">
        <v>12123</v>
      </c>
      <c r="BG413" s="101">
        <v>1018</v>
      </c>
      <c r="BH413" s="101">
        <v>13141</v>
      </c>
      <c r="BI413" s="101">
        <v>92.25</v>
      </c>
      <c r="BL413" s="113">
        <v>45299</v>
      </c>
      <c r="BM413" s="101">
        <v>7921</v>
      </c>
      <c r="BN413" s="101">
        <v>8</v>
      </c>
      <c r="BO413" s="101">
        <v>7929</v>
      </c>
      <c r="BP413" s="101">
        <v>99.9</v>
      </c>
      <c r="BS413" s="215">
        <v>45299</v>
      </c>
      <c r="BT413" s="104">
        <v>15501</v>
      </c>
      <c r="BU413" s="104">
        <v>41</v>
      </c>
      <c r="BV413" s="104">
        <v>15542</v>
      </c>
      <c r="BW413" s="104">
        <v>99.74</v>
      </c>
      <c r="BZ413" s="215">
        <v>45299</v>
      </c>
      <c r="CA413" s="48">
        <v>27479364</v>
      </c>
      <c r="CB413" s="48">
        <v>1784628</v>
      </c>
      <c r="CC413" s="71">
        <f t="shared" si="111"/>
        <v>15.397810636166193</v>
      </c>
      <c r="CE413" s="215">
        <v>45299</v>
      </c>
      <c r="CF413" s="103">
        <v>17525371</v>
      </c>
      <c r="CG413" s="101">
        <v>47763</v>
      </c>
      <c r="CH413" s="101">
        <v>17573134</v>
      </c>
      <c r="CI413" s="101">
        <v>99.73</v>
      </c>
      <c r="CJ413" s="71">
        <f t="shared" si="108"/>
        <v>17.573134</v>
      </c>
      <c r="CL413" s="140">
        <v>45219</v>
      </c>
      <c r="CM413" t="s">
        <v>238</v>
      </c>
      <c r="CN413">
        <v>2230</v>
      </c>
      <c r="CO413">
        <v>503</v>
      </c>
    </row>
    <row r="414" spans="1:93" hidden="1" x14ac:dyDescent="0.25">
      <c r="A414" s="215">
        <v>45300</v>
      </c>
      <c r="B414" s="104">
        <v>7724571</v>
      </c>
      <c r="C414" s="104">
        <v>26985</v>
      </c>
      <c r="D414" s="104">
        <v>7751556</v>
      </c>
      <c r="E414" s="104">
        <v>99.65</v>
      </c>
      <c r="F414" s="71">
        <f t="shared" si="114"/>
        <v>7.7515559999999999</v>
      </c>
      <c r="H414" s="113">
        <v>45300</v>
      </c>
      <c r="I414" s="173">
        <v>2057363</v>
      </c>
      <c r="J414" s="173">
        <v>1875</v>
      </c>
      <c r="K414" s="173">
        <v>2059238</v>
      </c>
      <c r="L414" s="173">
        <v>99.91</v>
      </c>
      <c r="M414" s="208">
        <f t="shared" si="113"/>
        <v>2.0592380000000001</v>
      </c>
      <c r="O414" s="113">
        <v>45300</v>
      </c>
      <c r="P414" s="173">
        <v>872224</v>
      </c>
      <c r="Q414" s="173">
        <v>3</v>
      </c>
      <c r="R414" s="173">
        <v>872227</v>
      </c>
      <c r="S414" s="173">
        <v>100</v>
      </c>
      <c r="T414" s="208">
        <f t="shared" si="107"/>
        <v>0.87222699999999997</v>
      </c>
      <c r="V414" s="113">
        <v>45300</v>
      </c>
      <c r="W414" s="101">
        <v>1349741</v>
      </c>
      <c r="X414" s="101">
        <v>249</v>
      </c>
      <c r="Y414" s="101">
        <v>1349990</v>
      </c>
      <c r="Z414" s="101">
        <v>99.98</v>
      </c>
      <c r="AA414" s="71">
        <f t="shared" si="110"/>
        <v>1.34999</v>
      </c>
      <c r="AC414" s="113">
        <v>45300</v>
      </c>
      <c r="AD414" s="101">
        <v>968314</v>
      </c>
      <c r="AE414" s="101">
        <v>505</v>
      </c>
      <c r="AF414" s="101">
        <v>968819</v>
      </c>
      <c r="AG414" s="101">
        <v>99.95</v>
      </c>
      <c r="AH414" s="255">
        <f t="shared" si="112"/>
        <v>0.96881899999999999</v>
      </c>
      <c r="AJ414" s="215">
        <v>45300</v>
      </c>
      <c r="AK414" s="48">
        <v>0</v>
      </c>
      <c r="AL414" s="48">
        <v>22</v>
      </c>
      <c r="AM414" s="48">
        <v>22</v>
      </c>
      <c r="AN414" s="48">
        <v>0</v>
      </c>
      <c r="AQ414" s="215">
        <v>45300</v>
      </c>
      <c r="AR414" s="48">
        <v>498</v>
      </c>
      <c r="AS414" s="48">
        <v>3</v>
      </c>
      <c r="AT414" s="48">
        <v>501</v>
      </c>
      <c r="AU414" s="48">
        <v>99.4</v>
      </c>
      <c r="AX414" s="215">
        <v>45300</v>
      </c>
      <c r="AY414" s="48">
        <v>1781</v>
      </c>
      <c r="AZ414" s="48">
        <v>93</v>
      </c>
      <c r="BA414" s="48">
        <v>1874</v>
      </c>
      <c r="BB414" s="48">
        <v>95.04</v>
      </c>
      <c r="BE414" s="113">
        <v>45300</v>
      </c>
      <c r="BF414" s="101">
        <v>11594</v>
      </c>
      <c r="BG414" s="101">
        <v>1086</v>
      </c>
      <c r="BH414" s="101">
        <v>12680</v>
      </c>
      <c r="BI414" s="101">
        <v>91.44</v>
      </c>
      <c r="BL414" s="113">
        <v>45300</v>
      </c>
      <c r="BM414" s="101">
        <v>8229</v>
      </c>
      <c r="BN414" s="101">
        <v>10</v>
      </c>
      <c r="BO414" s="101">
        <v>8239</v>
      </c>
      <c r="BP414" s="101">
        <v>99.88</v>
      </c>
      <c r="BS414" s="215">
        <v>45300</v>
      </c>
      <c r="BT414" s="104">
        <v>17491</v>
      </c>
      <c r="BU414" s="104">
        <v>115</v>
      </c>
      <c r="BV414" s="104">
        <v>17606</v>
      </c>
      <c r="BW414" s="104">
        <v>99.35</v>
      </c>
      <c r="BZ414" s="215">
        <v>45300</v>
      </c>
      <c r="CA414" s="48">
        <v>34918137</v>
      </c>
      <c r="CB414" s="48">
        <v>2103179</v>
      </c>
      <c r="CC414" s="71">
        <f t="shared" si="111"/>
        <v>16.602551185609975</v>
      </c>
      <c r="CE414" s="215">
        <v>45300</v>
      </c>
      <c r="CF414" s="103">
        <v>15669258</v>
      </c>
      <c r="CG414" s="101">
        <v>41695</v>
      </c>
      <c r="CH414" s="101">
        <v>15710953</v>
      </c>
      <c r="CI414" s="193">
        <f>CF414/CH414%</f>
        <v>99.734611897826952</v>
      </c>
      <c r="CJ414" s="71">
        <f t="shared" si="108"/>
        <v>15.710953</v>
      </c>
      <c r="CL414" s="140">
        <v>45219</v>
      </c>
      <c r="CM414" t="s">
        <v>240</v>
      </c>
      <c r="CN414">
        <v>1766</v>
      </c>
      <c r="CO414">
        <v>516</v>
      </c>
    </row>
    <row r="415" spans="1:93" hidden="1" x14ac:dyDescent="0.25">
      <c r="A415" s="215">
        <v>45301</v>
      </c>
      <c r="B415" s="104">
        <v>8863129</v>
      </c>
      <c r="C415" s="104">
        <v>23826</v>
      </c>
      <c r="D415" s="104">
        <v>8886955</v>
      </c>
      <c r="E415" s="104">
        <v>99.73</v>
      </c>
      <c r="F415" s="71">
        <f t="shared" si="114"/>
        <v>8.8869550000000004</v>
      </c>
      <c r="H415" s="215">
        <v>45301</v>
      </c>
      <c r="I415" s="104">
        <v>2034818</v>
      </c>
      <c r="J415" s="104">
        <v>1971</v>
      </c>
      <c r="K415" s="104">
        <v>2036789</v>
      </c>
      <c r="L415" s="104">
        <v>99.9</v>
      </c>
      <c r="M415" s="71">
        <f t="shared" si="113"/>
        <v>2.0367890000000002</v>
      </c>
      <c r="O415" s="215">
        <v>45301</v>
      </c>
      <c r="P415" s="104">
        <v>893248</v>
      </c>
      <c r="Q415" s="104">
        <v>0</v>
      </c>
      <c r="R415" s="104">
        <v>893248</v>
      </c>
      <c r="S415" s="104">
        <v>100</v>
      </c>
      <c r="T415" s="71">
        <f t="shared" si="107"/>
        <v>0.89324800000000004</v>
      </c>
      <c r="V415" s="113">
        <v>45301</v>
      </c>
      <c r="W415" s="101">
        <v>1490081</v>
      </c>
      <c r="X415" s="101">
        <v>271</v>
      </c>
      <c r="Y415" s="101">
        <v>1490352</v>
      </c>
      <c r="Z415" s="101">
        <v>99.98</v>
      </c>
      <c r="AA415" s="71">
        <f t="shared" si="110"/>
        <v>1.4903519999999999</v>
      </c>
      <c r="AC415" s="113">
        <v>45301</v>
      </c>
      <c r="AD415" s="101">
        <v>1104073</v>
      </c>
      <c r="AE415" s="101">
        <v>1348</v>
      </c>
      <c r="AF415" s="101">
        <v>1105421</v>
      </c>
      <c r="AG415" s="101">
        <v>99.88</v>
      </c>
      <c r="AH415" s="255">
        <f t="shared" si="112"/>
        <v>1.105421</v>
      </c>
      <c r="AJ415" s="215">
        <v>45301</v>
      </c>
      <c r="AK415" s="48">
        <v>0</v>
      </c>
      <c r="AL415" s="48">
        <v>26</v>
      </c>
      <c r="AM415" s="48">
        <v>26</v>
      </c>
      <c r="AN415" s="48">
        <v>0</v>
      </c>
      <c r="AQ415" s="215">
        <v>45301</v>
      </c>
      <c r="AR415" s="48">
        <v>392</v>
      </c>
      <c r="AS415" s="48">
        <v>0</v>
      </c>
      <c r="AT415" s="48">
        <v>392</v>
      </c>
      <c r="AU415" s="48">
        <v>100</v>
      </c>
      <c r="AX415" s="215">
        <v>45301</v>
      </c>
      <c r="AY415" s="48">
        <v>2375</v>
      </c>
      <c r="AZ415" s="48">
        <v>29</v>
      </c>
      <c r="BA415" s="48">
        <v>2404</v>
      </c>
      <c r="BB415" s="48">
        <v>98.79</v>
      </c>
      <c r="BE415" s="113">
        <v>45301</v>
      </c>
      <c r="BF415" s="101">
        <v>14101</v>
      </c>
      <c r="BG415" s="101">
        <v>1052</v>
      </c>
      <c r="BH415" s="101">
        <v>15153</v>
      </c>
      <c r="BI415" s="101">
        <v>93.06</v>
      </c>
      <c r="BL415" s="113">
        <v>45301</v>
      </c>
      <c r="BM415" s="101">
        <v>6789</v>
      </c>
      <c r="BN415" s="101">
        <v>0</v>
      </c>
      <c r="BO415" s="101">
        <v>6789</v>
      </c>
      <c r="BP415" s="101">
        <v>100</v>
      </c>
      <c r="BS415" s="215">
        <v>45301</v>
      </c>
      <c r="BT415" s="104">
        <v>26501</v>
      </c>
      <c r="BU415" s="104">
        <v>0</v>
      </c>
      <c r="BV415" s="104">
        <v>26501</v>
      </c>
      <c r="BW415" s="104">
        <v>100</v>
      </c>
      <c r="BZ415" s="215">
        <v>45301</v>
      </c>
      <c r="CA415" s="48">
        <v>33781671</v>
      </c>
      <c r="CB415" s="48">
        <v>2023430</v>
      </c>
      <c r="CC415" s="71">
        <f t="shared" si="111"/>
        <v>16.695250638766847</v>
      </c>
      <c r="CE415" s="215">
        <v>45301</v>
      </c>
      <c r="CF415" s="103">
        <v>17272986</v>
      </c>
      <c r="CG415" s="101">
        <v>39937</v>
      </c>
      <c r="CH415" s="101">
        <v>17312923</v>
      </c>
      <c r="CI415" s="193">
        <f t="shared" ref="CI415:CI416" si="115">CF415/CH415%</f>
        <v>99.769322603698981</v>
      </c>
      <c r="CJ415" s="71">
        <f t="shared" si="108"/>
        <v>17.312923000000001</v>
      </c>
      <c r="CL415" s="140">
        <v>45306</v>
      </c>
      <c r="CM415" t="s">
        <v>237</v>
      </c>
      <c r="CN415" s="101">
        <v>40441</v>
      </c>
      <c r="CO415" s="101">
        <v>527</v>
      </c>
    </row>
    <row r="416" spans="1:93" hidden="1" x14ac:dyDescent="0.25">
      <c r="A416" s="215">
        <v>45302</v>
      </c>
      <c r="B416" s="104">
        <v>9289478</v>
      </c>
      <c r="C416" s="104">
        <v>42199</v>
      </c>
      <c r="D416" s="104">
        <v>9331677</v>
      </c>
      <c r="E416" s="104">
        <v>99.55</v>
      </c>
      <c r="F416" s="71">
        <f t="shared" si="114"/>
        <v>9.3316769999999991</v>
      </c>
      <c r="H416" s="215">
        <v>45302</v>
      </c>
      <c r="I416" s="104">
        <v>2297732</v>
      </c>
      <c r="J416" s="104">
        <v>2639</v>
      </c>
      <c r="K416" s="104">
        <v>2300371</v>
      </c>
      <c r="L416" s="104">
        <v>99.89</v>
      </c>
      <c r="M416" s="71">
        <f t="shared" si="113"/>
        <v>2.3003710000000002</v>
      </c>
      <c r="O416" s="215">
        <v>45302</v>
      </c>
      <c r="P416" s="104">
        <v>1023920</v>
      </c>
      <c r="Q416" s="104">
        <v>0</v>
      </c>
      <c r="R416" s="104">
        <v>1023920</v>
      </c>
      <c r="S416" s="104">
        <v>100</v>
      </c>
      <c r="T416" s="71">
        <f t="shared" si="107"/>
        <v>1.0239199999999999</v>
      </c>
      <c r="V416" s="113">
        <v>45302</v>
      </c>
      <c r="W416" s="101">
        <v>1628277</v>
      </c>
      <c r="X416" s="101">
        <v>463</v>
      </c>
      <c r="Y416" s="101">
        <v>1628740</v>
      </c>
      <c r="Z416" s="101">
        <v>99.97</v>
      </c>
      <c r="AA416" s="71">
        <f t="shared" si="110"/>
        <v>1.6287400000000001</v>
      </c>
      <c r="AC416" s="113">
        <v>45302</v>
      </c>
      <c r="AD416" s="101">
        <v>1117116</v>
      </c>
      <c r="AE416" s="101">
        <v>517</v>
      </c>
      <c r="AF416" s="101">
        <v>1117633</v>
      </c>
      <c r="AG416" s="101">
        <v>99.95</v>
      </c>
      <c r="AH416" s="255">
        <f t="shared" si="112"/>
        <v>1.1176330000000001</v>
      </c>
      <c r="AJ416" s="215">
        <v>45302</v>
      </c>
      <c r="AK416" s="48">
        <v>0</v>
      </c>
      <c r="AL416" s="48">
        <v>41</v>
      </c>
      <c r="AM416" s="48">
        <v>41</v>
      </c>
      <c r="AN416" s="48">
        <v>0</v>
      </c>
      <c r="AQ416" s="215">
        <v>45302</v>
      </c>
      <c r="AR416" s="48">
        <v>458</v>
      </c>
      <c r="AS416" s="48">
        <v>2</v>
      </c>
      <c r="AT416" s="48">
        <v>460</v>
      </c>
      <c r="AU416" s="48">
        <v>99.57</v>
      </c>
      <c r="AX416" s="215">
        <v>45302</v>
      </c>
      <c r="AY416" s="48">
        <v>2310</v>
      </c>
      <c r="AZ416" s="48">
        <v>62</v>
      </c>
      <c r="BA416" s="48">
        <v>2372</v>
      </c>
      <c r="BB416" s="48">
        <v>97.39</v>
      </c>
      <c r="BE416" s="113">
        <v>45302</v>
      </c>
      <c r="BF416" s="101">
        <v>14448</v>
      </c>
      <c r="BG416" s="101">
        <v>1038</v>
      </c>
      <c r="BH416" s="101">
        <v>15486</v>
      </c>
      <c r="BI416" s="101">
        <v>93.3</v>
      </c>
      <c r="BL416" s="113">
        <v>45302</v>
      </c>
      <c r="BM416" s="101">
        <v>64703</v>
      </c>
      <c r="BN416" s="101">
        <v>1</v>
      </c>
      <c r="BO416" s="101">
        <v>64704</v>
      </c>
      <c r="BP416" s="101">
        <v>100</v>
      </c>
      <c r="BS416" s="215">
        <v>45302</v>
      </c>
      <c r="BT416" s="104">
        <v>21322</v>
      </c>
      <c r="BU416" s="104">
        <v>70</v>
      </c>
      <c r="BV416" s="104">
        <v>21392</v>
      </c>
      <c r="BW416" s="104">
        <v>99.67</v>
      </c>
      <c r="BZ416" s="215">
        <v>45302</v>
      </c>
      <c r="CA416" s="48">
        <v>15219082</v>
      </c>
      <c r="CB416" s="48">
        <v>1142440</v>
      </c>
      <c r="CC416" s="71">
        <f t="shared" si="111"/>
        <v>13.321559119078463</v>
      </c>
      <c r="CE416" s="215">
        <v>45302</v>
      </c>
      <c r="CF416" s="103">
        <v>18575649</v>
      </c>
      <c r="CG416" s="101">
        <v>59530</v>
      </c>
      <c r="CH416" s="101">
        <v>18635179</v>
      </c>
      <c r="CI416" s="193">
        <f t="shared" si="115"/>
        <v>99.680550425622414</v>
      </c>
      <c r="CJ416" s="71">
        <f t="shared" si="108"/>
        <v>18.635179000000001</v>
      </c>
      <c r="CL416" s="140">
        <v>45306</v>
      </c>
      <c r="CM416" t="s">
        <v>240</v>
      </c>
      <c r="CN416" s="101">
        <v>2580</v>
      </c>
      <c r="CO416" s="101">
        <v>516</v>
      </c>
    </row>
    <row r="417" spans="1:93" hidden="1" x14ac:dyDescent="0.25">
      <c r="A417" s="215">
        <v>45303</v>
      </c>
      <c r="B417" s="48">
        <v>10008231</v>
      </c>
      <c r="C417" s="48">
        <v>44002</v>
      </c>
      <c r="D417" s="48">
        <v>10052233</v>
      </c>
      <c r="E417" s="48">
        <v>99.56</v>
      </c>
      <c r="F417" s="71">
        <f t="shared" si="114"/>
        <v>10.052232999999999</v>
      </c>
      <c r="H417" s="215">
        <v>45303</v>
      </c>
      <c r="I417" s="48">
        <v>2596129</v>
      </c>
      <c r="J417" s="48">
        <v>3061</v>
      </c>
      <c r="K417" s="48">
        <v>2599190</v>
      </c>
      <c r="L417" s="48">
        <v>99.88</v>
      </c>
      <c r="M417" s="71">
        <f t="shared" si="113"/>
        <v>2.5991900000000001</v>
      </c>
      <c r="O417" s="215">
        <v>45303</v>
      </c>
      <c r="P417" s="48">
        <v>1051736</v>
      </c>
      <c r="Q417" s="48">
        <v>4</v>
      </c>
      <c r="R417" s="48">
        <v>1051740</v>
      </c>
      <c r="S417" s="104">
        <v>100</v>
      </c>
      <c r="T417" s="71">
        <f t="shared" si="107"/>
        <v>1.0517399999999999</v>
      </c>
      <c r="V417" s="113">
        <v>45303</v>
      </c>
      <c r="W417">
        <v>1866279</v>
      </c>
      <c r="X417">
        <v>1069</v>
      </c>
      <c r="Y417">
        <v>1867348</v>
      </c>
      <c r="Z417">
        <v>99.94</v>
      </c>
      <c r="AA417" s="71">
        <f t="shared" si="110"/>
        <v>1.867348</v>
      </c>
      <c r="AC417" s="113">
        <v>45303</v>
      </c>
      <c r="AD417">
        <v>1165155</v>
      </c>
      <c r="AE417">
        <v>955</v>
      </c>
      <c r="AF417">
        <v>1166110</v>
      </c>
      <c r="AG417">
        <v>99.92</v>
      </c>
      <c r="AH417" s="255">
        <f t="shared" si="112"/>
        <v>1.16611</v>
      </c>
      <c r="AJ417" s="215">
        <v>45303</v>
      </c>
      <c r="AK417" s="48">
        <v>0</v>
      </c>
      <c r="AL417" s="48">
        <v>17</v>
      </c>
      <c r="AM417" s="48">
        <v>17</v>
      </c>
      <c r="AN417" s="48">
        <v>0</v>
      </c>
      <c r="AQ417" s="215">
        <v>45303</v>
      </c>
      <c r="AR417" s="48">
        <v>1091</v>
      </c>
      <c r="AS417" s="48">
        <v>2</v>
      </c>
      <c r="AT417" s="48">
        <v>1093</v>
      </c>
      <c r="AU417" s="48">
        <v>99.82</v>
      </c>
      <c r="AX417" s="215">
        <v>45303</v>
      </c>
      <c r="AY417" s="48">
        <v>2831</v>
      </c>
      <c r="AZ417" s="48">
        <v>64</v>
      </c>
      <c r="BA417" s="48">
        <v>2895</v>
      </c>
      <c r="BB417" s="48">
        <v>97.79</v>
      </c>
      <c r="BE417" s="113">
        <v>45303</v>
      </c>
      <c r="BF417">
        <v>16625</v>
      </c>
      <c r="BG417">
        <v>1266</v>
      </c>
      <c r="BH417">
        <v>17891</v>
      </c>
      <c r="BI417">
        <v>92.92</v>
      </c>
      <c r="BL417" s="113">
        <v>45303</v>
      </c>
      <c r="BM417">
        <v>66055</v>
      </c>
      <c r="BN417">
        <v>21</v>
      </c>
      <c r="BO417">
        <v>66076</v>
      </c>
      <c r="BP417">
        <v>99.97</v>
      </c>
      <c r="BS417" s="215">
        <v>45303</v>
      </c>
      <c r="BT417" s="48">
        <v>28383</v>
      </c>
      <c r="BU417" s="48">
        <v>4</v>
      </c>
      <c r="BV417" s="48">
        <v>28387</v>
      </c>
      <c r="BW417" s="48">
        <v>99.99</v>
      </c>
      <c r="BZ417" s="215">
        <v>45303</v>
      </c>
      <c r="CA417" s="48">
        <v>36038863</v>
      </c>
      <c r="CB417" s="48">
        <v>2243982</v>
      </c>
      <c r="CC417" s="71">
        <f t="shared" si="111"/>
        <v>16.060228201473986</v>
      </c>
      <c r="CE417" s="215">
        <v>45303</v>
      </c>
      <c r="CF417" s="101">
        <v>20299144</v>
      </c>
      <c r="CG417" s="101">
        <v>59897</v>
      </c>
      <c r="CH417" s="101">
        <v>20359041</v>
      </c>
      <c r="CI417" s="101">
        <v>99.71</v>
      </c>
      <c r="CJ417" s="71">
        <f t="shared" si="108"/>
        <v>20.359041000000001</v>
      </c>
      <c r="CL417" s="140">
        <v>45306</v>
      </c>
      <c r="CM417" s="252" t="s">
        <v>239</v>
      </c>
      <c r="CN417" s="101">
        <v>2562</v>
      </c>
      <c r="CO417" s="101">
        <v>504</v>
      </c>
    </row>
    <row r="418" spans="1:93" hidden="1" x14ac:dyDescent="0.25">
      <c r="A418" s="215">
        <v>45304</v>
      </c>
      <c r="B418" s="48">
        <v>7397891</v>
      </c>
      <c r="C418" s="48">
        <v>3214</v>
      </c>
      <c r="D418" s="48">
        <v>7401105</v>
      </c>
      <c r="E418" s="48">
        <v>99.96</v>
      </c>
      <c r="F418" s="71">
        <f t="shared" si="114"/>
        <v>7.4011050000000003</v>
      </c>
      <c r="H418" s="215">
        <v>45304</v>
      </c>
      <c r="I418" s="48">
        <v>1792847</v>
      </c>
      <c r="J418" s="48">
        <v>1261</v>
      </c>
      <c r="K418" s="48">
        <v>1794108</v>
      </c>
      <c r="L418" s="48">
        <v>99.93</v>
      </c>
      <c r="M418" s="71">
        <f t="shared" si="113"/>
        <v>1.794108</v>
      </c>
      <c r="O418" s="215">
        <v>45304</v>
      </c>
      <c r="P418" s="48">
        <v>906016</v>
      </c>
      <c r="Q418" s="48">
        <v>1</v>
      </c>
      <c r="R418" s="48">
        <v>906017</v>
      </c>
      <c r="S418" s="104">
        <v>100</v>
      </c>
      <c r="T418" s="71">
        <f t="shared" ref="T418:T481" si="116">R418/1000000</f>
        <v>0.90601699999999996</v>
      </c>
      <c r="V418" s="113">
        <v>45304</v>
      </c>
      <c r="W418">
        <v>1236294</v>
      </c>
      <c r="X418">
        <v>238</v>
      </c>
      <c r="Y418">
        <v>1236532</v>
      </c>
      <c r="Z418">
        <v>99.98</v>
      </c>
      <c r="AA418" s="71">
        <f t="shared" si="110"/>
        <v>1.236532</v>
      </c>
      <c r="AC418" s="113">
        <v>45304</v>
      </c>
      <c r="AD418">
        <v>929985</v>
      </c>
      <c r="AE418">
        <v>2931</v>
      </c>
      <c r="AF418">
        <v>932916</v>
      </c>
      <c r="AG418">
        <v>99.69</v>
      </c>
      <c r="AH418" s="255">
        <f t="shared" si="112"/>
        <v>0.93291599999999997</v>
      </c>
      <c r="AJ418" s="215">
        <v>45304</v>
      </c>
      <c r="AK418" s="48">
        <v>0</v>
      </c>
      <c r="AL418" s="48">
        <v>148</v>
      </c>
      <c r="AM418" s="48">
        <v>148</v>
      </c>
      <c r="AN418" s="48">
        <v>0</v>
      </c>
      <c r="AQ418" s="215">
        <v>45304</v>
      </c>
      <c r="AR418" s="48">
        <v>373</v>
      </c>
      <c r="AS418" s="104">
        <v>0</v>
      </c>
      <c r="AT418" s="48">
        <v>373</v>
      </c>
      <c r="AU418" s="48">
        <v>100</v>
      </c>
      <c r="AX418" s="215">
        <v>45304</v>
      </c>
      <c r="AY418" s="48">
        <v>1195</v>
      </c>
      <c r="AZ418" s="48">
        <v>26</v>
      </c>
      <c r="BA418" s="48">
        <v>1221</v>
      </c>
      <c r="BB418" s="48">
        <v>97.87</v>
      </c>
      <c r="BE418" s="113">
        <v>45304</v>
      </c>
      <c r="BF418">
        <v>9034</v>
      </c>
      <c r="BG418">
        <v>713</v>
      </c>
      <c r="BH418">
        <v>9747</v>
      </c>
      <c r="BI418">
        <v>92.68</v>
      </c>
      <c r="BL418" s="113">
        <v>45304</v>
      </c>
      <c r="BM418">
        <v>48867</v>
      </c>
      <c r="BN418">
        <v>0</v>
      </c>
      <c r="BO418">
        <v>48867</v>
      </c>
      <c r="BP418">
        <v>100</v>
      </c>
      <c r="BS418" s="215">
        <v>45304</v>
      </c>
      <c r="BT418" s="48">
        <v>32956</v>
      </c>
      <c r="BU418" s="48">
        <v>25</v>
      </c>
      <c r="BV418" s="48">
        <v>32981</v>
      </c>
      <c r="BW418" s="48">
        <v>99.92</v>
      </c>
      <c r="BZ418" s="215">
        <v>45304</v>
      </c>
      <c r="CA418" s="48">
        <v>33746579</v>
      </c>
      <c r="CB418" s="48">
        <v>2107843</v>
      </c>
      <c r="CC418" s="71">
        <f t="shared" si="111"/>
        <v>16.01000596344225</v>
      </c>
      <c r="CE418" s="215">
        <v>45304</v>
      </c>
      <c r="CF418" s="101">
        <v>14894851</v>
      </c>
      <c r="CG418" s="101">
        <v>13577</v>
      </c>
      <c r="CH418" s="101">
        <v>14908428</v>
      </c>
      <c r="CI418" s="101">
        <v>99.91</v>
      </c>
      <c r="CJ418" s="71">
        <f t="shared" si="108"/>
        <v>14.908428000000001</v>
      </c>
      <c r="CL418" s="140">
        <v>45306</v>
      </c>
      <c r="CM418" t="s">
        <v>243</v>
      </c>
      <c r="CN418" s="101">
        <v>1652</v>
      </c>
      <c r="CO418" s="101">
        <v>540</v>
      </c>
    </row>
    <row r="419" spans="1:93" hidden="1" x14ac:dyDescent="0.25">
      <c r="A419" s="215">
        <v>45305</v>
      </c>
      <c r="B419" s="48">
        <v>7789154</v>
      </c>
      <c r="C419" s="48">
        <v>29423</v>
      </c>
      <c r="D419" s="48">
        <v>7818577</v>
      </c>
      <c r="E419" s="48">
        <v>99.62</v>
      </c>
      <c r="F419" s="71">
        <f t="shared" si="114"/>
        <v>7.8185770000000003</v>
      </c>
      <c r="H419" s="215">
        <v>45305</v>
      </c>
      <c r="I419" s="48">
        <v>2082265</v>
      </c>
      <c r="J419" s="48">
        <v>1716</v>
      </c>
      <c r="K419" s="48">
        <v>2083981</v>
      </c>
      <c r="L419" s="48">
        <v>99.92</v>
      </c>
      <c r="M419" s="71">
        <f t="shared" si="113"/>
        <v>2.0839810000000001</v>
      </c>
      <c r="O419" s="215">
        <v>45305</v>
      </c>
      <c r="P419" s="48">
        <v>1133692</v>
      </c>
      <c r="Q419" s="48">
        <v>2</v>
      </c>
      <c r="R419" s="48">
        <v>1133694</v>
      </c>
      <c r="S419" s="104">
        <v>100</v>
      </c>
      <c r="T419" s="71">
        <f t="shared" si="116"/>
        <v>1.133694</v>
      </c>
      <c r="V419" s="113">
        <v>45305</v>
      </c>
      <c r="W419">
        <v>1504281</v>
      </c>
      <c r="X419">
        <v>241</v>
      </c>
      <c r="Y419">
        <v>1504522</v>
      </c>
      <c r="Z419">
        <v>99.98</v>
      </c>
      <c r="AA419" s="71">
        <f t="shared" si="110"/>
        <v>1.5045219999999999</v>
      </c>
      <c r="AC419" s="113">
        <v>45305</v>
      </c>
      <c r="AD419">
        <v>1016534</v>
      </c>
      <c r="AE419">
        <v>1050</v>
      </c>
      <c r="AF419">
        <v>1017584</v>
      </c>
      <c r="AG419">
        <v>99.9</v>
      </c>
      <c r="AH419" s="255">
        <f t="shared" si="112"/>
        <v>1.017584</v>
      </c>
      <c r="AJ419" s="215">
        <v>45305</v>
      </c>
      <c r="AK419" s="48">
        <v>0</v>
      </c>
      <c r="AL419" s="48">
        <v>51</v>
      </c>
      <c r="AM419" s="48">
        <v>51</v>
      </c>
      <c r="AN419" s="48">
        <v>0</v>
      </c>
      <c r="AQ419" s="215">
        <v>45305</v>
      </c>
      <c r="AR419" s="48">
        <v>469</v>
      </c>
      <c r="AS419" s="48">
        <v>1</v>
      </c>
      <c r="AT419" s="48">
        <v>470</v>
      </c>
      <c r="AU419" s="48">
        <v>100</v>
      </c>
      <c r="AX419" s="215">
        <v>45305</v>
      </c>
      <c r="AY419" s="48">
        <v>235</v>
      </c>
      <c r="AZ419" s="48">
        <v>77</v>
      </c>
      <c r="BA419" s="48">
        <v>312</v>
      </c>
      <c r="BB419" s="48">
        <v>75.319999999999993</v>
      </c>
      <c r="BE419" s="113">
        <v>45305</v>
      </c>
      <c r="BF419">
        <v>11104</v>
      </c>
      <c r="BG419">
        <v>789</v>
      </c>
      <c r="BH419">
        <v>11893</v>
      </c>
      <c r="BI419">
        <v>93.37</v>
      </c>
      <c r="BL419" s="113">
        <v>45305</v>
      </c>
      <c r="BM419">
        <v>4573</v>
      </c>
      <c r="BN419">
        <v>0</v>
      </c>
      <c r="BO419">
        <v>4573</v>
      </c>
      <c r="BP419">
        <v>100</v>
      </c>
      <c r="BS419" s="215">
        <v>45305</v>
      </c>
      <c r="BT419" s="48">
        <v>39441</v>
      </c>
      <c r="BU419" s="48">
        <v>68</v>
      </c>
      <c r="BV419" s="48">
        <v>39509</v>
      </c>
      <c r="BW419" s="48">
        <v>99.83</v>
      </c>
      <c r="BZ419" s="215">
        <v>45305</v>
      </c>
      <c r="CA419" s="48">
        <v>31724752</v>
      </c>
      <c r="CB419" s="48">
        <v>1950000</v>
      </c>
      <c r="CC419" s="71">
        <f t="shared" si="111"/>
        <v>16.26910358974359</v>
      </c>
      <c r="CE419" s="215">
        <v>45305</v>
      </c>
      <c r="CF419" s="101">
        <v>16474358</v>
      </c>
      <c r="CG419" s="101">
        <v>39211</v>
      </c>
      <c r="CH419" s="101">
        <v>16513569</v>
      </c>
      <c r="CI419" s="101">
        <v>99.76</v>
      </c>
      <c r="CJ419" s="71">
        <f t="shared" ref="CJ419:CJ484" si="117">CH419/1000000</f>
        <v>16.513569</v>
      </c>
      <c r="CL419" s="140">
        <v>45306</v>
      </c>
      <c r="CM419" t="s">
        <v>238</v>
      </c>
      <c r="CN419" s="101">
        <v>1398</v>
      </c>
      <c r="CO419" s="101">
        <v>503</v>
      </c>
    </row>
    <row r="420" spans="1:93" hidden="1" x14ac:dyDescent="0.25">
      <c r="A420" s="215">
        <v>45306</v>
      </c>
      <c r="B420" s="48">
        <v>7124858</v>
      </c>
      <c r="C420" s="48">
        <v>40745</v>
      </c>
      <c r="D420" s="48">
        <v>7165603</v>
      </c>
      <c r="E420" s="48">
        <v>99.43</v>
      </c>
      <c r="F420" s="71">
        <f t="shared" si="114"/>
        <v>7.1656029999999999</v>
      </c>
      <c r="H420" s="215">
        <v>45306</v>
      </c>
      <c r="I420" s="48">
        <v>1715414</v>
      </c>
      <c r="J420" s="48">
        <v>1357</v>
      </c>
      <c r="K420" s="48">
        <v>1716771</v>
      </c>
      <c r="L420" s="48">
        <v>99.92</v>
      </c>
      <c r="M420" s="71">
        <f t="shared" si="113"/>
        <v>1.716771</v>
      </c>
      <c r="O420" s="215">
        <v>45306</v>
      </c>
      <c r="P420" s="48">
        <v>878402</v>
      </c>
      <c r="Q420" s="48">
        <v>2</v>
      </c>
      <c r="R420" s="48">
        <v>878404</v>
      </c>
      <c r="S420" s="104">
        <v>100</v>
      </c>
      <c r="T420" s="71">
        <f t="shared" si="116"/>
        <v>0.87840399999999996</v>
      </c>
      <c r="V420" s="113">
        <v>45306</v>
      </c>
      <c r="W420">
        <v>1248928</v>
      </c>
      <c r="X420">
        <v>453</v>
      </c>
      <c r="Y420">
        <v>1249381</v>
      </c>
      <c r="Z420">
        <v>99.96</v>
      </c>
      <c r="AA420" s="71">
        <f t="shared" si="110"/>
        <v>1.2493810000000001</v>
      </c>
      <c r="AC420" s="113">
        <v>45306</v>
      </c>
      <c r="AD420">
        <v>942916</v>
      </c>
      <c r="AE420">
        <v>390</v>
      </c>
      <c r="AF420">
        <v>943306</v>
      </c>
      <c r="AG420">
        <v>99.96</v>
      </c>
      <c r="AH420" s="255">
        <f t="shared" si="112"/>
        <v>0.94330599999999998</v>
      </c>
      <c r="AJ420" s="215">
        <v>45306</v>
      </c>
      <c r="AK420" s="48">
        <v>0</v>
      </c>
      <c r="AL420" s="48">
        <v>29</v>
      </c>
      <c r="AM420" s="48">
        <v>29</v>
      </c>
      <c r="AN420" s="48">
        <v>0</v>
      </c>
      <c r="AQ420" s="215">
        <v>45306</v>
      </c>
      <c r="AR420" s="48">
        <v>724</v>
      </c>
      <c r="AS420" s="48">
        <v>2</v>
      </c>
      <c r="AT420" s="48">
        <v>726</v>
      </c>
      <c r="AU420" s="48">
        <v>99.72</v>
      </c>
      <c r="AX420" s="215">
        <v>45306</v>
      </c>
      <c r="AY420" s="48">
        <v>2169</v>
      </c>
      <c r="AZ420" s="48">
        <v>21</v>
      </c>
      <c r="BA420" s="48">
        <v>2190</v>
      </c>
      <c r="BB420" s="48">
        <v>99.04</v>
      </c>
      <c r="BE420" s="113">
        <v>45306</v>
      </c>
      <c r="BF420">
        <v>9721</v>
      </c>
      <c r="BG420">
        <v>714</v>
      </c>
      <c r="BH420">
        <v>10435</v>
      </c>
      <c r="BI420">
        <v>93.16</v>
      </c>
      <c r="BL420" s="113">
        <v>45306</v>
      </c>
      <c r="BM420">
        <v>143201</v>
      </c>
      <c r="BN420">
        <v>0</v>
      </c>
      <c r="BO420">
        <v>143201</v>
      </c>
      <c r="BP420">
        <v>100</v>
      </c>
      <c r="BS420" s="215">
        <v>45306</v>
      </c>
      <c r="BT420" s="48">
        <v>16245</v>
      </c>
      <c r="BU420" s="48">
        <v>49</v>
      </c>
      <c r="BV420" s="48">
        <v>16294</v>
      </c>
      <c r="BW420" s="48">
        <v>99.7</v>
      </c>
      <c r="BZ420" s="215">
        <v>45306</v>
      </c>
      <c r="CA420" s="48">
        <v>33603505</v>
      </c>
      <c r="CB420" s="48">
        <v>2312326</v>
      </c>
      <c r="CC420" s="71">
        <f t="shared" si="111"/>
        <v>14.532338865713571</v>
      </c>
      <c r="CE420" s="224">
        <v>45306</v>
      </c>
      <c r="CF420" s="173">
        <v>14574923</v>
      </c>
      <c r="CG420" s="173">
        <v>49601</v>
      </c>
      <c r="CH420" s="173">
        <v>14624524</v>
      </c>
      <c r="CI420" s="173">
        <v>99.66</v>
      </c>
      <c r="CJ420" s="208">
        <f t="shared" si="117"/>
        <v>14.624523999999999</v>
      </c>
      <c r="CL420" s="140">
        <v>45307</v>
      </c>
      <c r="CM420" t="s">
        <v>237</v>
      </c>
      <c r="CN420" s="101">
        <v>72498</v>
      </c>
      <c r="CO420" s="101">
        <v>527</v>
      </c>
    </row>
    <row r="421" spans="1:93" hidden="1" x14ac:dyDescent="0.25">
      <c r="A421" s="215">
        <v>45307</v>
      </c>
      <c r="B421" s="104">
        <v>7269556</v>
      </c>
      <c r="C421" s="104">
        <v>79052</v>
      </c>
      <c r="D421" s="104">
        <v>7348608</v>
      </c>
      <c r="E421" s="104">
        <v>98.92</v>
      </c>
      <c r="F421" s="71">
        <f t="shared" si="114"/>
        <v>7.3486079999999996</v>
      </c>
      <c r="H421" s="215">
        <v>45307</v>
      </c>
      <c r="I421" s="104">
        <v>1919868</v>
      </c>
      <c r="J421" s="104">
        <v>1891</v>
      </c>
      <c r="K421" s="104">
        <v>1921759</v>
      </c>
      <c r="L421" s="104">
        <v>99.9</v>
      </c>
      <c r="M421" s="71">
        <f t="shared" si="113"/>
        <v>1.921759</v>
      </c>
      <c r="O421" s="215">
        <v>45307</v>
      </c>
      <c r="P421" s="104">
        <v>886530</v>
      </c>
      <c r="Q421" s="104">
        <v>0</v>
      </c>
      <c r="R421" s="104">
        <v>886530</v>
      </c>
      <c r="S421" s="104">
        <v>100</v>
      </c>
      <c r="T421" s="71">
        <f t="shared" si="116"/>
        <v>0.88653000000000004</v>
      </c>
      <c r="V421" s="113">
        <v>45307</v>
      </c>
      <c r="W421" s="101">
        <v>1216025</v>
      </c>
      <c r="X421" s="101">
        <v>2124</v>
      </c>
      <c r="Y421" s="101">
        <v>1218149</v>
      </c>
      <c r="Z421" s="101">
        <v>99.83</v>
      </c>
      <c r="AA421" s="71">
        <f t="shared" si="110"/>
        <v>1.2181489999999999</v>
      </c>
      <c r="AC421" s="113">
        <v>45307</v>
      </c>
      <c r="AD421" s="101">
        <v>913028</v>
      </c>
      <c r="AE421" s="101">
        <v>512</v>
      </c>
      <c r="AF421" s="101">
        <v>913540</v>
      </c>
      <c r="AG421" s="101">
        <v>99.94</v>
      </c>
      <c r="AH421" s="255">
        <f t="shared" si="112"/>
        <v>0.91354000000000002</v>
      </c>
      <c r="AJ421" s="215">
        <v>45307</v>
      </c>
      <c r="AK421" s="48">
        <v>0</v>
      </c>
      <c r="AL421" s="48">
        <v>31</v>
      </c>
      <c r="AM421" s="48">
        <v>31</v>
      </c>
      <c r="AN421" s="48">
        <v>0</v>
      </c>
      <c r="AQ421" s="215">
        <v>45307</v>
      </c>
      <c r="AR421" s="48">
        <v>718</v>
      </c>
      <c r="AS421" s="48">
        <v>3</v>
      </c>
      <c r="AT421" s="48">
        <v>721</v>
      </c>
      <c r="AU421" s="48">
        <v>99.58</v>
      </c>
      <c r="AX421" s="215">
        <v>45307</v>
      </c>
      <c r="AY421" s="104">
        <v>1505</v>
      </c>
      <c r="AZ421" s="104">
        <v>24</v>
      </c>
      <c r="BA421" s="104">
        <v>1529</v>
      </c>
      <c r="BB421" s="104">
        <v>98.43</v>
      </c>
      <c r="BE421" s="113">
        <v>45307</v>
      </c>
      <c r="BF421" s="101">
        <v>9403</v>
      </c>
      <c r="BG421" s="101">
        <v>718</v>
      </c>
      <c r="BH421" s="101">
        <v>10121</v>
      </c>
      <c r="BI421" s="101">
        <v>92.91</v>
      </c>
      <c r="BL421" s="113">
        <v>45307</v>
      </c>
      <c r="BM421" s="101">
        <v>172181</v>
      </c>
      <c r="BN421" s="101">
        <v>0</v>
      </c>
      <c r="BO421" s="101">
        <v>172181</v>
      </c>
      <c r="BP421" s="101">
        <v>100</v>
      </c>
      <c r="BS421" s="215">
        <v>45307</v>
      </c>
      <c r="BT421" s="104">
        <v>17320</v>
      </c>
      <c r="BU421" s="104">
        <v>17</v>
      </c>
      <c r="BV421" s="104">
        <v>17337</v>
      </c>
      <c r="BW421" s="104">
        <v>99.9</v>
      </c>
      <c r="BZ421" s="215">
        <v>45307</v>
      </c>
      <c r="CA421" s="48">
        <v>33929190</v>
      </c>
      <c r="CB421" s="48">
        <v>2379364</v>
      </c>
      <c r="CC421" s="71">
        <f t="shared" si="111"/>
        <v>14.259772779616737</v>
      </c>
      <c r="CE421" s="215">
        <v>45307</v>
      </c>
      <c r="CF421" s="104">
        <v>14912721</v>
      </c>
      <c r="CG421" s="104">
        <v>90732</v>
      </c>
      <c r="CH421" s="104">
        <v>15003453</v>
      </c>
      <c r="CI421" s="104">
        <v>99.4</v>
      </c>
      <c r="CJ421" s="71">
        <f t="shared" si="117"/>
        <v>15.003453</v>
      </c>
      <c r="CL421" s="140">
        <v>45307</v>
      </c>
      <c r="CM421" s="252" t="s">
        <v>239</v>
      </c>
      <c r="CN421" s="101">
        <v>11145</v>
      </c>
      <c r="CO421" s="101">
        <v>504</v>
      </c>
    </row>
    <row r="422" spans="1:93" hidden="1" x14ac:dyDescent="0.25">
      <c r="A422" s="215">
        <v>45308</v>
      </c>
      <c r="B422" s="104">
        <v>6238846</v>
      </c>
      <c r="C422" s="104">
        <v>92531</v>
      </c>
      <c r="D422" s="104">
        <v>6331377</v>
      </c>
      <c r="E422" s="104">
        <v>98.54</v>
      </c>
      <c r="F422" s="71">
        <f t="shared" si="114"/>
        <v>6.3313769999999998</v>
      </c>
      <c r="H422" s="215">
        <v>45308</v>
      </c>
      <c r="I422" s="104">
        <v>1468881</v>
      </c>
      <c r="J422" s="104">
        <v>1314</v>
      </c>
      <c r="K422" s="104">
        <v>1470195</v>
      </c>
      <c r="L422" s="104">
        <v>99.91</v>
      </c>
      <c r="M422" s="71">
        <f t="shared" si="113"/>
        <v>1.4701949999999999</v>
      </c>
      <c r="O422" s="215">
        <v>45308</v>
      </c>
      <c r="P422" s="104">
        <v>699789</v>
      </c>
      <c r="Q422" s="104">
        <v>38</v>
      </c>
      <c r="R422" s="104">
        <v>699827</v>
      </c>
      <c r="S422" s="104">
        <v>99.99</v>
      </c>
      <c r="T422" s="71">
        <f t="shared" si="116"/>
        <v>0.69982699999999998</v>
      </c>
      <c r="V422" s="113">
        <v>45308</v>
      </c>
      <c r="W422" s="173">
        <v>1069242</v>
      </c>
      <c r="X422" s="173">
        <v>1048</v>
      </c>
      <c r="Y422" s="173">
        <v>1070290</v>
      </c>
      <c r="Z422" s="173">
        <v>99.9</v>
      </c>
      <c r="AA422" s="208">
        <f t="shared" si="110"/>
        <v>1.07029</v>
      </c>
      <c r="AC422" s="113">
        <v>45308</v>
      </c>
      <c r="AD422" s="173">
        <v>860300</v>
      </c>
      <c r="AE422" s="173">
        <v>2657</v>
      </c>
      <c r="AF422" s="173">
        <v>862957</v>
      </c>
      <c r="AG422" s="173">
        <v>99.69</v>
      </c>
      <c r="AH422" s="255">
        <f t="shared" si="112"/>
        <v>0.86295699999999997</v>
      </c>
      <c r="AJ422" s="215">
        <v>45308</v>
      </c>
      <c r="AK422" s="48">
        <v>0</v>
      </c>
      <c r="AL422" s="48">
        <v>26</v>
      </c>
      <c r="AM422" s="48">
        <v>26</v>
      </c>
      <c r="AN422" s="48">
        <v>0</v>
      </c>
      <c r="AQ422" s="215">
        <v>45308</v>
      </c>
      <c r="AR422" s="48">
        <v>544</v>
      </c>
      <c r="AS422" s="48">
        <v>4</v>
      </c>
      <c r="AT422" s="48">
        <v>548</v>
      </c>
      <c r="AU422" s="48">
        <v>99.27</v>
      </c>
      <c r="AX422" s="215">
        <v>45308</v>
      </c>
      <c r="AY422" s="104">
        <v>1111</v>
      </c>
      <c r="AZ422" s="104">
        <v>11</v>
      </c>
      <c r="BA422" s="104">
        <v>1122</v>
      </c>
      <c r="BB422" s="104">
        <v>99.02</v>
      </c>
      <c r="BE422" s="113">
        <v>45308</v>
      </c>
      <c r="BF422" s="173">
        <v>8242</v>
      </c>
      <c r="BG422" s="173">
        <v>708</v>
      </c>
      <c r="BH422" s="173">
        <v>8950</v>
      </c>
      <c r="BI422" s="173">
        <v>92.09</v>
      </c>
      <c r="BL422" s="113">
        <v>45308</v>
      </c>
      <c r="BM422" s="173">
        <v>160387</v>
      </c>
      <c r="BN422" s="173">
        <v>0</v>
      </c>
      <c r="BO422" s="173">
        <v>160387</v>
      </c>
      <c r="BP422" s="173">
        <v>100</v>
      </c>
      <c r="BS422" s="215">
        <v>45308</v>
      </c>
      <c r="BT422" s="104">
        <v>78132</v>
      </c>
      <c r="BU422" s="104">
        <v>0</v>
      </c>
      <c r="BV422" s="104">
        <v>78132</v>
      </c>
      <c r="BW422" s="104">
        <v>100</v>
      </c>
      <c r="BZ422" s="215">
        <v>45308</v>
      </c>
      <c r="CA422" s="48">
        <v>33424657</v>
      </c>
      <c r="CB422" s="48">
        <v>2427084</v>
      </c>
      <c r="CC422" s="71">
        <f t="shared" si="111"/>
        <v>13.771528715116576</v>
      </c>
      <c r="CE422" s="215">
        <v>45308</v>
      </c>
      <c r="CF422" s="104">
        <v>12745267</v>
      </c>
      <c r="CG422" s="104">
        <v>106394</v>
      </c>
      <c r="CH422" s="104">
        <v>12851661</v>
      </c>
      <c r="CI422" s="104">
        <v>99.17</v>
      </c>
      <c r="CJ422" s="71">
        <f t="shared" si="117"/>
        <v>12.851661</v>
      </c>
      <c r="CL422" s="140">
        <v>45307</v>
      </c>
      <c r="CM422" t="s">
        <v>240</v>
      </c>
      <c r="CN422" s="101">
        <v>2689</v>
      </c>
      <c r="CO422" s="101">
        <v>516</v>
      </c>
    </row>
    <row r="423" spans="1:93" hidden="1" x14ac:dyDescent="0.25">
      <c r="A423" s="215">
        <v>45309</v>
      </c>
      <c r="B423" s="104">
        <v>6668695</v>
      </c>
      <c r="C423" s="104">
        <v>29391</v>
      </c>
      <c r="D423" s="104">
        <v>6698086</v>
      </c>
      <c r="E423" s="104">
        <v>99.56</v>
      </c>
      <c r="F423" s="71">
        <f t="shared" si="114"/>
        <v>6.698086</v>
      </c>
      <c r="H423" s="215">
        <v>45309</v>
      </c>
      <c r="I423" s="104">
        <v>1548950</v>
      </c>
      <c r="J423" s="104">
        <v>1189</v>
      </c>
      <c r="K423" s="104">
        <v>1550139</v>
      </c>
      <c r="L423" s="104">
        <v>99.92</v>
      </c>
      <c r="M423" s="71">
        <f t="shared" si="113"/>
        <v>1.5501389999999999</v>
      </c>
      <c r="O423" s="215">
        <v>45309</v>
      </c>
      <c r="P423" s="104">
        <v>733719</v>
      </c>
      <c r="Q423" s="104">
        <v>1</v>
      </c>
      <c r="R423" s="104">
        <v>733720</v>
      </c>
      <c r="S423" s="104">
        <v>100</v>
      </c>
      <c r="T423" s="71">
        <f t="shared" si="116"/>
        <v>0.73372000000000004</v>
      </c>
      <c r="V423" s="215">
        <v>45309</v>
      </c>
      <c r="W423" s="104">
        <v>1149253</v>
      </c>
      <c r="X423" s="104">
        <v>199</v>
      </c>
      <c r="Y423" s="104">
        <v>1149452</v>
      </c>
      <c r="Z423" s="104">
        <v>99.98</v>
      </c>
      <c r="AA423" s="71">
        <f t="shared" si="110"/>
        <v>1.1494519999999999</v>
      </c>
      <c r="AC423" s="215">
        <v>45309</v>
      </c>
      <c r="AD423" s="104">
        <v>841671</v>
      </c>
      <c r="AE423" s="104">
        <v>810</v>
      </c>
      <c r="AF423" s="104">
        <v>842481</v>
      </c>
      <c r="AG423" s="104">
        <v>99.9</v>
      </c>
      <c r="AH423" s="71">
        <f t="shared" si="112"/>
        <v>0.84248100000000004</v>
      </c>
      <c r="AJ423" s="215">
        <v>45309</v>
      </c>
      <c r="AK423" s="48">
        <v>0</v>
      </c>
      <c r="AL423" s="48">
        <v>80</v>
      </c>
      <c r="AM423" s="48">
        <v>80</v>
      </c>
      <c r="AN423" s="48">
        <v>0</v>
      </c>
      <c r="AQ423" s="215">
        <v>45309</v>
      </c>
      <c r="AR423" s="48">
        <v>561</v>
      </c>
      <c r="AS423" s="48">
        <v>0</v>
      </c>
      <c r="AT423" s="48">
        <v>561</v>
      </c>
      <c r="AU423" s="48">
        <v>100</v>
      </c>
      <c r="AX423" s="215">
        <v>45309</v>
      </c>
      <c r="AY423" s="104">
        <v>1094</v>
      </c>
      <c r="AZ423" s="104">
        <v>10</v>
      </c>
      <c r="BA423" s="104">
        <v>1104</v>
      </c>
      <c r="BB423" s="104">
        <v>99.09</v>
      </c>
      <c r="BE423" s="215">
        <v>45309</v>
      </c>
      <c r="BF423" s="104">
        <v>7743</v>
      </c>
      <c r="BG423" s="104">
        <v>501</v>
      </c>
      <c r="BH423" s="104">
        <v>8244</v>
      </c>
      <c r="BI423" s="104">
        <v>93.92</v>
      </c>
      <c r="BL423" s="215">
        <v>45309</v>
      </c>
      <c r="BM423" s="104">
        <v>235728</v>
      </c>
      <c r="BN423" s="104">
        <v>0</v>
      </c>
      <c r="BO423" s="104">
        <v>235728</v>
      </c>
      <c r="BP423" s="104">
        <v>100</v>
      </c>
      <c r="BS423" s="215">
        <v>45309</v>
      </c>
      <c r="BT423" s="104">
        <v>48884</v>
      </c>
      <c r="BU423" s="104">
        <v>3</v>
      </c>
      <c r="BV423" s="104">
        <v>48887</v>
      </c>
      <c r="BW423" s="104">
        <v>99.99</v>
      </c>
      <c r="BZ423" s="215">
        <v>45309</v>
      </c>
      <c r="CA423" s="48">
        <v>32424984</v>
      </c>
      <c r="CB423" s="48">
        <v>2390532</v>
      </c>
      <c r="CC423" s="71">
        <f t="shared" si="111"/>
        <v>13.563919663070815</v>
      </c>
      <c r="CE423" s="222">
        <v>45309</v>
      </c>
      <c r="CF423" s="104">
        <v>13536795</v>
      </c>
      <c r="CG423" s="104">
        <v>37147</v>
      </c>
      <c r="CH423" s="104">
        <v>13573942</v>
      </c>
      <c r="CI423" s="104">
        <v>99.73</v>
      </c>
      <c r="CJ423" s="71">
        <f t="shared" si="117"/>
        <v>13.573942000000001</v>
      </c>
      <c r="CL423" s="140">
        <v>45307</v>
      </c>
      <c r="CM423" t="s">
        <v>238</v>
      </c>
      <c r="CN423" s="101">
        <v>1719</v>
      </c>
      <c r="CO423" s="101">
        <v>503</v>
      </c>
    </row>
    <row r="424" spans="1:93" hidden="1" x14ac:dyDescent="0.25">
      <c r="A424" s="215">
        <v>45310</v>
      </c>
      <c r="B424" s="48">
        <v>7211808</v>
      </c>
      <c r="C424" s="48">
        <v>2155</v>
      </c>
      <c r="D424" s="48">
        <v>7213963</v>
      </c>
      <c r="E424" s="48">
        <v>99.97</v>
      </c>
      <c r="F424" s="71">
        <f t="shared" si="114"/>
        <v>7.2139629999999997</v>
      </c>
      <c r="H424" s="215">
        <v>45310</v>
      </c>
      <c r="I424" s="48">
        <v>1866020</v>
      </c>
      <c r="J424" s="48">
        <v>1413</v>
      </c>
      <c r="K424" s="48">
        <v>1867433</v>
      </c>
      <c r="L424" s="48">
        <v>99.92</v>
      </c>
      <c r="M424" s="71">
        <f t="shared" si="113"/>
        <v>1.8674329999999999</v>
      </c>
      <c r="O424" s="215">
        <v>45310</v>
      </c>
      <c r="P424" s="48">
        <v>867764</v>
      </c>
      <c r="Q424" s="48">
        <v>1</v>
      </c>
      <c r="R424" s="48">
        <v>867765</v>
      </c>
      <c r="S424" s="48">
        <v>100</v>
      </c>
      <c r="T424" s="71">
        <f t="shared" si="116"/>
        <v>0.86776500000000001</v>
      </c>
      <c r="V424" s="215">
        <v>45310</v>
      </c>
      <c r="W424" s="48">
        <v>1253602</v>
      </c>
      <c r="X424" s="48">
        <v>230</v>
      </c>
      <c r="Y424" s="48">
        <v>1253832</v>
      </c>
      <c r="Z424" s="48">
        <v>99.98</v>
      </c>
      <c r="AA424" s="71">
        <f t="shared" si="110"/>
        <v>1.2538320000000001</v>
      </c>
      <c r="AC424" s="215">
        <v>45310</v>
      </c>
      <c r="AD424" s="48">
        <v>899109</v>
      </c>
      <c r="AE424" s="48">
        <v>230</v>
      </c>
      <c r="AF424" s="48">
        <v>899339</v>
      </c>
      <c r="AG424" s="48">
        <v>99.97</v>
      </c>
      <c r="AH424" s="71">
        <f t="shared" si="112"/>
        <v>0.899339</v>
      </c>
      <c r="AJ424" s="215">
        <v>45310</v>
      </c>
      <c r="AK424" s="48">
        <v>0</v>
      </c>
      <c r="AL424" s="48">
        <v>18</v>
      </c>
      <c r="AM424" s="48">
        <v>18</v>
      </c>
      <c r="AN424" s="48">
        <v>0</v>
      </c>
      <c r="AQ424" s="215">
        <v>45310</v>
      </c>
      <c r="AR424" s="48">
        <v>407</v>
      </c>
      <c r="AS424" s="48">
        <v>1</v>
      </c>
      <c r="AT424" s="48">
        <v>408</v>
      </c>
      <c r="AU424" s="48">
        <v>99.75</v>
      </c>
      <c r="AX424" s="215">
        <v>45310</v>
      </c>
      <c r="AY424" s="48">
        <v>1064</v>
      </c>
      <c r="AZ424" s="48">
        <v>22</v>
      </c>
      <c r="BA424" s="48">
        <v>1086</v>
      </c>
      <c r="BB424" s="48">
        <v>97.97</v>
      </c>
      <c r="BE424" s="215">
        <v>45310</v>
      </c>
      <c r="BF424" s="48">
        <v>9232</v>
      </c>
      <c r="BG424" s="48">
        <v>740</v>
      </c>
      <c r="BH424" s="48">
        <v>9972</v>
      </c>
      <c r="BI424" s="48">
        <v>92.58</v>
      </c>
      <c r="BL424" s="215">
        <v>45310</v>
      </c>
      <c r="BM424" s="104">
        <v>174276</v>
      </c>
      <c r="BN424" s="104">
        <v>0</v>
      </c>
      <c r="BO424" s="104">
        <v>174276</v>
      </c>
      <c r="BP424" s="104">
        <v>100</v>
      </c>
      <c r="BS424" s="215">
        <v>45310</v>
      </c>
      <c r="BT424" s="104">
        <v>77836</v>
      </c>
      <c r="BU424" s="104">
        <v>22</v>
      </c>
      <c r="BV424" s="104">
        <v>77858</v>
      </c>
      <c r="BW424" s="104">
        <v>99.97</v>
      </c>
      <c r="BZ424" s="215">
        <v>45310</v>
      </c>
      <c r="CA424" s="48">
        <v>35223337</v>
      </c>
      <c r="CB424" s="48">
        <v>2442647</v>
      </c>
      <c r="CC424" s="71">
        <f t="shared" si="111"/>
        <v>14.420150353284777</v>
      </c>
      <c r="CE424" s="222">
        <v>45310</v>
      </c>
      <c r="CF424" s="1">
        <v>14999277</v>
      </c>
      <c r="CG424" s="1">
        <v>9570</v>
      </c>
      <c r="CH424" s="1">
        <v>15008847</v>
      </c>
      <c r="CI424" s="104">
        <v>99.73</v>
      </c>
      <c r="CJ424" s="71">
        <f t="shared" si="117"/>
        <v>15.008846999999999</v>
      </c>
      <c r="CL424" s="140">
        <v>45307</v>
      </c>
      <c r="CM424" t="s">
        <v>243</v>
      </c>
      <c r="CN424" s="101">
        <v>1669</v>
      </c>
      <c r="CO424" s="101">
        <v>540</v>
      </c>
    </row>
    <row r="425" spans="1:93" hidden="1" x14ac:dyDescent="0.25">
      <c r="A425" s="215">
        <v>45311</v>
      </c>
      <c r="B425" s="48">
        <v>12275575</v>
      </c>
      <c r="C425" s="48">
        <v>3401</v>
      </c>
      <c r="D425" s="48">
        <v>12278976</v>
      </c>
      <c r="E425" s="48">
        <v>99.97</v>
      </c>
      <c r="F425" s="71">
        <f t="shared" si="114"/>
        <v>12.278976</v>
      </c>
      <c r="H425" s="215">
        <v>45311</v>
      </c>
      <c r="I425" s="48">
        <v>3165720</v>
      </c>
      <c r="J425" s="48">
        <v>2211</v>
      </c>
      <c r="K425" s="48">
        <v>3167931</v>
      </c>
      <c r="L425" s="48">
        <v>99.93</v>
      </c>
      <c r="M425" s="71">
        <f t="shared" si="113"/>
        <v>3.1679309999999998</v>
      </c>
      <c r="O425" s="215">
        <v>45311</v>
      </c>
      <c r="P425" s="48">
        <v>1385157</v>
      </c>
      <c r="Q425" s="48">
        <v>3</v>
      </c>
      <c r="R425" s="48">
        <v>1385160</v>
      </c>
      <c r="S425" s="48">
        <v>100</v>
      </c>
      <c r="T425" s="71">
        <f t="shared" si="116"/>
        <v>1.3851599999999999</v>
      </c>
      <c r="V425" s="215">
        <v>45311</v>
      </c>
      <c r="W425" s="48">
        <v>2261818</v>
      </c>
      <c r="X425" s="48">
        <v>406</v>
      </c>
      <c r="Y425" s="48">
        <v>2262224</v>
      </c>
      <c r="Z425" s="48">
        <v>99.98</v>
      </c>
      <c r="AA425" s="71">
        <f t="shared" si="110"/>
        <v>2.2622239999999998</v>
      </c>
      <c r="AC425" s="215">
        <v>45311</v>
      </c>
      <c r="AD425" s="48">
        <v>1331562</v>
      </c>
      <c r="AE425" s="48">
        <v>892</v>
      </c>
      <c r="AF425" s="48">
        <v>1332454</v>
      </c>
      <c r="AG425" s="48">
        <v>99.93</v>
      </c>
      <c r="AH425" s="71">
        <f t="shared" si="112"/>
        <v>1.332454</v>
      </c>
      <c r="AJ425" s="215">
        <v>45311</v>
      </c>
      <c r="AK425" s="48">
        <v>0</v>
      </c>
      <c r="AL425" s="48">
        <v>37</v>
      </c>
      <c r="AM425" s="48">
        <v>37</v>
      </c>
      <c r="AN425" s="48">
        <v>0</v>
      </c>
      <c r="AQ425" s="215">
        <v>45311</v>
      </c>
      <c r="AR425" s="48">
        <v>815</v>
      </c>
      <c r="AS425" s="48">
        <v>2</v>
      </c>
      <c r="AT425" s="48">
        <v>817</v>
      </c>
      <c r="AU425" s="48">
        <v>99.76</v>
      </c>
      <c r="AX425" s="215">
        <v>45311</v>
      </c>
      <c r="AY425" s="48">
        <v>1876</v>
      </c>
      <c r="AZ425" s="48">
        <v>30</v>
      </c>
      <c r="BA425" s="48">
        <v>1906</v>
      </c>
      <c r="BB425" s="48">
        <v>98.43</v>
      </c>
      <c r="BE425" s="215">
        <v>45311</v>
      </c>
      <c r="BF425" s="48">
        <v>16503</v>
      </c>
      <c r="BG425" s="48">
        <v>1143</v>
      </c>
      <c r="BH425" s="48">
        <v>17646</v>
      </c>
      <c r="BI425" s="48">
        <v>93.52</v>
      </c>
      <c r="BL425" s="215">
        <v>45311</v>
      </c>
      <c r="BM425" s="104">
        <v>330837</v>
      </c>
      <c r="BN425" s="104">
        <v>0</v>
      </c>
      <c r="BO425" s="104">
        <v>330837</v>
      </c>
      <c r="BP425" s="104">
        <v>100</v>
      </c>
      <c r="BS425" s="215">
        <v>45311</v>
      </c>
      <c r="BT425" s="104">
        <v>77587</v>
      </c>
      <c r="BU425" s="104">
        <v>0</v>
      </c>
      <c r="BV425" s="104">
        <v>77587</v>
      </c>
      <c r="BW425" s="104">
        <v>100</v>
      </c>
      <c r="BZ425" s="215">
        <v>45311</v>
      </c>
      <c r="CA425" s="48">
        <v>34516712</v>
      </c>
      <c r="CB425" s="48">
        <v>2425888</v>
      </c>
      <c r="CC425" s="71">
        <f t="shared" si="111"/>
        <v>14.228485404107692</v>
      </c>
      <c r="CE425" s="222">
        <v>45311</v>
      </c>
      <c r="CF425" s="1">
        <v>25163179</v>
      </c>
      <c r="CG425" s="1">
        <v>18274</v>
      </c>
      <c r="CH425" s="1">
        <v>25181453</v>
      </c>
      <c r="CI425" s="104">
        <v>99.73</v>
      </c>
      <c r="CJ425" s="71">
        <f t="shared" si="117"/>
        <v>25.181453000000001</v>
      </c>
      <c r="CL425" s="140">
        <v>45308</v>
      </c>
      <c r="CM425" t="s">
        <v>237</v>
      </c>
      <c r="CN425" s="101">
        <v>90532</v>
      </c>
      <c r="CO425" s="101">
        <v>527</v>
      </c>
    </row>
    <row r="426" spans="1:93" hidden="1" x14ac:dyDescent="0.25">
      <c r="A426" s="215">
        <v>45312</v>
      </c>
      <c r="B426" s="48">
        <v>8748153</v>
      </c>
      <c r="C426" s="48">
        <v>2605</v>
      </c>
      <c r="D426" s="48">
        <v>8750758</v>
      </c>
      <c r="E426" s="48">
        <v>99.97</v>
      </c>
      <c r="F426" s="71">
        <f t="shared" si="114"/>
        <v>8.7507579999999994</v>
      </c>
      <c r="H426" s="215">
        <v>45312</v>
      </c>
      <c r="I426" s="48">
        <v>2653883</v>
      </c>
      <c r="J426" s="48">
        <v>1970</v>
      </c>
      <c r="K426" s="48">
        <v>2655853</v>
      </c>
      <c r="L426" s="48">
        <v>99.93</v>
      </c>
      <c r="M426" s="71">
        <f t="shared" si="113"/>
        <v>2.655853</v>
      </c>
      <c r="O426" s="215">
        <v>45312</v>
      </c>
      <c r="P426" s="48">
        <v>1179294</v>
      </c>
      <c r="Q426" s="48">
        <v>0</v>
      </c>
      <c r="R426" s="48">
        <v>1179294</v>
      </c>
      <c r="S426" s="48">
        <v>100</v>
      </c>
      <c r="T426" s="71">
        <f t="shared" si="116"/>
        <v>1.1792940000000001</v>
      </c>
      <c r="V426" s="215">
        <v>45312</v>
      </c>
      <c r="W426" s="48">
        <v>1737098</v>
      </c>
      <c r="X426" s="48">
        <v>297</v>
      </c>
      <c r="Y426" s="48">
        <v>1737395</v>
      </c>
      <c r="Z426" s="48">
        <v>99.98</v>
      </c>
      <c r="AA426" s="71">
        <f t="shared" si="110"/>
        <v>1.737395</v>
      </c>
      <c r="AC426" s="215">
        <v>45312</v>
      </c>
      <c r="AD426" s="48">
        <v>1129545</v>
      </c>
      <c r="AE426" s="48">
        <v>705</v>
      </c>
      <c r="AF426" s="48">
        <v>1130250</v>
      </c>
      <c r="AG426" s="48">
        <v>99.94</v>
      </c>
      <c r="AH426" s="71">
        <f t="shared" si="112"/>
        <v>1.13025</v>
      </c>
      <c r="AJ426" s="215">
        <v>45312</v>
      </c>
      <c r="AK426" s="48">
        <v>0</v>
      </c>
      <c r="AL426" s="48">
        <v>23</v>
      </c>
      <c r="AM426" s="48">
        <v>23</v>
      </c>
      <c r="AN426" s="48">
        <v>0</v>
      </c>
      <c r="AQ426" s="215">
        <v>45312</v>
      </c>
      <c r="AR426" s="48">
        <v>595</v>
      </c>
      <c r="AS426" s="48">
        <v>2</v>
      </c>
      <c r="AT426" s="48">
        <v>597</v>
      </c>
      <c r="AU426" s="48">
        <v>99.66</v>
      </c>
      <c r="AX426" s="215">
        <v>45312</v>
      </c>
      <c r="AY426" s="48">
        <v>240</v>
      </c>
      <c r="AZ426" s="48">
        <v>143</v>
      </c>
      <c r="BA426" s="48">
        <v>383</v>
      </c>
      <c r="BB426" s="48">
        <v>62.66</v>
      </c>
      <c r="BE426" s="215">
        <v>45312</v>
      </c>
      <c r="BF426" s="48">
        <v>12309</v>
      </c>
      <c r="BG426" s="48">
        <v>892</v>
      </c>
      <c r="BH426" s="48">
        <v>13201</v>
      </c>
      <c r="BI426" s="48">
        <v>93.24</v>
      </c>
      <c r="BL426" s="215">
        <v>45312</v>
      </c>
      <c r="BM426" s="104">
        <v>8193</v>
      </c>
      <c r="BN426" s="104">
        <v>0</v>
      </c>
      <c r="BO426" s="104">
        <v>8193</v>
      </c>
      <c r="BP426" s="104">
        <v>100</v>
      </c>
      <c r="BS426" s="215">
        <v>45312</v>
      </c>
      <c r="BT426" s="104">
        <v>66883</v>
      </c>
      <c r="BU426" s="104">
        <v>93</v>
      </c>
      <c r="BV426" s="104">
        <v>66976</v>
      </c>
      <c r="BW426" s="104">
        <v>99.86</v>
      </c>
      <c r="BZ426" s="215">
        <v>45312</v>
      </c>
      <c r="CA426" s="48">
        <v>31401199</v>
      </c>
      <c r="CB426" s="48">
        <v>1927425</v>
      </c>
      <c r="CC426" s="71">
        <f t="shared" si="111"/>
        <v>16.291787747901992</v>
      </c>
      <c r="CE426" s="222">
        <v>45312</v>
      </c>
      <c r="CF426" s="1">
        <v>19062805</v>
      </c>
      <c r="CG426" s="1">
        <v>13819</v>
      </c>
      <c r="CH426" s="1">
        <v>19076624</v>
      </c>
      <c r="CI426" s="104">
        <v>99.73</v>
      </c>
      <c r="CJ426" s="71">
        <f t="shared" si="117"/>
        <v>19.076623999999999</v>
      </c>
      <c r="CL426" s="140">
        <v>45308</v>
      </c>
      <c r="CM426" s="252" t="s">
        <v>239</v>
      </c>
      <c r="CN426" s="101">
        <v>8889</v>
      </c>
      <c r="CO426" s="101">
        <v>504</v>
      </c>
    </row>
    <row r="427" spans="1:93" hidden="1" x14ac:dyDescent="0.25">
      <c r="A427" s="215">
        <v>45313</v>
      </c>
      <c r="B427" s="104">
        <v>5725446</v>
      </c>
      <c r="C427" s="104">
        <v>1602</v>
      </c>
      <c r="D427" s="104">
        <v>5727048</v>
      </c>
      <c r="E427" s="104">
        <v>99.97</v>
      </c>
      <c r="F427" s="71">
        <f t="shared" si="114"/>
        <v>5.7270479999999999</v>
      </c>
      <c r="H427" s="215">
        <v>45313</v>
      </c>
      <c r="I427" s="104">
        <v>1512731</v>
      </c>
      <c r="J427" s="104">
        <v>1181</v>
      </c>
      <c r="K427" s="104">
        <v>1513912</v>
      </c>
      <c r="L427" s="104">
        <v>99.92</v>
      </c>
      <c r="M427" s="71">
        <f t="shared" si="113"/>
        <v>1.5139119999999999</v>
      </c>
      <c r="O427" s="215">
        <v>45313</v>
      </c>
      <c r="P427" s="104">
        <v>701748</v>
      </c>
      <c r="Q427" s="104">
        <v>1</v>
      </c>
      <c r="R427" s="104">
        <v>701749</v>
      </c>
      <c r="S427" s="104">
        <v>100</v>
      </c>
      <c r="T427" s="71">
        <f t="shared" si="116"/>
        <v>0.70174899999999996</v>
      </c>
      <c r="V427" s="215">
        <v>45313</v>
      </c>
      <c r="W427" s="104">
        <v>1027455</v>
      </c>
      <c r="X427" s="104">
        <v>218</v>
      </c>
      <c r="Y427" s="104">
        <v>1027673</v>
      </c>
      <c r="Z427" s="104">
        <v>99.98</v>
      </c>
      <c r="AA427" s="71">
        <f t="shared" si="110"/>
        <v>1.0276730000000001</v>
      </c>
      <c r="AC427" s="215">
        <v>45313</v>
      </c>
      <c r="AD427" s="104">
        <v>713181</v>
      </c>
      <c r="AE427" s="104">
        <v>483</v>
      </c>
      <c r="AF427" s="104">
        <v>713664</v>
      </c>
      <c r="AG427" s="104">
        <v>99.93</v>
      </c>
      <c r="AH427" s="71">
        <f t="shared" si="112"/>
        <v>0.71366399999999997</v>
      </c>
      <c r="AJ427" s="215">
        <v>45313</v>
      </c>
      <c r="AK427" s="48">
        <v>0</v>
      </c>
      <c r="AL427" s="48">
        <v>26</v>
      </c>
      <c r="AM427" s="48">
        <v>26</v>
      </c>
      <c r="AN427" s="48">
        <v>0</v>
      </c>
      <c r="AQ427" s="215">
        <v>45313</v>
      </c>
      <c r="AR427" s="48">
        <v>254</v>
      </c>
      <c r="AS427" s="48">
        <v>0</v>
      </c>
      <c r="AT427" s="48">
        <v>254</v>
      </c>
      <c r="AU427" s="48">
        <v>100</v>
      </c>
      <c r="AX427" s="215">
        <v>45313</v>
      </c>
      <c r="AY427" s="104">
        <v>980</v>
      </c>
      <c r="AZ427" s="104">
        <v>14</v>
      </c>
      <c r="BA427" s="104">
        <v>994</v>
      </c>
      <c r="BB427" s="104">
        <v>98.59</v>
      </c>
      <c r="BE427" s="215">
        <v>45313</v>
      </c>
      <c r="BF427" s="104">
        <v>7111</v>
      </c>
      <c r="BG427" s="104">
        <v>567</v>
      </c>
      <c r="BH427" s="104">
        <v>7678</v>
      </c>
      <c r="BI427" s="104">
        <v>92.62</v>
      </c>
      <c r="BL427" s="215">
        <v>45313</v>
      </c>
      <c r="BM427" s="104">
        <v>174319</v>
      </c>
      <c r="BN427" s="104">
        <v>0</v>
      </c>
      <c r="BO427" s="104">
        <v>174319</v>
      </c>
      <c r="BP427" s="104">
        <v>100</v>
      </c>
      <c r="BS427" s="215">
        <v>45313</v>
      </c>
      <c r="BT427" s="104">
        <v>32869</v>
      </c>
      <c r="BU427" s="104">
        <v>0</v>
      </c>
      <c r="BV427" s="104">
        <v>32869</v>
      </c>
      <c r="BW427" s="104">
        <v>100</v>
      </c>
      <c r="BZ427" s="215">
        <v>45313</v>
      </c>
      <c r="CA427" s="48">
        <v>34288156</v>
      </c>
      <c r="CB427" s="48">
        <v>2491681</v>
      </c>
      <c r="CC427" s="71">
        <f t="shared" si="111"/>
        <v>13.761053682232999</v>
      </c>
      <c r="CE427" s="222">
        <v>45313</v>
      </c>
      <c r="CF427" s="101">
        <v>11911587</v>
      </c>
      <c r="CG427" s="101">
        <v>8591</v>
      </c>
      <c r="CH427" s="101">
        <v>11920178</v>
      </c>
      <c r="CI427" s="101">
        <v>99.93</v>
      </c>
      <c r="CJ427" s="71">
        <f t="shared" si="117"/>
        <v>11.920178</v>
      </c>
      <c r="CL427" s="140">
        <v>45308</v>
      </c>
      <c r="CM427" t="s">
        <v>240</v>
      </c>
      <c r="CN427" s="101">
        <v>3443</v>
      </c>
      <c r="CO427" s="101">
        <v>516</v>
      </c>
    </row>
    <row r="428" spans="1:93" hidden="1" x14ac:dyDescent="0.25">
      <c r="A428" s="215">
        <v>45314</v>
      </c>
      <c r="B428" s="104">
        <v>6087662</v>
      </c>
      <c r="C428" s="104">
        <v>6648</v>
      </c>
      <c r="D428" s="104">
        <v>6094310</v>
      </c>
      <c r="E428" s="104">
        <v>99.89</v>
      </c>
      <c r="F428" s="71">
        <f t="shared" si="114"/>
        <v>6.0943100000000001</v>
      </c>
      <c r="H428" s="224">
        <v>45314</v>
      </c>
      <c r="I428" s="173">
        <v>1589405</v>
      </c>
      <c r="J428" s="173">
        <v>1225</v>
      </c>
      <c r="K428" s="173">
        <v>1590630</v>
      </c>
      <c r="L428" s="173">
        <v>99.92</v>
      </c>
      <c r="M428" s="208">
        <f t="shared" si="113"/>
        <v>1.59063</v>
      </c>
      <c r="O428" s="224">
        <v>45314</v>
      </c>
      <c r="P428" s="173">
        <v>693669</v>
      </c>
      <c r="Q428" s="173">
        <v>1</v>
      </c>
      <c r="R428" s="173">
        <v>693670</v>
      </c>
      <c r="S428" s="173">
        <v>100</v>
      </c>
      <c r="T428" s="208">
        <f t="shared" si="116"/>
        <v>0.69367000000000001</v>
      </c>
      <c r="V428" s="215">
        <v>45314</v>
      </c>
      <c r="W428" s="104">
        <v>1071032</v>
      </c>
      <c r="X428" s="104">
        <v>491</v>
      </c>
      <c r="Y428" s="104">
        <v>1071523</v>
      </c>
      <c r="Z428" s="104">
        <v>99.95</v>
      </c>
      <c r="AA428" s="71">
        <f t="shared" si="110"/>
        <v>1.071523</v>
      </c>
      <c r="AC428" s="215">
        <v>45314</v>
      </c>
      <c r="AD428" s="104">
        <v>749118</v>
      </c>
      <c r="AE428" s="104">
        <v>415</v>
      </c>
      <c r="AF428" s="104">
        <v>749533</v>
      </c>
      <c r="AG428" s="104">
        <v>99.94</v>
      </c>
      <c r="AH428" s="71">
        <f t="shared" si="112"/>
        <v>0.749533</v>
      </c>
      <c r="AJ428" s="215">
        <v>45314</v>
      </c>
      <c r="AK428" s="48">
        <v>0</v>
      </c>
      <c r="AL428" s="48">
        <v>26</v>
      </c>
      <c r="AM428" s="48">
        <v>26</v>
      </c>
      <c r="AN428" s="48">
        <v>0</v>
      </c>
      <c r="AQ428" s="215">
        <v>45314</v>
      </c>
      <c r="AR428" s="48">
        <v>186</v>
      </c>
      <c r="AS428" s="48">
        <v>0</v>
      </c>
      <c r="AT428" s="48">
        <v>186</v>
      </c>
      <c r="AU428" s="48">
        <v>100</v>
      </c>
      <c r="AX428" s="215">
        <v>45314</v>
      </c>
      <c r="AY428" s="104">
        <v>1408</v>
      </c>
      <c r="AZ428" s="104">
        <v>19</v>
      </c>
      <c r="BA428" s="104">
        <v>1427</v>
      </c>
      <c r="BB428" s="104">
        <v>98.67</v>
      </c>
      <c r="BE428" s="215">
        <v>45314</v>
      </c>
      <c r="BF428" s="104">
        <v>7403</v>
      </c>
      <c r="BG428" s="104">
        <v>588</v>
      </c>
      <c r="BH428" s="104">
        <v>7991</v>
      </c>
      <c r="BI428" s="104">
        <v>92.64</v>
      </c>
      <c r="BL428" s="215">
        <v>45314</v>
      </c>
      <c r="BM428" s="104">
        <v>191662</v>
      </c>
      <c r="BN428" s="104">
        <v>0</v>
      </c>
      <c r="BO428" s="104">
        <v>191662</v>
      </c>
      <c r="BP428" s="104">
        <v>100</v>
      </c>
      <c r="BS428" s="215">
        <v>45314</v>
      </c>
      <c r="BT428" s="104">
        <v>63666</v>
      </c>
      <c r="BU428" s="104">
        <v>0</v>
      </c>
      <c r="BV428" s="104">
        <v>63666</v>
      </c>
      <c r="BW428" s="104">
        <v>100</v>
      </c>
      <c r="BZ428" s="215">
        <v>45314</v>
      </c>
      <c r="CA428" s="48">
        <v>33668872</v>
      </c>
      <c r="CB428" s="48">
        <v>2491307</v>
      </c>
      <c r="CC428" s="71">
        <f t="shared" si="111"/>
        <v>13.514541563926084</v>
      </c>
      <c r="CE428" s="222">
        <v>45314</v>
      </c>
      <c r="CF428" s="101">
        <v>12499070</v>
      </c>
      <c r="CG428" s="101">
        <v>13724</v>
      </c>
      <c r="CH428" s="101">
        <v>12512794</v>
      </c>
      <c r="CI428" s="101">
        <v>99.89</v>
      </c>
      <c r="CJ428" s="71">
        <f t="shared" si="117"/>
        <v>12.512794</v>
      </c>
      <c r="CL428" s="140">
        <v>45308</v>
      </c>
      <c r="CM428" t="s">
        <v>243</v>
      </c>
      <c r="CN428" s="101">
        <v>1589</v>
      </c>
      <c r="CO428" s="101">
        <v>540</v>
      </c>
    </row>
    <row r="429" spans="1:93" hidden="1" x14ac:dyDescent="0.25">
      <c r="A429" s="215">
        <v>45315</v>
      </c>
      <c r="B429" s="104">
        <v>5931522</v>
      </c>
      <c r="C429" s="104">
        <v>9449</v>
      </c>
      <c r="D429" s="104">
        <v>5940971</v>
      </c>
      <c r="E429" s="104">
        <v>99.84</v>
      </c>
      <c r="F429" s="71">
        <f t="shared" si="114"/>
        <v>5.9409710000000002</v>
      </c>
      <c r="H429" s="215">
        <v>45315</v>
      </c>
      <c r="I429" s="104">
        <v>1475261</v>
      </c>
      <c r="J429" s="104">
        <v>1144</v>
      </c>
      <c r="K429" s="104">
        <v>1476405</v>
      </c>
      <c r="L429" s="104">
        <v>99.92</v>
      </c>
      <c r="M429" s="71">
        <f t="shared" si="113"/>
        <v>1.476405</v>
      </c>
      <c r="O429" s="215">
        <v>45315</v>
      </c>
      <c r="P429" s="104">
        <v>676603</v>
      </c>
      <c r="Q429" s="104">
        <v>0</v>
      </c>
      <c r="R429" s="104">
        <v>676603</v>
      </c>
      <c r="S429" s="104">
        <v>100</v>
      </c>
      <c r="T429" s="71">
        <f t="shared" si="116"/>
        <v>0.67660299999999995</v>
      </c>
      <c r="V429" s="215">
        <v>45315</v>
      </c>
      <c r="W429" s="104">
        <v>1034791</v>
      </c>
      <c r="X429" s="104">
        <v>2226</v>
      </c>
      <c r="Y429" s="104">
        <v>1037017</v>
      </c>
      <c r="Z429" s="104">
        <v>99.79</v>
      </c>
      <c r="AA429" s="71">
        <f t="shared" si="110"/>
        <v>1.0370170000000001</v>
      </c>
      <c r="AC429" s="215">
        <v>45315</v>
      </c>
      <c r="AD429" s="104">
        <v>744777</v>
      </c>
      <c r="AE429" s="104">
        <v>359</v>
      </c>
      <c r="AF429" s="104">
        <v>745136</v>
      </c>
      <c r="AG429" s="104">
        <v>99.95</v>
      </c>
      <c r="AH429" s="71">
        <f t="shared" si="112"/>
        <v>0.74513600000000002</v>
      </c>
      <c r="AJ429" s="215">
        <v>45315</v>
      </c>
      <c r="AK429" s="48">
        <v>0</v>
      </c>
      <c r="AL429" s="48">
        <v>58</v>
      </c>
      <c r="AM429" s="48">
        <v>58</v>
      </c>
      <c r="AN429" s="48">
        <v>0</v>
      </c>
      <c r="AQ429" s="215">
        <v>45315</v>
      </c>
      <c r="AR429" s="48">
        <v>586</v>
      </c>
      <c r="AS429" s="48">
        <v>5</v>
      </c>
      <c r="AT429" s="48">
        <v>591</v>
      </c>
      <c r="AU429" s="48">
        <v>99.15</v>
      </c>
      <c r="AX429" s="215">
        <v>45315</v>
      </c>
      <c r="AY429" s="104">
        <v>1205</v>
      </c>
      <c r="AZ429" s="104">
        <v>22</v>
      </c>
      <c r="BA429" s="104">
        <v>1227</v>
      </c>
      <c r="BB429" s="104">
        <v>98.21</v>
      </c>
      <c r="BE429" s="215">
        <v>45315</v>
      </c>
      <c r="BF429" s="104">
        <v>8135</v>
      </c>
      <c r="BG429" s="104">
        <v>612</v>
      </c>
      <c r="BH429" s="104">
        <v>8747</v>
      </c>
      <c r="BI429" s="104">
        <v>93</v>
      </c>
      <c r="BL429" s="215">
        <v>45315</v>
      </c>
      <c r="BM429" s="104">
        <v>164173</v>
      </c>
      <c r="BN429" s="104">
        <v>0</v>
      </c>
      <c r="BO429" s="104">
        <v>164173</v>
      </c>
      <c r="BP429" s="104">
        <v>100</v>
      </c>
      <c r="BS429" s="215">
        <v>45315</v>
      </c>
      <c r="BT429" s="104">
        <v>40513</v>
      </c>
      <c r="BU429" s="104">
        <v>4</v>
      </c>
      <c r="BV429" s="104">
        <v>40517</v>
      </c>
      <c r="BW429" s="104">
        <v>99.99</v>
      </c>
      <c r="BZ429" s="215">
        <v>45315</v>
      </c>
      <c r="CA429" s="48">
        <v>31899330</v>
      </c>
      <c r="CB429" s="48">
        <v>2399313</v>
      </c>
      <c r="CC429" s="71">
        <f t="shared" si="111"/>
        <v>13.295193249067546</v>
      </c>
      <c r="CE429" s="222">
        <v>45315</v>
      </c>
      <c r="CF429" s="101">
        <v>12150652</v>
      </c>
      <c r="CG429" s="101">
        <v>18899</v>
      </c>
      <c r="CH429" s="101">
        <v>12169551</v>
      </c>
      <c r="CI429" s="101">
        <v>99.84</v>
      </c>
      <c r="CJ429" s="71">
        <f t="shared" si="117"/>
        <v>12.169551</v>
      </c>
      <c r="CL429" s="140">
        <v>45308</v>
      </c>
      <c r="CM429" t="s">
        <v>238</v>
      </c>
      <c r="CN429" s="101">
        <v>1090</v>
      </c>
      <c r="CO429" s="101">
        <v>503</v>
      </c>
    </row>
    <row r="430" spans="1:93" hidden="1" x14ac:dyDescent="0.25">
      <c r="A430" s="215">
        <v>45316</v>
      </c>
      <c r="B430" s="48">
        <v>6329654</v>
      </c>
      <c r="C430" s="48">
        <v>36304</v>
      </c>
      <c r="D430" s="48">
        <v>6365958</v>
      </c>
      <c r="E430" s="48">
        <v>99.43</v>
      </c>
      <c r="F430" s="71">
        <f t="shared" si="114"/>
        <v>6.365958</v>
      </c>
      <c r="H430" s="215">
        <v>45316</v>
      </c>
      <c r="I430" s="48">
        <v>1613287</v>
      </c>
      <c r="J430" s="48">
        <v>1272</v>
      </c>
      <c r="K430" s="48">
        <v>1614559</v>
      </c>
      <c r="L430" s="48">
        <v>99.92</v>
      </c>
      <c r="M430" s="71">
        <f t="shared" si="113"/>
        <v>1.6145590000000001</v>
      </c>
      <c r="O430" s="215">
        <v>45316</v>
      </c>
      <c r="P430" s="48">
        <v>700903</v>
      </c>
      <c r="Q430" s="48">
        <v>0</v>
      </c>
      <c r="R430" s="48">
        <v>700903</v>
      </c>
      <c r="S430" s="48">
        <v>100</v>
      </c>
      <c r="T430" s="71">
        <f t="shared" si="116"/>
        <v>0.70090300000000005</v>
      </c>
      <c r="V430" s="215">
        <v>45316</v>
      </c>
      <c r="W430" s="48">
        <v>1138105</v>
      </c>
      <c r="X430" s="48">
        <v>11452</v>
      </c>
      <c r="Y430" s="48">
        <v>1149557</v>
      </c>
      <c r="Z430" s="48">
        <v>99</v>
      </c>
      <c r="AA430" s="71">
        <f t="shared" si="110"/>
        <v>1.1495569999999999</v>
      </c>
      <c r="AC430" s="215">
        <v>45316</v>
      </c>
      <c r="AD430" s="48">
        <v>782527</v>
      </c>
      <c r="AE430" s="48">
        <v>131</v>
      </c>
      <c r="AF430" s="48">
        <v>782658</v>
      </c>
      <c r="AG430" s="48">
        <v>99.98</v>
      </c>
      <c r="AH430" s="71">
        <f t="shared" si="112"/>
        <v>0.78265799999999996</v>
      </c>
      <c r="AJ430" s="215">
        <v>45316</v>
      </c>
      <c r="AK430" s="48">
        <v>0</v>
      </c>
      <c r="AL430" s="48">
        <v>38</v>
      </c>
      <c r="AM430" s="48">
        <v>38</v>
      </c>
      <c r="AN430" s="48">
        <v>0</v>
      </c>
      <c r="AQ430" s="215">
        <v>45316</v>
      </c>
      <c r="AR430" s="48">
        <v>501</v>
      </c>
      <c r="AS430" s="48">
        <v>3</v>
      </c>
      <c r="AT430" s="48">
        <v>504</v>
      </c>
      <c r="AU430" s="48">
        <v>99.4</v>
      </c>
      <c r="AX430" s="215">
        <v>45316</v>
      </c>
      <c r="AY430" s="48">
        <v>1693</v>
      </c>
      <c r="AZ430" s="48">
        <v>14</v>
      </c>
      <c r="BA430" s="48">
        <v>1707</v>
      </c>
      <c r="BB430" s="48">
        <v>99.18</v>
      </c>
      <c r="BE430" s="215">
        <v>45316</v>
      </c>
      <c r="BF430" s="48">
        <v>9587</v>
      </c>
      <c r="BG430" s="48">
        <v>610</v>
      </c>
      <c r="BH430" s="48">
        <v>10197</v>
      </c>
      <c r="BI430" s="48">
        <v>94.02</v>
      </c>
      <c r="BL430" s="215">
        <v>45316</v>
      </c>
      <c r="BM430" s="48">
        <v>198136</v>
      </c>
      <c r="BN430" s="104">
        <v>0</v>
      </c>
      <c r="BO430" s="48">
        <v>198136</v>
      </c>
      <c r="BP430" s="48">
        <v>100</v>
      </c>
      <c r="BS430" s="215">
        <v>45316</v>
      </c>
      <c r="BT430" s="48">
        <v>48604</v>
      </c>
      <c r="BU430" s="48">
        <v>48</v>
      </c>
      <c r="BV430" s="48">
        <v>48652</v>
      </c>
      <c r="BW430" s="48">
        <v>99.9</v>
      </c>
      <c r="BZ430" s="215">
        <v>45316</v>
      </c>
      <c r="CA430" s="48">
        <v>32440284</v>
      </c>
      <c r="CB430" s="48">
        <v>2362757</v>
      </c>
      <c r="CC430" s="71">
        <f t="shared" si="111"/>
        <v>13.729843568339867</v>
      </c>
      <c r="CE430" s="222">
        <v>45316</v>
      </c>
      <c r="CF430" s="101">
        <v>12970198</v>
      </c>
      <c r="CG430" s="101">
        <v>56799</v>
      </c>
      <c r="CH430" s="101">
        <v>13026997</v>
      </c>
      <c r="CI430" s="101">
        <v>99.56</v>
      </c>
      <c r="CJ430" s="71">
        <f t="shared" si="117"/>
        <v>13.026997</v>
      </c>
      <c r="CL430" s="140">
        <v>45309</v>
      </c>
      <c r="CM430" t="s">
        <v>237</v>
      </c>
      <c r="CN430" s="101">
        <v>29379</v>
      </c>
      <c r="CO430" s="101">
        <v>527</v>
      </c>
    </row>
    <row r="431" spans="1:93" hidden="1" x14ac:dyDescent="0.25">
      <c r="A431" s="215">
        <v>45317</v>
      </c>
      <c r="B431" s="48">
        <v>7788695</v>
      </c>
      <c r="C431" s="48">
        <v>7806</v>
      </c>
      <c r="D431" s="48">
        <v>7796501</v>
      </c>
      <c r="E431" s="48">
        <v>99.9</v>
      </c>
      <c r="F431" s="71">
        <f t="shared" si="114"/>
        <v>7.7965010000000001</v>
      </c>
      <c r="H431" s="215">
        <v>45317</v>
      </c>
      <c r="I431" s="48">
        <v>2001609</v>
      </c>
      <c r="J431" s="48">
        <v>1454</v>
      </c>
      <c r="K431" s="48">
        <v>2003063</v>
      </c>
      <c r="L431" s="48">
        <v>99.93</v>
      </c>
      <c r="M431" s="71">
        <f t="shared" si="113"/>
        <v>2.003063</v>
      </c>
      <c r="O431" s="215">
        <v>45317</v>
      </c>
      <c r="P431" s="48">
        <v>867089</v>
      </c>
      <c r="Q431" s="48">
        <v>0</v>
      </c>
      <c r="R431" s="48">
        <v>867089</v>
      </c>
      <c r="S431" s="48">
        <v>100</v>
      </c>
      <c r="T431" s="71">
        <f t="shared" si="116"/>
        <v>0.867089</v>
      </c>
      <c r="V431" s="215">
        <v>45317</v>
      </c>
      <c r="W431" s="48">
        <v>1394097</v>
      </c>
      <c r="X431" s="48">
        <v>746</v>
      </c>
      <c r="Y431" s="48">
        <v>1394843</v>
      </c>
      <c r="Z431" s="48">
        <v>99.95</v>
      </c>
      <c r="AA431" s="71">
        <f t="shared" si="110"/>
        <v>1.3948430000000001</v>
      </c>
      <c r="AC431" s="215">
        <v>45317</v>
      </c>
      <c r="AD431" s="48">
        <v>767759</v>
      </c>
      <c r="AE431" s="48">
        <v>6080</v>
      </c>
      <c r="AF431" s="48">
        <v>773839</v>
      </c>
      <c r="AG431" s="48">
        <v>99.21</v>
      </c>
      <c r="AH431" s="71">
        <f t="shared" si="112"/>
        <v>0.77383900000000005</v>
      </c>
      <c r="AJ431" s="215">
        <v>45317</v>
      </c>
      <c r="AK431" s="48">
        <v>0</v>
      </c>
      <c r="AL431" s="48">
        <v>42</v>
      </c>
      <c r="AM431" s="48">
        <v>42</v>
      </c>
      <c r="AN431" s="48">
        <v>0</v>
      </c>
      <c r="AQ431" s="215">
        <v>45317</v>
      </c>
      <c r="AR431" s="48">
        <v>575</v>
      </c>
      <c r="AS431" s="48">
        <v>1</v>
      </c>
      <c r="AT431" s="48">
        <v>576</v>
      </c>
      <c r="AU431" s="48">
        <v>99.83</v>
      </c>
      <c r="AX431" s="215">
        <v>45317</v>
      </c>
      <c r="AY431" s="48">
        <v>1721</v>
      </c>
      <c r="AZ431" s="48">
        <v>32</v>
      </c>
      <c r="BA431" s="48">
        <v>1753</v>
      </c>
      <c r="BB431" s="48">
        <v>98.17</v>
      </c>
      <c r="BE431" s="215">
        <v>45317</v>
      </c>
      <c r="BF431" s="48">
        <v>12677</v>
      </c>
      <c r="BG431" s="48">
        <v>782</v>
      </c>
      <c r="BH431" s="48">
        <v>13459</v>
      </c>
      <c r="BI431" s="48">
        <v>94.19</v>
      </c>
      <c r="BL431" s="215">
        <v>45317</v>
      </c>
      <c r="BM431" s="48">
        <v>181299</v>
      </c>
      <c r="BN431" s="104">
        <v>0</v>
      </c>
      <c r="BO431" s="48">
        <v>181299</v>
      </c>
      <c r="BP431" s="48">
        <v>100</v>
      </c>
      <c r="BS431" s="215">
        <v>45317</v>
      </c>
      <c r="BT431" s="48">
        <v>33976</v>
      </c>
      <c r="BU431" s="48">
        <v>157</v>
      </c>
      <c r="BV431" s="48">
        <v>34133</v>
      </c>
      <c r="BW431" s="48">
        <v>99.54</v>
      </c>
      <c r="BZ431" s="215">
        <v>45317</v>
      </c>
      <c r="CA431" s="48">
        <v>35442599</v>
      </c>
      <c r="CB431" s="48">
        <v>2518458</v>
      </c>
      <c r="CC431" s="71">
        <f t="shared" si="111"/>
        <v>14.073134830916379</v>
      </c>
      <c r="CE431" s="222">
        <v>45317</v>
      </c>
      <c r="CF431" s="101">
        <v>15733964</v>
      </c>
      <c r="CG431" s="101">
        <v>25411</v>
      </c>
      <c r="CH431" s="101">
        <v>15759375</v>
      </c>
      <c r="CI431" s="101">
        <v>99.84</v>
      </c>
      <c r="CJ431" s="71">
        <f t="shared" si="117"/>
        <v>15.759375</v>
      </c>
      <c r="CL431" s="140">
        <v>45309</v>
      </c>
      <c r="CM431" t="s">
        <v>240</v>
      </c>
      <c r="CN431" s="101">
        <v>2889</v>
      </c>
      <c r="CO431" s="101">
        <v>516</v>
      </c>
    </row>
    <row r="432" spans="1:93" hidden="1" x14ac:dyDescent="0.25">
      <c r="A432" s="215">
        <v>45318</v>
      </c>
      <c r="B432" s="48">
        <v>6900152</v>
      </c>
      <c r="C432" s="48">
        <v>4980</v>
      </c>
      <c r="D432" s="48">
        <v>6905132</v>
      </c>
      <c r="E432" s="48">
        <v>99.93</v>
      </c>
      <c r="F432" s="71">
        <f t="shared" si="114"/>
        <v>6.905132</v>
      </c>
      <c r="H432" s="215">
        <v>45318</v>
      </c>
      <c r="I432" s="48">
        <v>1603563</v>
      </c>
      <c r="J432" s="48">
        <v>1051</v>
      </c>
      <c r="K432" s="48">
        <v>1604614</v>
      </c>
      <c r="L432" s="48">
        <v>99.93</v>
      </c>
      <c r="M432" s="71">
        <f t="shared" si="113"/>
        <v>1.604614</v>
      </c>
      <c r="O432" s="215">
        <v>45318</v>
      </c>
      <c r="P432" s="48">
        <v>857507</v>
      </c>
      <c r="Q432" s="48">
        <v>0</v>
      </c>
      <c r="R432" s="48">
        <v>857507</v>
      </c>
      <c r="S432" s="48">
        <v>100</v>
      </c>
      <c r="T432" s="71">
        <f t="shared" si="116"/>
        <v>0.85750700000000002</v>
      </c>
      <c r="V432" s="215">
        <v>45318</v>
      </c>
      <c r="W432" s="48">
        <v>1062266</v>
      </c>
      <c r="X432" s="48">
        <v>184</v>
      </c>
      <c r="Y432" s="48">
        <v>1062450</v>
      </c>
      <c r="Z432" s="48">
        <v>99.98</v>
      </c>
      <c r="AA432" s="71">
        <f t="shared" si="110"/>
        <v>1.0624499999999999</v>
      </c>
      <c r="AC432" s="215">
        <v>45318</v>
      </c>
      <c r="AD432" s="48">
        <v>813807</v>
      </c>
      <c r="AE432" s="48">
        <v>746</v>
      </c>
      <c r="AF432" s="48">
        <v>814553</v>
      </c>
      <c r="AG432" s="48">
        <v>99.91</v>
      </c>
      <c r="AH432" s="71">
        <f t="shared" si="112"/>
        <v>0.81455299999999997</v>
      </c>
      <c r="AJ432" s="215">
        <v>45318</v>
      </c>
      <c r="AK432" s="48">
        <v>0</v>
      </c>
      <c r="AL432" s="48">
        <v>23</v>
      </c>
      <c r="AM432" s="48">
        <v>23</v>
      </c>
      <c r="AN432" s="48">
        <v>0</v>
      </c>
      <c r="AQ432" s="215">
        <v>45318</v>
      </c>
      <c r="AR432" s="48">
        <v>344</v>
      </c>
      <c r="AS432" s="48">
        <v>0</v>
      </c>
      <c r="AT432" s="48">
        <v>344</v>
      </c>
      <c r="AU432" s="48">
        <v>100</v>
      </c>
      <c r="AX432" s="215">
        <v>45318</v>
      </c>
      <c r="AY432" s="48">
        <v>1174</v>
      </c>
      <c r="AZ432" s="48">
        <v>70</v>
      </c>
      <c r="BA432" s="48">
        <v>1244</v>
      </c>
      <c r="BB432" s="48">
        <v>94.37</v>
      </c>
      <c r="BE432" s="215">
        <v>45318</v>
      </c>
      <c r="BF432" s="48">
        <v>10421</v>
      </c>
      <c r="BG432" s="48">
        <v>696</v>
      </c>
      <c r="BH432" s="48">
        <v>11117</v>
      </c>
      <c r="BI432" s="48">
        <v>93.74</v>
      </c>
      <c r="BL432" s="215">
        <v>45318</v>
      </c>
      <c r="BM432" s="48">
        <v>193463</v>
      </c>
      <c r="BN432" s="104">
        <v>0</v>
      </c>
      <c r="BO432" s="48">
        <v>193463</v>
      </c>
      <c r="BP432" s="48">
        <v>100</v>
      </c>
      <c r="BS432" s="215">
        <v>45318</v>
      </c>
      <c r="BT432" s="48">
        <v>30843</v>
      </c>
      <c r="BU432" s="48">
        <v>2</v>
      </c>
      <c r="BV432" s="48">
        <v>30845</v>
      </c>
      <c r="BW432" s="48">
        <v>99.99</v>
      </c>
      <c r="BZ432" s="215">
        <v>45318</v>
      </c>
      <c r="CA432" s="48">
        <v>35677912</v>
      </c>
      <c r="CB432" s="48">
        <v>2457914</v>
      </c>
      <c r="CC432" s="71">
        <f t="shared" si="111"/>
        <v>14.515524953273385</v>
      </c>
      <c r="CE432" s="222">
        <v>45318</v>
      </c>
      <c r="CF432" s="101">
        <v>13576792</v>
      </c>
      <c r="CG432" s="101">
        <v>12999</v>
      </c>
      <c r="CH432" s="101">
        <v>13589791</v>
      </c>
      <c r="CI432" s="101">
        <v>99.9</v>
      </c>
      <c r="CJ432" s="71">
        <f t="shared" si="117"/>
        <v>13.589791</v>
      </c>
      <c r="CL432" s="140">
        <v>45309</v>
      </c>
      <c r="CM432" s="252" t="s">
        <v>239</v>
      </c>
      <c r="CN432" s="101">
        <v>1473</v>
      </c>
      <c r="CO432" s="101">
        <v>504</v>
      </c>
    </row>
    <row r="433" spans="1:93" hidden="1" x14ac:dyDescent="0.25">
      <c r="A433" s="215">
        <v>45319</v>
      </c>
      <c r="B433" s="48">
        <v>4895626</v>
      </c>
      <c r="C433" s="48">
        <v>1096</v>
      </c>
      <c r="D433" s="48">
        <v>4896722</v>
      </c>
      <c r="E433" s="48">
        <v>99.98</v>
      </c>
      <c r="F433" s="71">
        <f t="shared" si="114"/>
        <v>4.8967219999999996</v>
      </c>
      <c r="H433" s="215">
        <v>45319</v>
      </c>
      <c r="I433" s="48">
        <v>1358417</v>
      </c>
      <c r="J433" s="48">
        <v>979</v>
      </c>
      <c r="K433" s="48">
        <v>1359396</v>
      </c>
      <c r="L433" s="48">
        <v>99.93</v>
      </c>
      <c r="M433" s="71">
        <f t="shared" si="113"/>
        <v>1.359396</v>
      </c>
      <c r="O433" s="215">
        <v>45319</v>
      </c>
      <c r="P433" s="48">
        <v>695328</v>
      </c>
      <c r="Q433" s="48">
        <v>0</v>
      </c>
      <c r="R433" s="48">
        <v>695328</v>
      </c>
      <c r="S433" s="48">
        <v>100</v>
      </c>
      <c r="T433" s="71">
        <f t="shared" si="116"/>
        <v>0.69532799999999995</v>
      </c>
      <c r="V433" s="215">
        <v>45319</v>
      </c>
      <c r="W433" s="48">
        <v>910668</v>
      </c>
      <c r="X433" s="48">
        <v>177</v>
      </c>
      <c r="Y433" s="48">
        <v>910845</v>
      </c>
      <c r="Z433" s="48">
        <v>99.98</v>
      </c>
      <c r="AA433" s="71">
        <f t="shared" si="110"/>
        <v>0.91084500000000002</v>
      </c>
      <c r="AC433" s="215">
        <v>45319</v>
      </c>
      <c r="AD433" s="48">
        <v>663869</v>
      </c>
      <c r="AE433" s="48">
        <v>425</v>
      </c>
      <c r="AF433" s="48">
        <v>664294</v>
      </c>
      <c r="AG433" s="48">
        <v>99.94</v>
      </c>
      <c r="AH433" s="71">
        <f t="shared" si="112"/>
        <v>0.66429400000000005</v>
      </c>
      <c r="AJ433" s="215">
        <v>45319</v>
      </c>
      <c r="AK433" s="48">
        <v>0</v>
      </c>
      <c r="AL433" s="48">
        <v>26</v>
      </c>
      <c r="AM433" s="48">
        <v>26</v>
      </c>
      <c r="AN433" s="48">
        <v>0</v>
      </c>
      <c r="AQ433" s="215">
        <v>45319</v>
      </c>
      <c r="AR433" s="48">
        <v>179</v>
      </c>
      <c r="AS433" s="48">
        <v>0</v>
      </c>
      <c r="AT433" s="48">
        <v>179</v>
      </c>
      <c r="AU433" s="48">
        <v>100</v>
      </c>
      <c r="AX433" s="215">
        <v>45319</v>
      </c>
      <c r="AY433" s="48">
        <v>218</v>
      </c>
      <c r="AZ433" s="48">
        <v>59</v>
      </c>
      <c r="BA433" s="48">
        <v>277</v>
      </c>
      <c r="BB433" s="48">
        <v>78.7</v>
      </c>
      <c r="BE433" s="215">
        <v>45319</v>
      </c>
      <c r="BF433" s="48">
        <v>5994</v>
      </c>
      <c r="BG433" s="48">
        <v>329</v>
      </c>
      <c r="BH433" s="48">
        <v>6323</v>
      </c>
      <c r="BI433" s="48">
        <v>94.8</v>
      </c>
      <c r="BL433" s="215">
        <v>45319</v>
      </c>
      <c r="BM433" s="48">
        <v>4048</v>
      </c>
      <c r="BN433" s="104">
        <v>0</v>
      </c>
      <c r="BO433" s="48">
        <v>4048</v>
      </c>
      <c r="BP433" s="48">
        <v>100</v>
      </c>
      <c r="BS433" s="215">
        <v>45319</v>
      </c>
      <c r="BT433" s="48">
        <v>23454</v>
      </c>
      <c r="BU433" s="48">
        <v>0</v>
      </c>
      <c r="BV433" s="48">
        <v>23454</v>
      </c>
      <c r="BW433" s="48">
        <v>100</v>
      </c>
      <c r="BZ433" s="215">
        <v>45319</v>
      </c>
      <c r="CA433" s="48">
        <v>30276857</v>
      </c>
      <c r="CB433" s="48">
        <v>1970047</v>
      </c>
      <c r="CC433" s="71">
        <f t="shared" si="111"/>
        <v>15.368596282220677</v>
      </c>
      <c r="CE433" s="222">
        <v>45319</v>
      </c>
      <c r="CF433" s="101">
        <v>10340584</v>
      </c>
      <c r="CG433" s="101">
        <v>6423</v>
      </c>
      <c r="CH433" s="101">
        <v>10347007</v>
      </c>
      <c r="CI433" s="101">
        <v>99.94</v>
      </c>
      <c r="CJ433" s="71">
        <f t="shared" si="117"/>
        <v>10.347007</v>
      </c>
      <c r="CL433" s="140">
        <v>45309</v>
      </c>
      <c r="CM433" t="s">
        <v>243</v>
      </c>
      <c r="CN433" s="101">
        <v>1393</v>
      </c>
      <c r="CO433" s="101">
        <v>540</v>
      </c>
    </row>
    <row r="434" spans="1:93" hidden="1" x14ac:dyDescent="0.25">
      <c r="A434" s="215">
        <v>45320</v>
      </c>
      <c r="B434" s="104">
        <v>5808614</v>
      </c>
      <c r="C434" s="104">
        <v>1679</v>
      </c>
      <c r="D434" s="104">
        <v>5810293</v>
      </c>
      <c r="E434" s="104">
        <v>99.97</v>
      </c>
      <c r="F434" s="71">
        <f t="shared" si="114"/>
        <v>5.8102929999999997</v>
      </c>
      <c r="H434" s="215">
        <v>45320</v>
      </c>
      <c r="I434" s="101">
        <v>1509118</v>
      </c>
      <c r="J434" s="101">
        <v>1048</v>
      </c>
      <c r="K434" s="101">
        <v>1510166</v>
      </c>
      <c r="L434" s="101">
        <v>99.93</v>
      </c>
      <c r="M434" s="71">
        <f t="shared" si="113"/>
        <v>1.5101659999999999</v>
      </c>
      <c r="O434" s="215">
        <v>45320</v>
      </c>
      <c r="P434" s="101">
        <v>762422</v>
      </c>
      <c r="Q434" s="101">
        <v>0</v>
      </c>
      <c r="R434" s="101">
        <v>762422</v>
      </c>
      <c r="S434" s="101">
        <v>100</v>
      </c>
      <c r="T434" s="71">
        <f t="shared" si="116"/>
        <v>0.76242200000000004</v>
      </c>
      <c r="V434" s="215">
        <v>45320</v>
      </c>
      <c r="W434" s="101">
        <v>1046195</v>
      </c>
      <c r="X434" s="101">
        <v>179</v>
      </c>
      <c r="Y434" s="101">
        <v>1046374</v>
      </c>
      <c r="Z434" s="101">
        <v>99.98</v>
      </c>
      <c r="AA434" s="71">
        <f t="shared" si="110"/>
        <v>1.0463739999999999</v>
      </c>
      <c r="AC434" s="215">
        <v>45320</v>
      </c>
      <c r="AD434" s="101">
        <v>642890</v>
      </c>
      <c r="AE434" s="101">
        <v>480</v>
      </c>
      <c r="AF434" s="101">
        <v>643370</v>
      </c>
      <c r="AG434" s="101">
        <v>99.93</v>
      </c>
      <c r="AH434" s="71">
        <f t="shared" si="112"/>
        <v>0.64337</v>
      </c>
      <c r="AJ434" s="215">
        <v>45320</v>
      </c>
      <c r="AK434" s="48">
        <v>0</v>
      </c>
      <c r="AL434" s="48">
        <v>58</v>
      </c>
      <c r="AM434" s="48">
        <v>58</v>
      </c>
      <c r="AN434" s="48">
        <v>0</v>
      </c>
      <c r="AQ434" s="215">
        <v>45320</v>
      </c>
      <c r="AR434" s="48">
        <v>237</v>
      </c>
      <c r="AS434" s="48">
        <v>0</v>
      </c>
      <c r="AT434" s="48">
        <v>237</v>
      </c>
      <c r="AU434" s="48">
        <v>100</v>
      </c>
      <c r="AX434" s="215">
        <v>45320</v>
      </c>
      <c r="AY434" s="104">
        <v>1946</v>
      </c>
      <c r="AZ434" s="104">
        <v>23</v>
      </c>
      <c r="BA434" s="104">
        <v>1969</v>
      </c>
      <c r="BB434" s="104">
        <v>98.83</v>
      </c>
      <c r="BE434" s="215">
        <v>45320</v>
      </c>
      <c r="BF434" s="101">
        <v>6704</v>
      </c>
      <c r="BG434" s="101">
        <v>554</v>
      </c>
      <c r="BH434" s="101">
        <v>7258</v>
      </c>
      <c r="BI434" s="101">
        <v>92.37</v>
      </c>
      <c r="BL434" s="215">
        <v>45320</v>
      </c>
      <c r="BM434" s="101">
        <v>186851</v>
      </c>
      <c r="BN434" s="101">
        <v>0</v>
      </c>
      <c r="BO434" s="101">
        <v>186851</v>
      </c>
      <c r="BP434" s="101">
        <v>100</v>
      </c>
      <c r="BS434" s="215">
        <v>45320</v>
      </c>
      <c r="BT434" s="104">
        <v>40668</v>
      </c>
      <c r="BU434" s="104">
        <v>3019</v>
      </c>
      <c r="BV434" s="104">
        <v>43687</v>
      </c>
      <c r="BW434" s="104">
        <v>93.09</v>
      </c>
      <c r="BZ434" s="215">
        <v>45320</v>
      </c>
      <c r="CA434" s="48">
        <v>31475846</v>
      </c>
      <c r="CB434" s="48">
        <v>2403075</v>
      </c>
      <c r="CC434" s="71">
        <f t="shared" si="111"/>
        <v>13.098153823746658</v>
      </c>
      <c r="CE434" s="222">
        <v>45320</v>
      </c>
      <c r="CF434" s="101">
        <v>12002625</v>
      </c>
      <c r="CG434" s="101">
        <v>13388</v>
      </c>
      <c r="CH434" s="101">
        <v>12016013</v>
      </c>
      <c r="CI434" s="101">
        <v>99.89</v>
      </c>
      <c r="CJ434" s="71">
        <f t="shared" si="117"/>
        <v>12.016012999999999</v>
      </c>
      <c r="CL434" s="70">
        <v>44958</v>
      </c>
      <c r="CM434" t="s">
        <v>240</v>
      </c>
      <c r="CN434" s="101">
        <v>2801</v>
      </c>
      <c r="CO434" s="101">
        <v>516</v>
      </c>
    </row>
    <row r="435" spans="1:93" hidden="1" x14ac:dyDescent="0.25">
      <c r="A435" s="215">
        <v>45321</v>
      </c>
      <c r="B435" s="104">
        <v>6033423</v>
      </c>
      <c r="C435" s="104">
        <v>1728</v>
      </c>
      <c r="D435" s="104">
        <v>6035151</v>
      </c>
      <c r="E435" s="104">
        <v>99.97</v>
      </c>
      <c r="F435" s="71">
        <f t="shared" si="114"/>
        <v>6.0351509999999999</v>
      </c>
      <c r="H435" s="215">
        <v>45321</v>
      </c>
      <c r="I435" s="101">
        <v>1717671</v>
      </c>
      <c r="J435" s="101">
        <v>1662</v>
      </c>
      <c r="K435" s="101">
        <v>1719333</v>
      </c>
      <c r="L435" s="101">
        <v>99.9</v>
      </c>
      <c r="M435" s="71">
        <f t="shared" si="113"/>
        <v>1.719333</v>
      </c>
      <c r="O435" s="215">
        <v>45321</v>
      </c>
      <c r="P435" s="101">
        <v>770413</v>
      </c>
      <c r="Q435" s="101">
        <v>13</v>
      </c>
      <c r="R435" s="101">
        <v>770426</v>
      </c>
      <c r="S435" s="101">
        <v>100</v>
      </c>
      <c r="T435" s="71">
        <f t="shared" si="116"/>
        <v>0.77042600000000006</v>
      </c>
      <c r="V435" s="215">
        <v>45321</v>
      </c>
      <c r="W435" s="101">
        <v>1041843</v>
      </c>
      <c r="X435" s="101">
        <v>168</v>
      </c>
      <c r="Y435" s="101">
        <v>1042011</v>
      </c>
      <c r="Z435" s="101">
        <v>99.98</v>
      </c>
      <c r="AA435" s="71">
        <f t="shared" si="110"/>
        <v>1.042011</v>
      </c>
      <c r="AC435" s="215">
        <v>45321</v>
      </c>
      <c r="AD435" s="101">
        <v>648216</v>
      </c>
      <c r="AE435" s="101">
        <v>2087</v>
      </c>
      <c r="AF435" s="101">
        <v>650303</v>
      </c>
      <c r="AG435" s="101">
        <v>99.68</v>
      </c>
      <c r="AH435" s="71">
        <f t="shared" si="112"/>
        <v>0.65030299999999996</v>
      </c>
      <c r="AJ435" s="215">
        <v>45321</v>
      </c>
      <c r="AK435" s="48">
        <v>0</v>
      </c>
      <c r="AL435" s="48">
        <v>53</v>
      </c>
      <c r="AM435" s="48">
        <v>53</v>
      </c>
      <c r="AN435" s="48">
        <v>0</v>
      </c>
      <c r="AQ435" s="215">
        <v>45321</v>
      </c>
      <c r="AR435" s="48">
        <v>225</v>
      </c>
      <c r="AS435" s="48">
        <v>0</v>
      </c>
      <c r="AT435" s="48">
        <v>225</v>
      </c>
      <c r="AU435" s="48">
        <v>100</v>
      </c>
      <c r="AX435" s="215">
        <v>45321</v>
      </c>
      <c r="AY435" s="104">
        <v>1297</v>
      </c>
      <c r="AZ435" s="104">
        <v>54</v>
      </c>
      <c r="BA435" s="104">
        <v>1351</v>
      </c>
      <c r="BB435" s="104">
        <v>96</v>
      </c>
      <c r="BE435" s="215">
        <v>45321</v>
      </c>
      <c r="BF435" s="101">
        <v>8033</v>
      </c>
      <c r="BG435" s="101">
        <v>634</v>
      </c>
      <c r="BH435" s="101">
        <v>8667</v>
      </c>
      <c r="BI435" s="101">
        <v>92.68</v>
      </c>
      <c r="BL435" s="215">
        <v>45321</v>
      </c>
      <c r="BM435" s="101">
        <v>203327</v>
      </c>
      <c r="BN435" s="101">
        <v>0</v>
      </c>
      <c r="BO435" s="101">
        <v>203327</v>
      </c>
      <c r="BP435" s="101">
        <v>100</v>
      </c>
      <c r="BS435" s="215">
        <v>45321</v>
      </c>
      <c r="BT435" s="104">
        <v>15016</v>
      </c>
      <c r="BU435" s="104">
        <v>1136</v>
      </c>
      <c r="BV435" s="104">
        <v>16152</v>
      </c>
      <c r="BW435" s="104">
        <v>92.97</v>
      </c>
      <c r="BZ435" s="215">
        <v>45321</v>
      </c>
      <c r="CA435" s="48">
        <v>33333725</v>
      </c>
      <c r="CB435" s="48">
        <v>2519285</v>
      </c>
      <c r="CC435" s="71">
        <f t="shared" si="111"/>
        <v>13.231422804486193</v>
      </c>
      <c r="CE435" s="222">
        <v>45321</v>
      </c>
      <c r="CF435" s="101">
        <v>12502283</v>
      </c>
      <c r="CG435" s="101">
        <v>12218</v>
      </c>
      <c r="CH435" s="101">
        <v>12514501</v>
      </c>
      <c r="CI435" s="101">
        <v>99.9</v>
      </c>
      <c r="CJ435" s="71">
        <f t="shared" si="117"/>
        <v>12.514500999999999</v>
      </c>
      <c r="CL435" s="70">
        <v>44958</v>
      </c>
      <c r="CM435" t="s">
        <v>237</v>
      </c>
      <c r="CN435" s="101">
        <v>1581</v>
      </c>
      <c r="CO435" s="101">
        <v>527</v>
      </c>
    </row>
    <row r="436" spans="1:93" hidden="1" x14ac:dyDescent="0.25">
      <c r="A436" s="215">
        <v>45322</v>
      </c>
      <c r="B436" s="104">
        <v>6816420</v>
      </c>
      <c r="C436" s="104">
        <v>2152</v>
      </c>
      <c r="D436" s="104">
        <v>6818572</v>
      </c>
      <c r="E436" s="104">
        <v>99.97</v>
      </c>
      <c r="F436" s="71">
        <f t="shared" si="114"/>
        <v>6.8185719999999996</v>
      </c>
      <c r="H436" s="215">
        <v>45322</v>
      </c>
      <c r="I436" s="101">
        <v>1642416</v>
      </c>
      <c r="J436" s="101">
        <v>1224</v>
      </c>
      <c r="K436" s="101">
        <v>1643640</v>
      </c>
      <c r="L436" s="101">
        <v>99.93</v>
      </c>
      <c r="M436" s="71">
        <f t="shared" si="113"/>
        <v>1.64364</v>
      </c>
      <c r="O436" s="215">
        <v>45322</v>
      </c>
      <c r="P436" s="101">
        <v>692796</v>
      </c>
      <c r="Q436" s="101">
        <v>9</v>
      </c>
      <c r="R436" s="101">
        <v>692805</v>
      </c>
      <c r="S436" s="101">
        <v>100</v>
      </c>
      <c r="T436" s="71">
        <f t="shared" si="116"/>
        <v>0.692805</v>
      </c>
      <c r="V436" s="215">
        <v>45322</v>
      </c>
      <c r="W436" s="101">
        <v>1133393</v>
      </c>
      <c r="X436" s="101">
        <v>289</v>
      </c>
      <c r="Y436" s="101">
        <v>1133682</v>
      </c>
      <c r="Z436" s="101">
        <v>99.97</v>
      </c>
      <c r="AA436" s="71">
        <f t="shared" si="110"/>
        <v>1.1336820000000001</v>
      </c>
      <c r="AC436" s="215">
        <v>45322</v>
      </c>
      <c r="AD436" s="101">
        <v>763445</v>
      </c>
      <c r="AE436" s="101">
        <v>518</v>
      </c>
      <c r="AF436" s="101">
        <v>763963</v>
      </c>
      <c r="AG436" s="101">
        <v>99.93</v>
      </c>
      <c r="AH436" s="71">
        <f t="shared" si="112"/>
        <v>0.76396299999999995</v>
      </c>
      <c r="AJ436" s="215">
        <v>45322</v>
      </c>
      <c r="AK436" s="48">
        <v>0</v>
      </c>
      <c r="AL436" s="48">
        <v>27</v>
      </c>
      <c r="AM436" s="48">
        <v>27</v>
      </c>
      <c r="AN436" s="48">
        <v>0</v>
      </c>
      <c r="AQ436" s="215">
        <v>45322</v>
      </c>
      <c r="AR436" s="48">
        <v>415</v>
      </c>
      <c r="AS436" s="48">
        <v>0</v>
      </c>
      <c r="AT436" s="48">
        <v>415</v>
      </c>
      <c r="AU436" s="48">
        <v>100</v>
      </c>
      <c r="AX436" s="215">
        <v>45322</v>
      </c>
      <c r="AY436" s="104">
        <v>640</v>
      </c>
      <c r="AZ436" s="104">
        <v>651</v>
      </c>
      <c r="BA436" s="104">
        <v>1291</v>
      </c>
      <c r="BB436" s="104">
        <v>49.57</v>
      </c>
      <c r="BE436" s="215">
        <v>45322</v>
      </c>
      <c r="BF436" s="101">
        <v>9673</v>
      </c>
      <c r="BG436" s="101">
        <v>774</v>
      </c>
      <c r="BH436" s="101">
        <v>10447</v>
      </c>
      <c r="BI436" s="101">
        <v>92.59</v>
      </c>
      <c r="BL436" s="215">
        <v>45322</v>
      </c>
      <c r="BM436" s="101">
        <v>240414</v>
      </c>
      <c r="BN436" s="101">
        <v>0</v>
      </c>
      <c r="BO436" s="101">
        <v>240414</v>
      </c>
      <c r="BP436" s="101">
        <v>100</v>
      </c>
      <c r="BS436" s="215">
        <v>45322</v>
      </c>
      <c r="BT436" s="104">
        <v>23979</v>
      </c>
      <c r="BU436" s="104">
        <v>2</v>
      </c>
      <c r="BV436" s="104">
        <v>23981</v>
      </c>
      <c r="BW436" s="104">
        <v>99.99</v>
      </c>
      <c r="BZ436" s="215">
        <v>45322</v>
      </c>
      <c r="CA436" s="48">
        <v>33410634</v>
      </c>
      <c r="CB436" s="48">
        <v>2576036</v>
      </c>
      <c r="CC436" s="71">
        <f t="shared" si="111"/>
        <v>12.969785360142483</v>
      </c>
      <c r="CE436" s="222">
        <v>45322</v>
      </c>
      <c r="CF436" s="101">
        <v>13484321</v>
      </c>
      <c r="CG436" s="101">
        <v>10938</v>
      </c>
      <c r="CH436" s="101">
        <v>13495259</v>
      </c>
      <c r="CI436" s="101">
        <v>99.92</v>
      </c>
      <c r="CJ436" s="71">
        <f t="shared" si="117"/>
        <v>13.495259000000001</v>
      </c>
      <c r="CL436" s="70">
        <v>44958</v>
      </c>
      <c r="CM436" s="252" t="s">
        <v>239</v>
      </c>
      <c r="CN436" s="101">
        <v>1521</v>
      </c>
      <c r="CO436" s="101">
        <v>504</v>
      </c>
    </row>
    <row r="437" spans="1:93" hidden="1" x14ac:dyDescent="0.25">
      <c r="A437" s="215">
        <v>45323</v>
      </c>
      <c r="B437" s="104">
        <v>5962804</v>
      </c>
      <c r="C437" s="104">
        <v>1477</v>
      </c>
      <c r="D437" s="104">
        <v>5964281</v>
      </c>
      <c r="E437" s="104">
        <v>99.98</v>
      </c>
      <c r="F437" s="71">
        <f t="shared" si="114"/>
        <v>5.9642809999999997</v>
      </c>
      <c r="H437" s="215">
        <v>45323</v>
      </c>
      <c r="I437" s="101">
        <v>1525324</v>
      </c>
      <c r="J437" s="101">
        <v>1272</v>
      </c>
      <c r="K437" s="101">
        <v>1526596</v>
      </c>
      <c r="L437" s="101">
        <v>99.92</v>
      </c>
      <c r="M437" s="71">
        <f t="shared" si="113"/>
        <v>1.5265960000000001</v>
      </c>
      <c r="O437" s="215">
        <v>45323</v>
      </c>
      <c r="P437" s="101">
        <v>619170</v>
      </c>
      <c r="Q437" s="101">
        <v>3</v>
      </c>
      <c r="R437" s="101">
        <v>619173</v>
      </c>
      <c r="S437" s="101">
        <v>100</v>
      </c>
      <c r="T437" s="71">
        <f t="shared" si="116"/>
        <v>0.61917299999999997</v>
      </c>
      <c r="V437" s="215">
        <v>45323</v>
      </c>
      <c r="W437" s="101">
        <v>997384</v>
      </c>
      <c r="X437" s="101">
        <v>178</v>
      </c>
      <c r="Y437" s="101">
        <v>997562</v>
      </c>
      <c r="Z437" s="101">
        <v>99.98</v>
      </c>
      <c r="AA437" s="71">
        <f t="shared" si="110"/>
        <v>0.99756199999999995</v>
      </c>
      <c r="AC437" s="215">
        <v>45323</v>
      </c>
      <c r="AD437" s="101">
        <v>698421</v>
      </c>
      <c r="AE437" s="101">
        <v>263</v>
      </c>
      <c r="AF437" s="101">
        <v>698684</v>
      </c>
      <c r="AG437" s="101">
        <v>99.96</v>
      </c>
      <c r="AH437" s="71">
        <f t="shared" si="112"/>
        <v>0.69868399999999997</v>
      </c>
      <c r="AJ437" s="215">
        <v>45323</v>
      </c>
      <c r="AK437" s="48">
        <v>0</v>
      </c>
      <c r="AL437" s="48">
        <v>23</v>
      </c>
      <c r="AM437" s="48">
        <v>23</v>
      </c>
      <c r="AN437" s="48">
        <v>0</v>
      </c>
      <c r="AQ437" s="215">
        <v>45323</v>
      </c>
      <c r="AR437" s="48">
        <v>219</v>
      </c>
      <c r="AS437" s="48">
        <v>0</v>
      </c>
      <c r="AT437" s="48">
        <v>219</v>
      </c>
      <c r="AU437" s="48">
        <v>100</v>
      </c>
      <c r="AX437" s="215">
        <v>45323</v>
      </c>
      <c r="AY437" s="104">
        <v>0</v>
      </c>
      <c r="AZ437" s="48">
        <v>790</v>
      </c>
      <c r="BA437" s="104">
        <v>790</v>
      </c>
      <c r="BB437" s="104">
        <v>0</v>
      </c>
      <c r="BE437" s="215">
        <v>45323</v>
      </c>
      <c r="BF437" s="101">
        <v>7739</v>
      </c>
      <c r="BG437" s="101">
        <v>726</v>
      </c>
      <c r="BH437" s="101">
        <v>8465</v>
      </c>
      <c r="BI437" s="101">
        <v>91.42</v>
      </c>
      <c r="BL437" s="215">
        <v>45323</v>
      </c>
      <c r="BM437" s="101">
        <v>240660</v>
      </c>
      <c r="BN437" s="101">
        <v>0</v>
      </c>
      <c r="BO437" s="101">
        <v>240660</v>
      </c>
      <c r="BP437" s="101">
        <v>100</v>
      </c>
      <c r="BS437" s="215">
        <v>45323</v>
      </c>
      <c r="BT437" s="104">
        <v>43982</v>
      </c>
      <c r="BU437" s="104">
        <v>2</v>
      </c>
      <c r="BV437" s="104">
        <v>43984</v>
      </c>
      <c r="BW437" s="104">
        <v>100</v>
      </c>
      <c r="BZ437" s="215">
        <v>45323</v>
      </c>
      <c r="CA437" s="48">
        <v>33026560</v>
      </c>
      <c r="CB437" s="48">
        <v>2575642</v>
      </c>
      <c r="CC437" s="71">
        <f t="shared" si="111"/>
        <v>12.822651595213932</v>
      </c>
      <c r="CE437" s="222">
        <v>45323</v>
      </c>
      <c r="CF437" s="101">
        <v>12018334</v>
      </c>
      <c r="CG437" s="101">
        <v>8832</v>
      </c>
      <c r="CH437" s="101">
        <v>12027166</v>
      </c>
      <c r="CI437" s="101">
        <v>99.93</v>
      </c>
      <c r="CJ437" s="71">
        <f t="shared" si="117"/>
        <v>12.027165999999999</v>
      </c>
      <c r="CL437" s="70">
        <v>44958</v>
      </c>
      <c r="CM437" t="s">
        <v>238</v>
      </c>
      <c r="CN437" s="101">
        <v>1121</v>
      </c>
      <c r="CO437" s="101">
        <v>503</v>
      </c>
    </row>
    <row r="438" spans="1:93" hidden="1" x14ac:dyDescent="0.25">
      <c r="A438" s="215">
        <v>45324</v>
      </c>
      <c r="B438" s="104">
        <v>6099250</v>
      </c>
      <c r="C438" s="104">
        <v>1572</v>
      </c>
      <c r="D438" s="104">
        <v>6100822</v>
      </c>
      <c r="E438" s="104">
        <v>99.97</v>
      </c>
      <c r="F438" s="71">
        <f t="shared" si="114"/>
        <v>6.100822</v>
      </c>
      <c r="H438" s="215">
        <v>45324</v>
      </c>
      <c r="I438" s="101">
        <v>1613717</v>
      </c>
      <c r="J438" s="101">
        <v>1052</v>
      </c>
      <c r="K438" s="101">
        <v>1614769</v>
      </c>
      <c r="L438" s="101">
        <v>99.93</v>
      </c>
      <c r="M438" s="71">
        <f t="shared" si="113"/>
        <v>1.6147689999999999</v>
      </c>
      <c r="O438" s="215">
        <v>45324</v>
      </c>
      <c r="P438" s="101">
        <v>663195</v>
      </c>
      <c r="Q438" s="101">
        <v>0</v>
      </c>
      <c r="R438" s="101">
        <v>663195</v>
      </c>
      <c r="S438" s="101">
        <v>100</v>
      </c>
      <c r="T438" s="71">
        <f t="shared" si="116"/>
        <v>0.66319499999999998</v>
      </c>
      <c r="V438" s="215">
        <v>45324</v>
      </c>
      <c r="W438" s="101">
        <v>1010828</v>
      </c>
      <c r="X438" s="101">
        <v>145</v>
      </c>
      <c r="Y438" s="101">
        <v>1010973</v>
      </c>
      <c r="Z438" s="101">
        <v>99.99</v>
      </c>
      <c r="AA438" s="71">
        <f t="shared" si="110"/>
        <v>1.0109729999999999</v>
      </c>
      <c r="AC438" s="215">
        <v>45324</v>
      </c>
      <c r="AD438" s="101">
        <v>796578</v>
      </c>
      <c r="AE438" s="101">
        <v>1027</v>
      </c>
      <c r="AF438" s="101">
        <v>797605</v>
      </c>
      <c r="AG438" s="101">
        <v>99.87</v>
      </c>
      <c r="AH438" s="71">
        <f t="shared" si="112"/>
        <v>0.79760500000000001</v>
      </c>
      <c r="AJ438" s="215">
        <v>45324</v>
      </c>
      <c r="AK438" s="48">
        <v>0</v>
      </c>
      <c r="AL438" s="48">
        <v>82</v>
      </c>
      <c r="AM438" s="48">
        <v>82</v>
      </c>
      <c r="AN438" s="48">
        <v>0</v>
      </c>
      <c r="AQ438" s="215">
        <v>45324</v>
      </c>
      <c r="AR438" s="48">
        <v>191</v>
      </c>
      <c r="AS438" s="48">
        <v>0</v>
      </c>
      <c r="AT438" s="48">
        <v>191</v>
      </c>
      <c r="AU438" s="48">
        <v>100</v>
      </c>
      <c r="AX438" s="215">
        <v>45324</v>
      </c>
      <c r="AY438" s="104">
        <v>0</v>
      </c>
      <c r="AZ438" s="48">
        <v>849</v>
      </c>
      <c r="BA438" s="48">
        <v>849</v>
      </c>
      <c r="BB438" s="104">
        <v>0</v>
      </c>
      <c r="BE438" s="215">
        <v>45324</v>
      </c>
      <c r="BF438" s="101">
        <v>8320</v>
      </c>
      <c r="BG438" s="101">
        <v>983</v>
      </c>
      <c r="BH438" s="101">
        <v>9303</v>
      </c>
      <c r="BI438" s="101">
        <v>89.43</v>
      </c>
      <c r="BL438" s="215">
        <v>45324</v>
      </c>
      <c r="BM438" s="101">
        <v>227690</v>
      </c>
      <c r="BN438" s="101">
        <v>0</v>
      </c>
      <c r="BO438" s="101">
        <v>227690</v>
      </c>
      <c r="BP438" s="101">
        <v>100</v>
      </c>
      <c r="BS438" s="215">
        <v>45324</v>
      </c>
      <c r="BT438" s="104">
        <v>19735</v>
      </c>
      <c r="BU438" s="104">
        <v>21</v>
      </c>
      <c r="BV438" s="104">
        <v>19756</v>
      </c>
      <c r="BW438" s="104">
        <v>99.89</v>
      </c>
      <c r="BZ438" s="215">
        <v>45324</v>
      </c>
      <c r="CA438" s="48">
        <v>35010222</v>
      </c>
      <c r="CB438" s="48">
        <v>2656682</v>
      </c>
      <c r="CC438" s="71">
        <f t="shared" si="111"/>
        <v>13.178175634118046</v>
      </c>
      <c r="CE438" s="222">
        <v>45324</v>
      </c>
      <c r="CF438" s="101">
        <v>12608077</v>
      </c>
      <c r="CG438" s="101">
        <v>9895</v>
      </c>
      <c r="CH438" s="101">
        <v>12617972</v>
      </c>
      <c r="CI438" s="101">
        <v>99.92</v>
      </c>
      <c r="CJ438" s="71">
        <f t="shared" si="117"/>
        <v>12.617972</v>
      </c>
      <c r="CL438" s="70">
        <v>44958</v>
      </c>
      <c r="CM438" t="s">
        <v>243</v>
      </c>
      <c r="CN438" s="101">
        <v>925</v>
      </c>
      <c r="CO438" s="101">
        <v>540</v>
      </c>
    </row>
    <row r="439" spans="1:93" hidden="1" x14ac:dyDescent="0.25">
      <c r="A439" s="215">
        <v>45325</v>
      </c>
      <c r="B439" s="104">
        <v>5606865</v>
      </c>
      <c r="C439" s="104">
        <v>1428</v>
      </c>
      <c r="D439" s="104">
        <v>5608293</v>
      </c>
      <c r="E439" s="104">
        <v>99.97</v>
      </c>
      <c r="F439" s="71">
        <f t="shared" si="114"/>
        <v>5.6082929999999998</v>
      </c>
      <c r="H439" s="215">
        <v>45325</v>
      </c>
      <c r="I439" s="101">
        <v>1551364</v>
      </c>
      <c r="J439" s="101">
        <v>1207</v>
      </c>
      <c r="K439" s="101">
        <v>1552571</v>
      </c>
      <c r="L439" s="101">
        <v>99.92</v>
      </c>
      <c r="M439" s="71">
        <f t="shared" si="113"/>
        <v>1.5525709999999999</v>
      </c>
      <c r="O439" s="215">
        <v>45325</v>
      </c>
      <c r="P439" s="101">
        <v>617689</v>
      </c>
      <c r="Q439" s="101">
        <v>0</v>
      </c>
      <c r="R439" s="101">
        <v>617689</v>
      </c>
      <c r="S439" s="101">
        <v>100</v>
      </c>
      <c r="T439" s="71">
        <f t="shared" si="116"/>
        <v>0.61768900000000004</v>
      </c>
      <c r="V439" s="215">
        <v>45325</v>
      </c>
      <c r="W439" s="101">
        <v>1001385</v>
      </c>
      <c r="X439" s="101">
        <v>165</v>
      </c>
      <c r="Y439" s="101">
        <v>1001550</v>
      </c>
      <c r="Z439" s="101">
        <v>99.98</v>
      </c>
      <c r="AA439" s="71">
        <f t="shared" si="110"/>
        <v>1.0015499999999999</v>
      </c>
      <c r="AC439" s="215">
        <v>45325</v>
      </c>
      <c r="AD439" s="101">
        <v>642501</v>
      </c>
      <c r="AE439" s="101">
        <v>776</v>
      </c>
      <c r="AF439" s="101">
        <v>643277</v>
      </c>
      <c r="AG439" s="101">
        <v>99.88</v>
      </c>
      <c r="AH439" s="71">
        <f t="shared" si="112"/>
        <v>0.64327699999999999</v>
      </c>
      <c r="AJ439" s="215">
        <v>45325</v>
      </c>
      <c r="AK439" s="48">
        <v>0</v>
      </c>
      <c r="AL439" s="48">
        <v>77</v>
      </c>
      <c r="AM439" s="48">
        <v>77</v>
      </c>
      <c r="AN439" s="48">
        <v>0</v>
      </c>
      <c r="AQ439" s="215">
        <v>45325</v>
      </c>
      <c r="AR439" s="48">
        <v>163</v>
      </c>
      <c r="AS439" s="48">
        <v>0</v>
      </c>
      <c r="AT439" s="48">
        <v>163</v>
      </c>
      <c r="AU439" s="48">
        <v>100</v>
      </c>
      <c r="AX439" s="215">
        <v>45325</v>
      </c>
      <c r="AY439" s="104">
        <v>2086</v>
      </c>
      <c r="AZ439" s="104">
        <v>73</v>
      </c>
      <c r="BA439" s="104">
        <v>2159</v>
      </c>
      <c r="BB439" s="104">
        <v>96.62</v>
      </c>
      <c r="BE439" s="215">
        <v>45325</v>
      </c>
      <c r="BF439" s="101">
        <v>5295</v>
      </c>
      <c r="BG439" s="101">
        <v>700</v>
      </c>
      <c r="BH439" s="101">
        <v>5995</v>
      </c>
      <c r="BI439" s="101">
        <v>88.32</v>
      </c>
      <c r="BL439" s="215">
        <v>45325</v>
      </c>
      <c r="BM439" s="101">
        <v>225809</v>
      </c>
      <c r="BN439" s="101">
        <v>0</v>
      </c>
      <c r="BO439" s="101">
        <v>225809</v>
      </c>
      <c r="BP439" s="101">
        <v>100</v>
      </c>
      <c r="BS439" s="215">
        <v>45325</v>
      </c>
      <c r="BT439" s="104">
        <v>38988</v>
      </c>
      <c r="BU439" s="104">
        <v>2</v>
      </c>
      <c r="BV439" s="104">
        <v>38990</v>
      </c>
      <c r="BW439" s="104">
        <v>99.99</v>
      </c>
      <c r="BZ439" s="215">
        <v>45325</v>
      </c>
      <c r="CA439" s="48">
        <v>32467440</v>
      </c>
      <c r="CB439" s="48">
        <v>2522217</v>
      </c>
      <c r="CC439" s="71">
        <f t="shared" si="111"/>
        <v>12.872579956443081</v>
      </c>
      <c r="CE439" s="222">
        <v>45325</v>
      </c>
      <c r="CF439" s="101">
        <v>11616949</v>
      </c>
      <c r="CG439" s="101">
        <v>7771</v>
      </c>
      <c r="CH439" s="101">
        <v>11624720</v>
      </c>
      <c r="CI439" s="101">
        <v>99.93</v>
      </c>
      <c r="CJ439" s="71">
        <f t="shared" si="117"/>
        <v>11.62472</v>
      </c>
    </row>
    <row r="440" spans="1:93" hidden="1" x14ac:dyDescent="0.25">
      <c r="A440" s="215">
        <v>45326</v>
      </c>
      <c r="B440" s="104">
        <v>5461629</v>
      </c>
      <c r="C440" s="104">
        <v>1327</v>
      </c>
      <c r="D440" s="104">
        <v>5462956</v>
      </c>
      <c r="E440" s="104">
        <v>99.98</v>
      </c>
      <c r="F440" s="71">
        <f t="shared" si="114"/>
        <v>5.4629560000000001</v>
      </c>
      <c r="H440" s="215">
        <v>45326</v>
      </c>
      <c r="I440" s="101">
        <v>1825001</v>
      </c>
      <c r="J440" s="101">
        <v>9666</v>
      </c>
      <c r="K440" s="101">
        <v>1834667</v>
      </c>
      <c r="L440" s="101">
        <v>99.47</v>
      </c>
      <c r="M440" s="71">
        <f t="shared" si="113"/>
        <v>1.834667</v>
      </c>
      <c r="O440" s="215">
        <v>45326</v>
      </c>
      <c r="P440" s="101">
        <v>720986</v>
      </c>
      <c r="Q440" s="101">
        <v>0</v>
      </c>
      <c r="R440" s="101">
        <v>720986</v>
      </c>
      <c r="S440" s="101">
        <v>100</v>
      </c>
      <c r="T440" s="71">
        <f t="shared" si="116"/>
        <v>0.72098600000000002</v>
      </c>
      <c r="V440" s="215">
        <v>45326</v>
      </c>
      <c r="W440" s="101">
        <v>1024035</v>
      </c>
      <c r="X440" s="101">
        <v>168</v>
      </c>
      <c r="Y440" s="101">
        <v>1024203</v>
      </c>
      <c r="Z440" s="101">
        <v>99.98</v>
      </c>
      <c r="AA440" s="71">
        <f t="shared" si="110"/>
        <v>1.024203</v>
      </c>
      <c r="AC440" s="215">
        <v>45326</v>
      </c>
      <c r="AD440" s="101">
        <v>683648</v>
      </c>
      <c r="AE440" s="101">
        <v>1433</v>
      </c>
      <c r="AF440" s="101">
        <v>685081</v>
      </c>
      <c r="AG440" s="101">
        <v>99.79</v>
      </c>
      <c r="AH440" s="71">
        <f t="shared" si="112"/>
        <v>0.68508100000000005</v>
      </c>
      <c r="AJ440" s="215">
        <v>45326</v>
      </c>
      <c r="AK440" s="48">
        <v>0</v>
      </c>
      <c r="AL440" s="48">
        <v>31</v>
      </c>
      <c r="AM440" s="48">
        <v>31</v>
      </c>
      <c r="AN440" s="48">
        <v>0</v>
      </c>
      <c r="AQ440" s="215">
        <v>45326</v>
      </c>
      <c r="AR440" s="48">
        <v>157</v>
      </c>
      <c r="AS440" s="48">
        <v>1</v>
      </c>
      <c r="AT440" s="48">
        <v>158</v>
      </c>
      <c r="AU440" s="48">
        <v>99.37</v>
      </c>
      <c r="AX440" s="215">
        <v>45326</v>
      </c>
      <c r="AY440" s="104">
        <v>0</v>
      </c>
      <c r="AZ440" s="48">
        <v>130</v>
      </c>
      <c r="BA440" s="48">
        <v>130</v>
      </c>
      <c r="BB440" s="104">
        <v>0</v>
      </c>
      <c r="BE440" s="215">
        <v>45326</v>
      </c>
      <c r="BF440" s="101">
        <v>6634</v>
      </c>
      <c r="BG440" s="101">
        <v>669</v>
      </c>
      <c r="BH440" s="101">
        <v>7303</v>
      </c>
      <c r="BI440" s="101">
        <v>90.84</v>
      </c>
      <c r="BL440" s="215">
        <v>45326</v>
      </c>
      <c r="BM440" s="101">
        <v>6231</v>
      </c>
      <c r="BN440" s="101">
        <v>0</v>
      </c>
      <c r="BO440" s="101">
        <v>6231</v>
      </c>
      <c r="BP440" s="101">
        <v>100</v>
      </c>
      <c r="BS440" s="215">
        <v>45326</v>
      </c>
      <c r="BT440" s="104">
        <v>25873</v>
      </c>
      <c r="BU440" s="104">
        <v>2</v>
      </c>
      <c r="BV440" s="104">
        <v>25875</v>
      </c>
      <c r="BW440" s="104">
        <v>99.99</v>
      </c>
      <c r="BZ440" s="215">
        <v>45326</v>
      </c>
      <c r="CA440" s="48">
        <v>32378894</v>
      </c>
      <c r="CB440" s="48">
        <v>2125993</v>
      </c>
      <c r="CC440" s="71">
        <f t="shared" si="111"/>
        <v>15.230009694293443</v>
      </c>
      <c r="CE440" s="222">
        <v>45326</v>
      </c>
      <c r="CF440" s="101">
        <v>11801910</v>
      </c>
      <c r="CG440" s="101">
        <v>26322</v>
      </c>
      <c r="CH440" s="101">
        <v>11828232</v>
      </c>
      <c r="CI440" s="101">
        <v>99.78</v>
      </c>
      <c r="CJ440" s="71">
        <f t="shared" si="117"/>
        <v>11.828232</v>
      </c>
      <c r="CL440" s="70">
        <v>45326</v>
      </c>
      <c r="CM440" s="252" t="s">
        <v>239</v>
      </c>
      <c r="CN440">
        <v>18603</v>
      </c>
      <c r="CO440">
        <v>504</v>
      </c>
    </row>
    <row r="441" spans="1:93" hidden="1" x14ac:dyDescent="0.25">
      <c r="A441" s="215">
        <v>45327</v>
      </c>
      <c r="B441" s="104">
        <v>6535449</v>
      </c>
      <c r="C441" s="104">
        <v>1534</v>
      </c>
      <c r="D441" s="104">
        <v>6536983</v>
      </c>
      <c r="E441" s="104">
        <v>99.98</v>
      </c>
      <c r="F441" s="71">
        <f t="shared" si="114"/>
        <v>6.5369830000000002</v>
      </c>
      <c r="H441" s="215">
        <v>45327</v>
      </c>
      <c r="I441" s="101">
        <v>1910519</v>
      </c>
      <c r="J441" s="101">
        <v>1279</v>
      </c>
      <c r="K441" s="101">
        <v>1911798</v>
      </c>
      <c r="L441" s="101">
        <v>99.93</v>
      </c>
      <c r="M441" s="71">
        <f t="shared" si="113"/>
        <v>1.9117980000000001</v>
      </c>
      <c r="O441" s="215">
        <v>45327</v>
      </c>
      <c r="P441" s="101">
        <v>721534</v>
      </c>
      <c r="Q441" s="101">
        <v>2</v>
      </c>
      <c r="R441" s="101">
        <v>721536</v>
      </c>
      <c r="S441" s="101">
        <v>100</v>
      </c>
      <c r="T441" s="71">
        <f t="shared" si="116"/>
        <v>0.72153599999999996</v>
      </c>
      <c r="V441" s="215">
        <v>45327</v>
      </c>
      <c r="W441" s="101">
        <v>1120730</v>
      </c>
      <c r="X441" s="101">
        <v>191</v>
      </c>
      <c r="Y441" s="101">
        <v>1120921</v>
      </c>
      <c r="Z441" s="101">
        <v>99.98</v>
      </c>
      <c r="AA441" s="71">
        <f t="shared" si="110"/>
        <v>1.1209210000000001</v>
      </c>
      <c r="AC441" s="215">
        <v>45327</v>
      </c>
      <c r="AD441" s="101">
        <v>738319</v>
      </c>
      <c r="AE441" s="101">
        <v>385</v>
      </c>
      <c r="AF441" s="101">
        <v>738704</v>
      </c>
      <c r="AG441" s="101">
        <v>99.95</v>
      </c>
      <c r="AH441" s="71">
        <f t="shared" si="112"/>
        <v>0.73870400000000003</v>
      </c>
      <c r="AJ441" s="215">
        <v>45327</v>
      </c>
      <c r="AK441" s="48">
        <v>0</v>
      </c>
      <c r="AL441" s="48">
        <v>31</v>
      </c>
      <c r="AM441" s="48">
        <v>31</v>
      </c>
      <c r="AN441" s="48">
        <v>0</v>
      </c>
      <c r="AQ441" s="215">
        <v>45327</v>
      </c>
      <c r="AR441" s="48">
        <v>287</v>
      </c>
      <c r="AS441" s="48">
        <v>2</v>
      </c>
      <c r="AT441" s="48">
        <v>289</v>
      </c>
      <c r="AU441" s="48">
        <v>99.31</v>
      </c>
      <c r="AX441" s="215">
        <v>45327</v>
      </c>
      <c r="AY441" s="104">
        <v>2474</v>
      </c>
      <c r="AZ441" s="104">
        <v>53</v>
      </c>
      <c r="BA441" s="104">
        <v>2527</v>
      </c>
      <c r="BB441" s="104">
        <v>97.9</v>
      </c>
      <c r="BE441" s="215">
        <v>45327</v>
      </c>
      <c r="BF441" s="101">
        <v>8367</v>
      </c>
      <c r="BG441" s="101">
        <v>1008</v>
      </c>
      <c r="BH441" s="101">
        <v>9375</v>
      </c>
      <c r="BI441" s="101">
        <v>89.25</v>
      </c>
      <c r="BL441" s="215">
        <v>45327</v>
      </c>
      <c r="BM441" s="101">
        <v>240932</v>
      </c>
      <c r="BN441" s="101">
        <v>0</v>
      </c>
      <c r="BO441" s="101">
        <v>240932</v>
      </c>
      <c r="BP441" s="101">
        <v>100</v>
      </c>
      <c r="BS441" s="215">
        <v>45327</v>
      </c>
      <c r="BT441" s="104">
        <v>29083</v>
      </c>
      <c r="BU441" s="104">
        <v>1</v>
      </c>
      <c r="BV441" s="104">
        <v>29084</v>
      </c>
      <c r="BW441" s="104">
        <v>100</v>
      </c>
      <c r="BZ441" s="215">
        <v>45327</v>
      </c>
      <c r="CA441" s="48">
        <v>36154635</v>
      </c>
      <c r="CB441" s="48">
        <v>2789259</v>
      </c>
      <c r="CC441" s="71">
        <f t="shared" si="111"/>
        <v>12.962093158075318</v>
      </c>
      <c r="CE441" s="222">
        <v>45327</v>
      </c>
      <c r="CF441" s="101">
        <v>13474177</v>
      </c>
      <c r="CG441" s="101">
        <v>8812</v>
      </c>
      <c r="CH441" s="101">
        <v>13482989</v>
      </c>
      <c r="CI441" s="101">
        <v>99.93</v>
      </c>
      <c r="CJ441" s="71">
        <f t="shared" si="117"/>
        <v>13.482989</v>
      </c>
      <c r="CL441" s="70">
        <v>45326</v>
      </c>
      <c r="CM441" t="s">
        <v>240</v>
      </c>
      <c r="CN441">
        <v>2688</v>
      </c>
      <c r="CO441">
        <v>516</v>
      </c>
    </row>
    <row r="442" spans="1:93" hidden="1" x14ac:dyDescent="0.25">
      <c r="A442" s="215">
        <v>45328</v>
      </c>
      <c r="B442" s="104">
        <v>10232237</v>
      </c>
      <c r="C442" s="104">
        <v>2511</v>
      </c>
      <c r="D442" s="104">
        <v>10234748</v>
      </c>
      <c r="E442" s="104">
        <v>99.98</v>
      </c>
      <c r="F442" s="71">
        <f t="shared" si="114"/>
        <v>10.234748</v>
      </c>
      <c r="H442" s="215">
        <v>45328</v>
      </c>
      <c r="I442" s="101">
        <v>3088064</v>
      </c>
      <c r="J442" s="101">
        <v>1983</v>
      </c>
      <c r="K442" s="101">
        <v>3090047</v>
      </c>
      <c r="L442" s="101">
        <v>99.94</v>
      </c>
      <c r="M442" s="71">
        <f t="shared" si="113"/>
        <v>3.0900470000000002</v>
      </c>
      <c r="O442" s="215">
        <v>45328</v>
      </c>
      <c r="P442" s="101">
        <v>1015831</v>
      </c>
      <c r="Q442" s="101">
        <v>1</v>
      </c>
      <c r="R442" s="101">
        <v>1015832</v>
      </c>
      <c r="S442" s="101">
        <v>100</v>
      </c>
      <c r="T442" s="71">
        <f t="shared" si="116"/>
        <v>1.0158320000000001</v>
      </c>
      <c r="V442" s="215">
        <v>45328</v>
      </c>
      <c r="W442" s="101">
        <v>1739580</v>
      </c>
      <c r="X442" s="101">
        <v>329</v>
      </c>
      <c r="Y442" s="101">
        <v>1739909</v>
      </c>
      <c r="Z442" s="101">
        <v>99.98</v>
      </c>
      <c r="AA442" s="71">
        <f t="shared" si="110"/>
        <v>1.7399089999999999</v>
      </c>
      <c r="AC442" s="215">
        <v>45328</v>
      </c>
      <c r="AD442" s="101">
        <v>1739580</v>
      </c>
      <c r="AE442" s="101">
        <v>329</v>
      </c>
      <c r="AF442" s="101">
        <v>1739909</v>
      </c>
      <c r="AG442" s="101">
        <v>99.98</v>
      </c>
      <c r="AH442" s="71">
        <f t="shared" si="112"/>
        <v>1.7399089999999999</v>
      </c>
      <c r="AJ442" s="215">
        <v>45328</v>
      </c>
      <c r="AK442" s="48">
        <v>0</v>
      </c>
      <c r="AL442" s="48">
        <v>42</v>
      </c>
      <c r="AM442" s="48">
        <v>42</v>
      </c>
      <c r="AN442" s="48">
        <v>0</v>
      </c>
      <c r="AQ442" s="215">
        <v>45328</v>
      </c>
      <c r="AR442" s="48">
        <v>282</v>
      </c>
      <c r="AS442" s="48">
        <v>1</v>
      </c>
      <c r="AT442" s="48">
        <v>283</v>
      </c>
      <c r="AU442" s="48">
        <v>99.65</v>
      </c>
      <c r="AX442" s="215">
        <v>45328</v>
      </c>
      <c r="AY442" s="104">
        <v>1960</v>
      </c>
      <c r="AZ442" s="104">
        <v>77</v>
      </c>
      <c r="BA442" s="104">
        <v>2037</v>
      </c>
      <c r="BB442" s="104">
        <v>96.22</v>
      </c>
      <c r="BE442" s="215">
        <v>45328</v>
      </c>
      <c r="BF442" s="101">
        <v>22265</v>
      </c>
      <c r="BG442" s="101">
        <v>2137</v>
      </c>
      <c r="BH442" s="101">
        <v>24402</v>
      </c>
      <c r="BI442" s="101">
        <v>91.24</v>
      </c>
      <c r="BL442" s="215">
        <v>45328</v>
      </c>
      <c r="BM442" s="101">
        <v>319707</v>
      </c>
      <c r="BN442" s="101">
        <v>0</v>
      </c>
      <c r="BO442" s="101">
        <v>319707</v>
      </c>
      <c r="BP442" s="101">
        <v>100</v>
      </c>
      <c r="BS442" s="215">
        <v>45328</v>
      </c>
      <c r="BT442" s="104">
        <v>23510</v>
      </c>
      <c r="BU442" s="104">
        <v>60</v>
      </c>
      <c r="BV442" s="104">
        <v>23570</v>
      </c>
      <c r="BW442" s="104">
        <v>99.75</v>
      </c>
      <c r="BZ442" s="215">
        <v>45328</v>
      </c>
      <c r="CA442" s="48">
        <v>36700887</v>
      </c>
      <c r="CB442" s="48">
        <v>2792018</v>
      </c>
      <c r="CC442" s="71">
        <f t="shared" si="111"/>
        <v>13.144932088546707</v>
      </c>
      <c r="CE442" s="222">
        <v>45328</v>
      </c>
      <c r="CF442" s="101">
        <v>20736101</v>
      </c>
      <c r="CG442" s="101">
        <v>14880</v>
      </c>
      <c r="CH442" s="101">
        <v>20750981</v>
      </c>
      <c r="CI442" s="101">
        <v>99.93</v>
      </c>
      <c r="CJ442" s="71">
        <f t="shared" si="117"/>
        <v>20.750980999999999</v>
      </c>
      <c r="CL442" s="70">
        <v>45326</v>
      </c>
      <c r="CM442" t="s">
        <v>237</v>
      </c>
      <c r="CN442">
        <v>2076</v>
      </c>
      <c r="CO442">
        <v>527</v>
      </c>
    </row>
    <row r="443" spans="1:93" hidden="1" x14ac:dyDescent="0.25">
      <c r="A443" s="215">
        <v>45329</v>
      </c>
      <c r="B443" s="104">
        <v>10231650</v>
      </c>
      <c r="C443" s="104">
        <v>2594</v>
      </c>
      <c r="D443" s="104">
        <v>10234244</v>
      </c>
      <c r="E443" s="104">
        <v>99.97</v>
      </c>
      <c r="F443" s="71">
        <f t="shared" si="114"/>
        <v>10.234244</v>
      </c>
      <c r="H443" s="215">
        <v>45329</v>
      </c>
      <c r="I443" s="101">
        <v>2513582</v>
      </c>
      <c r="J443" s="101">
        <v>1509</v>
      </c>
      <c r="K443" s="101">
        <v>2515091</v>
      </c>
      <c r="L443" s="101">
        <v>99.94</v>
      </c>
      <c r="M443" s="71">
        <f t="shared" si="113"/>
        <v>2.515091</v>
      </c>
      <c r="O443" s="215">
        <v>45329</v>
      </c>
      <c r="P443" s="101">
        <v>921120</v>
      </c>
      <c r="Q443" s="101">
        <v>5</v>
      </c>
      <c r="R443" s="101">
        <v>921125</v>
      </c>
      <c r="S443" s="101">
        <v>100</v>
      </c>
      <c r="T443" s="71">
        <f t="shared" si="116"/>
        <v>0.92112499999999997</v>
      </c>
      <c r="V443" s="215">
        <v>45329</v>
      </c>
      <c r="W443" s="101">
        <v>1541463</v>
      </c>
      <c r="X443" s="101">
        <v>286</v>
      </c>
      <c r="Y443" s="101">
        <v>1541749</v>
      </c>
      <c r="Z443" s="101">
        <v>99.98</v>
      </c>
      <c r="AA443" s="71">
        <f t="shared" si="110"/>
        <v>1.541749</v>
      </c>
      <c r="AC443" s="215">
        <v>45329</v>
      </c>
      <c r="AD443" s="101">
        <v>921624</v>
      </c>
      <c r="AE443" s="101">
        <v>1532</v>
      </c>
      <c r="AF443" s="101">
        <v>923156</v>
      </c>
      <c r="AG443" s="101">
        <v>99.83</v>
      </c>
      <c r="AH443" s="71">
        <f t="shared" si="112"/>
        <v>0.92315599999999998</v>
      </c>
      <c r="AJ443" s="215">
        <v>45329</v>
      </c>
      <c r="AK443" s="48">
        <v>0</v>
      </c>
      <c r="AL443" s="48">
        <v>36</v>
      </c>
      <c r="AM443" s="48">
        <v>36</v>
      </c>
      <c r="AN443" s="48">
        <v>0</v>
      </c>
      <c r="AQ443" s="215">
        <v>45329</v>
      </c>
      <c r="AR443" s="48">
        <v>248</v>
      </c>
      <c r="AS443" s="48">
        <v>5</v>
      </c>
      <c r="AT443" s="48">
        <v>253</v>
      </c>
      <c r="AU443" s="48">
        <v>98.02</v>
      </c>
      <c r="AX443" s="215">
        <v>45329</v>
      </c>
      <c r="AY443" s="104">
        <v>2066</v>
      </c>
      <c r="AZ443" s="104">
        <v>22</v>
      </c>
      <c r="BA443" s="104">
        <v>2088</v>
      </c>
      <c r="BB443" s="104">
        <v>98.95</v>
      </c>
      <c r="BE443" s="215">
        <v>45329</v>
      </c>
      <c r="BF443" s="101">
        <v>12344</v>
      </c>
      <c r="BG443" s="101">
        <v>1603</v>
      </c>
      <c r="BH443" s="101">
        <v>13947</v>
      </c>
      <c r="BI443" s="101">
        <v>88.51</v>
      </c>
      <c r="BL443" s="215">
        <v>45329</v>
      </c>
      <c r="BM443" s="101">
        <v>360072</v>
      </c>
      <c r="BN443" s="101">
        <v>0</v>
      </c>
      <c r="BO443" s="101">
        <v>360072</v>
      </c>
      <c r="BP443" s="101">
        <v>100</v>
      </c>
      <c r="BS443" s="215">
        <v>45329</v>
      </c>
      <c r="BT443" s="104">
        <v>93789</v>
      </c>
      <c r="BU443" s="104">
        <v>23</v>
      </c>
      <c r="BV443" s="104">
        <v>93812</v>
      </c>
      <c r="BW443" s="104">
        <v>99.98</v>
      </c>
      <c r="BZ443" s="215">
        <v>45329</v>
      </c>
      <c r="CA443" s="48">
        <v>33862414</v>
      </c>
      <c r="CB443" s="48">
        <v>2649674</v>
      </c>
      <c r="CC443" s="71">
        <f t="shared" si="111"/>
        <v>12.779841595607611</v>
      </c>
      <c r="CE443" s="222">
        <v>45329</v>
      </c>
      <c r="CF443" s="101">
        <v>19512553</v>
      </c>
      <c r="CG443" s="101">
        <v>14573</v>
      </c>
      <c r="CH443" s="101">
        <v>19527126</v>
      </c>
      <c r="CI443" s="101">
        <v>99.93</v>
      </c>
      <c r="CJ443" s="71">
        <f t="shared" si="117"/>
        <v>19.527125999999999</v>
      </c>
      <c r="CL443" s="70">
        <v>45326</v>
      </c>
      <c r="CM443" t="s">
        <v>238</v>
      </c>
      <c r="CN443">
        <v>1062</v>
      </c>
      <c r="CO443">
        <v>503</v>
      </c>
    </row>
    <row r="444" spans="1:93" hidden="1" x14ac:dyDescent="0.25">
      <c r="A444" s="215">
        <v>45330</v>
      </c>
      <c r="B444" s="104">
        <v>5992005</v>
      </c>
      <c r="C444" s="104">
        <v>1603</v>
      </c>
      <c r="D444" s="104">
        <v>5993608</v>
      </c>
      <c r="E444" s="104">
        <v>99.97</v>
      </c>
      <c r="F444" s="71">
        <f t="shared" si="114"/>
        <v>5.993608</v>
      </c>
      <c r="H444" s="215">
        <v>45330</v>
      </c>
      <c r="I444" s="101">
        <v>1660576</v>
      </c>
      <c r="J444" s="101">
        <v>1014</v>
      </c>
      <c r="K444" s="101">
        <v>1661590</v>
      </c>
      <c r="L444" s="101">
        <v>99.94</v>
      </c>
      <c r="M444" s="71">
        <f t="shared" si="113"/>
        <v>1.6615899999999999</v>
      </c>
      <c r="O444" s="215">
        <v>45330</v>
      </c>
      <c r="P444" s="101">
        <v>619317</v>
      </c>
      <c r="Q444" s="101">
        <v>0</v>
      </c>
      <c r="R444" s="101">
        <v>619317</v>
      </c>
      <c r="S444" s="101">
        <v>100</v>
      </c>
      <c r="T444" s="71">
        <f t="shared" si="116"/>
        <v>0.61931700000000001</v>
      </c>
      <c r="V444" s="215">
        <v>45330</v>
      </c>
      <c r="W444" s="101">
        <v>1040689</v>
      </c>
      <c r="X444" s="101">
        <v>170</v>
      </c>
      <c r="Y444" s="101">
        <v>1040859</v>
      </c>
      <c r="Z444" s="101">
        <v>99.98</v>
      </c>
      <c r="AA444" s="71">
        <f t="shared" si="110"/>
        <v>1.040859</v>
      </c>
      <c r="AC444" s="215">
        <v>45330</v>
      </c>
      <c r="AD444" s="101">
        <v>647115</v>
      </c>
      <c r="AE444" s="101">
        <v>386</v>
      </c>
      <c r="AF444" s="101">
        <v>647501</v>
      </c>
      <c r="AG444" s="101">
        <v>99.94</v>
      </c>
      <c r="AH444" s="71">
        <f t="shared" si="112"/>
        <v>0.64750099999999999</v>
      </c>
      <c r="AJ444" s="215">
        <v>45330</v>
      </c>
      <c r="AK444" s="48">
        <v>0</v>
      </c>
      <c r="AL444" s="48">
        <v>34</v>
      </c>
      <c r="AM444" s="48">
        <v>34</v>
      </c>
      <c r="AN444" s="48">
        <v>0</v>
      </c>
      <c r="AQ444" s="215">
        <v>45330</v>
      </c>
      <c r="AR444" s="48">
        <v>172</v>
      </c>
      <c r="AS444" s="48">
        <v>2</v>
      </c>
      <c r="AT444" s="48">
        <v>174</v>
      </c>
      <c r="AU444" s="48">
        <v>98.85</v>
      </c>
      <c r="AX444" s="215">
        <v>45330</v>
      </c>
      <c r="AY444" s="104">
        <v>1104</v>
      </c>
      <c r="AZ444" s="104">
        <v>13</v>
      </c>
      <c r="BA444" s="104">
        <v>1117</v>
      </c>
      <c r="BB444" s="104">
        <v>98.84</v>
      </c>
      <c r="BE444" s="215">
        <v>45330</v>
      </c>
      <c r="BF444" s="101">
        <v>7756</v>
      </c>
      <c r="BG444" s="101">
        <v>1026</v>
      </c>
      <c r="BH444" s="101">
        <v>8782</v>
      </c>
      <c r="BI444" s="101">
        <v>88.32</v>
      </c>
      <c r="BL444" s="215">
        <v>45330</v>
      </c>
      <c r="BM444" s="101">
        <v>219998</v>
      </c>
      <c r="BN444" s="101">
        <v>0</v>
      </c>
      <c r="BO444" s="101">
        <v>219998</v>
      </c>
      <c r="BP444" s="101">
        <v>100</v>
      </c>
      <c r="BS444" s="215">
        <v>45330</v>
      </c>
      <c r="BT444" s="104">
        <v>14666</v>
      </c>
      <c r="BU444" s="104">
        <v>2</v>
      </c>
      <c r="BV444" s="104">
        <v>14668</v>
      </c>
      <c r="BW444" s="104">
        <v>99.99</v>
      </c>
      <c r="BZ444" s="215">
        <v>45330</v>
      </c>
      <c r="CA444" s="48">
        <v>33733951</v>
      </c>
      <c r="CB444" s="48">
        <v>2613047</v>
      </c>
      <c r="CC444" s="71">
        <f t="shared" si="111"/>
        <v>12.909814098253877</v>
      </c>
      <c r="CE444" s="222">
        <v>45330</v>
      </c>
      <c r="CF444" s="101">
        <v>12045462</v>
      </c>
      <c r="CG444" s="101">
        <v>7949</v>
      </c>
      <c r="CH444" s="101">
        <v>12053411</v>
      </c>
      <c r="CI444" s="101">
        <v>99.93</v>
      </c>
      <c r="CJ444" s="71">
        <f t="shared" si="117"/>
        <v>12.053411000000001</v>
      </c>
      <c r="CL444" s="70">
        <v>45326</v>
      </c>
      <c r="CM444" t="s">
        <v>243</v>
      </c>
      <c r="CN444">
        <v>1006</v>
      </c>
      <c r="CO444">
        <v>540</v>
      </c>
    </row>
    <row r="445" spans="1:93" hidden="1" x14ac:dyDescent="0.25">
      <c r="A445" s="215">
        <v>45331</v>
      </c>
      <c r="B445" s="104">
        <v>6170102</v>
      </c>
      <c r="C445" s="104">
        <v>3360</v>
      </c>
      <c r="D445" s="104">
        <v>6173462</v>
      </c>
      <c r="E445" s="104">
        <v>99.95</v>
      </c>
      <c r="F445" s="71">
        <f t="shared" si="114"/>
        <v>6.1734619999999998</v>
      </c>
      <c r="H445" s="215">
        <v>45331</v>
      </c>
      <c r="I445" s="101">
        <v>1755373</v>
      </c>
      <c r="J445" s="101">
        <v>940</v>
      </c>
      <c r="K445" s="101">
        <v>1756313</v>
      </c>
      <c r="L445" s="101">
        <v>99.95</v>
      </c>
      <c r="M445" s="71">
        <f t="shared" si="113"/>
        <v>1.756313</v>
      </c>
      <c r="O445" s="215">
        <v>45331</v>
      </c>
      <c r="P445" s="101">
        <v>589566</v>
      </c>
      <c r="Q445" s="101">
        <v>4</v>
      </c>
      <c r="R445" s="101">
        <v>589570</v>
      </c>
      <c r="S445" s="101">
        <v>100</v>
      </c>
      <c r="T445" s="71">
        <f t="shared" si="116"/>
        <v>0.58957000000000004</v>
      </c>
      <c r="V445" s="215">
        <v>45331</v>
      </c>
      <c r="W445" s="101">
        <v>1051653</v>
      </c>
      <c r="X445" s="101">
        <v>164</v>
      </c>
      <c r="Y445" s="101">
        <v>1051817</v>
      </c>
      <c r="Z445" s="101">
        <v>99.98</v>
      </c>
      <c r="AA445" s="71">
        <f t="shared" si="110"/>
        <v>1.051817</v>
      </c>
      <c r="AC445" s="215">
        <v>45331</v>
      </c>
      <c r="AD445" s="101">
        <v>691263</v>
      </c>
      <c r="AE445" s="101">
        <v>7529</v>
      </c>
      <c r="AF445" s="101">
        <v>698792</v>
      </c>
      <c r="AG445" s="101">
        <v>98.92</v>
      </c>
      <c r="AH445" s="71">
        <f t="shared" si="112"/>
        <v>0.69879199999999997</v>
      </c>
      <c r="AJ445" s="215">
        <v>45331</v>
      </c>
      <c r="AK445" s="48">
        <v>0</v>
      </c>
      <c r="AL445" s="48">
        <v>91</v>
      </c>
      <c r="AM445" s="48">
        <v>91</v>
      </c>
      <c r="AN445" s="48">
        <v>0</v>
      </c>
      <c r="AQ445" s="215">
        <v>45331</v>
      </c>
      <c r="AR445" s="48">
        <v>98</v>
      </c>
      <c r="AS445" s="48">
        <v>0</v>
      </c>
      <c r="AT445" s="48">
        <v>98</v>
      </c>
      <c r="AU445" s="48">
        <v>100</v>
      </c>
      <c r="AX445" s="215">
        <v>45331</v>
      </c>
      <c r="AY445" s="48">
        <v>1248</v>
      </c>
      <c r="AZ445" s="48">
        <v>7</v>
      </c>
      <c r="BA445" s="48">
        <v>1255</v>
      </c>
      <c r="BB445" s="48">
        <v>99.44</v>
      </c>
      <c r="BE445" s="215">
        <v>45331</v>
      </c>
      <c r="BF445" s="101">
        <v>9077</v>
      </c>
      <c r="BG445" s="101">
        <v>1163</v>
      </c>
      <c r="BH445" s="101">
        <v>10240</v>
      </c>
      <c r="BI445" s="101">
        <v>88.64</v>
      </c>
      <c r="BL445" s="215">
        <v>45331</v>
      </c>
      <c r="BM445" s="101">
        <v>217278</v>
      </c>
      <c r="BN445" s="101">
        <v>0</v>
      </c>
      <c r="BO445" s="101">
        <v>217278</v>
      </c>
      <c r="BP445" s="101">
        <v>100</v>
      </c>
      <c r="BS445" s="215">
        <v>45331</v>
      </c>
      <c r="BT445" s="104">
        <v>16387</v>
      </c>
      <c r="BU445" s="104">
        <v>4</v>
      </c>
      <c r="BV445" s="104">
        <v>16391</v>
      </c>
      <c r="BW445" s="104">
        <v>99.98</v>
      </c>
      <c r="BZ445" s="215">
        <v>45331</v>
      </c>
      <c r="CA445" s="48">
        <v>37876800</v>
      </c>
      <c r="CB445" s="48">
        <v>2787853</v>
      </c>
      <c r="CC445" s="71">
        <f t="shared" si="111"/>
        <v>13.586369152175527</v>
      </c>
      <c r="CE445" s="222">
        <v>45331</v>
      </c>
      <c r="CF445" s="101">
        <v>12512969</v>
      </c>
      <c r="CG445" s="101">
        <v>17133</v>
      </c>
      <c r="CH445" s="101">
        <v>12530102</v>
      </c>
      <c r="CI445" s="101">
        <v>99.86</v>
      </c>
      <c r="CJ445" s="71">
        <f t="shared" si="117"/>
        <v>12.530101999999999</v>
      </c>
    </row>
    <row r="446" spans="1:93" hidden="1" x14ac:dyDescent="0.25">
      <c r="A446" s="215">
        <v>45332</v>
      </c>
      <c r="B446" s="104">
        <v>7372038</v>
      </c>
      <c r="C446" s="104">
        <v>8387</v>
      </c>
      <c r="D446" s="104">
        <v>7380425</v>
      </c>
      <c r="E446" s="104">
        <v>99.89</v>
      </c>
      <c r="F446" s="71">
        <f t="shared" si="114"/>
        <v>7.3804249999999998</v>
      </c>
      <c r="H446" s="215">
        <v>45332</v>
      </c>
      <c r="I446" s="101">
        <v>2019876</v>
      </c>
      <c r="J446" s="101">
        <v>1508</v>
      </c>
      <c r="K446" s="101">
        <v>2021384</v>
      </c>
      <c r="L446" s="101">
        <v>99.93</v>
      </c>
      <c r="M446" s="71">
        <f t="shared" si="113"/>
        <v>2.0213839999999998</v>
      </c>
      <c r="O446" s="215">
        <v>45332</v>
      </c>
      <c r="P446" s="101">
        <v>718511</v>
      </c>
      <c r="Q446" s="101">
        <v>0</v>
      </c>
      <c r="R446" s="101">
        <v>718511</v>
      </c>
      <c r="S446" s="101">
        <v>100</v>
      </c>
      <c r="T446" s="71">
        <f t="shared" si="116"/>
        <v>0.71851100000000001</v>
      </c>
      <c r="V446" s="215">
        <v>45332</v>
      </c>
      <c r="W446" s="101">
        <v>1062165</v>
      </c>
      <c r="X446" s="101">
        <v>1941</v>
      </c>
      <c r="Y446" s="101">
        <v>1064106</v>
      </c>
      <c r="Z446" s="101">
        <v>99.82</v>
      </c>
      <c r="AA446" s="71">
        <f t="shared" si="110"/>
        <v>1.064106</v>
      </c>
      <c r="AC446" s="215">
        <v>45332</v>
      </c>
      <c r="AD446" s="101">
        <v>866018</v>
      </c>
      <c r="AE446" s="101">
        <v>14552</v>
      </c>
      <c r="AF446" s="101">
        <v>880570</v>
      </c>
      <c r="AG446" s="101">
        <v>98.35</v>
      </c>
      <c r="AH446" s="71">
        <f t="shared" si="112"/>
        <v>0.88056999999999996</v>
      </c>
      <c r="AJ446" s="215">
        <v>45332</v>
      </c>
      <c r="AK446" s="48">
        <v>0</v>
      </c>
      <c r="AL446" s="48">
        <v>52</v>
      </c>
      <c r="AM446" s="48">
        <v>52</v>
      </c>
      <c r="AN446" s="48">
        <v>0</v>
      </c>
      <c r="AQ446" s="215">
        <v>45332</v>
      </c>
      <c r="AR446" s="48">
        <v>330</v>
      </c>
      <c r="AS446" s="48">
        <v>0</v>
      </c>
      <c r="AT446" s="48">
        <v>330</v>
      </c>
      <c r="AU446" s="48">
        <v>100</v>
      </c>
      <c r="AX446" s="215">
        <v>45332</v>
      </c>
      <c r="AY446" s="48">
        <v>983</v>
      </c>
      <c r="AZ446" s="48">
        <v>11</v>
      </c>
      <c r="BA446" s="48">
        <v>994</v>
      </c>
      <c r="BB446" s="48">
        <v>98.89</v>
      </c>
      <c r="BE446" s="215">
        <v>45332</v>
      </c>
      <c r="BF446" s="101">
        <v>7655</v>
      </c>
      <c r="BG446" s="101">
        <v>942</v>
      </c>
      <c r="BH446" s="101">
        <v>8597</v>
      </c>
      <c r="BI446" s="101">
        <v>89.04</v>
      </c>
      <c r="BL446" s="215">
        <v>45332</v>
      </c>
      <c r="BM446" s="101">
        <v>225552</v>
      </c>
      <c r="BN446" s="101">
        <v>0</v>
      </c>
      <c r="BO446" s="101">
        <v>225552</v>
      </c>
      <c r="BP446" s="101">
        <v>100</v>
      </c>
      <c r="BS446" s="215">
        <v>45332</v>
      </c>
      <c r="BT446" s="104">
        <v>48319</v>
      </c>
      <c r="BU446" s="104">
        <v>6</v>
      </c>
      <c r="BV446" s="104">
        <v>48325</v>
      </c>
      <c r="BW446" s="104">
        <v>99.99</v>
      </c>
      <c r="BZ446" s="215">
        <v>45332</v>
      </c>
      <c r="CA446" s="48">
        <v>39224426</v>
      </c>
      <c r="CB446" s="48">
        <v>2815069</v>
      </c>
      <c r="CC446" s="71">
        <f t="shared" si="111"/>
        <v>13.933735194412641</v>
      </c>
      <c r="CE446" s="222">
        <v>45332</v>
      </c>
      <c r="CF446" s="101">
        <v>14471587</v>
      </c>
      <c r="CG446" s="101">
        <v>32080</v>
      </c>
      <c r="CH446" s="101">
        <v>14503667</v>
      </c>
      <c r="CI446" s="101">
        <v>99.78</v>
      </c>
      <c r="CJ446" s="71">
        <f t="shared" si="117"/>
        <v>14.503667</v>
      </c>
      <c r="CL446" s="70">
        <v>45327</v>
      </c>
      <c r="CM446" t="s">
        <v>240</v>
      </c>
      <c r="CN446">
        <v>2213</v>
      </c>
      <c r="CO446">
        <v>516</v>
      </c>
    </row>
    <row r="447" spans="1:93" hidden="1" x14ac:dyDescent="0.25">
      <c r="A447" s="215">
        <v>45333</v>
      </c>
      <c r="B447" s="104">
        <v>5898498</v>
      </c>
      <c r="C447" s="104">
        <v>3227</v>
      </c>
      <c r="D447" s="104">
        <v>5901725</v>
      </c>
      <c r="E447" s="104">
        <v>99.95</v>
      </c>
      <c r="F447" s="71">
        <f t="shared" si="114"/>
        <v>5.9017249999999999</v>
      </c>
      <c r="H447" s="215">
        <v>45333</v>
      </c>
      <c r="I447" s="101">
        <v>1646904</v>
      </c>
      <c r="J447" s="101">
        <v>985</v>
      </c>
      <c r="K447" s="101">
        <v>1647889</v>
      </c>
      <c r="L447" s="101">
        <v>99.94</v>
      </c>
      <c r="M447" s="71">
        <f t="shared" si="113"/>
        <v>1.6478889999999999</v>
      </c>
      <c r="O447" s="215">
        <v>45333</v>
      </c>
      <c r="P447" s="101">
        <v>652394</v>
      </c>
      <c r="Q447" s="101">
        <v>8</v>
      </c>
      <c r="R447" s="101">
        <v>652402</v>
      </c>
      <c r="S447" s="101">
        <v>100</v>
      </c>
      <c r="T447" s="71">
        <f t="shared" si="116"/>
        <v>0.65240200000000004</v>
      </c>
      <c r="V447" s="215">
        <v>45333</v>
      </c>
      <c r="W447" s="101">
        <v>971116</v>
      </c>
      <c r="X447" s="101">
        <v>635</v>
      </c>
      <c r="Y447" s="101">
        <v>971751</v>
      </c>
      <c r="Z447" s="101">
        <v>99.93</v>
      </c>
      <c r="AA447" s="71">
        <f t="shared" si="110"/>
        <v>0.97175100000000003</v>
      </c>
      <c r="AC447" s="215">
        <v>45333</v>
      </c>
      <c r="AD447" s="101">
        <v>754688</v>
      </c>
      <c r="AE447" s="101">
        <v>994</v>
      </c>
      <c r="AF447" s="101">
        <v>755682</v>
      </c>
      <c r="AG447" s="101">
        <v>99.87</v>
      </c>
      <c r="AH447" s="71">
        <f t="shared" si="112"/>
        <v>0.75568199999999996</v>
      </c>
      <c r="AJ447" s="215">
        <v>45333</v>
      </c>
      <c r="AK447" s="48">
        <v>0</v>
      </c>
      <c r="AL447" s="48">
        <v>18</v>
      </c>
      <c r="AM447" s="48">
        <v>18</v>
      </c>
      <c r="AN447" s="48">
        <v>0</v>
      </c>
      <c r="AQ447" s="215">
        <v>45333</v>
      </c>
      <c r="AR447" s="48">
        <v>338</v>
      </c>
      <c r="AS447" s="48">
        <v>0</v>
      </c>
      <c r="AT447" s="48">
        <v>338</v>
      </c>
      <c r="AU447" s="48">
        <v>100</v>
      </c>
      <c r="AX447" s="215">
        <v>45333</v>
      </c>
      <c r="AY447" s="48">
        <v>60</v>
      </c>
      <c r="AZ447" s="48">
        <v>61</v>
      </c>
      <c r="BA447" s="48">
        <v>121</v>
      </c>
      <c r="BB447" s="48">
        <v>49.59</v>
      </c>
      <c r="BE447" s="215">
        <v>45333</v>
      </c>
      <c r="BF447" s="101">
        <v>5472</v>
      </c>
      <c r="BG447" s="101">
        <v>760</v>
      </c>
      <c r="BH447" s="101">
        <v>6232</v>
      </c>
      <c r="BI447" s="101">
        <v>87.8</v>
      </c>
      <c r="BL447" s="215">
        <v>45333</v>
      </c>
      <c r="BM447" s="101">
        <v>5326</v>
      </c>
      <c r="BN447" s="101">
        <v>0</v>
      </c>
      <c r="BO447" s="101">
        <v>5326</v>
      </c>
      <c r="BP447" s="101">
        <v>100</v>
      </c>
      <c r="BS447" s="215">
        <v>45333</v>
      </c>
      <c r="BT447" s="104">
        <v>28306</v>
      </c>
      <c r="BU447" s="104">
        <v>32</v>
      </c>
      <c r="BV447" s="104">
        <v>28338</v>
      </c>
      <c r="BW447" s="104">
        <v>99.89</v>
      </c>
      <c r="BZ447" s="215">
        <v>45333</v>
      </c>
      <c r="CA447" s="48">
        <v>30378161</v>
      </c>
      <c r="CB447" s="48">
        <v>1938456</v>
      </c>
      <c r="CC447" s="71">
        <f t="shared" si="111"/>
        <v>15.671318306941194</v>
      </c>
      <c r="CE447" s="222">
        <v>45333</v>
      </c>
      <c r="CF447" s="101">
        <v>11800758</v>
      </c>
      <c r="CG447" s="101">
        <v>10060</v>
      </c>
      <c r="CH447" s="101">
        <v>11810818</v>
      </c>
      <c r="CI447" s="101">
        <v>99.91</v>
      </c>
      <c r="CJ447" s="71">
        <f t="shared" si="117"/>
        <v>11.810817999999999</v>
      </c>
      <c r="CL447" s="70">
        <v>45327</v>
      </c>
      <c r="CM447" t="s">
        <v>237</v>
      </c>
      <c r="CN447">
        <v>1732</v>
      </c>
      <c r="CO447">
        <v>527</v>
      </c>
    </row>
    <row r="448" spans="1:93" hidden="1" x14ac:dyDescent="0.25">
      <c r="A448" s="215">
        <v>45334</v>
      </c>
      <c r="B448" s="48">
        <v>6140439</v>
      </c>
      <c r="C448" s="104">
        <v>34792</v>
      </c>
      <c r="D448" s="104">
        <v>6175231</v>
      </c>
      <c r="E448" s="104">
        <v>99.44</v>
      </c>
      <c r="F448" s="71">
        <f t="shared" si="114"/>
        <v>6.1752310000000001</v>
      </c>
      <c r="H448" s="215">
        <v>45334</v>
      </c>
      <c r="I448" s="101">
        <v>1951038</v>
      </c>
      <c r="J448" s="101">
        <v>1368</v>
      </c>
      <c r="K448" s="101">
        <v>1952406</v>
      </c>
      <c r="L448" s="101">
        <v>99.93</v>
      </c>
      <c r="M448" s="71">
        <f t="shared" si="113"/>
        <v>1.9524060000000001</v>
      </c>
      <c r="O448" s="215">
        <v>45334</v>
      </c>
      <c r="P448" s="101">
        <v>781661</v>
      </c>
      <c r="Q448" s="101">
        <v>0</v>
      </c>
      <c r="R448" s="101">
        <v>781661</v>
      </c>
      <c r="S448" s="101">
        <v>100</v>
      </c>
      <c r="T448" s="71">
        <f t="shared" si="116"/>
        <v>0.78166100000000005</v>
      </c>
      <c r="V448" s="215">
        <v>45334</v>
      </c>
      <c r="W448" s="101">
        <v>1136627</v>
      </c>
      <c r="X448" s="101">
        <v>9946</v>
      </c>
      <c r="Y448" s="101">
        <v>1146573</v>
      </c>
      <c r="Z448" s="101">
        <v>99.13</v>
      </c>
      <c r="AA448" s="71">
        <f>Y448/1000000</f>
        <v>1.1465730000000001</v>
      </c>
      <c r="AC448" s="215">
        <v>45334</v>
      </c>
      <c r="AD448" s="101">
        <v>586536</v>
      </c>
      <c r="AE448" s="101">
        <v>319</v>
      </c>
      <c r="AF448" s="101">
        <v>586855</v>
      </c>
      <c r="AG448" s="101">
        <v>99.95</v>
      </c>
      <c r="AH448" s="71">
        <f t="shared" si="112"/>
        <v>0.58685500000000002</v>
      </c>
      <c r="AJ448" s="215">
        <v>45334</v>
      </c>
      <c r="AK448" s="48">
        <v>0</v>
      </c>
      <c r="AL448" s="48">
        <v>64</v>
      </c>
      <c r="AM448" s="48">
        <v>64</v>
      </c>
      <c r="AN448" s="48">
        <v>0</v>
      </c>
      <c r="AQ448" s="215">
        <v>45334</v>
      </c>
      <c r="AR448" s="48">
        <v>213</v>
      </c>
      <c r="AS448" s="48">
        <v>0</v>
      </c>
      <c r="AT448" s="48">
        <v>213</v>
      </c>
      <c r="AU448" s="48">
        <v>100</v>
      </c>
      <c r="AX448" s="215">
        <v>45334</v>
      </c>
      <c r="AY448" s="48">
        <v>552</v>
      </c>
      <c r="AZ448" s="48">
        <v>31</v>
      </c>
      <c r="BA448" s="48">
        <v>583</v>
      </c>
      <c r="BB448" s="48">
        <v>94.68</v>
      </c>
      <c r="BE448" s="215">
        <v>45334</v>
      </c>
      <c r="BF448" s="101">
        <v>5900</v>
      </c>
      <c r="BG448" s="101">
        <v>614</v>
      </c>
      <c r="BH448" s="101">
        <v>6514</v>
      </c>
      <c r="BI448" s="101">
        <v>90.57</v>
      </c>
      <c r="BL448" s="215">
        <v>45334</v>
      </c>
      <c r="BM448" s="101">
        <v>221580</v>
      </c>
      <c r="BN448" s="101">
        <v>0</v>
      </c>
      <c r="BO448" s="101">
        <v>221580</v>
      </c>
      <c r="BP448" s="101">
        <v>100</v>
      </c>
      <c r="BS448" s="215">
        <v>45334</v>
      </c>
      <c r="BT448" s="104">
        <v>14428</v>
      </c>
      <c r="BU448" s="104">
        <v>0</v>
      </c>
      <c r="BV448" s="104">
        <v>14428</v>
      </c>
      <c r="BW448" s="104">
        <v>100</v>
      </c>
      <c r="BZ448" s="215">
        <v>45334</v>
      </c>
      <c r="CA448" s="48">
        <v>34988294</v>
      </c>
      <c r="CB448" s="48">
        <v>2704547</v>
      </c>
      <c r="CC448" s="71">
        <f t="shared" si="111"/>
        <v>12.936840809200209</v>
      </c>
      <c r="CE448" s="222">
        <v>45334</v>
      </c>
      <c r="CF448" s="101">
        <v>13039395</v>
      </c>
      <c r="CG448" s="101">
        <v>52791</v>
      </c>
      <c r="CH448" s="101">
        <v>13092186</v>
      </c>
      <c r="CI448" s="101">
        <v>99.6</v>
      </c>
      <c r="CJ448" s="71">
        <f t="shared" si="117"/>
        <v>13.092186</v>
      </c>
      <c r="CL448" s="70">
        <v>45327</v>
      </c>
      <c r="CM448" s="252" t="s">
        <v>239</v>
      </c>
      <c r="CN448">
        <v>1536</v>
      </c>
      <c r="CO448">
        <v>504</v>
      </c>
    </row>
    <row r="449" spans="1:93" hidden="1" x14ac:dyDescent="0.25">
      <c r="A449" s="215">
        <v>45335</v>
      </c>
      <c r="B449" s="104">
        <v>6447214</v>
      </c>
      <c r="C449" s="104">
        <v>170477</v>
      </c>
      <c r="D449" s="104">
        <v>6617691</v>
      </c>
      <c r="E449" s="104">
        <v>97.42</v>
      </c>
      <c r="F449" s="71">
        <f t="shared" si="114"/>
        <v>6.6176909999999998</v>
      </c>
      <c r="H449" s="215">
        <v>45335</v>
      </c>
      <c r="I449" s="101">
        <v>1819309</v>
      </c>
      <c r="J449" s="101">
        <v>1354</v>
      </c>
      <c r="K449" s="101">
        <v>1820663</v>
      </c>
      <c r="L449" s="101">
        <v>99.93</v>
      </c>
      <c r="M449" s="71">
        <f t="shared" si="113"/>
        <v>1.8206629999999999</v>
      </c>
      <c r="O449" s="215">
        <v>45335</v>
      </c>
      <c r="P449" s="101">
        <v>662133</v>
      </c>
      <c r="Q449" s="101">
        <v>2</v>
      </c>
      <c r="R449" s="101">
        <v>662135</v>
      </c>
      <c r="S449" s="101">
        <v>100</v>
      </c>
      <c r="T449" s="71">
        <f t="shared" si="116"/>
        <v>0.66213500000000003</v>
      </c>
      <c r="V449" s="215">
        <v>45335</v>
      </c>
      <c r="W449" s="101">
        <v>1031884</v>
      </c>
      <c r="X449" s="101">
        <v>25379</v>
      </c>
      <c r="Y449" s="101">
        <v>1057263</v>
      </c>
      <c r="Z449" s="101">
        <v>97.6</v>
      </c>
      <c r="AA449" s="71">
        <f>Y449/1000000</f>
        <v>1.0572630000000001</v>
      </c>
      <c r="AC449" s="215">
        <v>45335</v>
      </c>
      <c r="AD449" s="101">
        <v>662340</v>
      </c>
      <c r="AE449" s="101">
        <v>303</v>
      </c>
      <c r="AF449" s="101">
        <v>662643</v>
      </c>
      <c r="AG449" s="101">
        <v>99.95</v>
      </c>
      <c r="AH449" s="71">
        <f t="shared" si="112"/>
        <v>0.66264299999999998</v>
      </c>
      <c r="AJ449" s="215">
        <v>45335</v>
      </c>
      <c r="AK449" s="48">
        <v>0</v>
      </c>
      <c r="AL449" s="48">
        <v>26</v>
      </c>
      <c r="AM449" s="48">
        <v>26</v>
      </c>
      <c r="AN449" s="48">
        <v>0</v>
      </c>
      <c r="AQ449" s="215">
        <v>45335</v>
      </c>
      <c r="AR449" s="48">
        <v>266</v>
      </c>
      <c r="AS449" s="48">
        <v>0</v>
      </c>
      <c r="AT449" s="48">
        <v>266</v>
      </c>
      <c r="AU449" s="48">
        <v>100</v>
      </c>
      <c r="AX449" s="215">
        <v>45335</v>
      </c>
      <c r="AY449" s="104">
        <v>2069</v>
      </c>
      <c r="AZ449" s="104">
        <v>50</v>
      </c>
      <c r="BA449" s="104">
        <v>2119</v>
      </c>
      <c r="BB449" s="104">
        <v>97.64</v>
      </c>
      <c r="BE449" s="215">
        <v>45335</v>
      </c>
      <c r="BF449" s="101">
        <v>51231</v>
      </c>
      <c r="BG449" s="101">
        <v>2405</v>
      </c>
      <c r="BH449" s="101">
        <v>53636</v>
      </c>
      <c r="BI449" s="101">
        <v>95.52</v>
      </c>
      <c r="BL449" s="215">
        <v>45335</v>
      </c>
      <c r="BM449" s="101">
        <v>217721</v>
      </c>
      <c r="BN449" s="101">
        <v>0</v>
      </c>
      <c r="BO449" s="101">
        <v>217721</v>
      </c>
      <c r="BP449" s="101">
        <v>100</v>
      </c>
      <c r="BS449" s="215">
        <v>45335</v>
      </c>
      <c r="BT449" s="104">
        <v>36368</v>
      </c>
      <c r="BU449" s="104">
        <v>2</v>
      </c>
      <c r="BV449" s="104">
        <v>36370</v>
      </c>
      <c r="BW449" s="104">
        <v>99.99</v>
      </c>
      <c r="BZ449" s="215">
        <v>45335</v>
      </c>
      <c r="CA449" s="48">
        <v>37488356</v>
      </c>
      <c r="CB449" s="48">
        <v>2787821</v>
      </c>
      <c r="CC449" s="71">
        <f t="shared" si="111"/>
        <v>13.447189041190235</v>
      </c>
      <c r="CE449" s="222">
        <v>45335</v>
      </c>
      <c r="CF449" s="101">
        <v>12853517</v>
      </c>
      <c r="CG449" s="101">
        <v>210227</v>
      </c>
      <c r="CH449" s="101">
        <v>13063744</v>
      </c>
      <c r="CI449" s="101">
        <v>98.39</v>
      </c>
      <c r="CJ449" s="71">
        <f t="shared" si="117"/>
        <v>13.063744</v>
      </c>
      <c r="CL449" s="70">
        <v>45327</v>
      </c>
      <c r="CM449" t="s">
        <v>238</v>
      </c>
      <c r="CN449">
        <v>1436</v>
      </c>
      <c r="CO449">
        <v>503</v>
      </c>
    </row>
    <row r="450" spans="1:93" hidden="1" x14ac:dyDescent="0.25">
      <c r="A450" s="215">
        <v>45336</v>
      </c>
      <c r="B450" s="104">
        <v>6129124</v>
      </c>
      <c r="C450" s="104">
        <v>1652</v>
      </c>
      <c r="D450" s="104">
        <v>6130776</v>
      </c>
      <c r="E450" s="104">
        <v>99.97</v>
      </c>
      <c r="F450" s="71">
        <f t="shared" si="114"/>
        <v>6.130776</v>
      </c>
      <c r="H450" s="215">
        <v>45336</v>
      </c>
      <c r="I450" s="101">
        <v>1629322</v>
      </c>
      <c r="J450" s="101">
        <v>1092</v>
      </c>
      <c r="K450" s="101">
        <v>1630414</v>
      </c>
      <c r="L450" s="101">
        <v>99.93</v>
      </c>
      <c r="M450" s="71">
        <f t="shared" si="113"/>
        <v>1.630414</v>
      </c>
      <c r="O450" s="215">
        <v>45336</v>
      </c>
      <c r="P450" s="101">
        <v>591266</v>
      </c>
      <c r="Q450" s="101">
        <v>0</v>
      </c>
      <c r="R450" s="101">
        <v>591266</v>
      </c>
      <c r="S450" s="101">
        <v>100</v>
      </c>
      <c r="T450" s="71">
        <f t="shared" si="116"/>
        <v>0.59126599999999996</v>
      </c>
      <c r="V450" s="215">
        <v>45336</v>
      </c>
      <c r="W450" s="101">
        <v>1002462</v>
      </c>
      <c r="X450" s="101">
        <v>164</v>
      </c>
      <c r="Y450" s="101">
        <v>1002626</v>
      </c>
      <c r="Z450" s="101">
        <v>99.98</v>
      </c>
      <c r="AA450" s="71">
        <f>Y450/1000000</f>
        <v>1.002626</v>
      </c>
      <c r="AC450" s="215">
        <v>45336</v>
      </c>
      <c r="AD450" s="101">
        <v>625014</v>
      </c>
      <c r="AE450" s="101">
        <v>1038</v>
      </c>
      <c r="AF450" s="101">
        <v>626052</v>
      </c>
      <c r="AG450" s="101">
        <v>99.83</v>
      </c>
      <c r="AH450" s="71">
        <f t="shared" si="112"/>
        <v>0.62605200000000005</v>
      </c>
      <c r="AJ450" s="215">
        <v>45336</v>
      </c>
      <c r="AK450" s="48">
        <v>0</v>
      </c>
      <c r="AL450" s="48">
        <v>30</v>
      </c>
      <c r="AM450" s="48">
        <v>30</v>
      </c>
      <c r="AN450" s="48">
        <v>0</v>
      </c>
      <c r="AQ450" s="215">
        <v>45336</v>
      </c>
      <c r="AR450" s="48">
        <v>160</v>
      </c>
      <c r="AS450" s="48">
        <v>0</v>
      </c>
      <c r="AT450" s="48">
        <v>160</v>
      </c>
      <c r="AU450" s="48">
        <v>100</v>
      </c>
      <c r="AX450" s="215">
        <v>45336</v>
      </c>
      <c r="AY450" s="48">
        <v>458</v>
      </c>
      <c r="AZ450" s="48">
        <v>172</v>
      </c>
      <c r="BA450" s="48">
        <v>630</v>
      </c>
      <c r="BB450" s="48">
        <v>72.7</v>
      </c>
      <c r="BE450" s="215">
        <v>45336</v>
      </c>
      <c r="BF450" s="101">
        <v>11250</v>
      </c>
      <c r="BG450" s="101">
        <v>1106</v>
      </c>
      <c r="BH450" s="101">
        <v>12356</v>
      </c>
      <c r="BI450" s="101">
        <v>91.05</v>
      </c>
      <c r="BL450" s="215">
        <v>45336</v>
      </c>
      <c r="BM450" s="101">
        <v>219030</v>
      </c>
      <c r="BN450" s="101">
        <v>0</v>
      </c>
      <c r="BO450" s="101">
        <v>219030</v>
      </c>
      <c r="BP450" s="101">
        <v>100</v>
      </c>
      <c r="BS450" s="215">
        <v>45336</v>
      </c>
      <c r="BT450" s="104">
        <v>17552</v>
      </c>
      <c r="BU450" s="104">
        <v>2</v>
      </c>
      <c r="BV450" s="104">
        <v>17554</v>
      </c>
      <c r="BW450" s="104">
        <v>99.99</v>
      </c>
      <c r="BZ450" s="215">
        <v>45336</v>
      </c>
      <c r="CA450" s="48">
        <v>36292934</v>
      </c>
      <c r="CB450" s="48">
        <v>2723589</v>
      </c>
      <c r="CC450" s="71">
        <f t="shared" si="111"/>
        <v>13.325407761596923</v>
      </c>
      <c r="CE450" s="222">
        <v>45336</v>
      </c>
      <c r="CF450">
        <v>12011756</v>
      </c>
      <c r="CG450">
        <v>9248</v>
      </c>
      <c r="CH450">
        <v>12021004</v>
      </c>
      <c r="CI450" s="193">
        <f>CF450/CH450%</f>
        <v>99.923067989994848</v>
      </c>
      <c r="CJ450" s="71">
        <f t="shared" si="117"/>
        <v>12.021004</v>
      </c>
      <c r="CL450" s="70">
        <v>45327</v>
      </c>
      <c r="CM450" t="s">
        <v>243</v>
      </c>
      <c r="CN450">
        <v>1059</v>
      </c>
      <c r="CO450">
        <v>540</v>
      </c>
    </row>
    <row r="451" spans="1:93" hidden="1" x14ac:dyDescent="0.25">
      <c r="A451" s="215">
        <v>45337</v>
      </c>
      <c r="B451" s="48">
        <v>6956643</v>
      </c>
      <c r="C451" s="48">
        <v>2092</v>
      </c>
      <c r="D451" s="48">
        <v>6958735</v>
      </c>
      <c r="E451" s="48">
        <v>99.97</v>
      </c>
      <c r="F451" s="71">
        <f t="shared" si="114"/>
        <v>6.9587349999999999</v>
      </c>
      <c r="H451" s="215">
        <v>45337</v>
      </c>
      <c r="I451">
        <v>1970160</v>
      </c>
      <c r="J451">
        <v>1467</v>
      </c>
      <c r="K451">
        <v>1971627</v>
      </c>
      <c r="L451">
        <v>99.93</v>
      </c>
      <c r="M451" s="71">
        <f t="shared" si="113"/>
        <v>1.971627</v>
      </c>
      <c r="O451" s="215">
        <v>45337</v>
      </c>
      <c r="P451">
        <v>818728</v>
      </c>
      <c r="Q451">
        <v>21</v>
      </c>
      <c r="R451">
        <v>818749</v>
      </c>
      <c r="S451">
        <v>100</v>
      </c>
      <c r="T451" s="71">
        <f t="shared" si="116"/>
        <v>0.81874899999999995</v>
      </c>
      <c r="V451" s="215">
        <v>45337</v>
      </c>
      <c r="W451">
        <v>1079750</v>
      </c>
      <c r="X451">
        <v>195</v>
      </c>
      <c r="Y451">
        <v>1079945</v>
      </c>
      <c r="Z451">
        <v>99.98</v>
      </c>
      <c r="AA451" s="71">
        <f t="shared" ref="AA451:AA515" si="118">Y451/1000000</f>
        <v>1.0799449999999999</v>
      </c>
      <c r="AC451" s="215">
        <v>45337</v>
      </c>
      <c r="AD451">
        <v>791384</v>
      </c>
      <c r="AE451">
        <v>1663</v>
      </c>
      <c r="AF451">
        <v>793047</v>
      </c>
      <c r="AG451">
        <v>99.79</v>
      </c>
      <c r="AH451" s="71">
        <f t="shared" si="112"/>
        <v>0.79304699999999995</v>
      </c>
      <c r="AJ451" s="215">
        <v>45337</v>
      </c>
      <c r="AK451" s="48">
        <v>0</v>
      </c>
      <c r="AL451" s="48">
        <v>30</v>
      </c>
      <c r="AM451" s="48">
        <v>30</v>
      </c>
      <c r="AN451" s="48">
        <v>0</v>
      </c>
      <c r="AQ451" s="215">
        <v>45337</v>
      </c>
      <c r="AR451" s="48">
        <v>542</v>
      </c>
      <c r="AS451" s="48">
        <v>0</v>
      </c>
      <c r="AT451" s="48">
        <v>542</v>
      </c>
      <c r="AU451" s="48">
        <v>100</v>
      </c>
      <c r="AX451" s="215">
        <v>45337</v>
      </c>
      <c r="AY451" s="48">
        <v>0</v>
      </c>
      <c r="AZ451" s="48">
        <v>244</v>
      </c>
      <c r="BA451" s="48">
        <v>244</v>
      </c>
      <c r="BB451" s="48">
        <v>0</v>
      </c>
      <c r="BE451" s="215">
        <v>45337</v>
      </c>
      <c r="BF451">
        <v>10712</v>
      </c>
      <c r="BG451">
        <v>1133</v>
      </c>
      <c r="BH451">
        <v>11845</v>
      </c>
      <c r="BI451">
        <v>90.43</v>
      </c>
      <c r="BL451" s="215">
        <v>45337</v>
      </c>
      <c r="BM451">
        <v>224940</v>
      </c>
      <c r="BN451" s="101">
        <v>0</v>
      </c>
      <c r="BO451">
        <v>224940</v>
      </c>
      <c r="BP451">
        <v>100</v>
      </c>
      <c r="BS451" s="215">
        <v>45337</v>
      </c>
      <c r="BT451" s="48">
        <v>21404</v>
      </c>
      <c r="BU451" s="48">
        <v>36</v>
      </c>
      <c r="BV451" s="48">
        <v>21440</v>
      </c>
      <c r="BW451" s="48">
        <v>99.83</v>
      </c>
      <c r="BZ451" s="215">
        <v>45337</v>
      </c>
      <c r="CA451" s="48">
        <v>35496312</v>
      </c>
      <c r="CB451" s="48">
        <v>2668124</v>
      </c>
      <c r="CC451" s="71">
        <f t="shared" si="111"/>
        <v>13.303846447916214</v>
      </c>
      <c r="CE451" s="222">
        <v>45337</v>
      </c>
      <c r="CF451" s="101">
        <v>14000911</v>
      </c>
      <c r="CG451" s="101">
        <v>11824</v>
      </c>
      <c r="CH451" s="101">
        <v>14012735</v>
      </c>
      <c r="CI451" s="101">
        <v>99.92</v>
      </c>
      <c r="CJ451" s="71">
        <f t="shared" si="117"/>
        <v>14.012734999999999</v>
      </c>
    </row>
    <row r="452" spans="1:93" hidden="1" x14ac:dyDescent="0.25">
      <c r="A452" s="215">
        <v>45338</v>
      </c>
      <c r="B452" s="48">
        <v>6979002</v>
      </c>
      <c r="C452" s="48">
        <v>1907</v>
      </c>
      <c r="D452" s="48">
        <v>6980909</v>
      </c>
      <c r="E452" s="48">
        <v>99.97</v>
      </c>
      <c r="F452" s="71">
        <f t="shared" si="114"/>
        <v>6.9809089999999996</v>
      </c>
      <c r="H452" s="215">
        <v>45338</v>
      </c>
      <c r="I452">
        <v>2033534</v>
      </c>
      <c r="J452">
        <v>1333</v>
      </c>
      <c r="K452">
        <v>2034867</v>
      </c>
      <c r="L452">
        <v>99.93</v>
      </c>
      <c r="M452" s="71">
        <f t="shared" si="113"/>
        <v>2.0348670000000002</v>
      </c>
      <c r="O452" s="215">
        <v>45338</v>
      </c>
      <c r="P452">
        <v>815793</v>
      </c>
      <c r="Q452">
        <v>0</v>
      </c>
      <c r="R452">
        <v>815793</v>
      </c>
      <c r="S452">
        <v>100</v>
      </c>
      <c r="T452" s="71">
        <f t="shared" si="116"/>
        <v>0.81579299999999999</v>
      </c>
      <c r="V452" s="215">
        <v>45338</v>
      </c>
      <c r="W452">
        <v>1143841</v>
      </c>
      <c r="X452">
        <v>199</v>
      </c>
      <c r="Y452">
        <v>1144040</v>
      </c>
      <c r="Z452">
        <v>99.98</v>
      </c>
      <c r="AA452" s="71">
        <f t="shared" si="118"/>
        <v>1.1440399999999999</v>
      </c>
      <c r="AC452" s="215">
        <v>45338</v>
      </c>
      <c r="AD452">
        <v>808357</v>
      </c>
      <c r="AE452">
        <v>295</v>
      </c>
      <c r="AF452">
        <v>808652</v>
      </c>
      <c r="AG452">
        <v>99.96</v>
      </c>
      <c r="AH452" s="71">
        <f t="shared" si="112"/>
        <v>0.80865200000000004</v>
      </c>
      <c r="AJ452" s="215">
        <v>45338</v>
      </c>
      <c r="AK452" s="48">
        <v>0</v>
      </c>
      <c r="AL452" s="48">
        <v>29</v>
      </c>
      <c r="AM452" s="48">
        <v>29</v>
      </c>
      <c r="AN452" s="48">
        <v>0</v>
      </c>
      <c r="AQ452" s="215">
        <v>45338</v>
      </c>
      <c r="AR452" s="48">
        <v>480</v>
      </c>
      <c r="AS452" s="48">
        <v>0</v>
      </c>
      <c r="AT452" s="48">
        <v>480</v>
      </c>
      <c r="AU452" s="48">
        <v>100</v>
      </c>
      <c r="AX452" s="215">
        <v>45338</v>
      </c>
      <c r="AY452" s="48">
        <v>0</v>
      </c>
      <c r="AZ452" s="48">
        <v>140</v>
      </c>
      <c r="BA452" s="48">
        <v>140</v>
      </c>
      <c r="BB452" s="48">
        <v>0</v>
      </c>
      <c r="BE452" s="215">
        <v>45338</v>
      </c>
      <c r="BF452">
        <v>11743</v>
      </c>
      <c r="BG452">
        <v>1429</v>
      </c>
      <c r="BH452">
        <v>13172</v>
      </c>
      <c r="BI452">
        <v>89.15</v>
      </c>
      <c r="BL452" s="215">
        <v>45338</v>
      </c>
      <c r="BM452">
        <v>205923</v>
      </c>
      <c r="BN452" s="101">
        <v>0</v>
      </c>
      <c r="BO452">
        <v>205923</v>
      </c>
      <c r="BP452">
        <v>100</v>
      </c>
      <c r="BS452" s="215">
        <v>45338</v>
      </c>
      <c r="BT452" s="48">
        <v>34468</v>
      </c>
      <c r="BU452" s="48">
        <v>32</v>
      </c>
      <c r="BV452" s="48">
        <v>34500</v>
      </c>
      <c r="BW452" s="48">
        <v>99.91</v>
      </c>
      <c r="BZ452" s="215">
        <v>45338</v>
      </c>
      <c r="CA452" s="48">
        <v>36919624</v>
      </c>
      <c r="CB452" s="48">
        <v>2720513</v>
      </c>
      <c r="CC452" s="71">
        <f t="shared" si="111"/>
        <v>13.570831677701962</v>
      </c>
      <c r="CE452" s="222">
        <v>45338</v>
      </c>
      <c r="CF452" s="101">
        <v>14312164</v>
      </c>
      <c r="CG452" s="101">
        <v>10112</v>
      </c>
      <c r="CH452" s="101">
        <v>14322276</v>
      </c>
      <c r="CI452" s="101">
        <v>99.93</v>
      </c>
      <c r="CJ452" s="71">
        <f t="shared" si="117"/>
        <v>14.322276</v>
      </c>
      <c r="CL452" s="70">
        <v>45328</v>
      </c>
      <c r="CM452" t="s">
        <v>240</v>
      </c>
      <c r="CN452">
        <v>4123</v>
      </c>
      <c r="CO452">
        <v>516</v>
      </c>
    </row>
    <row r="453" spans="1:93" hidden="1" x14ac:dyDescent="0.25">
      <c r="A453" s="215">
        <v>45339</v>
      </c>
      <c r="B453" s="48">
        <v>7169246</v>
      </c>
      <c r="C453" s="48">
        <v>1786</v>
      </c>
      <c r="D453" s="48">
        <v>7171032</v>
      </c>
      <c r="E453" s="48">
        <v>99.98</v>
      </c>
      <c r="F453" s="71">
        <f t="shared" si="114"/>
        <v>7.1710320000000003</v>
      </c>
      <c r="H453" s="215">
        <v>45339</v>
      </c>
      <c r="I453">
        <v>1979516</v>
      </c>
      <c r="J453">
        <v>1290</v>
      </c>
      <c r="K453">
        <v>1980806</v>
      </c>
      <c r="L453">
        <v>99.93</v>
      </c>
      <c r="M453" s="71">
        <f t="shared" si="113"/>
        <v>1.9808060000000001</v>
      </c>
      <c r="O453" s="215">
        <v>45339</v>
      </c>
      <c r="P453">
        <v>816166</v>
      </c>
      <c r="Q453">
        <v>0</v>
      </c>
      <c r="R453">
        <v>816166</v>
      </c>
      <c r="S453">
        <v>100</v>
      </c>
      <c r="T453" s="71">
        <f t="shared" si="116"/>
        <v>0.81616599999999995</v>
      </c>
      <c r="V453" s="215">
        <v>45339</v>
      </c>
      <c r="W453">
        <v>1151586</v>
      </c>
      <c r="X453">
        <v>211</v>
      </c>
      <c r="Y453">
        <v>1151797</v>
      </c>
      <c r="Z453">
        <v>99.98</v>
      </c>
      <c r="AA453" s="71">
        <f t="shared" si="118"/>
        <v>1.151797</v>
      </c>
      <c r="AC453" s="215">
        <v>45339</v>
      </c>
      <c r="AD453">
        <v>786088</v>
      </c>
      <c r="AE453">
        <v>1046</v>
      </c>
      <c r="AF453">
        <v>787134</v>
      </c>
      <c r="AG453">
        <v>99.87</v>
      </c>
      <c r="AH453" s="71">
        <f t="shared" si="112"/>
        <v>0.787134</v>
      </c>
      <c r="AJ453" s="215">
        <v>45339</v>
      </c>
      <c r="AK453" s="48">
        <v>0</v>
      </c>
      <c r="AL453" s="48">
        <v>23</v>
      </c>
      <c r="AM453" s="48">
        <v>23</v>
      </c>
      <c r="AN453" s="48">
        <v>0</v>
      </c>
      <c r="AQ453" s="215">
        <v>45339</v>
      </c>
      <c r="AR453" s="48">
        <v>172</v>
      </c>
      <c r="AS453" s="48">
        <v>0</v>
      </c>
      <c r="AT453" s="48">
        <v>172</v>
      </c>
      <c r="AU453" s="48">
        <v>100</v>
      </c>
      <c r="AX453" s="215">
        <v>45339</v>
      </c>
      <c r="AY453" s="48">
        <v>0</v>
      </c>
      <c r="AZ453" s="48">
        <v>92</v>
      </c>
      <c r="BA453" s="48">
        <v>92</v>
      </c>
      <c r="BB453" s="48">
        <v>0</v>
      </c>
      <c r="BE453" s="215">
        <v>45339</v>
      </c>
      <c r="BF453">
        <v>12769</v>
      </c>
      <c r="BG453">
        <v>1243</v>
      </c>
      <c r="BH453">
        <v>14012</v>
      </c>
      <c r="BI453">
        <v>91.13</v>
      </c>
      <c r="BL453" s="215">
        <v>45339</v>
      </c>
      <c r="BM453">
        <v>227309</v>
      </c>
      <c r="BN453" s="101">
        <v>0</v>
      </c>
      <c r="BO453">
        <v>227309</v>
      </c>
      <c r="BP453">
        <v>100</v>
      </c>
      <c r="BS453" s="215">
        <v>45339</v>
      </c>
      <c r="BT453" s="48">
        <v>40285</v>
      </c>
      <c r="BU453" s="48">
        <v>6</v>
      </c>
      <c r="BV453" s="48">
        <v>40291</v>
      </c>
      <c r="BW453" s="48">
        <v>99.99</v>
      </c>
      <c r="BZ453" s="215">
        <v>45339</v>
      </c>
      <c r="CA453" s="48">
        <v>37051078</v>
      </c>
      <c r="CB453" s="48">
        <v>2699702</v>
      </c>
      <c r="CC453" s="71">
        <f t="shared" si="111"/>
        <v>13.724136219479039</v>
      </c>
      <c r="CE453" s="222">
        <v>45339</v>
      </c>
      <c r="CF453" s="101">
        <v>14390994</v>
      </c>
      <c r="CG453" s="101">
        <v>10422</v>
      </c>
      <c r="CH453" s="101">
        <v>14401416</v>
      </c>
      <c r="CI453" s="101">
        <v>99.93</v>
      </c>
      <c r="CJ453" s="71">
        <f t="shared" si="117"/>
        <v>14.401415999999999</v>
      </c>
      <c r="CL453" s="70">
        <v>45328</v>
      </c>
      <c r="CM453" t="s">
        <v>237</v>
      </c>
      <c r="CN453">
        <v>3580</v>
      </c>
      <c r="CO453">
        <v>527</v>
      </c>
    </row>
    <row r="454" spans="1:93" hidden="1" x14ac:dyDescent="0.25">
      <c r="A454" s="215">
        <v>45340</v>
      </c>
      <c r="B454" s="48">
        <v>8947554</v>
      </c>
      <c r="C454" s="48">
        <v>2278</v>
      </c>
      <c r="D454" s="48">
        <v>8949832</v>
      </c>
      <c r="E454" s="48">
        <v>99.97</v>
      </c>
      <c r="F454" s="71">
        <f t="shared" si="114"/>
        <v>8.9498320000000007</v>
      </c>
      <c r="H454" s="215">
        <v>45340</v>
      </c>
      <c r="I454">
        <v>2345920</v>
      </c>
      <c r="J454">
        <v>1639</v>
      </c>
      <c r="K454">
        <v>2347559</v>
      </c>
      <c r="L454">
        <v>99.93</v>
      </c>
      <c r="M454" s="71">
        <f t="shared" si="113"/>
        <v>2.347559</v>
      </c>
      <c r="O454" s="215">
        <v>45340</v>
      </c>
      <c r="P454">
        <v>988007</v>
      </c>
      <c r="Q454">
        <v>0</v>
      </c>
      <c r="R454">
        <v>988007</v>
      </c>
      <c r="S454">
        <v>100</v>
      </c>
      <c r="T454" s="71">
        <f t="shared" si="116"/>
        <v>0.98800699999999997</v>
      </c>
      <c r="V454" s="215">
        <v>45340</v>
      </c>
      <c r="W454">
        <v>1460512</v>
      </c>
      <c r="X454">
        <v>286</v>
      </c>
      <c r="Y454">
        <v>1460798</v>
      </c>
      <c r="Z454">
        <v>99.98</v>
      </c>
      <c r="AA454" s="71">
        <f t="shared" si="118"/>
        <v>1.460798</v>
      </c>
      <c r="AC454" s="215">
        <v>45340</v>
      </c>
      <c r="AD454">
        <v>1047903</v>
      </c>
      <c r="AE454">
        <v>1225</v>
      </c>
      <c r="AF454">
        <v>1049128</v>
      </c>
      <c r="AG454">
        <v>99.88</v>
      </c>
      <c r="AH454" s="71">
        <f t="shared" si="112"/>
        <v>1.0491280000000001</v>
      </c>
      <c r="AJ454" s="215">
        <v>45340</v>
      </c>
      <c r="AK454" s="48">
        <v>0</v>
      </c>
      <c r="AL454" s="48">
        <v>20</v>
      </c>
      <c r="AM454" s="48">
        <v>20</v>
      </c>
      <c r="AN454" s="48">
        <v>0</v>
      </c>
      <c r="AQ454" s="215">
        <v>45340</v>
      </c>
      <c r="AR454" s="48">
        <v>327</v>
      </c>
      <c r="AS454" s="48">
        <v>1</v>
      </c>
      <c r="AT454" s="48">
        <v>328</v>
      </c>
      <c r="AU454" s="48">
        <v>99.7</v>
      </c>
      <c r="AX454" s="215">
        <v>45340</v>
      </c>
      <c r="AY454" s="48">
        <v>0</v>
      </c>
      <c r="AZ454" s="48">
        <v>130</v>
      </c>
      <c r="BA454" s="48">
        <v>130</v>
      </c>
      <c r="BB454" s="48">
        <v>0</v>
      </c>
      <c r="BE454" s="215">
        <v>45340</v>
      </c>
      <c r="BF454">
        <v>14148</v>
      </c>
      <c r="BG454">
        <v>1423</v>
      </c>
      <c r="BH454">
        <v>15571</v>
      </c>
      <c r="BI454">
        <v>90.86</v>
      </c>
      <c r="BL454" s="215">
        <v>45340</v>
      </c>
      <c r="BM454">
        <v>8952</v>
      </c>
      <c r="BN454" s="101">
        <v>0</v>
      </c>
      <c r="BO454">
        <v>8952</v>
      </c>
      <c r="BP454">
        <v>100</v>
      </c>
      <c r="BS454" s="215">
        <v>45340</v>
      </c>
      <c r="BT454" s="48">
        <v>69320</v>
      </c>
      <c r="BU454" s="48">
        <v>2</v>
      </c>
      <c r="BV454" s="48">
        <v>69322</v>
      </c>
      <c r="BW454" s="48">
        <v>100</v>
      </c>
      <c r="BZ454" s="215">
        <v>45340</v>
      </c>
      <c r="CA454" s="48">
        <v>33427934</v>
      </c>
      <c r="CB454" s="48">
        <v>2140736</v>
      </c>
      <c r="CC454" s="71">
        <f t="shared" ref="CC454:CC521" si="119">CA454/CB454</f>
        <v>15.615159459176658</v>
      </c>
      <c r="CE454" s="222">
        <v>45340</v>
      </c>
      <c r="CF454" s="101">
        <v>17670723</v>
      </c>
      <c r="CG454" s="101">
        <v>12631</v>
      </c>
      <c r="CH454" s="101">
        <v>17683354</v>
      </c>
      <c r="CI454" s="101">
        <v>99.93</v>
      </c>
      <c r="CJ454" s="71">
        <f t="shared" si="117"/>
        <v>17.683354000000001</v>
      </c>
      <c r="CL454" s="70">
        <v>45328</v>
      </c>
      <c r="CM454" s="252" t="s">
        <v>239</v>
      </c>
      <c r="CN454">
        <v>2191</v>
      </c>
      <c r="CO454">
        <v>504</v>
      </c>
    </row>
    <row r="455" spans="1:93" hidden="1" x14ac:dyDescent="0.25">
      <c r="A455" s="215">
        <v>45341</v>
      </c>
      <c r="B455" s="104">
        <v>7186721</v>
      </c>
      <c r="C455" s="104">
        <v>1936</v>
      </c>
      <c r="D455" s="104">
        <v>7188657</v>
      </c>
      <c r="E455" s="104">
        <v>99.97</v>
      </c>
      <c r="F455" s="71">
        <f t="shared" si="114"/>
        <v>7.1886570000000001</v>
      </c>
      <c r="H455" s="215">
        <v>45341</v>
      </c>
      <c r="I455" s="101">
        <v>1833202</v>
      </c>
      <c r="J455" s="101">
        <v>1413</v>
      </c>
      <c r="K455" s="101">
        <v>1834615</v>
      </c>
      <c r="L455" s="101">
        <v>99.92</v>
      </c>
      <c r="M455" s="71">
        <f t="shared" si="113"/>
        <v>1.8346150000000001</v>
      </c>
      <c r="O455" s="215">
        <v>45341</v>
      </c>
      <c r="P455" s="101">
        <v>809537</v>
      </c>
      <c r="Q455" s="101">
        <v>0</v>
      </c>
      <c r="R455" s="101">
        <v>809537</v>
      </c>
      <c r="S455" s="101">
        <v>100</v>
      </c>
      <c r="T455" s="71">
        <f t="shared" si="116"/>
        <v>0.80953699999999995</v>
      </c>
      <c r="V455" s="215">
        <v>45341</v>
      </c>
      <c r="W455" s="101">
        <v>1167412</v>
      </c>
      <c r="X455" s="101">
        <v>228</v>
      </c>
      <c r="Y455" s="101">
        <v>1167640</v>
      </c>
      <c r="Z455" s="101">
        <v>99.98</v>
      </c>
      <c r="AA455" s="71">
        <f t="shared" si="118"/>
        <v>1.16764</v>
      </c>
      <c r="AC455" s="215">
        <v>45341</v>
      </c>
      <c r="AD455" s="101">
        <v>684797</v>
      </c>
      <c r="AE455" s="101">
        <v>109</v>
      </c>
      <c r="AF455" s="101">
        <v>684906</v>
      </c>
      <c r="AG455" s="101">
        <v>99.98</v>
      </c>
      <c r="AH455" s="71">
        <f t="shared" si="112"/>
        <v>0.68490600000000001</v>
      </c>
      <c r="AJ455" s="215">
        <v>45341</v>
      </c>
      <c r="AK455" s="48">
        <v>0</v>
      </c>
      <c r="AL455" s="48">
        <v>43</v>
      </c>
      <c r="AM455" s="48">
        <v>43</v>
      </c>
      <c r="AN455" s="48">
        <v>0</v>
      </c>
      <c r="AQ455" s="215">
        <v>45341</v>
      </c>
      <c r="AR455" s="48">
        <v>988</v>
      </c>
      <c r="AS455" s="48">
        <v>3</v>
      </c>
      <c r="AT455" s="48">
        <v>991</v>
      </c>
      <c r="AU455" s="48">
        <v>99.7</v>
      </c>
      <c r="AX455" s="215">
        <v>45341</v>
      </c>
      <c r="AY455" s="48">
        <v>0</v>
      </c>
      <c r="AZ455" s="48">
        <v>395</v>
      </c>
      <c r="BA455" s="48">
        <v>395</v>
      </c>
      <c r="BB455" s="48">
        <v>0</v>
      </c>
      <c r="BE455" s="215">
        <v>45341</v>
      </c>
      <c r="BF455" s="101">
        <v>15876</v>
      </c>
      <c r="BG455" s="101">
        <v>1716</v>
      </c>
      <c r="BH455" s="101">
        <v>17592</v>
      </c>
      <c r="BI455" s="101">
        <v>90.25</v>
      </c>
      <c r="BL455" s="215">
        <v>45341</v>
      </c>
      <c r="BM455" s="101">
        <v>261658</v>
      </c>
      <c r="BN455" s="101">
        <v>0</v>
      </c>
      <c r="BO455" s="101">
        <v>261658</v>
      </c>
      <c r="BP455" s="101">
        <v>100</v>
      </c>
      <c r="BS455" s="215">
        <v>45341</v>
      </c>
      <c r="BT455" s="104">
        <v>38062</v>
      </c>
      <c r="BU455" s="104">
        <v>2</v>
      </c>
      <c r="BV455" s="104">
        <v>38064</v>
      </c>
      <c r="BW455" s="104">
        <v>99.99</v>
      </c>
      <c r="BZ455" s="215">
        <v>45341</v>
      </c>
      <c r="CA455" s="48">
        <v>36558208</v>
      </c>
      <c r="CB455" s="48">
        <v>2776331</v>
      </c>
      <c r="CC455" s="71">
        <f t="shared" si="119"/>
        <v>13.167813203829082</v>
      </c>
      <c r="CE455" s="222">
        <v>45341</v>
      </c>
      <c r="CF455" s="101">
        <v>14199943</v>
      </c>
      <c r="CG455" s="101">
        <v>10590</v>
      </c>
      <c r="CH455" s="101">
        <v>14210533</v>
      </c>
      <c r="CI455" s="101">
        <v>99.93</v>
      </c>
      <c r="CJ455" s="71">
        <f t="shared" si="117"/>
        <v>14.210533</v>
      </c>
      <c r="CL455" s="70">
        <v>45328</v>
      </c>
      <c r="CM455" t="s">
        <v>238</v>
      </c>
      <c r="CN455">
        <v>1882</v>
      </c>
      <c r="CO455">
        <v>503</v>
      </c>
    </row>
    <row r="456" spans="1:93" hidden="1" x14ac:dyDescent="0.25">
      <c r="A456" s="215">
        <v>45342</v>
      </c>
      <c r="B456" s="104">
        <v>6615337</v>
      </c>
      <c r="C456" s="104">
        <v>1584</v>
      </c>
      <c r="D456" s="104">
        <v>6616921</v>
      </c>
      <c r="E456" s="104">
        <v>99.98</v>
      </c>
      <c r="F456" s="71">
        <f t="shared" si="114"/>
        <v>6.6169209999999996</v>
      </c>
      <c r="H456" s="215">
        <v>45342</v>
      </c>
      <c r="I456" s="101">
        <v>1736467</v>
      </c>
      <c r="J456" s="101">
        <v>1242</v>
      </c>
      <c r="K456" s="101">
        <v>1737709</v>
      </c>
      <c r="L456" s="101">
        <v>99.93</v>
      </c>
      <c r="M456" s="71">
        <f t="shared" si="113"/>
        <v>1.7377089999999999</v>
      </c>
      <c r="O456" s="215">
        <v>45342</v>
      </c>
      <c r="P456" s="101">
        <v>715442</v>
      </c>
      <c r="Q456" s="101">
        <v>0</v>
      </c>
      <c r="R456" s="101">
        <v>715442</v>
      </c>
      <c r="S456" s="101">
        <v>100</v>
      </c>
      <c r="T456" s="71">
        <f t="shared" si="116"/>
        <v>0.71544200000000002</v>
      </c>
      <c r="V456" s="215">
        <v>45342</v>
      </c>
      <c r="W456" s="101">
        <v>1108406</v>
      </c>
      <c r="X456" s="101">
        <v>193</v>
      </c>
      <c r="Y456" s="101">
        <v>1108599</v>
      </c>
      <c r="Z456" s="101">
        <v>99.98</v>
      </c>
      <c r="AA456" s="71">
        <f t="shared" si="118"/>
        <v>1.1085989999999999</v>
      </c>
      <c r="AC456" s="215">
        <v>45342</v>
      </c>
      <c r="AD456" s="101">
        <v>658778</v>
      </c>
      <c r="AE456" s="101">
        <v>1003</v>
      </c>
      <c r="AF456" s="101">
        <v>659781</v>
      </c>
      <c r="AG456" s="101">
        <v>99.85</v>
      </c>
      <c r="AH456" s="71">
        <f t="shared" si="112"/>
        <v>0.65978099999999995</v>
      </c>
      <c r="AJ456" s="215">
        <v>45342</v>
      </c>
      <c r="AK456" s="48">
        <v>0</v>
      </c>
      <c r="AL456" s="48">
        <v>39</v>
      </c>
      <c r="AM456" s="48">
        <v>39</v>
      </c>
      <c r="AN456" s="48">
        <v>0</v>
      </c>
      <c r="AQ456" s="215">
        <v>45342</v>
      </c>
      <c r="AR456" s="48">
        <v>96</v>
      </c>
      <c r="AS456" s="48">
        <v>0</v>
      </c>
      <c r="AT456" s="48">
        <v>96</v>
      </c>
      <c r="AU456" s="48">
        <v>100</v>
      </c>
      <c r="AX456" s="215">
        <v>45342</v>
      </c>
      <c r="AY456" s="48">
        <v>52</v>
      </c>
      <c r="AZ456" s="48">
        <v>172</v>
      </c>
      <c r="BA456" s="48">
        <v>224</v>
      </c>
      <c r="BB456" s="48">
        <v>23.21</v>
      </c>
      <c r="BE456" s="215">
        <v>45342</v>
      </c>
      <c r="BF456" s="101">
        <v>36896</v>
      </c>
      <c r="BG456" s="101">
        <v>4515</v>
      </c>
      <c r="BH456" s="101">
        <v>41411</v>
      </c>
      <c r="BI456" s="101">
        <v>89.1</v>
      </c>
      <c r="BL456" s="215">
        <v>45342</v>
      </c>
      <c r="BM456" s="101">
        <v>216984</v>
      </c>
      <c r="BN456" s="101">
        <v>0</v>
      </c>
      <c r="BO456" s="101">
        <v>216984</v>
      </c>
      <c r="BP456" s="101">
        <v>100</v>
      </c>
      <c r="BS456" s="215">
        <v>45342</v>
      </c>
      <c r="BT456" s="104">
        <v>32576</v>
      </c>
      <c r="BU456" s="104">
        <v>1</v>
      </c>
      <c r="BV456" s="104">
        <v>32577</v>
      </c>
      <c r="BW456" s="104">
        <v>100</v>
      </c>
      <c r="BZ456" s="215">
        <v>45342</v>
      </c>
      <c r="CA456" s="48">
        <v>36977588</v>
      </c>
      <c r="CB456" s="48">
        <v>2735885</v>
      </c>
      <c r="CC456" s="71">
        <f t="shared" si="119"/>
        <v>13.515768389387711</v>
      </c>
      <c r="CE456" s="222">
        <v>45342</v>
      </c>
      <c r="CF456" s="101">
        <v>13052992</v>
      </c>
      <c r="CG456" s="101">
        <v>13152</v>
      </c>
      <c r="CH456" s="101">
        <v>13066144</v>
      </c>
      <c r="CI456" s="101">
        <v>99.9</v>
      </c>
      <c r="CJ456" s="71">
        <f t="shared" si="117"/>
        <v>13.066144</v>
      </c>
      <c r="CL456" s="70">
        <v>45328</v>
      </c>
      <c r="CM456" t="s">
        <v>243</v>
      </c>
      <c r="CN456">
        <v>1607</v>
      </c>
      <c r="CO456">
        <v>540</v>
      </c>
    </row>
    <row r="457" spans="1:93" hidden="1" x14ac:dyDescent="0.25">
      <c r="A457" s="215">
        <v>45343</v>
      </c>
      <c r="B457" s="104">
        <v>6150289</v>
      </c>
      <c r="C457" s="104">
        <v>1498</v>
      </c>
      <c r="D457" s="104">
        <v>6151787</v>
      </c>
      <c r="E457" s="104">
        <v>99.98</v>
      </c>
      <c r="F457" s="71">
        <f t="shared" si="114"/>
        <v>6.1517869999999997</v>
      </c>
      <c r="H457" s="215">
        <v>45343</v>
      </c>
      <c r="I457" s="101">
        <v>1535393</v>
      </c>
      <c r="J457" s="101">
        <v>1228</v>
      </c>
      <c r="K457" s="101">
        <v>1536621</v>
      </c>
      <c r="L457" s="101">
        <v>99.92</v>
      </c>
      <c r="M457" s="71">
        <f t="shared" si="113"/>
        <v>1.536621</v>
      </c>
      <c r="O457" s="215">
        <v>45343</v>
      </c>
      <c r="P457" s="101">
        <v>659332</v>
      </c>
      <c r="Q457" s="101">
        <v>0</v>
      </c>
      <c r="R457" s="101">
        <v>659332</v>
      </c>
      <c r="S457" s="101">
        <v>100</v>
      </c>
      <c r="T457" s="71">
        <f t="shared" si="116"/>
        <v>0.65933200000000003</v>
      </c>
      <c r="V457" s="215">
        <v>45343</v>
      </c>
      <c r="W457" s="101">
        <v>983406</v>
      </c>
      <c r="X457" s="101">
        <v>194</v>
      </c>
      <c r="Y457" s="101">
        <v>983600</v>
      </c>
      <c r="Z457" s="101">
        <v>99.98</v>
      </c>
      <c r="AA457" s="71">
        <f t="shared" si="118"/>
        <v>0.98360000000000003</v>
      </c>
      <c r="AC457" s="215">
        <v>45343</v>
      </c>
      <c r="AD457" s="101">
        <v>680980</v>
      </c>
      <c r="AE457" s="101">
        <v>648</v>
      </c>
      <c r="AF457" s="101">
        <v>681628</v>
      </c>
      <c r="AG457" s="101">
        <v>99.9</v>
      </c>
      <c r="AH457" s="71">
        <f t="shared" ref="AH457:AH521" si="120">AF457/1000000</f>
        <v>0.68162800000000001</v>
      </c>
      <c r="AJ457" s="215">
        <v>45343</v>
      </c>
      <c r="AK457" s="48">
        <v>0</v>
      </c>
      <c r="AL457" s="48">
        <v>34</v>
      </c>
      <c r="AM457" s="48">
        <v>34</v>
      </c>
      <c r="AN457" s="48">
        <v>0</v>
      </c>
      <c r="AQ457" s="215">
        <v>45343</v>
      </c>
      <c r="AR457" s="48">
        <v>164</v>
      </c>
      <c r="AS457" s="48">
        <v>0</v>
      </c>
      <c r="AT457" s="48">
        <v>164</v>
      </c>
      <c r="AU457" s="48">
        <v>100</v>
      </c>
      <c r="AX457" s="215">
        <v>45343</v>
      </c>
      <c r="AY457" s="48">
        <v>154</v>
      </c>
      <c r="AZ457" s="48">
        <v>0</v>
      </c>
      <c r="BA457" s="48">
        <v>154</v>
      </c>
      <c r="BB457" s="48">
        <v>100</v>
      </c>
      <c r="BE457" s="215">
        <v>45343</v>
      </c>
      <c r="BF457" s="101">
        <v>13785</v>
      </c>
      <c r="BG457" s="101">
        <v>1333</v>
      </c>
      <c r="BH457" s="101">
        <v>15118</v>
      </c>
      <c r="BI457" s="101">
        <v>91.18</v>
      </c>
      <c r="BL457" s="215">
        <v>45343</v>
      </c>
      <c r="BM457" s="101">
        <v>228716</v>
      </c>
      <c r="BN457" s="101">
        <v>0</v>
      </c>
      <c r="BO457" s="101">
        <v>228716</v>
      </c>
      <c r="BP457" s="101">
        <v>100</v>
      </c>
      <c r="BS457" s="215">
        <v>45343</v>
      </c>
      <c r="BT457" s="104">
        <v>21872</v>
      </c>
      <c r="BU457" s="104">
        <v>3</v>
      </c>
      <c r="BV457" s="104">
        <v>21875</v>
      </c>
      <c r="BW457" s="104">
        <v>99.99</v>
      </c>
      <c r="BZ457" s="215">
        <v>45343</v>
      </c>
      <c r="CA457" s="48">
        <v>34139075</v>
      </c>
      <c r="CB457" s="48">
        <v>2635577</v>
      </c>
      <c r="CC457" s="71">
        <f t="shared" si="119"/>
        <v>12.95316926805781</v>
      </c>
      <c r="CE457" s="222">
        <v>45343</v>
      </c>
      <c r="CF457" s="101">
        <v>12002387</v>
      </c>
      <c r="CG457" s="101">
        <v>16453</v>
      </c>
      <c r="CH457" s="101">
        <v>12018840</v>
      </c>
      <c r="CI457" s="101">
        <v>99.86</v>
      </c>
      <c r="CJ457" s="71">
        <f t="shared" si="117"/>
        <v>12.018840000000001</v>
      </c>
    </row>
    <row r="458" spans="1:93" hidden="1" x14ac:dyDescent="0.25">
      <c r="A458" s="215">
        <v>45344</v>
      </c>
      <c r="B458" s="104">
        <v>7932938</v>
      </c>
      <c r="C458" s="104">
        <v>2445</v>
      </c>
      <c r="D458" s="104">
        <v>7935383</v>
      </c>
      <c r="E458" s="104">
        <v>99.97</v>
      </c>
      <c r="F458" s="71">
        <f t="shared" si="114"/>
        <v>7.9353829999999999</v>
      </c>
      <c r="H458" s="215">
        <v>45344</v>
      </c>
      <c r="I458" s="101">
        <v>1832639</v>
      </c>
      <c r="J458" s="101">
        <v>1461</v>
      </c>
      <c r="K458" s="101">
        <v>1834100</v>
      </c>
      <c r="L458" s="101">
        <v>99.92</v>
      </c>
      <c r="M458" s="71">
        <f t="shared" si="113"/>
        <v>1.8341000000000001</v>
      </c>
      <c r="O458" s="215">
        <v>45344</v>
      </c>
      <c r="P458" s="101">
        <v>814722</v>
      </c>
      <c r="Q458" s="101">
        <v>0</v>
      </c>
      <c r="R458" s="101">
        <v>814722</v>
      </c>
      <c r="S458" s="101">
        <v>100</v>
      </c>
      <c r="T458" s="71">
        <f t="shared" si="116"/>
        <v>0.81472199999999995</v>
      </c>
      <c r="V458" s="215">
        <v>45344</v>
      </c>
      <c r="W458" s="101">
        <v>1296443</v>
      </c>
      <c r="X458" s="101">
        <v>223</v>
      </c>
      <c r="Y458" s="101">
        <v>1296666</v>
      </c>
      <c r="Z458" s="101">
        <v>99.98</v>
      </c>
      <c r="AA458" s="71">
        <f t="shared" si="118"/>
        <v>1.2966660000000001</v>
      </c>
      <c r="AC458" s="215">
        <v>45344</v>
      </c>
      <c r="AD458" s="101">
        <v>744386</v>
      </c>
      <c r="AE458" s="101">
        <v>1619</v>
      </c>
      <c r="AF458" s="101">
        <v>746005</v>
      </c>
      <c r="AG458" s="101">
        <v>99.78</v>
      </c>
      <c r="AH458" s="71">
        <f t="shared" si="120"/>
        <v>0.74600500000000003</v>
      </c>
      <c r="AJ458" s="215">
        <v>45344</v>
      </c>
      <c r="AK458" s="48">
        <v>0</v>
      </c>
      <c r="AL458" s="48">
        <v>25</v>
      </c>
      <c r="AM458" s="48">
        <v>25</v>
      </c>
      <c r="AN458" s="48">
        <v>0</v>
      </c>
      <c r="AQ458" s="215">
        <v>45344</v>
      </c>
      <c r="AR458" s="48">
        <v>168</v>
      </c>
      <c r="AS458" s="48">
        <v>0</v>
      </c>
      <c r="AT458" s="48">
        <v>168</v>
      </c>
      <c r="AU458" s="48">
        <v>100</v>
      </c>
      <c r="AX458" s="215">
        <v>45344</v>
      </c>
      <c r="AY458" s="48">
        <v>122</v>
      </c>
      <c r="AZ458" s="48">
        <v>0</v>
      </c>
      <c r="BA458" s="48">
        <v>122</v>
      </c>
      <c r="BB458" s="48">
        <v>100</v>
      </c>
      <c r="BE458" s="215">
        <v>45344</v>
      </c>
      <c r="BF458" s="101">
        <v>14606</v>
      </c>
      <c r="BG458" s="101">
        <v>1535</v>
      </c>
      <c r="BH458" s="101">
        <v>16141</v>
      </c>
      <c r="BI458" s="101">
        <v>90.49</v>
      </c>
      <c r="BL458" s="215">
        <v>45344</v>
      </c>
      <c r="BM458" s="101">
        <v>265098</v>
      </c>
      <c r="BN458" s="101">
        <v>0</v>
      </c>
      <c r="BO458" s="101">
        <v>265098</v>
      </c>
      <c r="BP458" s="101">
        <v>100</v>
      </c>
      <c r="BS458" s="215">
        <v>45344</v>
      </c>
      <c r="BT458" s="104">
        <v>22309</v>
      </c>
      <c r="BU458" s="104">
        <v>1</v>
      </c>
      <c r="BV458" s="104">
        <v>22310</v>
      </c>
      <c r="BW458" s="104">
        <v>100</v>
      </c>
      <c r="BZ458" s="215">
        <v>45344</v>
      </c>
      <c r="CA458" s="48">
        <v>35265960</v>
      </c>
      <c r="CB458" s="48">
        <v>2711850</v>
      </c>
      <c r="CC458" s="71">
        <f t="shared" si="119"/>
        <v>13.004391835831628</v>
      </c>
      <c r="CE458" s="222">
        <v>45344</v>
      </c>
      <c r="CF458" s="101">
        <v>15048517</v>
      </c>
      <c r="CG458" s="101">
        <v>14713</v>
      </c>
      <c r="CH458" s="101">
        <v>15063230</v>
      </c>
      <c r="CI458" s="101">
        <v>99.9</v>
      </c>
      <c r="CJ458" s="71">
        <f t="shared" si="117"/>
        <v>15.063230000000001</v>
      </c>
      <c r="CL458" s="70">
        <v>45329</v>
      </c>
      <c r="CM458" t="s">
        <v>240</v>
      </c>
      <c r="CN458">
        <v>4045</v>
      </c>
      <c r="CO458">
        <v>516</v>
      </c>
    </row>
    <row r="459" spans="1:93" hidden="1" x14ac:dyDescent="0.25">
      <c r="A459" s="215">
        <v>45345</v>
      </c>
      <c r="B459" s="104">
        <v>6480755</v>
      </c>
      <c r="C459" s="104">
        <v>1600</v>
      </c>
      <c r="D459" s="104">
        <v>6482355</v>
      </c>
      <c r="E459" s="104">
        <v>99.98</v>
      </c>
      <c r="F459" s="71">
        <f t="shared" si="114"/>
        <v>6.4823550000000001</v>
      </c>
      <c r="H459" s="215">
        <v>45345</v>
      </c>
      <c r="I459" s="101">
        <v>1624557</v>
      </c>
      <c r="J459" s="101">
        <v>1094</v>
      </c>
      <c r="K459" s="101">
        <v>1625651</v>
      </c>
      <c r="L459" s="101">
        <v>99.93</v>
      </c>
      <c r="M459" s="71">
        <f t="shared" si="113"/>
        <v>1.625651</v>
      </c>
      <c r="O459" s="215">
        <v>45345</v>
      </c>
      <c r="P459" s="101">
        <v>664486</v>
      </c>
      <c r="Q459" s="101">
        <v>0</v>
      </c>
      <c r="R459" s="101">
        <v>664486</v>
      </c>
      <c r="S459" s="101">
        <v>100</v>
      </c>
      <c r="T459" s="71">
        <f t="shared" si="116"/>
        <v>0.66448600000000002</v>
      </c>
      <c r="V459" s="215">
        <v>45345</v>
      </c>
      <c r="W459" s="101">
        <v>1113645</v>
      </c>
      <c r="X459" s="101">
        <v>180</v>
      </c>
      <c r="Y459" s="101">
        <v>1113825</v>
      </c>
      <c r="Z459" s="101">
        <v>99.98</v>
      </c>
      <c r="AA459" s="71">
        <f t="shared" si="118"/>
        <v>1.1138250000000001</v>
      </c>
      <c r="AC459" s="215">
        <v>45345</v>
      </c>
      <c r="AD459" s="101">
        <v>723035</v>
      </c>
      <c r="AE459" s="101">
        <v>491</v>
      </c>
      <c r="AF459" s="101">
        <v>723526</v>
      </c>
      <c r="AG459" s="101">
        <v>99.93</v>
      </c>
      <c r="AH459" s="71">
        <f t="shared" si="120"/>
        <v>0.723526</v>
      </c>
      <c r="AJ459" s="215">
        <v>45345</v>
      </c>
      <c r="AK459" s="48">
        <v>0</v>
      </c>
      <c r="AL459" s="48">
        <v>51</v>
      </c>
      <c r="AM459" s="48">
        <v>51</v>
      </c>
      <c r="AN459" s="48">
        <v>0</v>
      </c>
      <c r="AQ459" s="215">
        <v>45345</v>
      </c>
      <c r="AR459" s="48">
        <v>168</v>
      </c>
      <c r="AS459" s="48">
        <v>0</v>
      </c>
      <c r="AT459" s="48">
        <v>168</v>
      </c>
      <c r="AU459" s="48">
        <v>100</v>
      </c>
      <c r="AX459" s="215">
        <v>45345</v>
      </c>
      <c r="AY459" s="48">
        <v>40</v>
      </c>
      <c r="AZ459" s="48">
        <v>0</v>
      </c>
      <c r="BA459" s="48">
        <v>40</v>
      </c>
      <c r="BB459" s="48">
        <v>100</v>
      </c>
      <c r="BE459" s="215">
        <v>45345</v>
      </c>
      <c r="BF459" s="101">
        <v>12510</v>
      </c>
      <c r="BG459" s="101">
        <v>1384</v>
      </c>
      <c r="BH459" s="101">
        <v>13894</v>
      </c>
      <c r="BI459" s="101">
        <v>90.04</v>
      </c>
      <c r="BL459" s="215">
        <v>45345</v>
      </c>
      <c r="BM459" s="101">
        <v>255003</v>
      </c>
      <c r="BN459" s="101">
        <v>0</v>
      </c>
      <c r="BO459" s="101">
        <v>255003</v>
      </c>
      <c r="BP459" s="101">
        <v>100</v>
      </c>
      <c r="BS459" s="215">
        <v>45345</v>
      </c>
      <c r="BT459" s="104">
        <v>18197</v>
      </c>
      <c r="BU459" s="104">
        <v>2</v>
      </c>
      <c r="BV459" s="104">
        <v>18199</v>
      </c>
      <c r="BW459" s="104">
        <v>99.99</v>
      </c>
      <c r="BZ459" s="215">
        <v>45345</v>
      </c>
      <c r="CA459" s="48">
        <v>36700615</v>
      </c>
      <c r="CB459" s="48">
        <v>2663315</v>
      </c>
      <c r="CC459" s="71">
        <f t="shared" si="119"/>
        <v>13.780050425879027</v>
      </c>
      <c r="CE459" s="222">
        <v>45345</v>
      </c>
      <c r="CF459" s="101">
        <v>12827769</v>
      </c>
      <c r="CG459" s="101">
        <v>8859</v>
      </c>
      <c r="CH459" s="101">
        <v>12836628</v>
      </c>
      <c r="CI459" s="101">
        <v>99.93</v>
      </c>
      <c r="CJ459" s="71">
        <f t="shared" si="117"/>
        <v>12.836627999999999</v>
      </c>
      <c r="CL459" s="70">
        <v>45329</v>
      </c>
      <c r="CM459" t="s">
        <v>238</v>
      </c>
      <c r="CN459">
        <v>3067</v>
      </c>
      <c r="CO459">
        <v>503</v>
      </c>
    </row>
    <row r="460" spans="1:93" hidden="1" x14ac:dyDescent="0.25">
      <c r="A460" s="215">
        <v>45346</v>
      </c>
      <c r="B460" s="104">
        <v>6601218</v>
      </c>
      <c r="C460" s="104">
        <v>3785</v>
      </c>
      <c r="D460" s="104">
        <v>6605003</v>
      </c>
      <c r="E460" s="104">
        <v>99.94</v>
      </c>
      <c r="F460" s="71">
        <f t="shared" si="114"/>
        <v>6.605003</v>
      </c>
      <c r="H460" s="215">
        <v>45346</v>
      </c>
      <c r="I460" s="101">
        <v>1639388</v>
      </c>
      <c r="J460" s="101">
        <v>1199</v>
      </c>
      <c r="K460" s="101">
        <v>1640587</v>
      </c>
      <c r="L460" s="101">
        <v>99.93</v>
      </c>
      <c r="M460" s="71">
        <f t="shared" si="113"/>
        <v>1.640587</v>
      </c>
      <c r="O460" s="215">
        <v>45346</v>
      </c>
      <c r="P460" s="101">
        <v>714981</v>
      </c>
      <c r="Q460" s="101">
        <v>0</v>
      </c>
      <c r="R460" s="101">
        <v>714981</v>
      </c>
      <c r="S460" s="101">
        <v>100</v>
      </c>
      <c r="T460" s="71">
        <f t="shared" si="116"/>
        <v>0.71498099999999998</v>
      </c>
      <c r="V460" s="215">
        <v>45346</v>
      </c>
      <c r="W460" s="101">
        <v>1055336</v>
      </c>
      <c r="X460" s="101">
        <v>322</v>
      </c>
      <c r="Y460" s="101">
        <v>1055658</v>
      </c>
      <c r="Z460" s="101">
        <v>99.97</v>
      </c>
      <c r="AA460" s="71">
        <f t="shared" si="118"/>
        <v>1.055658</v>
      </c>
      <c r="AC460" s="215">
        <v>45346</v>
      </c>
      <c r="AD460" s="101">
        <v>699048</v>
      </c>
      <c r="AE460" s="101">
        <v>681</v>
      </c>
      <c r="AF460" s="101">
        <v>699729</v>
      </c>
      <c r="AG460" s="101">
        <v>99.9</v>
      </c>
      <c r="AH460" s="71">
        <f t="shared" si="120"/>
        <v>0.69972900000000005</v>
      </c>
      <c r="AJ460" s="215">
        <v>45346</v>
      </c>
      <c r="AK460" s="48">
        <v>0</v>
      </c>
      <c r="AL460" s="48">
        <v>15</v>
      </c>
      <c r="AM460" s="48">
        <v>15</v>
      </c>
      <c r="AN460" s="48">
        <v>0</v>
      </c>
      <c r="AQ460" s="215">
        <v>45346</v>
      </c>
      <c r="AR460" s="48">
        <v>185</v>
      </c>
      <c r="AS460" s="48">
        <v>0</v>
      </c>
      <c r="AT460" s="48">
        <v>185</v>
      </c>
      <c r="AU460" s="48">
        <v>100</v>
      </c>
      <c r="AX460" s="215">
        <v>45346</v>
      </c>
      <c r="AY460" s="48">
        <v>82</v>
      </c>
      <c r="AZ460" s="48">
        <v>0</v>
      </c>
      <c r="BA460" s="48">
        <v>82</v>
      </c>
      <c r="BB460" s="48">
        <v>100</v>
      </c>
      <c r="BE460" s="215">
        <v>45346</v>
      </c>
      <c r="BF460" s="101">
        <v>10645</v>
      </c>
      <c r="BG460" s="101">
        <v>1100</v>
      </c>
      <c r="BH460" s="101">
        <v>11745</v>
      </c>
      <c r="BI460" s="101">
        <v>90.63</v>
      </c>
      <c r="BL460" s="215">
        <v>45346</v>
      </c>
      <c r="BM460" s="101">
        <v>229145</v>
      </c>
      <c r="BN460" s="101">
        <v>0</v>
      </c>
      <c r="BO460" s="101">
        <v>229145</v>
      </c>
      <c r="BP460" s="101">
        <v>100</v>
      </c>
      <c r="BS460" s="215">
        <v>45346</v>
      </c>
      <c r="BT460" s="104">
        <v>34617</v>
      </c>
      <c r="BU460" s="104">
        <v>0</v>
      </c>
      <c r="BV460" s="104">
        <v>34617</v>
      </c>
      <c r="BW460" s="104">
        <v>100</v>
      </c>
      <c r="BZ460" s="215">
        <v>45346</v>
      </c>
      <c r="CA460" s="48">
        <v>37177394</v>
      </c>
      <c r="CB460" s="48">
        <v>2717512</v>
      </c>
      <c r="CC460" s="71">
        <f t="shared" si="119"/>
        <v>13.680673351212432</v>
      </c>
      <c r="CE460" s="222">
        <v>45346</v>
      </c>
      <c r="CF460" s="101">
        <v>12847979</v>
      </c>
      <c r="CG460" s="101">
        <v>11070</v>
      </c>
      <c r="CH460" s="101">
        <v>12859049</v>
      </c>
      <c r="CI460" s="101">
        <v>99.91</v>
      </c>
      <c r="CJ460" s="71">
        <f t="shared" si="117"/>
        <v>12.859049000000001</v>
      </c>
      <c r="CL460" s="70">
        <v>45329</v>
      </c>
      <c r="CM460" t="s">
        <v>237</v>
      </c>
      <c r="CN460">
        <v>2925</v>
      </c>
      <c r="CO460">
        <v>527</v>
      </c>
    </row>
    <row r="461" spans="1:93" hidden="1" x14ac:dyDescent="0.25">
      <c r="A461" s="215">
        <v>45347</v>
      </c>
      <c r="B461" s="104">
        <v>5520954</v>
      </c>
      <c r="C461" s="104">
        <v>1354</v>
      </c>
      <c r="D461" s="104">
        <v>5522308</v>
      </c>
      <c r="E461" s="104">
        <v>99.98</v>
      </c>
      <c r="F461" s="71">
        <f t="shared" si="114"/>
        <v>5.5223079999999998</v>
      </c>
      <c r="H461" s="215">
        <v>45347</v>
      </c>
      <c r="I461" s="101">
        <v>1518326</v>
      </c>
      <c r="J461" s="101">
        <v>1482</v>
      </c>
      <c r="K461" s="101">
        <v>1519808</v>
      </c>
      <c r="L461" s="101">
        <v>99.9</v>
      </c>
      <c r="M461" s="71">
        <f t="shared" si="113"/>
        <v>1.519808</v>
      </c>
      <c r="O461" s="215">
        <v>45347</v>
      </c>
      <c r="P461" s="101">
        <v>706776</v>
      </c>
      <c r="Q461" s="101">
        <v>0</v>
      </c>
      <c r="R461" s="101">
        <v>706776</v>
      </c>
      <c r="S461" s="101">
        <v>100</v>
      </c>
      <c r="T461" s="71">
        <f t="shared" si="116"/>
        <v>0.70677599999999996</v>
      </c>
      <c r="V461" s="215">
        <v>45347</v>
      </c>
      <c r="W461" s="101">
        <v>973277</v>
      </c>
      <c r="X461" s="101">
        <v>162</v>
      </c>
      <c r="Y461" s="101">
        <v>973439</v>
      </c>
      <c r="Z461" s="101">
        <v>99.98</v>
      </c>
      <c r="AA461" s="71">
        <f t="shared" si="118"/>
        <v>0.97343900000000005</v>
      </c>
      <c r="AC461" s="215">
        <v>45347</v>
      </c>
      <c r="AD461" s="101">
        <v>716509</v>
      </c>
      <c r="AE461" s="101">
        <v>2016</v>
      </c>
      <c r="AF461" s="101">
        <v>718525</v>
      </c>
      <c r="AG461" s="101">
        <v>99.72</v>
      </c>
      <c r="AH461" s="71">
        <f t="shared" si="120"/>
        <v>0.71852499999999997</v>
      </c>
      <c r="AJ461" s="215">
        <v>45347</v>
      </c>
      <c r="AK461" s="48">
        <v>0</v>
      </c>
      <c r="AL461" s="48">
        <v>16</v>
      </c>
      <c r="AM461" s="48">
        <v>16</v>
      </c>
      <c r="AN461" s="48">
        <v>0</v>
      </c>
      <c r="AQ461" s="215">
        <v>45347</v>
      </c>
      <c r="AR461" s="48">
        <v>116</v>
      </c>
      <c r="AS461" s="48">
        <v>0</v>
      </c>
      <c r="AT461" s="48">
        <v>116</v>
      </c>
      <c r="AU461" s="48">
        <v>100</v>
      </c>
      <c r="AX461" s="215">
        <v>45347</v>
      </c>
      <c r="AY461" s="48">
        <v>25</v>
      </c>
      <c r="AZ461" s="48">
        <v>0</v>
      </c>
      <c r="BA461" s="48">
        <v>25</v>
      </c>
      <c r="BB461" s="48">
        <v>100</v>
      </c>
      <c r="BE461" s="215">
        <v>45347</v>
      </c>
      <c r="BF461" s="101">
        <v>8714</v>
      </c>
      <c r="BG461" s="101">
        <v>914</v>
      </c>
      <c r="BH461" s="101">
        <v>9628</v>
      </c>
      <c r="BI461" s="101">
        <v>90.51</v>
      </c>
      <c r="BL461" s="215">
        <v>45347</v>
      </c>
      <c r="BM461" s="101">
        <v>5757</v>
      </c>
      <c r="BN461" s="101">
        <v>0</v>
      </c>
      <c r="BO461" s="101">
        <v>5757</v>
      </c>
      <c r="BP461" s="101">
        <v>100</v>
      </c>
      <c r="BS461" s="215">
        <v>45347</v>
      </c>
      <c r="BT461" s="104">
        <v>31078</v>
      </c>
      <c r="BU461" s="104">
        <v>0</v>
      </c>
      <c r="BV461" s="104">
        <v>31078</v>
      </c>
      <c r="BW461" s="104">
        <v>100</v>
      </c>
      <c r="BZ461" s="215">
        <v>45347</v>
      </c>
      <c r="CA461" s="48">
        <v>31257753</v>
      </c>
      <c r="CB461" s="48">
        <v>2144842</v>
      </c>
      <c r="CC461" s="71">
        <f t="shared" si="119"/>
        <v>14.573452496734026</v>
      </c>
      <c r="CE461" s="222">
        <v>45347</v>
      </c>
      <c r="CF461" s="101">
        <v>11225818</v>
      </c>
      <c r="CG461" s="101">
        <v>9909</v>
      </c>
      <c r="CH461" s="101">
        <v>11235727</v>
      </c>
      <c r="CI461" s="101">
        <v>99.91</v>
      </c>
      <c r="CJ461" s="71">
        <f t="shared" si="117"/>
        <v>11.235727000000001</v>
      </c>
      <c r="CL461" s="70">
        <v>45329</v>
      </c>
      <c r="CM461" s="252" t="s">
        <v>239</v>
      </c>
      <c r="CN461">
        <v>2091</v>
      </c>
      <c r="CO461">
        <v>504</v>
      </c>
    </row>
    <row r="462" spans="1:93" hidden="1" x14ac:dyDescent="0.25">
      <c r="A462" s="215">
        <v>45348</v>
      </c>
      <c r="B462" s="104">
        <v>6535279</v>
      </c>
      <c r="C462" s="104">
        <v>1496</v>
      </c>
      <c r="D462" s="104">
        <v>6536775</v>
      </c>
      <c r="E462" s="104">
        <v>99.98</v>
      </c>
      <c r="F462" s="71">
        <f t="shared" si="114"/>
        <v>6.5367749999999996</v>
      </c>
      <c r="H462" s="215">
        <v>45348</v>
      </c>
      <c r="I462" s="101">
        <v>1513249</v>
      </c>
      <c r="J462" s="101">
        <v>949</v>
      </c>
      <c r="K462" s="101">
        <v>1514198</v>
      </c>
      <c r="L462" s="101">
        <v>99.94</v>
      </c>
      <c r="M462" s="71">
        <f t="shared" si="113"/>
        <v>1.5141979999999999</v>
      </c>
      <c r="O462" s="215">
        <v>45348</v>
      </c>
      <c r="P462" s="101">
        <v>721248</v>
      </c>
      <c r="Q462" s="101">
        <v>2</v>
      </c>
      <c r="R462" s="101">
        <v>721250</v>
      </c>
      <c r="S462" s="101">
        <v>100</v>
      </c>
      <c r="T462" s="71">
        <f t="shared" si="116"/>
        <v>0.72124999999999995</v>
      </c>
      <c r="V462" s="215">
        <v>45348</v>
      </c>
      <c r="W462" s="101">
        <v>1050271</v>
      </c>
      <c r="X462" s="101">
        <v>163</v>
      </c>
      <c r="Y462" s="101">
        <v>1050434</v>
      </c>
      <c r="Z462" s="101">
        <v>99.98</v>
      </c>
      <c r="AA462" s="71">
        <f t="shared" si="118"/>
        <v>1.0504340000000001</v>
      </c>
      <c r="AC462" s="215">
        <v>45348</v>
      </c>
      <c r="AD462" s="101">
        <v>636197</v>
      </c>
      <c r="AE462" s="101">
        <v>1048</v>
      </c>
      <c r="AF462" s="101">
        <v>637245</v>
      </c>
      <c r="AG462" s="101">
        <v>99.84</v>
      </c>
      <c r="AH462" s="71">
        <f t="shared" si="120"/>
        <v>0.63724499999999995</v>
      </c>
      <c r="AJ462" s="215">
        <v>45348</v>
      </c>
      <c r="AK462" s="48">
        <v>0</v>
      </c>
      <c r="AL462" s="48">
        <v>12</v>
      </c>
      <c r="AM462" s="48">
        <v>12</v>
      </c>
      <c r="AN462" s="48">
        <v>0</v>
      </c>
      <c r="AQ462" s="215">
        <v>45348</v>
      </c>
      <c r="AR462" s="48">
        <v>184</v>
      </c>
      <c r="AS462" s="48">
        <v>3</v>
      </c>
      <c r="AT462" s="48">
        <v>187</v>
      </c>
      <c r="AU462" s="48">
        <v>98.4</v>
      </c>
      <c r="AX462" s="215">
        <v>45348</v>
      </c>
      <c r="AY462" s="48">
        <v>63</v>
      </c>
      <c r="AZ462" s="48">
        <v>0</v>
      </c>
      <c r="BA462" s="48">
        <v>63</v>
      </c>
      <c r="BB462" s="48">
        <v>100</v>
      </c>
      <c r="BE462" s="215">
        <v>45348</v>
      </c>
      <c r="BF462" s="101">
        <v>12128</v>
      </c>
      <c r="BG462" s="101">
        <v>1347</v>
      </c>
      <c r="BH462" s="101">
        <v>13475</v>
      </c>
      <c r="BI462" s="101">
        <v>90</v>
      </c>
      <c r="BL462" s="215">
        <v>45348</v>
      </c>
      <c r="BM462" s="101">
        <v>233005</v>
      </c>
      <c r="BN462" s="101">
        <v>0</v>
      </c>
      <c r="BO462" s="101">
        <v>233005</v>
      </c>
      <c r="BP462" s="101">
        <v>100</v>
      </c>
      <c r="BQ462" s="243"/>
      <c r="BS462" s="215">
        <v>45348</v>
      </c>
      <c r="BT462" s="104">
        <v>17131</v>
      </c>
      <c r="BU462" s="104">
        <v>0</v>
      </c>
      <c r="BV462" s="104">
        <v>17131</v>
      </c>
      <c r="BW462" s="104">
        <v>100</v>
      </c>
      <c r="BZ462" s="215">
        <v>45348</v>
      </c>
      <c r="CA462" s="48">
        <v>36239199</v>
      </c>
      <c r="CB462" s="48">
        <v>2671241</v>
      </c>
      <c r="CC462" s="71">
        <f t="shared" si="119"/>
        <v>13.56642811337502</v>
      </c>
      <c r="CE462" s="222">
        <v>45348</v>
      </c>
      <c r="CF462" s="101">
        <v>12546167</v>
      </c>
      <c r="CG462" s="101">
        <v>9366</v>
      </c>
      <c r="CH462" s="101">
        <v>12555533</v>
      </c>
      <c r="CI462" s="101">
        <v>99.93</v>
      </c>
      <c r="CJ462" s="71">
        <f t="shared" si="117"/>
        <v>12.555533</v>
      </c>
      <c r="CL462" s="70">
        <v>45329</v>
      </c>
      <c r="CM462" t="s">
        <v>243</v>
      </c>
      <c r="CN462">
        <v>1301</v>
      </c>
      <c r="CO462">
        <v>540</v>
      </c>
    </row>
    <row r="463" spans="1:93" hidden="1" x14ac:dyDescent="0.25">
      <c r="A463" s="215">
        <v>45349</v>
      </c>
      <c r="B463" s="104">
        <v>5921222</v>
      </c>
      <c r="C463" s="104">
        <v>137989</v>
      </c>
      <c r="D463" s="104">
        <v>6059211</v>
      </c>
      <c r="E463" s="104">
        <v>97.72</v>
      </c>
      <c r="F463" s="71">
        <f t="shared" si="114"/>
        <v>6.0592110000000003</v>
      </c>
      <c r="H463" s="215">
        <v>45349</v>
      </c>
      <c r="I463" s="101">
        <v>1580415</v>
      </c>
      <c r="J463" s="101">
        <v>1244</v>
      </c>
      <c r="K463" s="101">
        <v>1581659</v>
      </c>
      <c r="L463" s="101">
        <v>99.92</v>
      </c>
      <c r="M463" s="71">
        <f t="shared" si="113"/>
        <v>1.5816589999999999</v>
      </c>
      <c r="O463" s="215">
        <v>45349</v>
      </c>
      <c r="P463" s="101">
        <v>610785</v>
      </c>
      <c r="Q463" s="101">
        <v>8</v>
      </c>
      <c r="R463" s="101">
        <v>610793</v>
      </c>
      <c r="S463" s="101">
        <v>100</v>
      </c>
      <c r="T463" s="71">
        <f t="shared" si="116"/>
        <v>0.61079300000000003</v>
      </c>
      <c r="V463" s="215">
        <v>45349</v>
      </c>
      <c r="W463" s="101">
        <v>994189</v>
      </c>
      <c r="X463" s="101">
        <v>21309</v>
      </c>
      <c r="Y463" s="101">
        <v>1015498</v>
      </c>
      <c r="Z463" s="101">
        <v>97.9</v>
      </c>
      <c r="AA463" s="71">
        <f t="shared" si="118"/>
        <v>1.015498</v>
      </c>
      <c r="AC463" s="215">
        <v>45349</v>
      </c>
      <c r="AD463" s="101">
        <v>670742</v>
      </c>
      <c r="AE463" s="101">
        <v>1321</v>
      </c>
      <c r="AF463" s="101">
        <v>672063</v>
      </c>
      <c r="AG463" s="101">
        <v>99.8</v>
      </c>
      <c r="AH463" s="71">
        <f t="shared" si="120"/>
        <v>0.67206299999999997</v>
      </c>
      <c r="AJ463" s="215">
        <v>45349</v>
      </c>
      <c r="AK463" s="48">
        <v>0</v>
      </c>
      <c r="AL463" s="48">
        <v>18</v>
      </c>
      <c r="AM463" s="48">
        <v>18</v>
      </c>
      <c r="AN463" s="48">
        <v>0</v>
      </c>
      <c r="AQ463" s="215">
        <v>45349</v>
      </c>
      <c r="AR463" s="48">
        <v>54</v>
      </c>
      <c r="AS463" s="48">
        <v>0</v>
      </c>
      <c r="AT463" s="48">
        <v>54</v>
      </c>
      <c r="AU463" s="48">
        <v>100</v>
      </c>
      <c r="AX463" s="215">
        <v>45349</v>
      </c>
      <c r="AY463" s="48">
        <v>40</v>
      </c>
      <c r="AZ463" s="48">
        <v>0</v>
      </c>
      <c r="BA463" s="48">
        <v>40</v>
      </c>
      <c r="BB463" s="48">
        <v>100</v>
      </c>
      <c r="BE463" s="215">
        <v>45349</v>
      </c>
      <c r="BF463" s="101">
        <v>12399</v>
      </c>
      <c r="BG463" s="101">
        <v>1656</v>
      </c>
      <c r="BH463" s="101">
        <v>14055</v>
      </c>
      <c r="BI463" s="101">
        <v>88.22</v>
      </c>
      <c r="BL463" s="215">
        <v>45349</v>
      </c>
      <c r="BM463" s="101">
        <v>217509</v>
      </c>
      <c r="BN463" s="101">
        <v>2</v>
      </c>
      <c r="BO463" s="101">
        <v>217511</v>
      </c>
      <c r="BP463" s="101">
        <v>100</v>
      </c>
      <c r="BS463" s="215">
        <v>45349</v>
      </c>
      <c r="BT463" s="104">
        <v>27900</v>
      </c>
      <c r="BU463" s="104">
        <v>0</v>
      </c>
      <c r="BV463" s="104">
        <v>27900</v>
      </c>
      <c r="BW463" s="104">
        <v>100</v>
      </c>
      <c r="BZ463" s="215">
        <v>45349</v>
      </c>
      <c r="CA463" s="48">
        <v>36675438</v>
      </c>
      <c r="CB463" s="48">
        <v>2663076</v>
      </c>
      <c r="CC463" s="71">
        <f t="shared" si="119"/>
        <v>13.771833023165692</v>
      </c>
      <c r="CE463" s="222">
        <v>45349</v>
      </c>
      <c r="CF463" s="101">
        <v>11848174</v>
      </c>
      <c r="CG463" s="101">
        <v>171435</v>
      </c>
      <c r="CH463" s="101">
        <v>12019609</v>
      </c>
      <c r="CI463" s="101">
        <v>98.57</v>
      </c>
      <c r="CJ463" s="71">
        <f t="shared" si="117"/>
        <v>12.019609000000001</v>
      </c>
      <c r="CL463" s="70">
        <v>45330</v>
      </c>
      <c r="CM463" t="s">
        <v>240</v>
      </c>
      <c r="CN463" s="101">
        <v>2027</v>
      </c>
      <c r="CO463" s="101">
        <v>516</v>
      </c>
    </row>
    <row r="464" spans="1:93" hidden="1" x14ac:dyDescent="0.25">
      <c r="A464" s="215">
        <v>45350</v>
      </c>
      <c r="B464" s="104">
        <v>6817631</v>
      </c>
      <c r="C464" s="104">
        <v>1840</v>
      </c>
      <c r="D464" s="104">
        <v>6819471</v>
      </c>
      <c r="E464" s="104">
        <v>99.97</v>
      </c>
      <c r="F464" s="71">
        <f t="shared" si="114"/>
        <v>6.8194710000000001</v>
      </c>
      <c r="H464" s="215">
        <v>45350</v>
      </c>
      <c r="I464" s="101">
        <v>1641056</v>
      </c>
      <c r="J464" s="101">
        <v>1412</v>
      </c>
      <c r="K464" s="101">
        <v>1642468</v>
      </c>
      <c r="L464" s="101">
        <v>99.91</v>
      </c>
      <c r="M464" s="71">
        <f t="shared" ref="M464:M529" si="121">K464/1000000</f>
        <v>1.642468</v>
      </c>
      <c r="O464" s="215">
        <v>45350</v>
      </c>
      <c r="P464" s="101">
        <v>722770</v>
      </c>
      <c r="Q464" s="101">
        <v>0</v>
      </c>
      <c r="R464" s="101">
        <v>722770</v>
      </c>
      <c r="S464" s="101">
        <v>100</v>
      </c>
      <c r="T464" s="71">
        <f t="shared" si="116"/>
        <v>0.72277000000000002</v>
      </c>
      <c r="V464" s="215">
        <v>45350</v>
      </c>
      <c r="W464" s="101">
        <v>989159</v>
      </c>
      <c r="X464" s="101">
        <v>173</v>
      </c>
      <c r="Y464" s="101">
        <v>989332</v>
      </c>
      <c r="Z464" s="101">
        <v>99.98</v>
      </c>
      <c r="AA464" s="71">
        <f t="shared" si="118"/>
        <v>0.98933199999999999</v>
      </c>
      <c r="AC464" s="215">
        <v>45350</v>
      </c>
      <c r="AD464" s="101">
        <v>732995</v>
      </c>
      <c r="AE464" s="101">
        <v>825</v>
      </c>
      <c r="AF464" s="101">
        <v>733820</v>
      </c>
      <c r="AG464" s="101">
        <v>99.89</v>
      </c>
      <c r="AH464" s="71">
        <f t="shared" si="120"/>
        <v>0.73382000000000003</v>
      </c>
      <c r="AJ464" s="215">
        <v>45350</v>
      </c>
      <c r="AK464" s="48">
        <v>0</v>
      </c>
      <c r="AL464" s="48">
        <v>29</v>
      </c>
      <c r="AM464" s="48">
        <v>29</v>
      </c>
      <c r="AN464" s="48">
        <v>0</v>
      </c>
      <c r="AQ464" s="215">
        <v>45350</v>
      </c>
      <c r="AR464" s="48">
        <v>136</v>
      </c>
      <c r="AS464" s="48">
        <v>0</v>
      </c>
      <c r="AT464" s="48">
        <v>136</v>
      </c>
      <c r="AU464" s="48">
        <v>100</v>
      </c>
      <c r="AX464" s="215">
        <v>45350</v>
      </c>
      <c r="AY464" s="48">
        <v>38</v>
      </c>
      <c r="AZ464" s="48">
        <v>0</v>
      </c>
      <c r="BA464" s="48">
        <v>38</v>
      </c>
      <c r="BB464" s="48">
        <v>100</v>
      </c>
      <c r="BE464" s="215">
        <v>45350</v>
      </c>
      <c r="BF464" s="101">
        <v>12735</v>
      </c>
      <c r="BG464" s="101">
        <v>1456</v>
      </c>
      <c r="BH464" s="101">
        <v>14191</v>
      </c>
      <c r="BI464" s="101">
        <v>89.74</v>
      </c>
      <c r="BL464" s="215">
        <v>45350</v>
      </c>
      <c r="BM464" s="101">
        <v>220640</v>
      </c>
      <c r="BN464" s="101">
        <v>0</v>
      </c>
      <c r="BO464" s="101">
        <v>220640</v>
      </c>
      <c r="BP464" s="101">
        <v>100</v>
      </c>
      <c r="BS464" s="215">
        <v>45350</v>
      </c>
      <c r="BT464" s="104">
        <v>27285</v>
      </c>
      <c r="BU464" s="104">
        <v>0</v>
      </c>
      <c r="BV464" s="104">
        <v>27285</v>
      </c>
      <c r="BW464" s="104">
        <v>100</v>
      </c>
      <c r="BZ464" s="215">
        <v>45350</v>
      </c>
      <c r="CA464" s="48">
        <v>34426172</v>
      </c>
      <c r="CB464" s="48">
        <v>2634232</v>
      </c>
      <c r="CC464" s="71">
        <f t="shared" si="119"/>
        <v>13.068769948888329</v>
      </c>
      <c r="CE464" s="222">
        <v>45350</v>
      </c>
      <c r="CF464" s="101">
        <v>13215681</v>
      </c>
      <c r="CG464" s="101">
        <v>9971</v>
      </c>
      <c r="CH464" s="101">
        <v>13225652</v>
      </c>
      <c r="CI464" s="101">
        <v>99.92</v>
      </c>
      <c r="CJ464" s="71">
        <f t="shared" si="117"/>
        <v>13.225652</v>
      </c>
      <c r="CL464" s="70">
        <v>45330</v>
      </c>
      <c r="CM464" t="s">
        <v>237</v>
      </c>
      <c r="CN464" s="101">
        <v>1823</v>
      </c>
      <c r="CO464" s="101">
        <v>527</v>
      </c>
    </row>
    <row r="465" spans="1:93" hidden="1" x14ac:dyDescent="0.25">
      <c r="A465" s="215">
        <v>45351</v>
      </c>
      <c r="B465" s="104">
        <v>6648399</v>
      </c>
      <c r="C465" s="104">
        <v>1855</v>
      </c>
      <c r="D465" s="104">
        <v>6650254</v>
      </c>
      <c r="E465" s="104">
        <v>99.97</v>
      </c>
      <c r="F465" s="71">
        <f t="shared" si="114"/>
        <v>6.6502540000000003</v>
      </c>
      <c r="H465" s="215">
        <v>45351</v>
      </c>
      <c r="I465" s="101">
        <v>1571535</v>
      </c>
      <c r="J465" s="101">
        <v>1117</v>
      </c>
      <c r="K465" s="101">
        <v>1572652</v>
      </c>
      <c r="L465" s="101">
        <v>99.93</v>
      </c>
      <c r="M465" s="71">
        <f t="shared" si="121"/>
        <v>1.5726519999999999</v>
      </c>
      <c r="O465" s="215">
        <v>45351</v>
      </c>
      <c r="P465" s="101">
        <v>750105</v>
      </c>
      <c r="Q465" s="101">
        <v>0</v>
      </c>
      <c r="R465" s="101">
        <v>750105</v>
      </c>
      <c r="S465" s="101">
        <v>100</v>
      </c>
      <c r="T465" s="71">
        <f t="shared" si="116"/>
        <v>0.75010500000000002</v>
      </c>
      <c r="V465" s="215">
        <v>45351</v>
      </c>
      <c r="W465" s="101">
        <v>1057239</v>
      </c>
      <c r="X465" s="101">
        <v>184</v>
      </c>
      <c r="Y465" s="101">
        <v>1057423</v>
      </c>
      <c r="Z465" s="101">
        <v>99.98</v>
      </c>
      <c r="AA465" s="71">
        <f t="shared" si="118"/>
        <v>1.057423</v>
      </c>
      <c r="AC465" s="215">
        <v>45351</v>
      </c>
      <c r="AD465" s="101">
        <v>718621</v>
      </c>
      <c r="AE465" s="101">
        <v>2116</v>
      </c>
      <c r="AF465" s="101">
        <v>720737</v>
      </c>
      <c r="AG465" s="101">
        <v>99.71</v>
      </c>
      <c r="AH465" s="71">
        <f t="shared" si="120"/>
        <v>0.72073699999999996</v>
      </c>
      <c r="AJ465" s="215">
        <v>45351</v>
      </c>
      <c r="AK465" s="48">
        <v>0</v>
      </c>
      <c r="AL465" s="48">
        <v>24</v>
      </c>
      <c r="AM465" s="48">
        <v>24</v>
      </c>
      <c r="AN465" s="48">
        <v>0</v>
      </c>
      <c r="AQ465" s="215">
        <v>45351</v>
      </c>
      <c r="AR465" s="48">
        <v>152</v>
      </c>
      <c r="AS465" s="48">
        <v>2</v>
      </c>
      <c r="AT465" s="48">
        <v>154</v>
      </c>
      <c r="AU465" s="48">
        <v>98.7</v>
      </c>
      <c r="AX465" s="215">
        <v>45351</v>
      </c>
      <c r="AY465" s="48">
        <v>43</v>
      </c>
      <c r="AZ465" s="48">
        <v>0</v>
      </c>
      <c r="BA465" s="48">
        <v>43</v>
      </c>
      <c r="BB465" s="48">
        <v>100</v>
      </c>
      <c r="BE465" s="215">
        <v>45351</v>
      </c>
      <c r="BF465" s="101">
        <v>11594</v>
      </c>
      <c r="BG465" s="101">
        <v>1289</v>
      </c>
      <c r="BH465" s="101">
        <v>12883</v>
      </c>
      <c r="BI465" s="101">
        <v>89.99</v>
      </c>
      <c r="BL465" s="215">
        <v>45351</v>
      </c>
      <c r="BM465" s="101">
        <v>231476</v>
      </c>
      <c r="BN465" s="101">
        <v>0</v>
      </c>
      <c r="BO465" s="101">
        <v>231476</v>
      </c>
      <c r="BP465" s="101">
        <v>100</v>
      </c>
      <c r="BS465" s="215">
        <v>45351</v>
      </c>
      <c r="BT465" s="104">
        <v>19176</v>
      </c>
      <c r="BU465" s="104">
        <v>0</v>
      </c>
      <c r="BV465" s="104">
        <v>19176</v>
      </c>
      <c r="BW465" s="104">
        <v>100</v>
      </c>
      <c r="BZ465" s="215">
        <v>45351</v>
      </c>
      <c r="CA465" s="48">
        <v>35465925</v>
      </c>
      <c r="CB465" s="48">
        <v>2668808</v>
      </c>
      <c r="CC465" s="71">
        <f t="shared" si="119"/>
        <v>13.289050767233912</v>
      </c>
      <c r="CE465" s="222">
        <v>45351</v>
      </c>
      <c r="CF465" s="101">
        <v>12946784</v>
      </c>
      <c r="CG465" s="101">
        <v>11586</v>
      </c>
      <c r="CH465" s="101">
        <v>12958370</v>
      </c>
      <c r="CI465" s="101">
        <v>99.91</v>
      </c>
      <c r="CJ465" s="71">
        <f t="shared" si="117"/>
        <v>12.95837</v>
      </c>
    </row>
    <row r="466" spans="1:93" hidden="1" x14ac:dyDescent="0.25">
      <c r="A466" s="215">
        <v>45352</v>
      </c>
      <c r="B466" s="104">
        <v>6481982</v>
      </c>
      <c r="C466" s="104">
        <v>1578</v>
      </c>
      <c r="D466" s="104">
        <v>6483560</v>
      </c>
      <c r="E466" s="104">
        <v>99.98</v>
      </c>
      <c r="F466" s="71">
        <f t="shared" si="114"/>
        <v>6.4835599999999998</v>
      </c>
      <c r="H466" s="215">
        <v>45352</v>
      </c>
      <c r="I466" s="101">
        <v>1693082</v>
      </c>
      <c r="J466" s="101">
        <v>1230</v>
      </c>
      <c r="K466" s="101">
        <v>1694312</v>
      </c>
      <c r="L466" s="101">
        <v>99.93</v>
      </c>
      <c r="M466" s="71">
        <f t="shared" si="121"/>
        <v>1.694312</v>
      </c>
      <c r="O466" s="215">
        <v>45352</v>
      </c>
      <c r="P466" s="101">
        <v>740387</v>
      </c>
      <c r="Q466" s="101">
        <v>3</v>
      </c>
      <c r="R466" s="101">
        <v>740390</v>
      </c>
      <c r="S466" s="101">
        <v>100</v>
      </c>
      <c r="T466" s="71">
        <f t="shared" si="116"/>
        <v>0.74038999999999999</v>
      </c>
      <c r="V466" s="215">
        <v>45352</v>
      </c>
      <c r="W466" s="101">
        <v>1053853</v>
      </c>
      <c r="X466" s="101">
        <v>209</v>
      </c>
      <c r="Y466" s="101">
        <v>1054062</v>
      </c>
      <c r="Z466" s="101">
        <v>99.98</v>
      </c>
      <c r="AA466" s="71">
        <f t="shared" si="118"/>
        <v>1.0540620000000001</v>
      </c>
      <c r="AC466" s="215">
        <v>45352</v>
      </c>
      <c r="AD466" s="101">
        <v>698737</v>
      </c>
      <c r="AE466" s="101">
        <v>1118</v>
      </c>
      <c r="AF466" s="101">
        <v>699855</v>
      </c>
      <c r="AG466" s="101">
        <v>99.84</v>
      </c>
      <c r="AH466" s="71">
        <f t="shared" si="120"/>
        <v>0.699855</v>
      </c>
      <c r="AJ466" s="215">
        <v>45352</v>
      </c>
      <c r="AK466" s="48">
        <v>0</v>
      </c>
      <c r="AL466" s="48">
        <v>13</v>
      </c>
      <c r="AM466" s="48">
        <v>13</v>
      </c>
      <c r="AN466" s="48">
        <v>0</v>
      </c>
      <c r="AQ466" s="215">
        <v>45352</v>
      </c>
      <c r="AR466" s="48">
        <v>171</v>
      </c>
      <c r="AS466" s="48">
        <v>0</v>
      </c>
      <c r="AT466" s="48">
        <v>171</v>
      </c>
      <c r="AU466" s="48">
        <v>100</v>
      </c>
      <c r="AX466" s="215">
        <v>45352</v>
      </c>
      <c r="AY466" s="48">
        <v>25</v>
      </c>
      <c r="AZ466" s="48">
        <v>0</v>
      </c>
      <c r="BA466" s="48">
        <v>25</v>
      </c>
      <c r="BB466" s="48">
        <v>100</v>
      </c>
      <c r="BE466" s="215">
        <v>45352</v>
      </c>
      <c r="BF466" s="101">
        <v>11944</v>
      </c>
      <c r="BG466" s="101">
        <v>1320</v>
      </c>
      <c r="BH466" s="101">
        <v>13264</v>
      </c>
      <c r="BI466" s="101">
        <v>90.05</v>
      </c>
      <c r="BL466" s="215">
        <v>45352</v>
      </c>
      <c r="BM466" s="101">
        <v>220557</v>
      </c>
      <c r="BN466" s="101">
        <v>0</v>
      </c>
      <c r="BO466" s="101">
        <v>220557</v>
      </c>
      <c r="BP466" s="101">
        <v>100</v>
      </c>
      <c r="BS466" s="215">
        <v>45352</v>
      </c>
      <c r="BT466" s="104">
        <v>20599</v>
      </c>
      <c r="BU466" s="104">
        <v>0</v>
      </c>
      <c r="BV466" s="104">
        <v>20599</v>
      </c>
      <c r="BW466" s="104">
        <v>100</v>
      </c>
      <c r="BZ466" s="215">
        <v>45352</v>
      </c>
      <c r="CA466" s="48">
        <v>37752611</v>
      </c>
      <c r="CB466" s="48">
        <v>2794056</v>
      </c>
      <c r="CC466" s="71">
        <f t="shared" si="119"/>
        <v>13.511758891017216</v>
      </c>
      <c r="CE466" s="222">
        <v>45352</v>
      </c>
      <c r="CF466" s="101">
        <v>12961723</v>
      </c>
      <c r="CG466" s="101">
        <v>9030</v>
      </c>
      <c r="CH466" s="101">
        <v>12970753</v>
      </c>
      <c r="CI466" s="101">
        <v>99.93</v>
      </c>
      <c r="CJ466" s="71">
        <f t="shared" si="117"/>
        <v>12.970753</v>
      </c>
      <c r="CL466" s="222">
        <v>45354</v>
      </c>
      <c r="CM466" t="s">
        <v>240</v>
      </c>
      <c r="CN466" s="101">
        <v>3315</v>
      </c>
      <c r="CO466" s="101">
        <v>516</v>
      </c>
    </row>
    <row r="467" spans="1:93" hidden="1" x14ac:dyDescent="0.25">
      <c r="A467" s="215">
        <v>45353</v>
      </c>
      <c r="B467" s="104">
        <v>6799698</v>
      </c>
      <c r="C467" s="104">
        <v>1616</v>
      </c>
      <c r="D467" s="104">
        <v>6801314</v>
      </c>
      <c r="E467" s="104">
        <v>99.98</v>
      </c>
      <c r="F467" s="71">
        <f t="shared" si="114"/>
        <v>6.8013139999999996</v>
      </c>
      <c r="H467" s="215">
        <v>45353</v>
      </c>
      <c r="I467" s="101">
        <v>1619051</v>
      </c>
      <c r="J467" s="101">
        <v>1125</v>
      </c>
      <c r="K467" s="101">
        <v>1620176</v>
      </c>
      <c r="L467" s="101">
        <v>99.93</v>
      </c>
      <c r="M467" s="71">
        <f t="shared" si="121"/>
        <v>1.6201760000000001</v>
      </c>
      <c r="O467" s="215">
        <v>45353</v>
      </c>
      <c r="P467" s="101">
        <v>767347</v>
      </c>
      <c r="Q467" s="101">
        <v>3</v>
      </c>
      <c r="R467" s="101">
        <v>767350</v>
      </c>
      <c r="S467" s="101">
        <v>100</v>
      </c>
      <c r="T467" s="71">
        <f t="shared" si="116"/>
        <v>0.76734999999999998</v>
      </c>
      <c r="V467" s="215">
        <v>45353</v>
      </c>
      <c r="W467" s="101">
        <v>1095826</v>
      </c>
      <c r="X467" s="101">
        <v>218</v>
      </c>
      <c r="Y467" s="101">
        <v>1096044</v>
      </c>
      <c r="Z467" s="101">
        <v>99.98</v>
      </c>
      <c r="AA467" s="71">
        <f t="shared" si="118"/>
        <v>1.096044</v>
      </c>
      <c r="AC467" s="215">
        <v>45353</v>
      </c>
      <c r="AD467" s="101">
        <v>781774</v>
      </c>
      <c r="AE467" s="101">
        <v>5859</v>
      </c>
      <c r="AF467" s="101">
        <v>787633</v>
      </c>
      <c r="AG467" s="101">
        <v>99.26</v>
      </c>
      <c r="AH467" s="71">
        <f t="shared" si="120"/>
        <v>0.78763300000000003</v>
      </c>
      <c r="AJ467" s="215">
        <v>45353</v>
      </c>
      <c r="AK467" s="48">
        <v>0</v>
      </c>
      <c r="AL467" s="48">
        <v>6</v>
      </c>
      <c r="AM467" s="48">
        <v>6</v>
      </c>
      <c r="AN467" s="48">
        <v>0</v>
      </c>
      <c r="AQ467" s="215">
        <v>45353</v>
      </c>
      <c r="AR467" s="48">
        <v>130</v>
      </c>
      <c r="AS467" s="48">
        <v>0</v>
      </c>
      <c r="AT467" s="48">
        <v>130</v>
      </c>
      <c r="AU467" s="48">
        <v>100</v>
      </c>
      <c r="AX467" s="215">
        <v>45353</v>
      </c>
      <c r="AY467" s="48">
        <v>36</v>
      </c>
      <c r="AZ467" s="48">
        <v>0</v>
      </c>
      <c r="BA467" s="48">
        <v>36</v>
      </c>
      <c r="BB467" s="48">
        <v>100</v>
      </c>
      <c r="BE467" s="215">
        <v>45353</v>
      </c>
      <c r="BF467" s="101">
        <v>10437</v>
      </c>
      <c r="BG467" s="101">
        <v>1323</v>
      </c>
      <c r="BH467" s="101">
        <v>11760</v>
      </c>
      <c r="BI467" s="101">
        <v>88.75</v>
      </c>
      <c r="BL467" s="215">
        <v>45353</v>
      </c>
      <c r="BM467" s="101">
        <v>243045</v>
      </c>
      <c r="BN467" s="101">
        <v>0</v>
      </c>
      <c r="BO467" s="101">
        <v>243045</v>
      </c>
      <c r="BP467" s="101">
        <v>100</v>
      </c>
      <c r="BS467" s="215">
        <v>45353</v>
      </c>
      <c r="BT467" s="104">
        <v>45620</v>
      </c>
      <c r="BU467" s="104">
        <v>3</v>
      </c>
      <c r="BV467" s="104">
        <v>45623</v>
      </c>
      <c r="BW467" s="104">
        <v>99.99</v>
      </c>
      <c r="BZ467" s="215">
        <v>45353</v>
      </c>
      <c r="CA467" s="48">
        <v>37660538</v>
      </c>
      <c r="CB467" s="48">
        <v>2743610</v>
      </c>
      <c r="CC467" s="71">
        <f t="shared" si="119"/>
        <v>13.726636803335751</v>
      </c>
      <c r="CE467" s="222">
        <v>45353</v>
      </c>
      <c r="CF467" s="101">
        <v>13314350</v>
      </c>
      <c r="CG467" s="101">
        <v>13638</v>
      </c>
      <c r="CH467" s="101">
        <v>13327988</v>
      </c>
      <c r="CI467" s="101">
        <v>99.9</v>
      </c>
      <c r="CJ467" s="71">
        <f t="shared" si="117"/>
        <v>13.327988</v>
      </c>
      <c r="CL467" s="222">
        <v>45354</v>
      </c>
      <c r="CM467" t="s">
        <v>237</v>
      </c>
      <c r="CN467" s="101">
        <v>3022</v>
      </c>
      <c r="CO467" s="101">
        <v>527</v>
      </c>
    </row>
    <row r="468" spans="1:93" hidden="1" x14ac:dyDescent="0.25">
      <c r="A468" s="215">
        <v>45354</v>
      </c>
      <c r="B468" s="104">
        <v>5412982</v>
      </c>
      <c r="C468" s="104">
        <v>1427</v>
      </c>
      <c r="D468" s="104">
        <v>5414409</v>
      </c>
      <c r="E468" s="104">
        <v>99.97</v>
      </c>
      <c r="F468" s="71">
        <f t="shared" ref="F468:F534" si="122">D468/1000000</f>
        <v>5.414409</v>
      </c>
      <c r="H468" s="215">
        <v>45354</v>
      </c>
      <c r="I468" s="101">
        <v>1573768</v>
      </c>
      <c r="J468" s="101">
        <v>1207</v>
      </c>
      <c r="K468" s="101">
        <v>1574975</v>
      </c>
      <c r="L468" s="101">
        <v>99.92</v>
      </c>
      <c r="M468" s="71">
        <f t="shared" si="121"/>
        <v>1.574975</v>
      </c>
      <c r="O468" s="215">
        <v>45354</v>
      </c>
      <c r="P468" s="101">
        <v>804851</v>
      </c>
      <c r="Q468" s="101">
        <v>2</v>
      </c>
      <c r="R468" s="101">
        <v>804853</v>
      </c>
      <c r="S468" s="101">
        <v>100</v>
      </c>
      <c r="T468" s="71">
        <f t="shared" si="116"/>
        <v>0.80485300000000004</v>
      </c>
      <c r="V468" s="215">
        <v>45354</v>
      </c>
      <c r="W468" s="101">
        <v>901465</v>
      </c>
      <c r="X468" s="101">
        <v>159</v>
      </c>
      <c r="Y468" s="101">
        <v>901624</v>
      </c>
      <c r="Z468" s="101">
        <v>99.98</v>
      </c>
      <c r="AA468" s="71">
        <f t="shared" si="118"/>
        <v>0.90162399999999998</v>
      </c>
      <c r="AC468" s="215">
        <v>45354</v>
      </c>
      <c r="AD468" s="101">
        <v>757960</v>
      </c>
      <c r="AE468" s="101">
        <v>2484</v>
      </c>
      <c r="AF468" s="101">
        <v>760444</v>
      </c>
      <c r="AG468" s="101">
        <v>99.67</v>
      </c>
      <c r="AH468" s="71">
        <f t="shared" si="120"/>
        <v>0.76044400000000001</v>
      </c>
      <c r="AJ468" s="215">
        <v>45354</v>
      </c>
      <c r="AK468" s="48">
        <v>0</v>
      </c>
      <c r="AL468" s="48">
        <v>12</v>
      </c>
      <c r="AM468" s="48">
        <v>12</v>
      </c>
      <c r="AN468" s="48">
        <v>0</v>
      </c>
      <c r="AQ468" s="215">
        <v>45354</v>
      </c>
      <c r="AR468" s="48">
        <v>337</v>
      </c>
      <c r="AS468" s="48">
        <v>0</v>
      </c>
      <c r="AT468" s="48">
        <v>337</v>
      </c>
      <c r="AU468" s="48">
        <v>100</v>
      </c>
      <c r="AX468" s="215">
        <v>45354</v>
      </c>
      <c r="AY468" s="48">
        <v>16</v>
      </c>
      <c r="AZ468" s="48">
        <v>0</v>
      </c>
      <c r="BA468" s="48">
        <v>16</v>
      </c>
      <c r="BB468" s="48">
        <v>100</v>
      </c>
      <c r="BE468" s="215">
        <v>45354</v>
      </c>
      <c r="BF468" s="101">
        <v>9000</v>
      </c>
      <c r="BG468" s="101">
        <v>931</v>
      </c>
      <c r="BH468" s="101">
        <v>9931</v>
      </c>
      <c r="BI468" s="101">
        <v>90.63</v>
      </c>
      <c r="BL468" s="215">
        <v>45354</v>
      </c>
      <c r="BM468" s="101">
        <v>5444</v>
      </c>
      <c r="BN468" s="101">
        <v>0</v>
      </c>
      <c r="BO468" s="101">
        <v>5444</v>
      </c>
      <c r="BP468" s="101">
        <v>100</v>
      </c>
      <c r="BS468" s="215">
        <v>45354</v>
      </c>
      <c r="BT468" s="104">
        <v>36856</v>
      </c>
      <c r="BU468" s="104">
        <v>0</v>
      </c>
      <c r="BV468" s="104">
        <v>36856</v>
      </c>
      <c r="BW468" s="104">
        <v>100</v>
      </c>
      <c r="BZ468" s="215">
        <v>45354</v>
      </c>
      <c r="CA468" s="48">
        <v>31904515</v>
      </c>
      <c r="CB468" s="48">
        <v>2121889</v>
      </c>
      <c r="CC468" s="71">
        <f t="shared" si="119"/>
        <v>15.035901972252082</v>
      </c>
      <c r="CE468" s="222">
        <v>45354</v>
      </c>
      <c r="CF468" s="101">
        <v>11405389</v>
      </c>
      <c r="CG468" s="101">
        <v>10563</v>
      </c>
      <c r="CH468" s="101">
        <v>11415952</v>
      </c>
      <c r="CI468" s="101">
        <v>99.91</v>
      </c>
      <c r="CJ468" s="71">
        <f t="shared" si="117"/>
        <v>11.415952000000001</v>
      </c>
      <c r="CL468" s="222">
        <v>45354</v>
      </c>
      <c r="CM468" s="252" t="s">
        <v>239</v>
      </c>
      <c r="CN468" s="101">
        <v>1406</v>
      </c>
      <c r="CO468" s="101">
        <v>504</v>
      </c>
    </row>
    <row r="469" spans="1:93" hidden="1" x14ac:dyDescent="0.25">
      <c r="A469" s="215">
        <v>45355</v>
      </c>
      <c r="B469" s="104">
        <v>6884959</v>
      </c>
      <c r="C469" s="104">
        <v>2720</v>
      </c>
      <c r="D469" s="104">
        <v>6887679</v>
      </c>
      <c r="E469" s="104">
        <v>99.96</v>
      </c>
      <c r="F469" s="71">
        <f t="shared" si="122"/>
        <v>6.8876790000000003</v>
      </c>
      <c r="H469" s="215">
        <v>45355</v>
      </c>
      <c r="I469" s="101">
        <v>1580133</v>
      </c>
      <c r="J469" s="101">
        <v>1325</v>
      </c>
      <c r="K469" s="101">
        <v>1581458</v>
      </c>
      <c r="L469" s="101">
        <v>99.92</v>
      </c>
      <c r="M469" s="71">
        <f t="shared" si="121"/>
        <v>1.581458</v>
      </c>
      <c r="O469" s="215">
        <v>45355</v>
      </c>
      <c r="P469" s="101">
        <v>814158</v>
      </c>
      <c r="Q469" s="101">
        <v>0</v>
      </c>
      <c r="R469" s="101">
        <v>814158</v>
      </c>
      <c r="S469" s="101">
        <v>100</v>
      </c>
      <c r="T469" s="71">
        <f t="shared" si="116"/>
        <v>0.81415800000000005</v>
      </c>
      <c r="V469" s="215">
        <v>45355</v>
      </c>
      <c r="W469" s="101">
        <v>1083415</v>
      </c>
      <c r="X469" s="101">
        <v>210</v>
      </c>
      <c r="Y469" s="101">
        <v>1083625</v>
      </c>
      <c r="Z469" s="101">
        <v>99.98</v>
      </c>
      <c r="AA469" s="71">
        <f t="shared" si="118"/>
        <v>1.0836250000000001</v>
      </c>
      <c r="AC469" s="215">
        <v>45355</v>
      </c>
      <c r="AD469" s="101">
        <v>740639</v>
      </c>
      <c r="AE469" s="101">
        <v>1940</v>
      </c>
      <c r="AF469" s="101">
        <v>742579</v>
      </c>
      <c r="AG469" s="101">
        <v>99.74</v>
      </c>
      <c r="AH469" s="71">
        <f t="shared" si="120"/>
        <v>0.74257899999999999</v>
      </c>
      <c r="AJ469" s="215">
        <v>45355</v>
      </c>
      <c r="AK469" s="48">
        <v>0</v>
      </c>
      <c r="AL469" s="48">
        <v>12</v>
      </c>
      <c r="AM469" s="48">
        <v>12</v>
      </c>
      <c r="AN469" s="48">
        <v>0</v>
      </c>
      <c r="AQ469" s="215">
        <v>45355</v>
      </c>
      <c r="AR469" s="48">
        <v>169</v>
      </c>
      <c r="AS469" s="48">
        <v>0</v>
      </c>
      <c r="AT469" s="48">
        <v>169</v>
      </c>
      <c r="AU469" s="48">
        <v>100</v>
      </c>
      <c r="AX469" s="215">
        <v>45355</v>
      </c>
      <c r="AY469" s="48">
        <v>26</v>
      </c>
      <c r="AZ469" s="48">
        <v>0</v>
      </c>
      <c r="BA469" s="48">
        <v>26</v>
      </c>
      <c r="BB469" s="48">
        <v>100</v>
      </c>
      <c r="BE469" s="215">
        <v>45355</v>
      </c>
      <c r="BF469" s="101">
        <v>12647</v>
      </c>
      <c r="BG469" s="101">
        <v>1666</v>
      </c>
      <c r="BH469" s="101">
        <v>14313</v>
      </c>
      <c r="BI469" s="101">
        <v>88.36</v>
      </c>
      <c r="BL469" s="215">
        <v>45355</v>
      </c>
      <c r="BM469" s="101">
        <v>223056</v>
      </c>
      <c r="BN469" s="101">
        <v>0</v>
      </c>
      <c r="BO469" s="101">
        <v>223056</v>
      </c>
      <c r="BP469" s="101">
        <v>100</v>
      </c>
      <c r="BS469" s="215">
        <v>45355</v>
      </c>
      <c r="BT469" s="104">
        <v>20432</v>
      </c>
      <c r="BU469" s="104">
        <v>0</v>
      </c>
      <c r="BV469" s="104">
        <v>20432</v>
      </c>
      <c r="BW469" s="104">
        <v>100</v>
      </c>
      <c r="BZ469" s="215">
        <v>45355</v>
      </c>
      <c r="CA469" s="48">
        <v>38958838</v>
      </c>
      <c r="CB469" s="48">
        <v>2884909</v>
      </c>
      <c r="CC469" s="71">
        <f t="shared" si="119"/>
        <v>13.504355943289719</v>
      </c>
      <c r="CE469" s="222">
        <v>45355</v>
      </c>
      <c r="CF469" s="101">
        <v>13350126</v>
      </c>
      <c r="CG469" s="101">
        <v>11828</v>
      </c>
      <c r="CH469" s="101">
        <v>13361954</v>
      </c>
      <c r="CI469" s="101">
        <v>99.91</v>
      </c>
      <c r="CJ469" s="71">
        <f t="shared" si="117"/>
        <v>13.361954000000001</v>
      </c>
      <c r="CL469" s="222">
        <v>45354</v>
      </c>
      <c r="CM469" t="s">
        <v>243</v>
      </c>
      <c r="CN469" s="101">
        <v>1002</v>
      </c>
      <c r="CO469" s="101">
        <v>540</v>
      </c>
    </row>
    <row r="470" spans="1:93" hidden="1" x14ac:dyDescent="0.25">
      <c r="A470" s="215">
        <v>45356</v>
      </c>
      <c r="B470" s="104">
        <v>6656868</v>
      </c>
      <c r="C470" s="104">
        <v>2889</v>
      </c>
      <c r="D470" s="104">
        <v>6659757</v>
      </c>
      <c r="E470" s="104">
        <v>99.96</v>
      </c>
      <c r="F470" s="71">
        <f t="shared" si="122"/>
        <v>6.6597569999999999</v>
      </c>
      <c r="H470" s="215">
        <v>45356</v>
      </c>
      <c r="I470" s="101">
        <v>1621153</v>
      </c>
      <c r="J470" s="101">
        <v>1099</v>
      </c>
      <c r="K470" s="101">
        <v>1622252</v>
      </c>
      <c r="L470" s="101">
        <v>99.93</v>
      </c>
      <c r="M470" s="71">
        <f t="shared" si="121"/>
        <v>1.622252</v>
      </c>
      <c r="O470" s="215">
        <v>45356</v>
      </c>
      <c r="P470" s="101">
        <v>713119</v>
      </c>
      <c r="Q470" s="101">
        <v>0</v>
      </c>
      <c r="R470" s="101">
        <v>713119</v>
      </c>
      <c r="S470" s="101">
        <v>100</v>
      </c>
      <c r="T470" s="71">
        <f t="shared" si="116"/>
        <v>0.71311899999999995</v>
      </c>
      <c r="V470" s="215">
        <v>45356</v>
      </c>
      <c r="W470" s="101">
        <v>1038787</v>
      </c>
      <c r="X470" s="101">
        <v>158</v>
      </c>
      <c r="Y470" s="101">
        <v>1038945</v>
      </c>
      <c r="Z470" s="101">
        <v>99.98</v>
      </c>
      <c r="AA470" s="71">
        <f t="shared" si="118"/>
        <v>1.038945</v>
      </c>
      <c r="AC470" s="215">
        <v>45356</v>
      </c>
      <c r="AD470" s="101">
        <v>694127</v>
      </c>
      <c r="AE470" s="101">
        <v>2267</v>
      </c>
      <c r="AF470" s="101">
        <v>696394</v>
      </c>
      <c r="AG470" s="101">
        <v>99.67</v>
      </c>
      <c r="AH470" s="71">
        <f t="shared" si="120"/>
        <v>0.69639399999999996</v>
      </c>
      <c r="AJ470" s="215">
        <v>45356</v>
      </c>
      <c r="AK470" s="48">
        <v>0</v>
      </c>
      <c r="AL470" s="48">
        <v>10</v>
      </c>
      <c r="AM470" s="48">
        <v>10</v>
      </c>
      <c r="AN470" s="48">
        <v>0</v>
      </c>
      <c r="AQ470" s="215">
        <v>45356</v>
      </c>
      <c r="AR470" s="48">
        <v>78</v>
      </c>
      <c r="AS470" s="48">
        <v>0</v>
      </c>
      <c r="AT470" s="48">
        <v>78</v>
      </c>
      <c r="AU470" s="48">
        <v>100</v>
      </c>
      <c r="AX470" s="215">
        <v>45356</v>
      </c>
      <c r="AY470" s="48">
        <v>8</v>
      </c>
      <c r="AZ470" s="48">
        <v>0</v>
      </c>
      <c r="BA470" s="48">
        <v>8</v>
      </c>
      <c r="BB470" s="48">
        <v>100</v>
      </c>
      <c r="BE470" s="215">
        <v>45356</v>
      </c>
      <c r="BF470" s="101">
        <v>33471</v>
      </c>
      <c r="BG470" s="101">
        <v>2883</v>
      </c>
      <c r="BH470" s="101">
        <v>36354</v>
      </c>
      <c r="BI470" s="101">
        <v>92.07</v>
      </c>
      <c r="BL470" s="215">
        <v>45356</v>
      </c>
      <c r="BM470" s="101">
        <v>228561</v>
      </c>
      <c r="BN470" s="101">
        <v>0</v>
      </c>
      <c r="BO470" s="101">
        <v>228561</v>
      </c>
      <c r="BP470" s="101">
        <v>100</v>
      </c>
      <c r="BS470" s="215">
        <v>45356</v>
      </c>
      <c r="BT470" s="104">
        <v>18673</v>
      </c>
      <c r="BU470" s="104">
        <v>0</v>
      </c>
      <c r="BV470" s="104">
        <v>18673</v>
      </c>
      <c r="BW470" s="104">
        <v>100</v>
      </c>
      <c r="BZ470" s="215">
        <v>45356</v>
      </c>
      <c r="CA470" s="48">
        <v>38466619</v>
      </c>
      <c r="CB470" s="48">
        <v>2900919</v>
      </c>
      <c r="CC470" s="71">
        <f t="shared" si="119"/>
        <v>13.260149283726985</v>
      </c>
      <c r="CE470" s="222">
        <v>45356</v>
      </c>
      <c r="CF470" s="101">
        <v>12875596</v>
      </c>
      <c r="CG470" s="101">
        <v>13298</v>
      </c>
      <c r="CH470" s="101">
        <v>12888894</v>
      </c>
      <c r="CI470" s="101">
        <v>99.9</v>
      </c>
      <c r="CJ470" s="71">
        <f t="shared" si="117"/>
        <v>12.888894000000001</v>
      </c>
      <c r="CL470" s="222">
        <v>45354</v>
      </c>
      <c r="CM470" t="s">
        <v>238</v>
      </c>
      <c r="CN470" s="101">
        <v>837</v>
      </c>
      <c r="CO470" s="101">
        <v>503</v>
      </c>
    </row>
    <row r="471" spans="1:93" hidden="1" x14ac:dyDescent="0.25">
      <c r="A471" s="215">
        <v>45357</v>
      </c>
      <c r="B471" s="104">
        <v>6985052</v>
      </c>
      <c r="C471" s="104">
        <v>6968</v>
      </c>
      <c r="D471" s="104">
        <v>6992020</v>
      </c>
      <c r="E471" s="104">
        <v>99.9</v>
      </c>
      <c r="F471" s="71">
        <f t="shared" si="122"/>
        <v>6.9920200000000001</v>
      </c>
      <c r="H471" s="215">
        <v>45357</v>
      </c>
      <c r="I471" s="101">
        <v>1540421</v>
      </c>
      <c r="J471" s="101">
        <v>1172</v>
      </c>
      <c r="K471" s="101">
        <v>1541593</v>
      </c>
      <c r="L471" s="101">
        <v>99.92</v>
      </c>
      <c r="M471" s="71">
        <f t="shared" si="121"/>
        <v>1.541593</v>
      </c>
      <c r="O471" s="215">
        <v>45357</v>
      </c>
      <c r="P471" s="101">
        <v>748412</v>
      </c>
      <c r="Q471" s="101">
        <v>0</v>
      </c>
      <c r="R471" s="101">
        <v>748412</v>
      </c>
      <c r="S471" s="101">
        <v>100</v>
      </c>
      <c r="T471" s="71">
        <f t="shared" si="116"/>
        <v>0.74841199999999997</v>
      </c>
      <c r="V471" s="215">
        <v>45357</v>
      </c>
      <c r="W471" s="101">
        <v>1050834</v>
      </c>
      <c r="X471" s="101">
        <v>190</v>
      </c>
      <c r="Y471" s="101">
        <v>1051024</v>
      </c>
      <c r="Z471" s="101">
        <v>99.98</v>
      </c>
      <c r="AA471" s="71">
        <f t="shared" si="118"/>
        <v>1.051024</v>
      </c>
      <c r="AC471" s="215">
        <v>45357</v>
      </c>
      <c r="AD471" s="101">
        <v>856080</v>
      </c>
      <c r="AE471" s="101">
        <v>2284</v>
      </c>
      <c r="AF471" s="101">
        <v>858364</v>
      </c>
      <c r="AG471" s="101">
        <v>99.73</v>
      </c>
      <c r="AH471" s="71">
        <f t="shared" si="120"/>
        <v>0.85836400000000002</v>
      </c>
      <c r="AJ471" s="215">
        <v>45357</v>
      </c>
      <c r="AK471" s="48">
        <v>0</v>
      </c>
      <c r="AL471" s="48">
        <v>16</v>
      </c>
      <c r="AM471" s="48">
        <v>16</v>
      </c>
      <c r="AN471" s="48">
        <v>0</v>
      </c>
      <c r="AQ471" s="215">
        <v>45357</v>
      </c>
      <c r="AR471" s="48">
        <v>315</v>
      </c>
      <c r="AS471" s="48">
        <v>0</v>
      </c>
      <c r="AT471" s="48">
        <v>315</v>
      </c>
      <c r="AU471" s="48">
        <v>100</v>
      </c>
      <c r="AX471" s="215">
        <v>45357</v>
      </c>
      <c r="AY471" s="48">
        <v>8</v>
      </c>
      <c r="AZ471" s="48">
        <v>0</v>
      </c>
      <c r="BA471" s="48">
        <v>8</v>
      </c>
      <c r="BB471" s="48">
        <v>100</v>
      </c>
      <c r="BE471" s="215">
        <v>45357</v>
      </c>
      <c r="BF471" s="101">
        <v>13615</v>
      </c>
      <c r="BG471" s="101">
        <v>1282</v>
      </c>
      <c r="BH471" s="101">
        <v>14897</v>
      </c>
      <c r="BI471" s="101">
        <v>91.39</v>
      </c>
      <c r="BL471" s="215">
        <v>45357</v>
      </c>
      <c r="BM471" s="101">
        <v>233687</v>
      </c>
      <c r="BN471" s="101">
        <v>0</v>
      </c>
      <c r="BO471" s="101">
        <v>233687</v>
      </c>
      <c r="BP471" s="101">
        <v>100</v>
      </c>
      <c r="BS471" s="215">
        <v>45357</v>
      </c>
      <c r="BT471" s="104">
        <v>31441</v>
      </c>
      <c r="BU471" s="104">
        <v>0</v>
      </c>
      <c r="BV471" s="104">
        <v>31441</v>
      </c>
      <c r="BW471" s="104">
        <v>100</v>
      </c>
      <c r="BZ471" s="215">
        <v>45357</v>
      </c>
      <c r="CA471" s="48">
        <v>36842044</v>
      </c>
      <c r="CB471" s="48">
        <v>2826207</v>
      </c>
      <c r="CC471" s="71">
        <f t="shared" si="119"/>
        <v>13.035861845929897</v>
      </c>
      <c r="CE471" s="222">
        <v>45357</v>
      </c>
      <c r="CF471" s="101">
        <v>13416855</v>
      </c>
      <c r="CG471" s="101">
        <v>16069</v>
      </c>
      <c r="CH471" s="101">
        <v>13432924</v>
      </c>
      <c r="CI471" s="101">
        <v>99.88</v>
      </c>
      <c r="CJ471" s="71">
        <f t="shared" si="117"/>
        <v>13.432924</v>
      </c>
    </row>
    <row r="472" spans="1:93" hidden="1" x14ac:dyDescent="0.25">
      <c r="A472" s="215">
        <v>45358</v>
      </c>
      <c r="B472" s="104">
        <v>6013422</v>
      </c>
      <c r="C472" s="104">
        <v>47011</v>
      </c>
      <c r="D472" s="104">
        <v>6060433</v>
      </c>
      <c r="E472" s="104">
        <v>99.22</v>
      </c>
      <c r="F472" s="71">
        <f t="shared" si="122"/>
        <v>6.0604329999999997</v>
      </c>
      <c r="H472" s="215">
        <v>45358</v>
      </c>
      <c r="I472" s="101">
        <v>1427182</v>
      </c>
      <c r="J472" s="101">
        <v>879</v>
      </c>
      <c r="K472" s="101">
        <v>1428061</v>
      </c>
      <c r="L472" s="101">
        <v>99.94</v>
      </c>
      <c r="M472" s="71">
        <f t="shared" si="121"/>
        <v>1.428061</v>
      </c>
      <c r="O472" s="215">
        <v>45358</v>
      </c>
      <c r="P472" s="101">
        <v>701251</v>
      </c>
      <c r="Q472" s="101">
        <v>0</v>
      </c>
      <c r="R472" s="101">
        <v>701251</v>
      </c>
      <c r="S472" s="101">
        <v>100</v>
      </c>
      <c r="T472" s="71">
        <f t="shared" si="116"/>
        <v>0.70125099999999996</v>
      </c>
      <c r="V472" s="215">
        <v>45358</v>
      </c>
      <c r="W472" s="101">
        <v>936250</v>
      </c>
      <c r="X472" s="101">
        <v>1453</v>
      </c>
      <c r="Y472" s="101">
        <v>937703</v>
      </c>
      <c r="Z472" s="101">
        <v>99.85</v>
      </c>
      <c r="AA472" s="71">
        <f t="shared" si="118"/>
        <v>0.93770299999999995</v>
      </c>
      <c r="AC472" s="215">
        <v>45358</v>
      </c>
      <c r="AD472" s="101">
        <v>685549</v>
      </c>
      <c r="AE472" s="101">
        <v>2937</v>
      </c>
      <c r="AF472" s="101">
        <v>688486</v>
      </c>
      <c r="AG472" s="101">
        <v>99.57</v>
      </c>
      <c r="AH472" s="71">
        <f t="shared" si="120"/>
        <v>0.68848600000000004</v>
      </c>
      <c r="AJ472" s="215">
        <v>45358</v>
      </c>
      <c r="AK472" s="48">
        <v>0</v>
      </c>
      <c r="AL472" s="48">
        <v>10</v>
      </c>
      <c r="AM472" s="48">
        <v>10</v>
      </c>
      <c r="AN472" s="48">
        <v>0</v>
      </c>
      <c r="AQ472" s="215">
        <v>45358</v>
      </c>
      <c r="AR472" s="48">
        <v>121</v>
      </c>
      <c r="AS472" s="48">
        <v>0</v>
      </c>
      <c r="AT472" s="48">
        <v>121</v>
      </c>
      <c r="AU472" s="48">
        <v>100</v>
      </c>
      <c r="AX472" s="215">
        <v>45358</v>
      </c>
      <c r="AY472" s="48">
        <v>8</v>
      </c>
      <c r="AZ472" s="48">
        <v>0</v>
      </c>
      <c r="BA472" s="48">
        <v>8</v>
      </c>
      <c r="BB472" s="48">
        <v>100</v>
      </c>
      <c r="BE472" s="215">
        <v>45358</v>
      </c>
      <c r="BF472" s="101">
        <v>10512</v>
      </c>
      <c r="BG472" s="101">
        <v>1279</v>
      </c>
      <c r="BH472" s="101">
        <v>11791</v>
      </c>
      <c r="BI472" s="101">
        <v>89.15</v>
      </c>
      <c r="BL472" s="215">
        <v>45358</v>
      </c>
      <c r="BM472" s="101">
        <v>219264</v>
      </c>
      <c r="BN472" s="101">
        <v>0</v>
      </c>
      <c r="BO472" s="101">
        <v>219264</v>
      </c>
      <c r="BP472" s="101">
        <v>100</v>
      </c>
      <c r="BS472" s="215">
        <v>45358</v>
      </c>
      <c r="BT472" s="104">
        <v>18444</v>
      </c>
      <c r="BU472" s="104">
        <v>0</v>
      </c>
      <c r="BV472" s="104">
        <v>18444</v>
      </c>
      <c r="BW472" s="104">
        <v>100</v>
      </c>
      <c r="BZ472" s="215">
        <v>45358</v>
      </c>
      <c r="CA472" s="48">
        <v>35765895</v>
      </c>
      <c r="CB472" s="48">
        <v>2759777</v>
      </c>
      <c r="CC472" s="71">
        <f t="shared" si="119"/>
        <v>12.959704715272284</v>
      </c>
      <c r="CE472" s="222">
        <v>45358</v>
      </c>
      <c r="CF472" s="101">
        <v>11759812</v>
      </c>
      <c r="CG472" s="101">
        <v>58127</v>
      </c>
      <c r="CH472" s="101">
        <v>11817939</v>
      </c>
      <c r="CI472" s="101">
        <v>99.51</v>
      </c>
      <c r="CJ472" s="71">
        <f t="shared" si="117"/>
        <v>11.817939000000001</v>
      </c>
      <c r="CL472" s="222">
        <v>45355</v>
      </c>
      <c r="CM472" t="s">
        <v>240</v>
      </c>
      <c r="CN472" s="101">
        <v>4081</v>
      </c>
      <c r="CO472" s="101">
        <v>516</v>
      </c>
    </row>
    <row r="473" spans="1:93" hidden="1" x14ac:dyDescent="0.25">
      <c r="A473" s="215">
        <v>45359</v>
      </c>
      <c r="B473" s="104">
        <v>7145082</v>
      </c>
      <c r="C473" s="104">
        <v>64975</v>
      </c>
      <c r="D473" s="104">
        <v>7210057</v>
      </c>
      <c r="E473" s="104">
        <v>99.1</v>
      </c>
      <c r="F473" s="71">
        <f t="shared" si="122"/>
        <v>7.2100569999999999</v>
      </c>
      <c r="H473" s="215">
        <v>45359</v>
      </c>
      <c r="I473" s="101">
        <v>1683670</v>
      </c>
      <c r="J473" s="101">
        <v>1211</v>
      </c>
      <c r="K473" s="101">
        <v>1684881</v>
      </c>
      <c r="L473" s="101">
        <v>99.93</v>
      </c>
      <c r="M473" s="71">
        <f t="shared" si="121"/>
        <v>1.6848810000000001</v>
      </c>
      <c r="O473" s="215">
        <v>45359</v>
      </c>
      <c r="P473" s="101">
        <v>761189</v>
      </c>
      <c r="Q473" s="101">
        <v>2</v>
      </c>
      <c r="R473" s="101">
        <v>761191</v>
      </c>
      <c r="S473" s="101">
        <v>100</v>
      </c>
      <c r="T473" s="71">
        <f t="shared" si="116"/>
        <v>0.76119099999999995</v>
      </c>
      <c r="V473" s="215">
        <v>45359</v>
      </c>
      <c r="W473" s="101">
        <v>1142997</v>
      </c>
      <c r="X473" s="101">
        <v>201</v>
      </c>
      <c r="Y473" s="101">
        <v>1143198</v>
      </c>
      <c r="Z473" s="101">
        <v>99.98</v>
      </c>
      <c r="AA473" s="71">
        <f t="shared" si="118"/>
        <v>1.1431979999999999</v>
      </c>
      <c r="AC473" s="215">
        <v>45359</v>
      </c>
      <c r="AD473" s="101">
        <v>759036</v>
      </c>
      <c r="AE473" s="101">
        <v>1839</v>
      </c>
      <c r="AF473" s="101">
        <v>760875</v>
      </c>
      <c r="AG473" s="101">
        <v>99.76</v>
      </c>
      <c r="AH473" s="71">
        <f t="shared" si="120"/>
        <v>0.76087499999999997</v>
      </c>
      <c r="AJ473" s="215">
        <v>45359</v>
      </c>
      <c r="AK473" s="48">
        <v>0</v>
      </c>
      <c r="AL473" s="48">
        <v>54</v>
      </c>
      <c r="AM473" s="48">
        <v>54</v>
      </c>
      <c r="AN473" s="48">
        <v>0</v>
      </c>
      <c r="AQ473" s="215">
        <v>45359</v>
      </c>
      <c r="AR473" s="48">
        <v>142</v>
      </c>
      <c r="AS473" s="48">
        <v>0</v>
      </c>
      <c r="AT473" s="48">
        <v>142</v>
      </c>
      <c r="AU473" s="48">
        <v>100</v>
      </c>
      <c r="AX473" s="215">
        <v>45359</v>
      </c>
      <c r="AY473" s="48">
        <v>18</v>
      </c>
      <c r="AZ473" s="48">
        <v>0</v>
      </c>
      <c r="BA473" s="48">
        <v>18</v>
      </c>
      <c r="BB473" s="48">
        <v>100</v>
      </c>
      <c r="BE473" s="215">
        <v>45359</v>
      </c>
      <c r="BF473" s="101">
        <v>12536</v>
      </c>
      <c r="BG473" s="101">
        <v>1497</v>
      </c>
      <c r="BH473" s="101">
        <v>14033</v>
      </c>
      <c r="BI473" s="101">
        <v>89.33</v>
      </c>
      <c r="BL473" s="215">
        <v>45359</v>
      </c>
      <c r="BM473" s="101">
        <v>234339</v>
      </c>
      <c r="BN473" s="101">
        <v>0</v>
      </c>
      <c r="BO473" s="101">
        <v>234339</v>
      </c>
      <c r="BP473" s="101">
        <v>100</v>
      </c>
      <c r="BS473" s="215">
        <v>45359</v>
      </c>
      <c r="BT473" s="104">
        <v>29261</v>
      </c>
      <c r="BU473" s="104">
        <v>0</v>
      </c>
      <c r="BV473" s="104">
        <v>29261</v>
      </c>
      <c r="BW473" s="104">
        <v>100</v>
      </c>
      <c r="BZ473" s="215">
        <v>45359</v>
      </c>
      <c r="CA473" s="48">
        <v>40074998</v>
      </c>
      <c r="CB473" s="48">
        <v>2842302</v>
      </c>
      <c r="CC473" s="71">
        <f t="shared" si="119"/>
        <v>14.099486261488048</v>
      </c>
      <c r="CE473" s="257">
        <v>45359</v>
      </c>
      <c r="CF473" s="173">
        <v>13816473</v>
      </c>
      <c r="CG473" s="173">
        <v>76887</v>
      </c>
      <c r="CH473" s="173">
        <v>13893360</v>
      </c>
      <c r="CI473" s="173">
        <v>99.45</v>
      </c>
      <c r="CJ473" s="208">
        <f t="shared" si="117"/>
        <v>13.893359999999999</v>
      </c>
      <c r="CL473" s="222">
        <v>45355</v>
      </c>
      <c r="CM473" t="s">
        <v>237</v>
      </c>
      <c r="CN473" s="101">
        <v>3657</v>
      </c>
      <c r="CO473" s="101">
        <v>527</v>
      </c>
    </row>
    <row r="474" spans="1:93" hidden="1" x14ac:dyDescent="0.25">
      <c r="A474" s="215">
        <v>45360</v>
      </c>
      <c r="B474" s="104">
        <v>6425488</v>
      </c>
      <c r="C474" s="104">
        <v>35053</v>
      </c>
      <c r="D474" s="104">
        <v>6460541</v>
      </c>
      <c r="E474" s="104">
        <v>99.46</v>
      </c>
      <c r="F474" s="71">
        <f t="shared" si="122"/>
        <v>6.4605410000000001</v>
      </c>
      <c r="H474" s="215">
        <v>45360</v>
      </c>
      <c r="I474" s="101">
        <v>1536726</v>
      </c>
      <c r="J474" s="101">
        <v>1082</v>
      </c>
      <c r="K474" s="101">
        <v>1537808</v>
      </c>
      <c r="L474" s="101">
        <v>99.93</v>
      </c>
      <c r="M474" s="71">
        <f t="shared" si="121"/>
        <v>1.5378080000000001</v>
      </c>
      <c r="O474" s="215">
        <v>45360</v>
      </c>
      <c r="P474" s="101">
        <v>758994</v>
      </c>
      <c r="Q474" s="101">
        <v>10</v>
      </c>
      <c r="R474" s="101">
        <v>759004</v>
      </c>
      <c r="S474" s="101">
        <v>100</v>
      </c>
      <c r="T474" s="71">
        <f t="shared" si="116"/>
        <v>0.75900400000000001</v>
      </c>
      <c r="V474" s="215">
        <v>45360</v>
      </c>
      <c r="W474" s="101">
        <v>981967</v>
      </c>
      <c r="X474" s="101">
        <v>184</v>
      </c>
      <c r="Y474" s="101">
        <v>982151</v>
      </c>
      <c r="Z474" s="101">
        <v>99.98</v>
      </c>
      <c r="AA474" s="71">
        <f t="shared" si="118"/>
        <v>0.982151</v>
      </c>
      <c r="AC474" s="215">
        <v>45360</v>
      </c>
      <c r="AD474" s="101">
        <v>714796</v>
      </c>
      <c r="AE474" s="101">
        <v>12569</v>
      </c>
      <c r="AF474" s="101">
        <v>727365</v>
      </c>
      <c r="AG474" s="101">
        <v>98.27</v>
      </c>
      <c r="AH474" s="71">
        <f t="shared" si="120"/>
        <v>0.72736500000000004</v>
      </c>
      <c r="AJ474" s="215">
        <v>45360</v>
      </c>
      <c r="AK474" s="48">
        <v>0</v>
      </c>
      <c r="AL474" s="48">
        <v>14</v>
      </c>
      <c r="AM474" s="48">
        <v>14</v>
      </c>
      <c r="AN474" s="48">
        <v>0</v>
      </c>
      <c r="AQ474" s="215">
        <v>45360</v>
      </c>
      <c r="AR474" s="48">
        <v>120</v>
      </c>
      <c r="AS474" s="48">
        <v>0</v>
      </c>
      <c r="AT474" s="48">
        <v>120</v>
      </c>
      <c r="AU474" s="48">
        <v>100</v>
      </c>
      <c r="AX474" s="215">
        <v>45360</v>
      </c>
      <c r="AY474" s="48">
        <v>15</v>
      </c>
      <c r="AZ474" s="48">
        <v>0</v>
      </c>
      <c r="BA474" s="48">
        <v>15</v>
      </c>
      <c r="BB474" s="48">
        <v>100</v>
      </c>
      <c r="BE474" s="215">
        <v>45360</v>
      </c>
      <c r="BF474" s="101">
        <v>9561</v>
      </c>
      <c r="BG474" s="101">
        <v>1183</v>
      </c>
      <c r="BH474" s="101">
        <v>10744</v>
      </c>
      <c r="BI474" s="101">
        <v>88.99</v>
      </c>
      <c r="BL474" s="215">
        <v>45360</v>
      </c>
      <c r="BM474" s="101">
        <v>219336</v>
      </c>
      <c r="BN474" s="101">
        <v>0</v>
      </c>
      <c r="BO474" s="101">
        <v>219336</v>
      </c>
      <c r="BP474" s="101">
        <v>100</v>
      </c>
      <c r="BS474" s="215">
        <v>45360</v>
      </c>
      <c r="BT474" s="104">
        <v>69389</v>
      </c>
      <c r="BU474" s="104">
        <v>1</v>
      </c>
      <c r="BV474" s="104">
        <v>69390</v>
      </c>
      <c r="BW474" s="104">
        <v>100</v>
      </c>
      <c r="BZ474" s="215">
        <v>45360</v>
      </c>
      <c r="CA474" s="48">
        <v>37935741</v>
      </c>
      <c r="CB474" s="48">
        <v>2742419</v>
      </c>
      <c r="CC474" s="71">
        <f t="shared" si="119"/>
        <v>13.832948575691752</v>
      </c>
      <c r="CE474" s="258">
        <v>45360</v>
      </c>
      <c r="CF474" s="104">
        <v>12530391</v>
      </c>
      <c r="CG474" s="104">
        <v>54610</v>
      </c>
      <c r="CH474" s="104">
        <v>12585001</v>
      </c>
      <c r="CI474" s="104">
        <v>99.57</v>
      </c>
      <c r="CJ474" s="71">
        <f t="shared" si="117"/>
        <v>12.585001</v>
      </c>
      <c r="CL474" s="222">
        <v>45355</v>
      </c>
      <c r="CM474" s="252" t="s">
        <v>239</v>
      </c>
      <c r="CN474" s="101">
        <v>1442</v>
      </c>
      <c r="CO474" s="101">
        <v>504</v>
      </c>
    </row>
    <row r="475" spans="1:93" hidden="1" x14ac:dyDescent="0.25">
      <c r="A475" s="215">
        <v>45361</v>
      </c>
      <c r="B475" s="104">
        <v>6470986</v>
      </c>
      <c r="C475" s="104">
        <v>12155</v>
      </c>
      <c r="D475" s="104">
        <v>6483141</v>
      </c>
      <c r="E475" s="104">
        <v>99.81</v>
      </c>
      <c r="F475" s="71">
        <f t="shared" si="122"/>
        <v>6.4831409999999998</v>
      </c>
      <c r="H475" s="215">
        <v>45361</v>
      </c>
      <c r="I475" s="101">
        <v>1743491</v>
      </c>
      <c r="J475" s="101">
        <v>361</v>
      </c>
      <c r="K475" s="101">
        <v>1743852</v>
      </c>
      <c r="L475" s="101">
        <v>99.98</v>
      </c>
      <c r="M475" s="71">
        <f t="shared" si="121"/>
        <v>1.743852</v>
      </c>
      <c r="O475" s="215">
        <v>45361</v>
      </c>
      <c r="P475" s="101">
        <v>614143</v>
      </c>
      <c r="Q475" s="101">
        <v>0</v>
      </c>
      <c r="R475" s="101">
        <v>614143</v>
      </c>
      <c r="S475" s="101">
        <v>100</v>
      </c>
      <c r="T475" s="71">
        <f t="shared" si="116"/>
        <v>0.61414299999999999</v>
      </c>
      <c r="V475" s="215">
        <v>45361</v>
      </c>
      <c r="W475" s="101">
        <v>976712</v>
      </c>
      <c r="X475" s="101">
        <v>188</v>
      </c>
      <c r="Y475" s="101">
        <v>976900</v>
      </c>
      <c r="Z475" s="101">
        <v>99.98</v>
      </c>
      <c r="AA475" s="71">
        <f t="shared" si="118"/>
        <v>0.97689999999999999</v>
      </c>
      <c r="AC475" s="215">
        <v>45361</v>
      </c>
      <c r="AD475" s="101">
        <v>818309</v>
      </c>
      <c r="AE475" s="101">
        <v>5182</v>
      </c>
      <c r="AF475" s="101">
        <v>823491</v>
      </c>
      <c r="AG475" s="101">
        <v>99.37</v>
      </c>
      <c r="AH475" s="71">
        <f t="shared" si="120"/>
        <v>0.82349099999999997</v>
      </c>
      <c r="AJ475" s="215">
        <v>45361</v>
      </c>
      <c r="AK475" s="48">
        <v>0</v>
      </c>
      <c r="AL475" s="48">
        <v>9</v>
      </c>
      <c r="AM475" s="48">
        <v>9</v>
      </c>
      <c r="AN475" s="48">
        <v>0</v>
      </c>
      <c r="AQ475" s="215">
        <v>45361</v>
      </c>
      <c r="AR475" s="48">
        <v>89</v>
      </c>
      <c r="AS475" s="48">
        <v>0</v>
      </c>
      <c r="AT475" s="48">
        <v>89</v>
      </c>
      <c r="AU475" s="48">
        <v>100</v>
      </c>
      <c r="AX475" s="215">
        <v>45361</v>
      </c>
      <c r="AY475" s="48">
        <v>6</v>
      </c>
      <c r="AZ475" s="48">
        <v>0</v>
      </c>
      <c r="BA475" s="48">
        <v>6</v>
      </c>
      <c r="BB475" s="48">
        <v>100</v>
      </c>
      <c r="BE475" s="215">
        <v>45361</v>
      </c>
      <c r="BF475" s="101">
        <v>9400</v>
      </c>
      <c r="BG475" s="101">
        <v>1042</v>
      </c>
      <c r="BH475" s="101">
        <v>10442</v>
      </c>
      <c r="BI475" s="101">
        <v>90.02</v>
      </c>
      <c r="BL475" s="215">
        <v>45361</v>
      </c>
      <c r="BM475" s="101">
        <v>4074</v>
      </c>
      <c r="BN475" s="101">
        <v>0</v>
      </c>
      <c r="BO475" s="101">
        <v>4074</v>
      </c>
      <c r="BP475" s="101">
        <v>100</v>
      </c>
      <c r="BS475" s="215">
        <v>45361</v>
      </c>
      <c r="BT475" s="104">
        <v>43067</v>
      </c>
      <c r="BU475" s="104">
        <v>7</v>
      </c>
      <c r="BV475" s="104">
        <v>43074</v>
      </c>
      <c r="BW475" s="104">
        <v>99.98</v>
      </c>
      <c r="BZ475" s="215">
        <v>45361</v>
      </c>
      <c r="CA475" s="48">
        <v>35727429</v>
      </c>
      <c r="CB475" s="48">
        <v>2142266</v>
      </c>
      <c r="CC475" s="71">
        <f t="shared" si="119"/>
        <v>16.677400939005707</v>
      </c>
      <c r="CE475" s="258">
        <v>45361</v>
      </c>
      <c r="CF475" s="48">
        <v>12706957</v>
      </c>
      <c r="CG475" s="48">
        <v>23190</v>
      </c>
      <c r="CH475" s="48">
        <v>12730147</v>
      </c>
      <c r="CI475" s="71">
        <f>CF475/CH475*100</f>
        <v>99.817833996732318</v>
      </c>
      <c r="CJ475" s="71">
        <f t="shared" si="117"/>
        <v>12.730147000000001</v>
      </c>
      <c r="CL475" s="222">
        <v>45355</v>
      </c>
      <c r="CM475" t="s">
        <v>243</v>
      </c>
      <c r="CN475" s="101">
        <v>1027</v>
      </c>
      <c r="CO475" s="101">
        <v>540</v>
      </c>
    </row>
    <row r="476" spans="1:93" hidden="1" x14ac:dyDescent="0.25">
      <c r="A476" s="215">
        <v>45362</v>
      </c>
      <c r="B476" s="104">
        <v>6404508</v>
      </c>
      <c r="C476" s="104">
        <v>20190</v>
      </c>
      <c r="D476" s="104">
        <v>6424698</v>
      </c>
      <c r="E476" s="104">
        <v>99.69</v>
      </c>
      <c r="F476" s="71">
        <f t="shared" si="122"/>
        <v>6.4246980000000002</v>
      </c>
      <c r="H476" s="215">
        <v>45362</v>
      </c>
      <c r="I476" s="101">
        <v>1797868</v>
      </c>
      <c r="J476" s="101">
        <v>394</v>
      </c>
      <c r="K476" s="101">
        <v>1798262</v>
      </c>
      <c r="L476" s="101">
        <v>99.98</v>
      </c>
      <c r="M476" s="71">
        <f t="shared" si="121"/>
        <v>1.798262</v>
      </c>
      <c r="O476" s="215">
        <v>45362</v>
      </c>
      <c r="P476" s="101">
        <v>640046</v>
      </c>
      <c r="Q476" s="101">
        <v>2</v>
      </c>
      <c r="R476" s="101">
        <v>640048</v>
      </c>
      <c r="S476" s="101">
        <v>100</v>
      </c>
      <c r="T476" s="71">
        <f t="shared" si="116"/>
        <v>0.64004799999999995</v>
      </c>
      <c r="V476" s="215">
        <v>45362</v>
      </c>
      <c r="W476" s="101">
        <v>922348</v>
      </c>
      <c r="X476" s="101">
        <v>162</v>
      </c>
      <c r="Y476" s="101">
        <v>922510</v>
      </c>
      <c r="Z476" s="101">
        <v>99.98</v>
      </c>
      <c r="AA476" s="71">
        <f t="shared" si="118"/>
        <v>0.92251000000000005</v>
      </c>
      <c r="AC476" s="215">
        <v>45362</v>
      </c>
      <c r="AD476" s="101">
        <v>633214</v>
      </c>
      <c r="AE476" s="101">
        <v>226</v>
      </c>
      <c r="AF476" s="101">
        <v>633440</v>
      </c>
      <c r="AG476" s="101">
        <v>99.96</v>
      </c>
      <c r="AH476" s="71">
        <f t="shared" si="120"/>
        <v>0.63344</v>
      </c>
      <c r="AJ476" s="215">
        <v>45362</v>
      </c>
      <c r="AK476" s="48">
        <v>0</v>
      </c>
      <c r="AL476" s="48">
        <v>10</v>
      </c>
      <c r="AM476" s="48">
        <v>10</v>
      </c>
      <c r="AN476" s="48">
        <v>0</v>
      </c>
      <c r="AQ476" s="215">
        <v>45362</v>
      </c>
      <c r="AR476" s="48">
        <v>100</v>
      </c>
      <c r="AS476" s="48">
        <v>0</v>
      </c>
      <c r="AT476" s="48">
        <v>100</v>
      </c>
      <c r="AU476" s="48">
        <v>100</v>
      </c>
      <c r="AX476" s="215">
        <v>45362</v>
      </c>
      <c r="AY476" s="48">
        <v>12</v>
      </c>
      <c r="AZ476" s="48">
        <v>0</v>
      </c>
      <c r="BA476" s="48">
        <v>12</v>
      </c>
      <c r="BB476" s="48">
        <v>100</v>
      </c>
      <c r="BE476" s="215">
        <v>45362</v>
      </c>
      <c r="BF476" s="101">
        <v>10992</v>
      </c>
      <c r="BG476" s="101">
        <v>1302</v>
      </c>
      <c r="BH476" s="101">
        <v>12294</v>
      </c>
      <c r="BI476" s="101">
        <v>89.41</v>
      </c>
      <c r="BL476" s="215">
        <v>45362</v>
      </c>
      <c r="BM476" s="101">
        <v>4622</v>
      </c>
      <c r="BN476" s="101">
        <v>0</v>
      </c>
      <c r="BO476" s="101">
        <v>4622</v>
      </c>
      <c r="BP476" s="101">
        <v>100</v>
      </c>
      <c r="BS476" s="215">
        <v>45362</v>
      </c>
      <c r="BT476" s="104">
        <v>59936</v>
      </c>
      <c r="BU476" s="104">
        <v>0</v>
      </c>
      <c r="BV476" s="104">
        <v>59936</v>
      </c>
      <c r="BW476" s="104">
        <v>100</v>
      </c>
      <c r="BZ476" s="215">
        <v>45362</v>
      </c>
      <c r="CA476" s="48">
        <v>40209150</v>
      </c>
      <c r="CB476" s="48">
        <v>2379137</v>
      </c>
      <c r="CC476" s="71">
        <f t="shared" si="119"/>
        <v>16.900729129932408</v>
      </c>
      <c r="CE476" s="258">
        <v>45362</v>
      </c>
      <c r="CF476" s="48">
        <v>13281092</v>
      </c>
      <c r="CG476" s="48">
        <v>26968</v>
      </c>
      <c r="CH476" s="48">
        <v>13308060</v>
      </c>
      <c r="CI476" s="71">
        <f>CF476/CH476*100</f>
        <v>99.797355888085875</v>
      </c>
      <c r="CJ476" s="71">
        <f t="shared" si="117"/>
        <v>13.308059999999999</v>
      </c>
      <c r="CL476" s="222">
        <v>45355</v>
      </c>
      <c r="CM476" t="s">
        <v>238</v>
      </c>
      <c r="CN476" s="101">
        <v>838</v>
      </c>
      <c r="CO476" s="101">
        <v>503</v>
      </c>
    </row>
    <row r="477" spans="1:93" hidden="1" x14ac:dyDescent="0.25">
      <c r="A477" s="215">
        <v>45363</v>
      </c>
      <c r="B477" s="104">
        <v>6088860</v>
      </c>
      <c r="C477" s="104">
        <v>15912</v>
      </c>
      <c r="D477" s="104">
        <v>6104772</v>
      </c>
      <c r="E477" s="104">
        <v>99.74</v>
      </c>
      <c r="F477" s="71">
        <f t="shared" si="122"/>
        <v>6.1047719999999996</v>
      </c>
      <c r="H477" s="215">
        <v>45363</v>
      </c>
      <c r="I477" s="101">
        <v>1599058</v>
      </c>
      <c r="J477" s="101">
        <v>368</v>
      </c>
      <c r="K477" s="101">
        <v>1599426</v>
      </c>
      <c r="L477" s="101">
        <v>99.98</v>
      </c>
      <c r="M477" s="71">
        <f t="shared" si="121"/>
        <v>1.599426</v>
      </c>
      <c r="O477" s="215">
        <v>45363</v>
      </c>
      <c r="P477" s="101">
        <v>692804</v>
      </c>
      <c r="Q477" s="101">
        <v>118</v>
      </c>
      <c r="R477" s="101">
        <v>692922</v>
      </c>
      <c r="S477" s="101">
        <v>99.98</v>
      </c>
      <c r="T477" s="71">
        <f t="shared" si="116"/>
        <v>0.69292200000000004</v>
      </c>
      <c r="V477" s="215">
        <v>45363</v>
      </c>
      <c r="W477" s="101">
        <v>928918</v>
      </c>
      <c r="X477" s="101">
        <v>156</v>
      </c>
      <c r="Y477" s="101">
        <v>929074</v>
      </c>
      <c r="Z477" s="101">
        <v>99.98</v>
      </c>
      <c r="AA477" s="71">
        <f t="shared" si="118"/>
        <v>0.92907399999999996</v>
      </c>
      <c r="AC477" s="215">
        <v>45363</v>
      </c>
      <c r="AD477" s="101">
        <v>671124</v>
      </c>
      <c r="AE477" s="101">
        <v>412</v>
      </c>
      <c r="AF477" s="101">
        <v>671536</v>
      </c>
      <c r="AG477" s="101">
        <v>99.94</v>
      </c>
      <c r="AH477" s="71">
        <f t="shared" si="120"/>
        <v>0.67153600000000002</v>
      </c>
      <c r="AJ477" s="215">
        <v>45363</v>
      </c>
      <c r="AK477" s="48">
        <v>0</v>
      </c>
      <c r="AL477" s="48">
        <v>86</v>
      </c>
      <c r="AM477" s="48">
        <v>86</v>
      </c>
      <c r="AN477" s="48">
        <v>0</v>
      </c>
      <c r="AQ477" s="215">
        <v>45363</v>
      </c>
      <c r="AR477" s="48">
        <v>142</v>
      </c>
      <c r="AS477" s="48">
        <v>0</v>
      </c>
      <c r="AT477" s="48">
        <v>142</v>
      </c>
      <c r="AU477" s="48">
        <v>100</v>
      </c>
      <c r="AX477" s="215">
        <v>45363</v>
      </c>
      <c r="AY477" s="48">
        <v>12</v>
      </c>
      <c r="AZ477" s="48">
        <v>0</v>
      </c>
      <c r="BA477" s="48">
        <v>12</v>
      </c>
      <c r="BB477" s="48">
        <v>100</v>
      </c>
      <c r="BE477" s="215">
        <v>45363</v>
      </c>
      <c r="BF477" s="101">
        <v>12276</v>
      </c>
      <c r="BG477" s="101">
        <v>140</v>
      </c>
      <c r="BH477" s="101">
        <v>12416</v>
      </c>
      <c r="BI477" s="101">
        <v>98.87</v>
      </c>
      <c r="BL477" s="215">
        <v>45363</v>
      </c>
      <c r="BM477" s="101">
        <v>6904</v>
      </c>
      <c r="BN477" s="101">
        <v>0</v>
      </c>
      <c r="BO477" s="101">
        <v>6904</v>
      </c>
      <c r="BP477" s="101">
        <v>100</v>
      </c>
      <c r="BS477" s="215">
        <v>45363</v>
      </c>
      <c r="BT477" s="104">
        <v>72470</v>
      </c>
      <c r="BU477" s="104">
        <v>0</v>
      </c>
      <c r="BV477" s="104">
        <v>72470</v>
      </c>
      <c r="BW477" s="104">
        <v>100</v>
      </c>
      <c r="BZ477" s="215">
        <v>45363</v>
      </c>
      <c r="CA477" s="48">
        <v>35996958</v>
      </c>
      <c r="CB477" s="48">
        <v>2287861</v>
      </c>
      <c r="CC477" s="71">
        <f t="shared" si="119"/>
        <v>15.733892050260046</v>
      </c>
      <c r="CE477" s="258">
        <v>45363</v>
      </c>
      <c r="CF477" s="48">
        <v>12034256</v>
      </c>
      <c r="CG477" s="48">
        <v>22140</v>
      </c>
      <c r="CH477" s="48">
        <v>12056396</v>
      </c>
      <c r="CI477" s="71">
        <f>CF477/CH477*100</f>
        <v>99.816363032534767</v>
      </c>
      <c r="CJ477" s="71">
        <f t="shared" si="117"/>
        <v>12.056395999999999</v>
      </c>
    </row>
    <row r="478" spans="1:93" hidden="1" x14ac:dyDescent="0.25">
      <c r="A478" s="215">
        <v>45364</v>
      </c>
      <c r="B478" s="104">
        <v>5961100</v>
      </c>
      <c r="C478" s="104">
        <v>4552</v>
      </c>
      <c r="D478" s="104">
        <v>5965652</v>
      </c>
      <c r="E478" s="104">
        <v>99.92</v>
      </c>
      <c r="F478" s="71">
        <f t="shared" si="122"/>
        <v>5.9656520000000004</v>
      </c>
      <c r="H478" s="215">
        <v>45364</v>
      </c>
      <c r="I478" s="101">
        <v>1424082</v>
      </c>
      <c r="J478" s="101">
        <v>334</v>
      </c>
      <c r="K478" s="101">
        <v>1424416</v>
      </c>
      <c r="L478" s="101">
        <v>99.98</v>
      </c>
      <c r="M478" s="71">
        <f t="shared" si="121"/>
        <v>1.4244159999999999</v>
      </c>
      <c r="O478" s="215">
        <v>45364</v>
      </c>
      <c r="P478" s="101">
        <v>653640</v>
      </c>
      <c r="Q478" s="101">
        <v>88</v>
      </c>
      <c r="R478" s="101">
        <v>653728</v>
      </c>
      <c r="S478" s="101">
        <v>99.99</v>
      </c>
      <c r="T478" s="71">
        <f t="shared" si="116"/>
        <v>0.65372799999999998</v>
      </c>
      <c r="V478" s="215">
        <v>45364</v>
      </c>
      <c r="W478" s="101">
        <v>887150</v>
      </c>
      <c r="X478" s="101">
        <v>164</v>
      </c>
      <c r="Y478" s="101">
        <v>887314</v>
      </c>
      <c r="Z478" s="101">
        <v>99.98</v>
      </c>
      <c r="AA478" s="71">
        <f t="shared" si="118"/>
        <v>0.88731400000000005</v>
      </c>
      <c r="AC478" s="215">
        <v>45364</v>
      </c>
      <c r="AD478" s="101">
        <v>702436</v>
      </c>
      <c r="AE478" s="101">
        <v>32542</v>
      </c>
      <c r="AF478" s="101">
        <v>734978</v>
      </c>
      <c r="AG478" s="101">
        <v>95.57</v>
      </c>
      <c r="AH478" s="71">
        <f t="shared" si="120"/>
        <v>0.73497800000000002</v>
      </c>
      <c r="AJ478" s="215">
        <v>45364</v>
      </c>
      <c r="AK478" s="48">
        <v>0</v>
      </c>
      <c r="AL478" s="48">
        <v>12</v>
      </c>
      <c r="AM478" s="48">
        <v>12</v>
      </c>
      <c r="AN478" s="48">
        <v>0</v>
      </c>
      <c r="AQ478" s="215">
        <v>45364</v>
      </c>
      <c r="AR478" s="48">
        <v>130</v>
      </c>
      <c r="AS478" s="48">
        <v>2</v>
      </c>
      <c r="AT478" s="48">
        <v>132</v>
      </c>
      <c r="AU478" s="48">
        <v>98.48</v>
      </c>
      <c r="AX478" s="215">
        <v>45364</v>
      </c>
      <c r="AY478" s="48">
        <v>24</v>
      </c>
      <c r="AZ478" s="48">
        <v>0</v>
      </c>
      <c r="BA478" s="48">
        <v>24</v>
      </c>
      <c r="BB478" s="48">
        <v>100</v>
      </c>
      <c r="BE478" s="215">
        <v>45364</v>
      </c>
      <c r="BF478" s="101">
        <v>35346</v>
      </c>
      <c r="BG478" s="101">
        <v>428</v>
      </c>
      <c r="BH478" s="101">
        <v>35774</v>
      </c>
      <c r="BI478" s="101">
        <v>98.8</v>
      </c>
      <c r="BL478" s="215">
        <v>45364</v>
      </c>
      <c r="BM478" s="101">
        <v>8242</v>
      </c>
      <c r="BN478" s="101">
        <v>0</v>
      </c>
      <c r="BO478" s="101">
        <v>8242</v>
      </c>
      <c r="BP478" s="101">
        <v>100</v>
      </c>
      <c r="BS478" s="215">
        <v>45364</v>
      </c>
      <c r="BT478" s="104">
        <v>22766</v>
      </c>
      <c r="BU478" s="104">
        <v>344</v>
      </c>
      <c r="BV478" s="104">
        <v>23110</v>
      </c>
      <c r="BW478" s="104">
        <v>98.51</v>
      </c>
      <c r="BZ478" s="215">
        <v>45364</v>
      </c>
      <c r="CA478" s="48">
        <v>34743089</v>
      </c>
      <c r="CB478" s="48">
        <v>2215579</v>
      </c>
      <c r="CC478" s="71">
        <f t="shared" si="119"/>
        <v>15.681268417871808</v>
      </c>
      <c r="CE478" s="258">
        <v>45364</v>
      </c>
      <c r="CF478" s="48">
        <v>11544386</v>
      </c>
      <c r="CG478" s="48">
        <v>43634</v>
      </c>
      <c r="CH478" s="48">
        <v>11588020</v>
      </c>
      <c r="CI478" s="71">
        <f>CF478/CH478*100</f>
        <v>99.623455948470919</v>
      </c>
      <c r="CJ478" s="71">
        <f t="shared" si="117"/>
        <v>11.58802</v>
      </c>
      <c r="CL478" s="222">
        <v>45356</v>
      </c>
      <c r="CM478" t="s">
        <v>237</v>
      </c>
      <c r="CN478" s="101">
        <v>5139</v>
      </c>
      <c r="CO478" s="101">
        <v>527</v>
      </c>
    </row>
    <row r="479" spans="1:93" hidden="1" x14ac:dyDescent="0.25">
      <c r="A479" s="215">
        <v>45365</v>
      </c>
      <c r="B479" s="48">
        <v>6249998</v>
      </c>
      <c r="C479" s="48">
        <v>17440</v>
      </c>
      <c r="D479" s="48">
        <v>6267438</v>
      </c>
      <c r="E479" s="48">
        <v>99.72</v>
      </c>
      <c r="F479" s="71">
        <f t="shared" si="122"/>
        <v>6.2674380000000003</v>
      </c>
      <c r="H479" s="215">
        <v>45365</v>
      </c>
      <c r="I479">
        <v>1610080</v>
      </c>
      <c r="J479">
        <v>318</v>
      </c>
      <c r="K479">
        <v>1610398</v>
      </c>
      <c r="L479">
        <v>99.98</v>
      </c>
      <c r="M479" s="71">
        <f t="shared" si="121"/>
        <v>1.610398</v>
      </c>
      <c r="O479" s="215">
        <v>45365</v>
      </c>
      <c r="P479">
        <v>660082</v>
      </c>
      <c r="Q479">
        <v>22</v>
      </c>
      <c r="R479">
        <v>660104</v>
      </c>
      <c r="S479">
        <v>100</v>
      </c>
      <c r="T479" s="71">
        <f t="shared" si="116"/>
        <v>0.66010400000000002</v>
      </c>
      <c r="V479" s="215">
        <v>45365</v>
      </c>
      <c r="W479">
        <v>878218</v>
      </c>
      <c r="X479">
        <v>158</v>
      </c>
      <c r="Y479">
        <v>878376</v>
      </c>
      <c r="Z479">
        <v>99.98</v>
      </c>
      <c r="AA479" s="71">
        <f t="shared" si="118"/>
        <v>0.87837600000000005</v>
      </c>
      <c r="AC479" s="215">
        <v>45365</v>
      </c>
      <c r="AD479">
        <v>90322</v>
      </c>
      <c r="AE479">
        <v>106644</v>
      </c>
      <c r="AF479">
        <v>196966</v>
      </c>
      <c r="AG479">
        <v>45.86</v>
      </c>
      <c r="AH479" s="71">
        <f t="shared" si="120"/>
        <v>0.196966</v>
      </c>
      <c r="AJ479" s="215">
        <v>45365</v>
      </c>
      <c r="AK479" s="48">
        <v>0</v>
      </c>
      <c r="AL479" s="48">
        <v>14</v>
      </c>
      <c r="AM479" s="48">
        <v>14</v>
      </c>
      <c r="AN479" s="48">
        <v>0</v>
      </c>
      <c r="AQ479" s="215">
        <v>45365</v>
      </c>
      <c r="AR479" s="48">
        <v>14</v>
      </c>
      <c r="AS479" s="48">
        <v>22</v>
      </c>
      <c r="AT479" s="48">
        <v>36</v>
      </c>
      <c r="AU479" s="48">
        <v>38.89</v>
      </c>
      <c r="AX479" s="215">
        <v>45365</v>
      </c>
      <c r="AY479" s="48">
        <v>6</v>
      </c>
      <c r="AZ479" s="48">
        <v>0</v>
      </c>
      <c r="BA479" s="48">
        <v>6</v>
      </c>
      <c r="BB479" s="48">
        <v>100</v>
      </c>
      <c r="BE479" s="215">
        <v>45365</v>
      </c>
      <c r="BF479">
        <v>16306</v>
      </c>
      <c r="BG479">
        <v>150</v>
      </c>
      <c r="BH479">
        <v>16456</v>
      </c>
      <c r="BI479">
        <v>99.09</v>
      </c>
      <c r="BL479" s="215">
        <v>45365</v>
      </c>
      <c r="BM479">
        <v>7824</v>
      </c>
      <c r="BN479" s="101">
        <v>0</v>
      </c>
      <c r="BO479">
        <v>7824</v>
      </c>
      <c r="BP479" s="101">
        <v>100</v>
      </c>
      <c r="BS479" s="215">
        <v>45365</v>
      </c>
      <c r="BT479" s="48">
        <v>2468</v>
      </c>
      <c r="BU479" s="48">
        <v>2876</v>
      </c>
      <c r="BV479" s="48">
        <v>5344</v>
      </c>
      <c r="BW479" s="48">
        <v>46.18</v>
      </c>
      <c r="BZ479" s="215">
        <v>45365</v>
      </c>
      <c r="CA479" s="1">
        <v>34709387</v>
      </c>
      <c r="CB479" s="1">
        <v>2270806</v>
      </c>
      <c r="CC479" s="71">
        <f t="shared" si="119"/>
        <v>15.285051651263913</v>
      </c>
      <c r="CE479" s="258">
        <v>45365</v>
      </c>
      <c r="CF479" s="48">
        <v>11410518</v>
      </c>
      <c r="CG479" s="48">
        <v>149076</v>
      </c>
      <c r="CH479" s="48">
        <v>11559594</v>
      </c>
      <c r="CI479" s="71">
        <f t="shared" ref="CI479:CI488" si="123">CF479/CH479*100</f>
        <v>98.710369931677533</v>
      </c>
      <c r="CJ479" s="71">
        <f t="shared" si="117"/>
        <v>11.559594000000001</v>
      </c>
      <c r="CL479" s="222">
        <v>45356</v>
      </c>
      <c r="CM479" t="s">
        <v>240</v>
      </c>
      <c r="CN479" s="101">
        <v>4301</v>
      </c>
      <c r="CO479" s="101">
        <v>516</v>
      </c>
    </row>
    <row r="480" spans="1:93" hidden="1" x14ac:dyDescent="0.25">
      <c r="A480" s="215">
        <v>45366</v>
      </c>
      <c r="B480" s="48">
        <v>5984346</v>
      </c>
      <c r="C480" s="48">
        <v>14686</v>
      </c>
      <c r="D480" s="48">
        <v>5999032</v>
      </c>
      <c r="E480" s="48">
        <v>99.76</v>
      </c>
      <c r="F480" s="71">
        <f t="shared" si="122"/>
        <v>5.9990319999999997</v>
      </c>
      <c r="H480" s="215">
        <v>45366</v>
      </c>
      <c r="I480">
        <v>1347332</v>
      </c>
      <c r="J480">
        <v>274</v>
      </c>
      <c r="K480">
        <v>1347606</v>
      </c>
      <c r="L480">
        <v>99.98</v>
      </c>
      <c r="M480" s="71">
        <f t="shared" si="121"/>
        <v>1.3476060000000001</v>
      </c>
      <c r="O480" s="215">
        <v>45366</v>
      </c>
      <c r="P480">
        <v>560660</v>
      </c>
      <c r="Q480">
        <v>0</v>
      </c>
      <c r="R480">
        <v>560660</v>
      </c>
      <c r="S480">
        <v>100</v>
      </c>
      <c r="T480" s="71">
        <f t="shared" si="116"/>
        <v>0.56066000000000005</v>
      </c>
      <c r="V480" s="215">
        <v>45366</v>
      </c>
      <c r="W480">
        <v>849018</v>
      </c>
      <c r="X480">
        <v>124</v>
      </c>
      <c r="Y480">
        <v>849142</v>
      </c>
      <c r="Z480">
        <v>99.99</v>
      </c>
      <c r="AA480" s="71">
        <f t="shared" si="118"/>
        <v>0.84914199999999995</v>
      </c>
      <c r="AC480" s="215">
        <v>45366</v>
      </c>
      <c r="AD480">
        <v>837942</v>
      </c>
      <c r="AE480">
        <v>22950</v>
      </c>
      <c r="AF480">
        <v>860892</v>
      </c>
      <c r="AG480">
        <v>97.33</v>
      </c>
      <c r="AH480" s="71">
        <f t="shared" si="120"/>
        <v>0.86089199999999999</v>
      </c>
      <c r="AJ480" s="215">
        <v>45366</v>
      </c>
      <c r="AK480" s="48">
        <v>0</v>
      </c>
      <c r="AL480" s="48">
        <v>38</v>
      </c>
      <c r="AM480" s="48">
        <v>38</v>
      </c>
      <c r="AN480" s="48">
        <v>0</v>
      </c>
      <c r="AQ480" s="215">
        <v>45366</v>
      </c>
      <c r="AR480" s="48">
        <v>50</v>
      </c>
      <c r="AS480" s="48">
        <v>20</v>
      </c>
      <c r="AT480" s="48">
        <v>70</v>
      </c>
      <c r="AU480" s="48">
        <v>71.430000000000007</v>
      </c>
      <c r="AX480" s="215">
        <v>45366</v>
      </c>
      <c r="AY480" s="48">
        <v>12</v>
      </c>
      <c r="AZ480" s="48">
        <v>0</v>
      </c>
      <c r="BA480" s="48">
        <v>12</v>
      </c>
      <c r="BB480" s="48">
        <v>100</v>
      </c>
      <c r="BE480" s="215">
        <v>45366</v>
      </c>
      <c r="BF480">
        <v>11534</v>
      </c>
      <c r="BG480">
        <v>392</v>
      </c>
      <c r="BH480">
        <v>11926</v>
      </c>
      <c r="BI480">
        <v>96.71</v>
      </c>
      <c r="BL480" s="215">
        <v>45366</v>
      </c>
      <c r="BM480">
        <v>4814</v>
      </c>
      <c r="BN480" s="101">
        <v>0</v>
      </c>
      <c r="BO480">
        <v>4814</v>
      </c>
      <c r="BP480" s="101">
        <v>100</v>
      </c>
      <c r="BS480" s="215">
        <v>45366</v>
      </c>
      <c r="BT480" s="48">
        <v>14762</v>
      </c>
      <c r="BU480" s="48">
        <v>748</v>
      </c>
      <c r="BV480" s="48">
        <v>15510</v>
      </c>
      <c r="BW480" s="48">
        <v>95.18</v>
      </c>
      <c r="BZ480" s="215">
        <v>45366</v>
      </c>
      <c r="CA480" s="1">
        <v>34134010</v>
      </c>
      <c r="CB480" s="1">
        <v>2120856</v>
      </c>
      <c r="CC480" s="71">
        <f t="shared" si="119"/>
        <v>16.094449599595634</v>
      </c>
      <c r="CE480" s="258">
        <v>45366</v>
      </c>
      <c r="CF480" s="48">
        <v>11389536</v>
      </c>
      <c r="CG480" s="48">
        <v>48424</v>
      </c>
      <c r="CH480" s="48">
        <v>11437960</v>
      </c>
      <c r="CI480" s="71">
        <f t="shared" si="123"/>
        <v>99.57663779205383</v>
      </c>
      <c r="CJ480" s="71">
        <f t="shared" si="117"/>
        <v>11.43796</v>
      </c>
      <c r="CL480" s="222">
        <v>45356</v>
      </c>
      <c r="CM480" s="252" t="s">
        <v>239</v>
      </c>
      <c r="CN480" s="101">
        <v>1209</v>
      </c>
      <c r="CO480" s="101">
        <v>504</v>
      </c>
    </row>
    <row r="481" spans="1:93" hidden="1" x14ac:dyDescent="0.25">
      <c r="A481" s="215">
        <v>45367</v>
      </c>
      <c r="B481" s="48">
        <v>5825566</v>
      </c>
      <c r="C481" s="48">
        <v>2292</v>
      </c>
      <c r="D481" s="48">
        <v>5827858</v>
      </c>
      <c r="E481" s="48">
        <v>99.96</v>
      </c>
      <c r="F481" s="71">
        <f t="shared" si="122"/>
        <v>5.827858</v>
      </c>
      <c r="H481" s="215">
        <v>45367</v>
      </c>
      <c r="I481">
        <v>1428624</v>
      </c>
      <c r="J481">
        <v>314</v>
      </c>
      <c r="K481">
        <v>1428938</v>
      </c>
      <c r="L481">
        <v>99.98</v>
      </c>
      <c r="M481" s="71">
        <f t="shared" si="121"/>
        <v>1.428938</v>
      </c>
      <c r="O481" s="215">
        <v>45367</v>
      </c>
      <c r="P481">
        <v>628072</v>
      </c>
      <c r="Q481">
        <v>0</v>
      </c>
      <c r="R481">
        <v>628072</v>
      </c>
      <c r="S481">
        <v>100</v>
      </c>
      <c r="T481" s="71">
        <f t="shared" si="116"/>
        <v>0.62807199999999996</v>
      </c>
      <c r="V481" s="215">
        <v>45367</v>
      </c>
      <c r="W481">
        <v>830684</v>
      </c>
      <c r="X481">
        <v>166</v>
      </c>
      <c r="Y481">
        <v>830850</v>
      </c>
      <c r="Z481">
        <v>99.98</v>
      </c>
      <c r="AA481" s="71">
        <f t="shared" si="118"/>
        <v>0.83084999999999998</v>
      </c>
      <c r="AC481" s="215">
        <v>45367</v>
      </c>
      <c r="AD481">
        <v>778526</v>
      </c>
      <c r="AE481">
        <v>298</v>
      </c>
      <c r="AF481">
        <v>778824</v>
      </c>
      <c r="AG481">
        <v>99.96</v>
      </c>
      <c r="AH481" s="71">
        <f t="shared" si="120"/>
        <v>0.77882399999999996</v>
      </c>
      <c r="AJ481" s="215">
        <v>45367</v>
      </c>
      <c r="AK481" s="48">
        <v>0</v>
      </c>
      <c r="AL481" s="48">
        <v>74</v>
      </c>
      <c r="AM481" s="48">
        <v>74</v>
      </c>
      <c r="AN481" s="48">
        <v>0</v>
      </c>
      <c r="AQ481" s="215">
        <v>45367</v>
      </c>
      <c r="AR481" s="48">
        <v>74</v>
      </c>
      <c r="AS481" s="48">
        <v>14</v>
      </c>
      <c r="AT481" s="48">
        <v>88</v>
      </c>
      <c r="AU481" s="48">
        <v>84.09</v>
      </c>
      <c r="AX481" s="215">
        <v>45367</v>
      </c>
      <c r="AY481" s="48">
        <v>12</v>
      </c>
      <c r="AZ481" s="48">
        <v>0</v>
      </c>
      <c r="BA481" s="48">
        <v>12</v>
      </c>
      <c r="BB481" s="48">
        <v>100</v>
      </c>
      <c r="BE481" s="215">
        <v>45367</v>
      </c>
      <c r="BF481">
        <v>9776</v>
      </c>
      <c r="BG481">
        <v>94</v>
      </c>
      <c r="BH481">
        <v>9870</v>
      </c>
      <c r="BI481">
        <v>99.05</v>
      </c>
      <c r="BL481" s="215">
        <v>45367</v>
      </c>
      <c r="BM481">
        <v>8112</v>
      </c>
      <c r="BN481" s="101">
        <v>0</v>
      </c>
      <c r="BO481">
        <v>8112</v>
      </c>
      <c r="BP481" s="101">
        <v>100</v>
      </c>
      <c r="BS481" s="215">
        <v>45367</v>
      </c>
      <c r="BT481" s="48">
        <v>32740</v>
      </c>
      <c r="BU481" s="48">
        <v>0</v>
      </c>
      <c r="BV481" s="48">
        <v>32740</v>
      </c>
      <c r="BW481" s="48">
        <v>100</v>
      </c>
      <c r="BZ481" s="215">
        <v>45367</v>
      </c>
      <c r="CA481" s="1">
        <v>33903403</v>
      </c>
      <c r="CB481" s="1">
        <v>2121691</v>
      </c>
      <c r="CC481" s="71">
        <f t="shared" si="119"/>
        <v>15.979425373440336</v>
      </c>
      <c r="CE481" s="258">
        <v>45367</v>
      </c>
      <c r="CF481" s="48">
        <v>11310390</v>
      </c>
      <c r="CG481" s="48">
        <v>6908</v>
      </c>
      <c r="CH481" s="48">
        <v>11317298</v>
      </c>
      <c r="CI481" s="71">
        <f t="shared" si="123"/>
        <v>99.938960695388602</v>
      </c>
      <c r="CJ481" s="71">
        <f t="shared" si="117"/>
        <v>11.317297999999999</v>
      </c>
      <c r="CL481" s="222">
        <v>45356</v>
      </c>
      <c r="CM481" t="s">
        <v>243</v>
      </c>
      <c r="CN481" s="101">
        <v>906</v>
      </c>
      <c r="CO481" s="101">
        <v>540</v>
      </c>
    </row>
    <row r="482" spans="1:93" hidden="1" x14ac:dyDescent="0.25">
      <c r="A482" s="215">
        <v>45368</v>
      </c>
      <c r="B482" s="48">
        <v>5349442</v>
      </c>
      <c r="C482" s="48">
        <v>2436</v>
      </c>
      <c r="D482" s="48">
        <v>5351878</v>
      </c>
      <c r="E482" s="48">
        <v>99.95</v>
      </c>
      <c r="F482" s="71">
        <f t="shared" si="122"/>
        <v>5.3518780000000001</v>
      </c>
      <c r="H482" s="215">
        <v>45368</v>
      </c>
      <c r="I482">
        <v>1410236</v>
      </c>
      <c r="J482">
        <v>316</v>
      </c>
      <c r="K482">
        <v>1410552</v>
      </c>
      <c r="L482">
        <v>99.98</v>
      </c>
      <c r="M482" s="71">
        <f t="shared" si="121"/>
        <v>1.410552</v>
      </c>
      <c r="O482" s="215">
        <v>45368</v>
      </c>
      <c r="P482">
        <v>719780</v>
      </c>
      <c r="Q482">
        <v>0</v>
      </c>
      <c r="R482">
        <v>719780</v>
      </c>
      <c r="S482">
        <v>100</v>
      </c>
      <c r="T482" s="71">
        <f t="shared" ref="T482:T550" si="124">R482/1000000</f>
        <v>0.71977999999999998</v>
      </c>
      <c r="V482" s="215">
        <v>45368</v>
      </c>
      <c r="W482">
        <v>802688</v>
      </c>
      <c r="X482">
        <v>118</v>
      </c>
      <c r="Y482">
        <v>802806</v>
      </c>
      <c r="Z482">
        <v>99.99</v>
      </c>
      <c r="AA482" s="71">
        <f t="shared" si="118"/>
        <v>0.80280600000000002</v>
      </c>
      <c r="AC482" s="215">
        <v>45368</v>
      </c>
      <c r="AD482">
        <v>775298</v>
      </c>
      <c r="AE482">
        <v>70</v>
      </c>
      <c r="AF482">
        <v>775368</v>
      </c>
      <c r="AG482">
        <v>99.99</v>
      </c>
      <c r="AH482" s="71">
        <f t="shared" si="120"/>
        <v>0.77536799999999995</v>
      </c>
      <c r="AJ482" s="215">
        <v>45368</v>
      </c>
      <c r="AK482" s="48">
        <v>0</v>
      </c>
      <c r="AL482" s="48">
        <v>18</v>
      </c>
      <c r="AM482" s="48">
        <v>18</v>
      </c>
      <c r="AN482" s="48">
        <v>0</v>
      </c>
      <c r="AQ482" s="215">
        <v>45368</v>
      </c>
      <c r="AR482" s="48">
        <v>86</v>
      </c>
      <c r="AS482" s="48">
        <v>0</v>
      </c>
      <c r="AT482" s="48">
        <v>86</v>
      </c>
      <c r="AU482" s="48">
        <v>100</v>
      </c>
      <c r="AX482" s="215">
        <v>45368</v>
      </c>
      <c r="AY482" s="48">
        <v>12</v>
      </c>
      <c r="AZ482" s="48">
        <v>0</v>
      </c>
      <c r="BA482" s="48">
        <v>12</v>
      </c>
      <c r="BB482" s="48">
        <v>100</v>
      </c>
      <c r="BE482" s="215">
        <v>45368</v>
      </c>
      <c r="BF482">
        <v>9226</v>
      </c>
      <c r="BG482">
        <v>532</v>
      </c>
      <c r="BH482">
        <v>9758</v>
      </c>
      <c r="BI482">
        <v>94.55</v>
      </c>
      <c r="BL482" s="215">
        <v>45368</v>
      </c>
      <c r="BM482">
        <v>5534</v>
      </c>
      <c r="BN482" s="101">
        <v>0</v>
      </c>
      <c r="BO482">
        <v>5534</v>
      </c>
      <c r="BP482" s="101">
        <v>100</v>
      </c>
      <c r="BS482" s="215">
        <v>45368</v>
      </c>
      <c r="BT482" s="48">
        <v>29470</v>
      </c>
      <c r="BU482" s="48">
        <v>66</v>
      </c>
      <c r="BV482" s="48">
        <v>29536</v>
      </c>
      <c r="BW482" s="48">
        <v>99.78</v>
      </c>
      <c r="BZ482" s="215">
        <v>45368</v>
      </c>
      <c r="CA482" s="1">
        <v>29599224</v>
      </c>
      <c r="CB482" s="1">
        <v>1913878</v>
      </c>
      <c r="CC482" s="71">
        <f t="shared" si="119"/>
        <v>15.465575130703211</v>
      </c>
      <c r="CE482" s="258">
        <v>45368</v>
      </c>
      <c r="CF482" s="48">
        <v>10866880</v>
      </c>
      <c r="CG482" s="48">
        <v>6988</v>
      </c>
      <c r="CH482" s="48">
        <v>10873868</v>
      </c>
      <c r="CI482" s="71">
        <f t="shared" si="123"/>
        <v>99.935735839353583</v>
      </c>
      <c r="CJ482" s="71">
        <f t="shared" si="117"/>
        <v>10.873868</v>
      </c>
      <c r="CL482" s="222">
        <v>45356</v>
      </c>
      <c r="CM482" t="s">
        <v>238</v>
      </c>
      <c r="CN482" s="101">
        <v>870</v>
      </c>
      <c r="CO482" s="101">
        <v>503</v>
      </c>
    </row>
    <row r="483" spans="1:93" hidden="1" x14ac:dyDescent="0.25">
      <c r="A483" s="215">
        <v>45369</v>
      </c>
      <c r="B483" s="104">
        <v>6254182</v>
      </c>
      <c r="C483" s="104">
        <v>2766</v>
      </c>
      <c r="D483" s="104">
        <v>6256948</v>
      </c>
      <c r="E483" s="104">
        <v>99.96</v>
      </c>
      <c r="F483" s="71">
        <f t="shared" si="122"/>
        <v>6.2569480000000004</v>
      </c>
      <c r="H483" s="215">
        <v>45369</v>
      </c>
      <c r="I483" s="101">
        <v>1554218</v>
      </c>
      <c r="J483" s="101">
        <v>310</v>
      </c>
      <c r="K483" s="101">
        <v>1554528</v>
      </c>
      <c r="L483" s="101">
        <v>99.98</v>
      </c>
      <c r="M483" s="71">
        <f t="shared" si="121"/>
        <v>1.5545279999999999</v>
      </c>
      <c r="O483" s="215">
        <v>45369</v>
      </c>
      <c r="P483" s="101">
        <v>787164</v>
      </c>
      <c r="Q483" s="101">
        <v>4</v>
      </c>
      <c r="R483" s="101">
        <v>787168</v>
      </c>
      <c r="S483" s="101">
        <v>100</v>
      </c>
      <c r="T483" s="71">
        <f t="shared" si="124"/>
        <v>0.78716799999999998</v>
      </c>
      <c r="V483" s="215">
        <v>45369</v>
      </c>
      <c r="W483" s="101">
        <v>883078</v>
      </c>
      <c r="X483" s="101">
        <v>168</v>
      </c>
      <c r="Y483" s="101">
        <v>883246</v>
      </c>
      <c r="Z483" s="101">
        <v>99.98</v>
      </c>
      <c r="AA483" s="71">
        <f t="shared" si="118"/>
        <v>0.88324599999999998</v>
      </c>
      <c r="AC483" s="215">
        <v>45369</v>
      </c>
      <c r="AD483" s="101">
        <v>749734</v>
      </c>
      <c r="AE483" s="101">
        <v>104</v>
      </c>
      <c r="AF483" s="101">
        <v>749838</v>
      </c>
      <c r="AG483" s="101">
        <v>99.99</v>
      </c>
      <c r="AH483" s="71">
        <f t="shared" si="120"/>
        <v>0.749838</v>
      </c>
      <c r="AJ483" s="215">
        <v>45369</v>
      </c>
      <c r="AK483" s="48">
        <v>0</v>
      </c>
      <c r="AL483" s="48">
        <v>12</v>
      </c>
      <c r="AM483" s="48">
        <v>12</v>
      </c>
      <c r="AN483" s="48">
        <v>0</v>
      </c>
      <c r="AQ483" s="215">
        <v>45369</v>
      </c>
      <c r="AR483" s="48">
        <v>140</v>
      </c>
      <c r="AS483" s="48">
        <v>2</v>
      </c>
      <c r="AT483" s="48">
        <v>142</v>
      </c>
      <c r="AU483" s="48">
        <v>98.59</v>
      </c>
      <c r="AX483" s="215">
        <v>45369</v>
      </c>
      <c r="AY483" s="48">
        <v>14</v>
      </c>
      <c r="AZ483" s="48">
        <v>0</v>
      </c>
      <c r="BA483" s="48">
        <v>14</v>
      </c>
      <c r="BB483" s="48">
        <v>100</v>
      </c>
      <c r="BE483" s="215">
        <v>45369</v>
      </c>
      <c r="BF483" s="101">
        <v>12888</v>
      </c>
      <c r="BG483" s="101">
        <v>150</v>
      </c>
      <c r="BH483" s="101">
        <v>13038</v>
      </c>
      <c r="BI483" s="101">
        <v>98.85</v>
      </c>
      <c r="BL483" s="215">
        <v>45369</v>
      </c>
      <c r="BM483" s="101">
        <v>6434</v>
      </c>
      <c r="BN483" s="101">
        <v>0</v>
      </c>
      <c r="BO483" s="101">
        <v>6434</v>
      </c>
      <c r="BP483" s="101">
        <v>100</v>
      </c>
      <c r="BS483" s="215">
        <v>45369</v>
      </c>
      <c r="BT483" s="104">
        <v>50414</v>
      </c>
      <c r="BU483" s="104">
        <v>0</v>
      </c>
      <c r="BV483" s="104">
        <v>50414</v>
      </c>
      <c r="BW483" s="104">
        <v>100</v>
      </c>
      <c r="BZ483" s="215">
        <v>45369</v>
      </c>
      <c r="CA483" s="1">
        <v>35332126</v>
      </c>
      <c r="CB483" s="1">
        <v>2210975</v>
      </c>
      <c r="CC483" s="71">
        <f t="shared" si="119"/>
        <v>15.980337181560172</v>
      </c>
      <c r="CE483" s="258">
        <v>45369</v>
      </c>
      <c r="CF483" s="48">
        <v>12228600</v>
      </c>
      <c r="CG483" s="48">
        <v>6988</v>
      </c>
      <c r="CH483" s="48">
        <v>12235588</v>
      </c>
      <c r="CI483" s="71">
        <f t="shared" si="123"/>
        <v>99.942887910249993</v>
      </c>
      <c r="CJ483" s="71">
        <f t="shared" si="117"/>
        <v>12.235588</v>
      </c>
    </row>
    <row r="484" spans="1:93" hidden="1" x14ac:dyDescent="0.25">
      <c r="A484" s="215">
        <v>45370</v>
      </c>
      <c r="B484" s="104">
        <v>6170964</v>
      </c>
      <c r="C484" s="104">
        <v>2556</v>
      </c>
      <c r="D484" s="104">
        <v>6173520</v>
      </c>
      <c r="E484" s="104">
        <v>99.96</v>
      </c>
      <c r="F484" s="71">
        <f t="shared" si="122"/>
        <v>6.1735199999999999</v>
      </c>
      <c r="H484" s="215">
        <v>45370</v>
      </c>
      <c r="I484" s="101">
        <v>1769004</v>
      </c>
      <c r="J484" s="101">
        <v>458</v>
      </c>
      <c r="K484" s="101">
        <v>1769462</v>
      </c>
      <c r="L484" s="101">
        <v>99.97</v>
      </c>
      <c r="M484" s="71">
        <f t="shared" si="121"/>
        <v>1.7694620000000001</v>
      </c>
      <c r="O484" s="215">
        <v>45370</v>
      </c>
      <c r="P484" s="101">
        <v>833076</v>
      </c>
      <c r="Q484" s="101">
        <v>2</v>
      </c>
      <c r="R484" s="101">
        <v>833078</v>
      </c>
      <c r="S484" s="101">
        <v>100</v>
      </c>
      <c r="T484" s="71">
        <f t="shared" si="124"/>
        <v>0.83307799999999999</v>
      </c>
      <c r="V484" s="215">
        <v>45370</v>
      </c>
      <c r="W484" s="101">
        <v>867084</v>
      </c>
      <c r="X484" s="101">
        <v>172</v>
      </c>
      <c r="Y484" s="101">
        <v>867256</v>
      </c>
      <c r="Z484" s="101">
        <v>99.98</v>
      </c>
      <c r="AA484" s="71">
        <f t="shared" si="118"/>
        <v>0.86725600000000003</v>
      </c>
      <c r="AC484" s="215">
        <v>45370</v>
      </c>
      <c r="AD484" s="101">
        <v>749830</v>
      </c>
      <c r="AE484" s="101">
        <v>418</v>
      </c>
      <c r="AF484" s="101">
        <v>750248</v>
      </c>
      <c r="AG484" s="101">
        <v>99.94</v>
      </c>
      <c r="AH484" s="71">
        <f t="shared" si="120"/>
        <v>0.75024800000000003</v>
      </c>
      <c r="AJ484" s="215">
        <v>45370</v>
      </c>
      <c r="AK484" s="48">
        <v>0</v>
      </c>
      <c r="AL484" s="48">
        <v>14</v>
      </c>
      <c r="AM484" s="48">
        <v>14</v>
      </c>
      <c r="AN484" s="48">
        <v>0</v>
      </c>
      <c r="AQ484" s="215">
        <v>45370</v>
      </c>
      <c r="AR484" s="48">
        <v>202</v>
      </c>
      <c r="AS484" s="48">
        <v>0</v>
      </c>
      <c r="AT484" s="48">
        <v>202</v>
      </c>
      <c r="AU484" s="48">
        <v>100</v>
      </c>
      <c r="AX484" s="215">
        <v>45370</v>
      </c>
      <c r="AY484" s="48">
        <v>12</v>
      </c>
      <c r="AZ484" s="48">
        <v>0</v>
      </c>
      <c r="BA484" s="48">
        <v>12</v>
      </c>
      <c r="BB484" s="48">
        <v>100</v>
      </c>
      <c r="BE484" s="215">
        <v>45370</v>
      </c>
      <c r="BF484" s="101">
        <v>25442</v>
      </c>
      <c r="BG484" s="101">
        <v>220</v>
      </c>
      <c r="BH484" s="101">
        <v>25662</v>
      </c>
      <c r="BI484" s="101">
        <v>99.14</v>
      </c>
      <c r="BL484" s="215">
        <v>45370</v>
      </c>
      <c r="BM484" s="101">
        <v>244164</v>
      </c>
      <c r="BN484" s="101">
        <v>0</v>
      </c>
      <c r="BO484" s="101">
        <v>244164</v>
      </c>
      <c r="BP484" s="101">
        <v>100</v>
      </c>
      <c r="BS484" s="215">
        <v>45370</v>
      </c>
      <c r="BT484" s="104">
        <v>54228</v>
      </c>
      <c r="BU484" s="104">
        <v>34</v>
      </c>
      <c r="BV484" s="104">
        <v>54262</v>
      </c>
      <c r="BW484" s="104">
        <v>99.94</v>
      </c>
      <c r="BZ484" s="215">
        <v>45370</v>
      </c>
      <c r="CA484" s="1">
        <v>36474618</v>
      </c>
      <c r="CB484" s="1">
        <v>2442250</v>
      </c>
      <c r="CC484" s="71">
        <f t="shared" si="119"/>
        <v>14.93484205138704</v>
      </c>
      <c r="CE484" s="258">
        <v>45370</v>
      </c>
      <c r="CF484" s="104">
        <v>12702462</v>
      </c>
      <c r="CG484" s="104">
        <v>7706</v>
      </c>
      <c r="CH484" s="104">
        <v>12710168</v>
      </c>
      <c r="CI484" s="71">
        <f t="shared" si="123"/>
        <v>99.939371375736343</v>
      </c>
      <c r="CJ484" s="71">
        <f t="shared" si="117"/>
        <v>12.710167999999999</v>
      </c>
      <c r="CL484" s="222">
        <v>45357</v>
      </c>
      <c r="CM484" t="s">
        <v>237</v>
      </c>
      <c r="CN484" s="101">
        <v>7521</v>
      </c>
      <c r="CO484" s="101">
        <v>527</v>
      </c>
    </row>
    <row r="485" spans="1:93" hidden="1" x14ac:dyDescent="0.25">
      <c r="A485" s="215">
        <v>45371</v>
      </c>
      <c r="B485" s="104">
        <v>6011032</v>
      </c>
      <c r="C485" s="104">
        <v>2086</v>
      </c>
      <c r="D485" s="104">
        <v>6013118</v>
      </c>
      <c r="E485" s="104">
        <v>99.97</v>
      </c>
      <c r="F485" s="71">
        <f t="shared" si="122"/>
        <v>6.0131180000000004</v>
      </c>
      <c r="H485" s="215">
        <v>45371</v>
      </c>
      <c r="I485" s="101">
        <v>1502718</v>
      </c>
      <c r="J485" s="101">
        <v>308</v>
      </c>
      <c r="K485" s="101">
        <v>1503026</v>
      </c>
      <c r="L485" s="101">
        <v>99.98</v>
      </c>
      <c r="M485" s="71">
        <f t="shared" si="121"/>
        <v>1.503026</v>
      </c>
      <c r="O485" s="215">
        <v>45371</v>
      </c>
      <c r="P485" s="101">
        <v>794650</v>
      </c>
      <c r="Q485" s="101">
        <v>0</v>
      </c>
      <c r="R485" s="101">
        <v>794650</v>
      </c>
      <c r="S485" s="101">
        <v>100</v>
      </c>
      <c r="T485" s="71">
        <f t="shared" si="124"/>
        <v>0.79464999999999997</v>
      </c>
      <c r="V485" s="215">
        <v>45371</v>
      </c>
      <c r="W485" s="101">
        <v>843342</v>
      </c>
      <c r="X485" s="101">
        <v>120</v>
      </c>
      <c r="Y485" s="101">
        <v>843462</v>
      </c>
      <c r="Z485" s="101">
        <v>99.99</v>
      </c>
      <c r="AA485" s="71">
        <f t="shared" si="118"/>
        <v>0.84346200000000005</v>
      </c>
      <c r="AC485" s="215">
        <v>45371</v>
      </c>
      <c r="AD485" s="101">
        <v>742484</v>
      </c>
      <c r="AE485" s="101">
        <v>80</v>
      </c>
      <c r="AF485" s="101">
        <v>742564</v>
      </c>
      <c r="AG485" s="101">
        <v>99.99</v>
      </c>
      <c r="AH485" s="71">
        <f t="shared" si="120"/>
        <v>0.742564</v>
      </c>
      <c r="AJ485" s="215">
        <v>45371</v>
      </c>
      <c r="AK485" s="48">
        <v>0</v>
      </c>
      <c r="AL485" s="48">
        <v>18</v>
      </c>
      <c r="AM485" s="48">
        <v>18</v>
      </c>
      <c r="AN485" s="48">
        <v>0</v>
      </c>
      <c r="AQ485" s="215">
        <v>45371</v>
      </c>
      <c r="AR485" s="48">
        <v>152</v>
      </c>
      <c r="AS485" s="48">
        <v>0</v>
      </c>
      <c r="AT485" s="48">
        <v>202</v>
      </c>
      <c r="AU485" s="48">
        <v>100</v>
      </c>
      <c r="AX485" s="215">
        <v>45371</v>
      </c>
      <c r="AY485" s="48">
        <v>10</v>
      </c>
      <c r="AZ485" s="48">
        <v>0</v>
      </c>
      <c r="BA485" s="48">
        <v>10</v>
      </c>
      <c r="BB485" s="48">
        <v>100</v>
      </c>
      <c r="BE485" s="215">
        <v>45371</v>
      </c>
      <c r="BF485" s="101">
        <v>14494</v>
      </c>
      <c r="BG485" s="101">
        <v>146</v>
      </c>
      <c r="BH485" s="101">
        <v>14640</v>
      </c>
      <c r="BI485" s="101">
        <v>99</v>
      </c>
      <c r="BL485" s="215">
        <v>45371</v>
      </c>
      <c r="BM485" s="101">
        <v>253956</v>
      </c>
      <c r="BN485" s="101">
        <v>2</v>
      </c>
      <c r="BO485" s="101">
        <v>253958</v>
      </c>
      <c r="BP485" s="101">
        <v>100</v>
      </c>
      <c r="BS485" s="215">
        <v>45371</v>
      </c>
      <c r="BT485" s="104">
        <v>19622</v>
      </c>
      <c r="BU485" s="104">
        <v>0</v>
      </c>
      <c r="BV485" s="104">
        <v>19622</v>
      </c>
      <c r="BW485" s="104">
        <v>100</v>
      </c>
      <c r="BZ485" s="215">
        <v>45371</v>
      </c>
      <c r="CA485" s="1">
        <v>34929983</v>
      </c>
      <c r="CB485" s="1">
        <v>2695725</v>
      </c>
      <c r="CC485" s="71">
        <f t="shared" si="119"/>
        <v>12.95754685659702</v>
      </c>
      <c r="CE485" s="258">
        <v>45371</v>
      </c>
      <c r="CF485" s="48">
        <v>11936368</v>
      </c>
      <c r="CG485" s="48">
        <v>7884</v>
      </c>
      <c r="CH485" s="48">
        <v>11944252</v>
      </c>
      <c r="CI485" s="71">
        <f t="shared" si="123"/>
        <v>99.933993355130141</v>
      </c>
      <c r="CJ485" s="71">
        <f t="shared" ref="CJ485:CJ550" si="125">CH485/1000000</f>
        <v>11.944252000000001</v>
      </c>
      <c r="CL485" s="222">
        <v>45357</v>
      </c>
      <c r="CM485" t="s">
        <v>240</v>
      </c>
      <c r="CN485" s="101">
        <v>3788</v>
      </c>
      <c r="CO485" s="101">
        <v>516</v>
      </c>
    </row>
    <row r="486" spans="1:93" hidden="1" x14ac:dyDescent="0.25">
      <c r="A486" s="215">
        <v>45372</v>
      </c>
      <c r="B486" s="104">
        <v>5909318</v>
      </c>
      <c r="C486" s="104">
        <v>3468</v>
      </c>
      <c r="D486" s="104">
        <v>5912786</v>
      </c>
      <c r="E486" s="104">
        <v>99.94</v>
      </c>
      <c r="F486" s="71">
        <f t="shared" si="122"/>
        <v>5.9127859999999997</v>
      </c>
      <c r="H486" s="215">
        <v>45372</v>
      </c>
      <c r="I486" s="101">
        <v>1480430</v>
      </c>
      <c r="J486" s="101">
        <v>240</v>
      </c>
      <c r="K486" s="101">
        <v>1480670</v>
      </c>
      <c r="L486" s="101">
        <v>99.98</v>
      </c>
      <c r="M486" s="71">
        <f t="shared" si="121"/>
        <v>1.4806699999999999</v>
      </c>
      <c r="O486" s="215">
        <v>45372</v>
      </c>
      <c r="P486" s="101">
        <v>732360</v>
      </c>
      <c r="Q486" s="101">
        <v>0</v>
      </c>
      <c r="R486" s="101">
        <v>732360</v>
      </c>
      <c r="S486" s="101">
        <v>100</v>
      </c>
      <c r="T486" s="71">
        <f t="shared" si="124"/>
        <v>0.73236000000000001</v>
      </c>
      <c r="V486" s="215">
        <v>45372</v>
      </c>
      <c r="W486" s="101">
        <v>776250</v>
      </c>
      <c r="X486" s="101">
        <v>142</v>
      </c>
      <c r="Y486" s="101">
        <v>776392</v>
      </c>
      <c r="Z486" s="101">
        <v>99.98</v>
      </c>
      <c r="AA486" s="71">
        <f t="shared" si="118"/>
        <v>0.77639199999999997</v>
      </c>
      <c r="AC486" s="215">
        <v>45372</v>
      </c>
      <c r="AD486" s="101">
        <v>737450</v>
      </c>
      <c r="AE486" s="101">
        <v>144</v>
      </c>
      <c r="AF486" s="101">
        <v>737594</v>
      </c>
      <c r="AG486" s="101">
        <v>99.98</v>
      </c>
      <c r="AH486" s="71">
        <f t="shared" si="120"/>
        <v>0.73759399999999997</v>
      </c>
      <c r="AJ486" s="215">
        <v>45372</v>
      </c>
      <c r="AK486" s="48">
        <v>0</v>
      </c>
      <c r="AL486" s="48">
        <v>10</v>
      </c>
      <c r="AM486" s="48">
        <v>10</v>
      </c>
      <c r="AN486" s="48">
        <v>0</v>
      </c>
      <c r="AQ486" s="215">
        <v>45372</v>
      </c>
      <c r="AR486" s="48">
        <v>152</v>
      </c>
      <c r="AS486" s="48">
        <v>2</v>
      </c>
      <c r="AT486" s="48">
        <v>154</v>
      </c>
      <c r="AU486" s="48">
        <v>98.7</v>
      </c>
      <c r="AX486" s="215">
        <v>45372</v>
      </c>
      <c r="AY486" s="48">
        <v>6</v>
      </c>
      <c r="AZ486" s="48">
        <v>0</v>
      </c>
      <c r="BA486" s="48">
        <v>6</v>
      </c>
      <c r="BB486" s="48">
        <v>100</v>
      </c>
      <c r="BE486" s="215">
        <v>45372</v>
      </c>
      <c r="BF486" s="101">
        <v>12156</v>
      </c>
      <c r="BG486" s="101">
        <v>118</v>
      </c>
      <c r="BH486" s="101">
        <v>12274</v>
      </c>
      <c r="BI486" s="101">
        <v>99.04</v>
      </c>
      <c r="BL486" s="215">
        <v>45372</v>
      </c>
      <c r="BM486" s="101">
        <v>231472</v>
      </c>
      <c r="BN486" s="101">
        <v>0</v>
      </c>
      <c r="BO486" s="101">
        <v>231472</v>
      </c>
      <c r="BP486" s="101">
        <v>100</v>
      </c>
      <c r="BS486" s="215">
        <v>45372</v>
      </c>
      <c r="BT486" s="104">
        <v>13792</v>
      </c>
      <c r="BU486" s="104">
        <v>0</v>
      </c>
      <c r="BV486" s="104">
        <v>13792</v>
      </c>
      <c r="BW486" s="104">
        <v>100</v>
      </c>
      <c r="BZ486" s="215">
        <v>45372</v>
      </c>
      <c r="CA486" s="1">
        <v>34360484</v>
      </c>
      <c r="CB486" s="1">
        <v>2772323</v>
      </c>
      <c r="CC486" s="71">
        <f t="shared" si="119"/>
        <v>12.394112807201758</v>
      </c>
      <c r="CE486" s="258">
        <v>45372</v>
      </c>
      <c r="CF486" s="48">
        <v>11494552</v>
      </c>
      <c r="CG486" s="48">
        <v>7354</v>
      </c>
      <c r="CH486" s="48">
        <v>11501906</v>
      </c>
      <c r="CI486" s="71">
        <f t="shared" si="123"/>
        <v>99.93606277081382</v>
      </c>
      <c r="CJ486" s="71">
        <f t="shared" si="125"/>
        <v>11.501906</v>
      </c>
      <c r="CL486" s="222">
        <v>45357</v>
      </c>
      <c r="CM486" s="252" t="s">
        <v>239</v>
      </c>
      <c r="CN486" s="101">
        <v>2205</v>
      </c>
      <c r="CO486" s="101">
        <v>504</v>
      </c>
    </row>
    <row r="487" spans="1:93" hidden="1" x14ac:dyDescent="0.25">
      <c r="A487" s="215">
        <v>45373</v>
      </c>
      <c r="B487" s="104">
        <v>6365266</v>
      </c>
      <c r="C487" s="104">
        <v>5700</v>
      </c>
      <c r="D487" s="104">
        <v>6370966</v>
      </c>
      <c r="E487" s="104">
        <v>99.91</v>
      </c>
      <c r="F487" s="71">
        <f t="shared" si="122"/>
        <v>6.3709660000000001</v>
      </c>
      <c r="H487" s="215">
        <v>45373</v>
      </c>
      <c r="I487" s="101">
        <v>1661578</v>
      </c>
      <c r="J487" s="101">
        <v>352</v>
      </c>
      <c r="K487" s="101">
        <v>1661930</v>
      </c>
      <c r="L487" s="101">
        <v>99.98</v>
      </c>
      <c r="M487" s="71">
        <f t="shared" si="121"/>
        <v>1.6619299999999999</v>
      </c>
      <c r="O487" s="215">
        <v>45373</v>
      </c>
      <c r="P487" s="101">
        <v>765118</v>
      </c>
      <c r="Q487" s="101">
        <v>0</v>
      </c>
      <c r="R487" s="101">
        <v>765118</v>
      </c>
      <c r="S487" s="101">
        <v>100</v>
      </c>
      <c r="T487" s="71">
        <f t="shared" si="124"/>
        <v>0.76511799999999996</v>
      </c>
      <c r="V487" s="215">
        <v>45373</v>
      </c>
      <c r="W487" s="101">
        <v>883148</v>
      </c>
      <c r="X487" s="101">
        <v>142</v>
      </c>
      <c r="Y487" s="101">
        <v>883290</v>
      </c>
      <c r="Z487" s="101">
        <v>99.98</v>
      </c>
      <c r="AA487" s="71">
        <f t="shared" si="118"/>
        <v>0.88329000000000002</v>
      </c>
      <c r="AC487" s="215">
        <v>45373</v>
      </c>
      <c r="AD487" s="101">
        <v>708606</v>
      </c>
      <c r="AE487" s="101">
        <v>124</v>
      </c>
      <c r="AF487" s="101">
        <v>708730</v>
      </c>
      <c r="AG487" s="101">
        <v>99.98</v>
      </c>
      <c r="AH487" s="71">
        <f t="shared" si="120"/>
        <v>0.70872999999999997</v>
      </c>
      <c r="AJ487" s="215">
        <v>45373</v>
      </c>
      <c r="AK487" s="48">
        <v>0</v>
      </c>
      <c r="AL487" s="48">
        <v>68</v>
      </c>
      <c r="AM487" s="48">
        <v>68</v>
      </c>
      <c r="AN487" s="48">
        <v>0</v>
      </c>
      <c r="AQ487" s="215">
        <v>45373</v>
      </c>
      <c r="AR487" s="48">
        <v>86</v>
      </c>
      <c r="AS487" s="48">
        <v>8</v>
      </c>
      <c r="AT487" s="48">
        <v>94</v>
      </c>
      <c r="AU487" s="48">
        <v>91.49</v>
      </c>
      <c r="AX487" s="215">
        <v>45373</v>
      </c>
      <c r="AY487" s="48">
        <v>10</v>
      </c>
      <c r="AZ487" s="48">
        <v>0</v>
      </c>
      <c r="BA487" s="48">
        <v>10</v>
      </c>
      <c r="BB487" s="48">
        <v>100</v>
      </c>
      <c r="BE487" s="215">
        <v>45373</v>
      </c>
      <c r="BF487" s="101">
        <v>12816</v>
      </c>
      <c r="BG487" s="101">
        <v>352</v>
      </c>
      <c r="BH487" s="101">
        <v>13168</v>
      </c>
      <c r="BI487" s="101">
        <v>97.33</v>
      </c>
      <c r="BL487" s="215">
        <v>45373</v>
      </c>
      <c r="BM487" s="101">
        <v>227352</v>
      </c>
      <c r="BN487" s="101">
        <v>0</v>
      </c>
      <c r="BO487" s="101">
        <v>227352</v>
      </c>
      <c r="BP487" s="101">
        <v>100</v>
      </c>
      <c r="BS487" s="215">
        <v>45373</v>
      </c>
      <c r="BT487" s="104">
        <v>13708</v>
      </c>
      <c r="BU487" s="104">
        <v>0</v>
      </c>
      <c r="BV487" s="104">
        <v>13708</v>
      </c>
      <c r="BW487" s="104">
        <v>100</v>
      </c>
      <c r="BZ487" s="215">
        <v>45373</v>
      </c>
      <c r="CA487" s="1">
        <v>12187100</v>
      </c>
      <c r="CB487" s="1">
        <v>988534</v>
      </c>
      <c r="CC487" s="71">
        <f t="shared" si="119"/>
        <v>12.328458100581265</v>
      </c>
      <c r="CE487" s="258">
        <v>45373</v>
      </c>
      <c r="CF487" s="48">
        <v>12474736</v>
      </c>
      <c r="CG487" s="48">
        <v>9986</v>
      </c>
      <c r="CH487" s="48">
        <v>12484722</v>
      </c>
      <c r="CI487" s="71">
        <f t="shared" si="123"/>
        <v>99.920014238202498</v>
      </c>
      <c r="CJ487" s="71">
        <f t="shared" si="125"/>
        <v>12.484722</v>
      </c>
      <c r="CL487" s="222">
        <v>45357</v>
      </c>
      <c r="CM487" t="s">
        <v>243</v>
      </c>
      <c r="CN487" s="101">
        <v>871</v>
      </c>
      <c r="CO487" s="101">
        <v>540</v>
      </c>
    </row>
    <row r="488" spans="1:93" hidden="1" x14ac:dyDescent="0.25">
      <c r="A488" s="215">
        <v>45374</v>
      </c>
      <c r="B488" s="104">
        <v>6222182</v>
      </c>
      <c r="C488" s="104">
        <v>7500</v>
      </c>
      <c r="D488" s="104">
        <v>6229682</v>
      </c>
      <c r="E488" s="104">
        <v>99.88</v>
      </c>
      <c r="F488" s="71">
        <f t="shared" si="122"/>
        <v>6.2296820000000004</v>
      </c>
      <c r="H488" s="215">
        <v>45374</v>
      </c>
      <c r="I488" s="101">
        <v>1664054</v>
      </c>
      <c r="J488" s="101">
        <v>352</v>
      </c>
      <c r="K488" s="101">
        <v>1664406</v>
      </c>
      <c r="L488" s="101">
        <v>99.98</v>
      </c>
      <c r="M488" s="71">
        <f t="shared" si="121"/>
        <v>1.6644060000000001</v>
      </c>
      <c r="O488" s="215">
        <v>45374</v>
      </c>
      <c r="P488" s="101">
        <v>767440</v>
      </c>
      <c r="Q488" s="101">
        <v>0</v>
      </c>
      <c r="R488" s="101">
        <v>767440</v>
      </c>
      <c r="S488" s="101">
        <v>100</v>
      </c>
      <c r="T488" s="71">
        <f t="shared" si="124"/>
        <v>0.76744000000000001</v>
      </c>
      <c r="V488" s="215">
        <v>45374</v>
      </c>
      <c r="W488" s="101">
        <v>839696</v>
      </c>
      <c r="X488" s="101">
        <v>1220</v>
      </c>
      <c r="Y488" s="101">
        <v>840916</v>
      </c>
      <c r="Z488" s="101">
        <v>99.85</v>
      </c>
      <c r="AA488" s="71">
        <f t="shared" si="118"/>
        <v>0.840916</v>
      </c>
      <c r="AC488" s="215">
        <v>45374</v>
      </c>
      <c r="AD488" s="101">
        <v>716540</v>
      </c>
      <c r="AE488" s="101">
        <v>118</v>
      </c>
      <c r="AF488" s="101">
        <v>716658</v>
      </c>
      <c r="AG488" s="101">
        <v>99.98</v>
      </c>
      <c r="AH488" s="71">
        <f t="shared" si="120"/>
        <v>0.71665800000000002</v>
      </c>
      <c r="AJ488" s="215">
        <v>45374</v>
      </c>
      <c r="AK488" s="48">
        <v>0</v>
      </c>
      <c r="AL488" s="48">
        <v>22</v>
      </c>
      <c r="AM488" s="48">
        <v>22</v>
      </c>
      <c r="AN488" s="48">
        <v>0</v>
      </c>
      <c r="AQ488" s="215">
        <v>45374</v>
      </c>
      <c r="AR488" s="48">
        <v>72</v>
      </c>
      <c r="AS488" s="48">
        <v>0</v>
      </c>
      <c r="AT488" s="48">
        <v>72</v>
      </c>
      <c r="AU488" s="48">
        <v>100</v>
      </c>
      <c r="AX488" s="215">
        <v>45374</v>
      </c>
      <c r="AY488" s="48">
        <v>18</v>
      </c>
      <c r="AZ488" s="48">
        <v>0</v>
      </c>
      <c r="BA488" s="48">
        <v>18</v>
      </c>
      <c r="BB488" s="48">
        <v>100</v>
      </c>
      <c r="BE488" s="215">
        <v>45374</v>
      </c>
      <c r="BF488" s="101">
        <v>11278</v>
      </c>
      <c r="BG488" s="101">
        <v>116</v>
      </c>
      <c r="BH488" s="101">
        <v>11394</v>
      </c>
      <c r="BI488" s="101">
        <v>98.98</v>
      </c>
      <c r="BL488" s="215">
        <v>45374</v>
      </c>
      <c r="BM488" s="101">
        <v>228352</v>
      </c>
      <c r="BN488" s="101">
        <v>0</v>
      </c>
      <c r="BO488" s="101">
        <v>228352</v>
      </c>
      <c r="BP488" s="101">
        <v>100</v>
      </c>
      <c r="BS488" s="215">
        <v>45374</v>
      </c>
      <c r="BT488" s="104">
        <v>13100</v>
      </c>
      <c r="BU488" s="104">
        <v>0</v>
      </c>
      <c r="BV488" s="104">
        <v>13100</v>
      </c>
      <c r="BW488" s="104">
        <v>100</v>
      </c>
      <c r="BZ488" s="215">
        <v>45374</v>
      </c>
      <c r="CA488" s="1">
        <v>25744779</v>
      </c>
      <c r="CB488" s="1">
        <v>2124579</v>
      </c>
      <c r="CC488" s="71">
        <f t="shared" si="119"/>
        <v>12.117590826229574</v>
      </c>
      <c r="CE488" s="258">
        <v>45374</v>
      </c>
      <c r="CF488" s="48">
        <v>12353112</v>
      </c>
      <c r="CG488" s="48">
        <v>12868</v>
      </c>
      <c r="CH488" s="48">
        <v>12365980</v>
      </c>
      <c r="CI488" s="71">
        <f t="shared" si="123"/>
        <v>99.895940313667012</v>
      </c>
      <c r="CJ488" s="71">
        <f t="shared" si="125"/>
        <v>12.36598</v>
      </c>
      <c r="CL488" s="222">
        <v>45357</v>
      </c>
      <c r="CM488" t="s">
        <v>238</v>
      </c>
      <c r="CN488" s="101">
        <v>805</v>
      </c>
      <c r="CO488" s="101">
        <v>503</v>
      </c>
    </row>
    <row r="489" spans="1:93" hidden="1" x14ac:dyDescent="0.25">
      <c r="A489" s="215">
        <v>45375</v>
      </c>
      <c r="B489" s="104">
        <v>5185202</v>
      </c>
      <c r="C489" s="104">
        <v>2240</v>
      </c>
      <c r="D489" s="104">
        <v>5187442</v>
      </c>
      <c r="E489" s="104">
        <v>99.96</v>
      </c>
      <c r="F489" s="71">
        <f t="shared" si="122"/>
        <v>5.1874419999999999</v>
      </c>
      <c r="H489" s="215">
        <v>45375</v>
      </c>
      <c r="I489" s="101">
        <v>1483786</v>
      </c>
      <c r="J489" s="101">
        <v>286</v>
      </c>
      <c r="K489" s="101">
        <v>1484072</v>
      </c>
      <c r="L489" s="101">
        <v>99.98</v>
      </c>
      <c r="M489" s="71">
        <f t="shared" si="121"/>
        <v>1.4840720000000001</v>
      </c>
      <c r="O489" s="215">
        <v>45375</v>
      </c>
      <c r="P489" s="101">
        <v>764488</v>
      </c>
      <c r="Q489" s="101">
        <v>0</v>
      </c>
      <c r="R489" s="101">
        <v>764488</v>
      </c>
      <c r="S489" s="101">
        <v>100</v>
      </c>
      <c r="T489" s="71">
        <f t="shared" si="124"/>
        <v>0.76448799999999995</v>
      </c>
      <c r="V489" s="215">
        <v>45375</v>
      </c>
      <c r="W489" s="101">
        <v>787880</v>
      </c>
      <c r="X489" s="101">
        <v>142</v>
      </c>
      <c r="Y489" s="101">
        <v>788022</v>
      </c>
      <c r="Z489" s="101">
        <v>99.98</v>
      </c>
      <c r="AA489" s="71">
        <f t="shared" si="118"/>
        <v>0.788022</v>
      </c>
      <c r="AC489" s="215">
        <v>45375</v>
      </c>
      <c r="AD489" s="101">
        <v>718272</v>
      </c>
      <c r="AE489" s="101">
        <v>162</v>
      </c>
      <c r="AF489" s="101">
        <v>718434</v>
      </c>
      <c r="AG489" s="101">
        <v>99.98</v>
      </c>
      <c r="AH489" s="71">
        <f t="shared" si="120"/>
        <v>0.71843400000000002</v>
      </c>
      <c r="AJ489" s="215">
        <v>45375</v>
      </c>
      <c r="AK489" s="48">
        <v>0</v>
      </c>
      <c r="AL489" s="48">
        <v>8</v>
      </c>
      <c r="AM489" s="48">
        <v>8</v>
      </c>
      <c r="AN489" s="48">
        <v>0</v>
      </c>
      <c r="AQ489" s="215">
        <v>45375</v>
      </c>
      <c r="AR489" s="48">
        <v>78</v>
      </c>
      <c r="AS489" s="48">
        <v>0</v>
      </c>
      <c r="AT489" s="48">
        <v>78</v>
      </c>
      <c r="AU489" s="48">
        <v>100</v>
      </c>
      <c r="AX489" s="215">
        <v>45375</v>
      </c>
      <c r="AY489" s="48">
        <v>14</v>
      </c>
      <c r="AZ489" s="48">
        <v>0</v>
      </c>
      <c r="BA489" s="48">
        <v>14</v>
      </c>
      <c r="BB489" s="48">
        <v>100</v>
      </c>
      <c r="BE489" s="215">
        <v>45375</v>
      </c>
      <c r="BF489" s="101">
        <v>9924</v>
      </c>
      <c r="BG489" s="101">
        <v>132</v>
      </c>
      <c r="BH489" s="101">
        <v>10056</v>
      </c>
      <c r="BI489" s="101">
        <v>98.69</v>
      </c>
      <c r="BL489" s="215">
        <v>45375</v>
      </c>
      <c r="BM489" s="101">
        <v>5530</v>
      </c>
      <c r="BN489" s="101">
        <v>0</v>
      </c>
      <c r="BO489" s="101">
        <v>5530</v>
      </c>
      <c r="BP489" s="101">
        <v>100</v>
      </c>
      <c r="BS489" s="215">
        <v>45375</v>
      </c>
      <c r="BT489" s="104">
        <v>13220</v>
      </c>
      <c r="BU489" s="104">
        <v>0</v>
      </c>
      <c r="BV489" s="104">
        <v>13220</v>
      </c>
      <c r="BW489" s="104">
        <v>100</v>
      </c>
      <c r="BZ489" s="215">
        <v>45375</v>
      </c>
      <c r="CA489" s="1">
        <v>31879093</v>
      </c>
      <c r="CB489" s="1">
        <v>2069022</v>
      </c>
      <c r="CC489" s="71">
        <f t="shared" si="119"/>
        <v>15.407807650184484</v>
      </c>
      <c r="CE489" s="258">
        <v>45375</v>
      </c>
      <c r="CF489" s="101">
        <v>10715854</v>
      </c>
      <c r="CG489" s="101">
        <v>5992</v>
      </c>
      <c r="CH489" s="101">
        <v>10721846</v>
      </c>
      <c r="CI489" s="101">
        <v>99.94</v>
      </c>
      <c r="CJ489" s="71">
        <f t="shared" si="125"/>
        <v>10.721845999999999</v>
      </c>
    </row>
    <row r="490" spans="1:93" hidden="1" x14ac:dyDescent="0.25">
      <c r="A490" s="215">
        <v>45376</v>
      </c>
      <c r="B490" s="104">
        <v>5966402</v>
      </c>
      <c r="C490" s="104">
        <v>11234</v>
      </c>
      <c r="D490" s="104">
        <v>5977636</v>
      </c>
      <c r="E490" s="104">
        <v>99.81</v>
      </c>
      <c r="F490" s="71">
        <f t="shared" si="122"/>
        <v>5.9776360000000004</v>
      </c>
      <c r="H490" s="215">
        <v>45376</v>
      </c>
      <c r="I490" s="101">
        <v>1483322</v>
      </c>
      <c r="J490" s="101">
        <v>294</v>
      </c>
      <c r="K490" s="101">
        <v>1483616</v>
      </c>
      <c r="L490" s="101">
        <v>99.98</v>
      </c>
      <c r="M490" s="71">
        <f t="shared" si="121"/>
        <v>1.483616</v>
      </c>
      <c r="O490" s="215">
        <v>45376</v>
      </c>
      <c r="P490" s="101">
        <v>791078</v>
      </c>
      <c r="Q490" s="101">
        <v>2</v>
      </c>
      <c r="R490" s="101">
        <v>791080</v>
      </c>
      <c r="S490" s="101">
        <v>100</v>
      </c>
      <c r="T490" s="71">
        <f t="shared" si="124"/>
        <v>0.79108000000000001</v>
      </c>
      <c r="V490" s="215">
        <v>45376</v>
      </c>
      <c r="W490" s="101">
        <v>826908</v>
      </c>
      <c r="X490" s="101">
        <v>1462</v>
      </c>
      <c r="Y490" s="101">
        <v>828370</v>
      </c>
      <c r="Z490" s="101">
        <v>99.82</v>
      </c>
      <c r="AA490" s="71">
        <f t="shared" si="118"/>
        <v>0.82837000000000005</v>
      </c>
      <c r="AC490" s="215">
        <v>45376</v>
      </c>
      <c r="AD490" s="101">
        <v>672902</v>
      </c>
      <c r="AE490" s="101">
        <v>62</v>
      </c>
      <c r="AF490" s="101">
        <v>672964</v>
      </c>
      <c r="AG490" s="101">
        <v>99.99</v>
      </c>
      <c r="AH490" s="71">
        <f t="shared" si="120"/>
        <v>0.67296400000000001</v>
      </c>
      <c r="AJ490" s="215">
        <v>45376</v>
      </c>
      <c r="AK490" s="48">
        <v>0</v>
      </c>
      <c r="AL490" s="48">
        <v>10</v>
      </c>
      <c r="AM490" s="48">
        <v>10</v>
      </c>
      <c r="AN490" s="48">
        <v>0</v>
      </c>
      <c r="AQ490" s="215">
        <v>45376</v>
      </c>
      <c r="AR490" s="48">
        <v>176</v>
      </c>
      <c r="AS490" s="48">
        <v>2</v>
      </c>
      <c r="AT490" s="48">
        <v>178</v>
      </c>
      <c r="AU490" s="48">
        <v>98.88</v>
      </c>
      <c r="AX490" s="215">
        <v>45376</v>
      </c>
      <c r="AY490" s="48">
        <v>14</v>
      </c>
      <c r="AZ490" s="48">
        <v>0</v>
      </c>
      <c r="BA490" s="48">
        <v>14</v>
      </c>
      <c r="BB490" s="48">
        <v>100</v>
      </c>
      <c r="BE490" s="215">
        <v>45376</v>
      </c>
      <c r="BF490" s="101">
        <v>12616</v>
      </c>
      <c r="BG490" s="101">
        <v>150</v>
      </c>
      <c r="BH490" s="101">
        <v>12766</v>
      </c>
      <c r="BI490" s="101">
        <v>98.83</v>
      </c>
      <c r="BL490" s="215">
        <v>45376</v>
      </c>
      <c r="BM490" s="101">
        <v>225670</v>
      </c>
      <c r="BN490" s="101">
        <v>0</v>
      </c>
      <c r="BO490" s="101">
        <v>225670</v>
      </c>
      <c r="BP490" s="101">
        <v>100</v>
      </c>
      <c r="BS490" s="215">
        <v>45376</v>
      </c>
      <c r="BT490" s="104">
        <v>9128</v>
      </c>
      <c r="BU490" s="104">
        <v>0</v>
      </c>
      <c r="BV490" s="104">
        <v>9128</v>
      </c>
      <c r="BW490" s="104">
        <v>100</v>
      </c>
      <c r="BX490" s="243"/>
      <c r="BZ490" s="215">
        <v>45376</v>
      </c>
      <c r="CA490" s="1">
        <v>34118638</v>
      </c>
      <c r="CB490" s="1">
        <v>2677519</v>
      </c>
      <c r="CC490" s="71">
        <f t="shared" si="119"/>
        <v>12.742631518207714</v>
      </c>
      <c r="CE490" s="258">
        <v>45376</v>
      </c>
      <c r="CF490" s="101">
        <v>11783946</v>
      </c>
      <c r="CG490" s="101">
        <v>16476</v>
      </c>
      <c r="CH490" s="101">
        <v>11800422</v>
      </c>
      <c r="CI490" s="101">
        <v>99.86</v>
      </c>
      <c r="CJ490" s="71">
        <f t="shared" si="125"/>
        <v>11.800421999999999</v>
      </c>
      <c r="CL490" s="222">
        <v>45358</v>
      </c>
      <c r="CM490" t="s">
        <v>237</v>
      </c>
      <c r="CN490" s="101">
        <v>41465</v>
      </c>
      <c r="CO490" s="101">
        <v>527</v>
      </c>
    </row>
    <row r="491" spans="1:93" hidden="1" x14ac:dyDescent="0.25">
      <c r="A491" s="215">
        <v>45377</v>
      </c>
      <c r="B491" s="104">
        <v>6158020</v>
      </c>
      <c r="C491" s="104">
        <v>17538</v>
      </c>
      <c r="D491" s="104">
        <v>6175558</v>
      </c>
      <c r="E491" s="104">
        <v>99.72</v>
      </c>
      <c r="F491" s="71">
        <f t="shared" si="122"/>
        <v>6.1755579999999997</v>
      </c>
      <c r="H491" s="215">
        <v>45377</v>
      </c>
      <c r="I491" s="101">
        <v>1677274</v>
      </c>
      <c r="J491" s="101">
        <v>500</v>
      </c>
      <c r="K491" s="101">
        <v>1677774</v>
      </c>
      <c r="L491" s="101">
        <v>99.97</v>
      </c>
      <c r="M491" s="71">
        <f t="shared" si="121"/>
        <v>1.6777740000000001</v>
      </c>
      <c r="O491" s="215">
        <v>45377</v>
      </c>
      <c r="P491" s="101">
        <v>795556</v>
      </c>
      <c r="Q491" s="101">
        <v>0</v>
      </c>
      <c r="R491" s="101">
        <v>795556</v>
      </c>
      <c r="S491" s="101">
        <v>100</v>
      </c>
      <c r="T491" s="71">
        <f t="shared" si="124"/>
        <v>0.79555600000000004</v>
      </c>
      <c r="V491" s="215">
        <v>45377</v>
      </c>
      <c r="W491" s="101">
        <v>860212</v>
      </c>
      <c r="X491" s="101">
        <v>2866</v>
      </c>
      <c r="Y491" s="101">
        <v>863078</v>
      </c>
      <c r="Z491" s="101">
        <v>99.67</v>
      </c>
      <c r="AA491" s="71">
        <f t="shared" si="118"/>
        <v>0.86307800000000001</v>
      </c>
      <c r="AC491" s="215">
        <v>45377</v>
      </c>
      <c r="AD491" s="101">
        <v>685750</v>
      </c>
      <c r="AE491" s="101">
        <v>64</v>
      </c>
      <c r="AF491" s="101">
        <v>685814</v>
      </c>
      <c r="AG491" s="101">
        <v>99.99</v>
      </c>
      <c r="AH491" s="71">
        <f t="shared" si="120"/>
        <v>0.68581400000000003</v>
      </c>
      <c r="AJ491" s="215">
        <v>45377</v>
      </c>
      <c r="AK491" s="48">
        <v>0</v>
      </c>
      <c r="AL491" s="48">
        <v>8</v>
      </c>
      <c r="AM491" s="48">
        <v>8</v>
      </c>
      <c r="AN491" s="48">
        <v>0</v>
      </c>
      <c r="AQ491" s="215">
        <v>45377</v>
      </c>
      <c r="AR491" s="48">
        <v>178</v>
      </c>
      <c r="AS491" s="48">
        <v>2</v>
      </c>
      <c r="AT491" s="48">
        <v>180</v>
      </c>
      <c r="AU491" s="48">
        <v>98.89</v>
      </c>
      <c r="AX491" s="215">
        <v>45377</v>
      </c>
      <c r="AY491" s="48">
        <v>8</v>
      </c>
      <c r="AZ491" s="48">
        <v>0</v>
      </c>
      <c r="BA491" s="48">
        <v>8</v>
      </c>
      <c r="BB491" s="48">
        <v>100</v>
      </c>
      <c r="BE491" s="215">
        <v>45377</v>
      </c>
      <c r="BF491" s="101">
        <v>37416</v>
      </c>
      <c r="BG491" s="101">
        <v>732</v>
      </c>
      <c r="BH491" s="101">
        <v>38148</v>
      </c>
      <c r="BI491" s="101">
        <v>98.08</v>
      </c>
      <c r="BL491" s="215">
        <v>45377</v>
      </c>
      <c r="BM491" s="101">
        <v>225528</v>
      </c>
      <c r="BN491" s="101">
        <v>0</v>
      </c>
      <c r="BO491" s="101">
        <v>225528</v>
      </c>
      <c r="BP491" s="101">
        <v>100</v>
      </c>
      <c r="BS491" s="215">
        <v>45377</v>
      </c>
      <c r="BT491" s="104">
        <v>12166</v>
      </c>
      <c r="BU491" s="104">
        <v>0</v>
      </c>
      <c r="BV491" s="104">
        <v>12166</v>
      </c>
      <c r="BW491" s="104">
        <v>100</v>
      </c>
      <c r="BZ491" s="215">
        <v>45377</v>
      </c>
      <c r="CA491" s="1">
        <v>36224797</v>
      </c>
      <c r="CB491" s="1">
        <v>2736145</v>
      </c>
      <c r="CC491" s="71">
        <f t="shared" si="119"/>
        <v>13.239355735898499</v>
      </c>
      <c r="CE491" s="258">
        <v>45377</v>
      </c>
      <c r="CF491" s="101">
        <v>12169282</v>
      </c>
      <c r="CG491" s="101">
        <v>25088</v>
      </c>
      <c r="CH491" s="101">
        <v>12194370</v>
      </c>
      <c r="CI491" s="101">
        <v>99.79</v>
      </c>
      <c r="CJ491" s="71">
        <f t="shared" si="125"/>
        <v>12.194369999999999</v>
      </c>
      <c r="CL491" s="222">
        <v>45358</v>
      </c>
      <c r="CM491" s="252" t="s">
        <v>239</v>
      </c>
      <c r="CN491" s="101">
        <v>10313</v>
      </c>
      <c r="CO491" s="101">
        <v>504</v>
      </c>
    </row>
    <row r="492" spans="1:93" hidden="1" x14ac:dyDescent="0.25">
      <c r="A492" s="215">
        <v>45378</v>
      </c>
      <c r="B492" s="104">
        <v>6006964</v>
      </c>
      <c r="C492" s="104">
        <v>72316</v>
      </c>
      <c r="D492" s="104">
        <v>6079280</v>
      </c>
      <c r="E492" s="104">
        <v>98.81</v>
      </c>
      <c r="F492" s="71">
        <f t="shared" si="122"/>
        <v>6.0792799999999998</v>
      </c>
      <c r="H492" s="215">
        <v>45378</v>
      </c>
      <c r="I492" s="101">
        <v>1502896</v>
      </c>
      <c r="J492" s="101">
        <v>320</v>
      </c>
      <c r="K492" s="101">
        <v>1503216</v>
      </c>
      <c r="L492" s="101">
        <v>99.98</v>
      </c>
      <c r="M492" s="71">
        <f t="shared" si="121"/>
        <v>1.5032160000000001</v>
      </c>
      <c r="O492" s="215">
        <v>45378</v>
      </c>
      <c r="P492" s="101">
        <v>773942</v>
      </c>
      <c r="Q492" s="101">
        <v>2</v>
      </c>
      <c r="R492" s="101">
        <v>773944</v>
      </c>
      <c r="S492" s="101">
        <v>100</v>
      </c>
      <c r="T492" s="71">
        <f t="shared" si="124"/>
        <v>0.77394399999999997</v>
      </c>
      <c r="V492" s="215">
        <v>45378</v>
      </c>
      <c r="W492" s="101">
        <v>827382</v>
      </c>
      <c r="X492" s="101">
        <v>11976</v>
      </c>
      <c r="Y492" s="101">
        <v>839358</v>
      </c>
      <c r="Z492" s="101">
        <v>98.57</v>
      </c>
      <c r="AA492" s="71">
        <f t="shared" si="118"/>
        <v>0.83935800000000005</v>
      </c>
      <c r="AC492" s="215">
        <v>45378</v>
      </c>
      <c r="AD492" s="101">
        <v>710102</v>
      </c>
      <c r="AE492" s="101">
        <v>82</v>
      </c>
      <c r="AF492" s="101">
        <v>710184</v>
      </c>
      <c r="AG492" s="101">
        <v>99.99</v>
      </c>
      <c r="AH492" s="71">
        <f t="shared" si="120"/>
        <v>0.71018400000000004</v>
      </c>
      <c r="AJ492" s="215">
        <v>45378</v>
      </c>
      <c r="AK492" s="48">
        <v>0</v>
      </c>
      <c r="AL492" s="48">
        <v>16</v>
      </c>
      <c r="AM492" s="48">
        <v>16</v>
      </c>
      <c r="AN492" s="48">
        <v>0</v>
      </c>
      <c r="AQ492" s="215">
        <v>45378</v>
      </c>
      <c r="AR492" s="48">
        <v>134</v>
      </c>
      <c r="AS492" s="48">
        <v>2</v>
      </c>
      <c r="AT492" s="48">
        <v>136</v>
      </c>
      <c r="AU492" s="48">
        <v>98.53</v>
      </c>
      <c r="AX492" s="215">
        <v>45378</v>
      </c>
      <c r="AY492" s="48">
        <v>10</v>
      </c>
      <c r="AZ492" s="48">
        <v>0</v>
      </c>
      <c r="BA492" s="48">
        <v>10</v>
      </c>
      <c r="BB492" s="48">
        <v>100</v>
      </c>
      <c r="BE492" s="215">
        <v>45378</v>
      </c>
      <c r="BF492" s="101">
        <v>15014</v>
      </c>
      <c r="BG492" s="101">
        <v>146</v>
      </c>
      <c r="BH492" s="101">
        <v>15160</v>
      </c>
      <c r="BI492" s="101">
        <v>99.04</v>
      </c>
      <c r="BL492" s="215">
        <v>45378</v>
      </c>
      <c r="BM492" s="101">
        <v>231296</v>
      </c>
      <c r="BN492" s="101">
        <v>0</v>
      </c>
      <c r="BO492" s="101">
        <v>231296</v>
      </c>
      <c r="BP492" s="101">
        <v>100</v>
      </c>
      <c r="BS492" s="215">
        <v>45378</v>
      </c>
      <c r="BT492" s="104">
        <v>34630</v>
      </c>
      <c r="BU492" s="104">
        <v>0</v>
      </c>
      <c r="BV492" s="104">
        <v>34630</v>
      </c>
      <c r="BW492" s="104">
        <v>100</v>
      </c>
      <c r="BZ492" s="215">
        <v>45378</v>
      </c>
      <c r="CA492" s="1">
        <v>35374643</v>
      </c>
      <c r="CB492" s="1">
        <v>2709765</v>
      </c>
      <c r="CC492" s="71">
        <f t="shared" si="119"/>
        <v>13.054505833531691</v>
      </c>
      <c r="CE492" s="258">
        <v>45378</v>
      </c>
      <c r="CF492" s="101">
        <v>11812332</v>
      </c>
      <c r="CG492" s="101">
        <v>90902</v>
      </c>
      <c r="CH492" s="101">
        <v>11903234</v>
      </c>
      <c r="CI492" s="101">
        <v>99.24</v>
      </c>
      <c r="CJ492" s="71">
        <f t="shared" si="125"/>
        <v>11.903233999999999</v>
      </c>
      <c r="CL492" s="222">
        <v>45358</v>
      </c>
      <c r="CM492" t="s">
        <v>240</v>
      </c>
      <c r="CN492" s="101">
        <v>4025</v>
      </c>
      <c r="CO492" s="101">
        <v>516</v>
      </c>
    </row>
    <row r="493" spans="1:93" hidden="1" x14ac:dyDescent="0.25">
      <c r="A493" s="215">
        <v>45379</v>
      </c>
      <c r="B493" s="104">
        <v>6088198</v>
      </c>
      <c r="C493" s="104">
        <v>2290</v>
      </c>
      <c r="D493" s="104">
        <v>6090488</v>
      </c>
      <c r="E493" s="104">
        <v>99.96</v>
      </c>
      <c r="F493" s="71">
        <f t="shared" si="122"/>
        <v>6.0904879999999997</v>
      </c>
      <c r="H493" s="215">
        <v>45379</v>
      </c>
      <c r="I493" s="101">
        <v>1565742</v>
      </c>
      <c r="J493" s="101">
        <v>310</v>
      </c>
      <c r="K493" s="101">
        <v>1566052</v>
      </c>
      <c r="L493" s="101">
        <v>99.98</v>
      </c>
      <c r="M493" s="71">
        <f t="shared" si="121"/>
        <v>1.566052</v>
      </c>
      <c r="O493" s="215">
        <v>45379</v>
      </c>
      <c r="P493" s="101">
        <v>826578</v>
      </c>
      <c r="Q493" s="101">
        <v>2</v>
      </c>
      <c r="R493" s="101">
        <v>826580</v>
      </c>
      <c r="S493" s="101">
        <v>100</v>
      </c>
      <c r="T493" s="71">
        <f t="shared" si="124"/>
        <v>0.82657999999999998</v>
      </c>
      <c r="V493" s="215">
        <v>45379</v>
      </c>
      <c r="W493" s="101">
        <v>783204</v>
      </c>
      <c r="X493" s="101">
        <v>150</v>
      </c>
      <c r="Y493" s="101">
        <v>783354</v>
      </c>
      <c r="Z493" s="101">
        <v>99.98</v>
      </c>
      <c r="AA493" s="71">
        <f t="shared" si="118"/>
        <v>0.78335399999999999</v>
      </c>
      <c r="AC493" s="215">
        <v>45379</v>
      </c>
      <c r="AD493" s="101">
        <v>733600</v>
      </c>
      <c r="AE493" s="101">
        <v>236</v>
      </c>
      <c r="AF493" s="101">
        <v>733836</v>
      </c>
      <c r="AG493" s="101">
        <v>99.97</v>
      </c>
      <c r="AH493" s="71">
        <f t="shared" si="120"/>
        <v>0.73383600000000004</v>
      </c>
      <c r="AJ493" s="215">
        <v>45379</v>
      </c>
      <c r="AK493" s="48">
        <v>0</v>
      </c>
      <c r="AL493" s="48">
        <v>32</v>
      </c>
      <c r="AM493" s="48">
        <v>32</v>
      </c>
      <c r="AN493" s="48">
        <v>0</v>
      </c>
      <c r="AQ493" s="215">
        <v>45379</v>
      </c>
      <c r="AR493" s="48">
        <v>36</v>
      </c>
      <c r="AS493" s="48">
        <v>0</v>
      </c>
      <c r="AT493" s="48">
        <v>36</v>
      </c>
      <c r="AU493" s="48">
        <v>100</v>
      </c>
      <c r="AX493" s="215">
        <v>45379</v>
      </c>
      <c r="AY493" s="48">
        <v>22</v>
      </c>
      <c r="AZ493" s="48">
        <v>0</v>
      </c>
      <c r="BA493" s="48">
        <v>22</v>
      </c>
      <c r="BB493" s="48">
        <v>100</v>
      </c>
      <c r="BE493" s="215">
        <v>45379</v>
      </c>
      <c r="BF493" s="101">
        <v>45202</v>
      </c>
      <c r="BG493" s="101">
        <v>6476</v>
      </c>
      <c r="BH493" s="101">
        <v>51678</v>
      </c>
      <c r="BI493" s="101">
        <v>87.47</v>
      </c>
      <c r="BL493" s="215">
        <v>45379</v>
      </c>
      <c r="BM493" s="101">
        <v>227876</v>
      </c>
      <c r="BN493" s="101">
        <v>0</v>
      </c>
      <c r="BO493" s="101">
        <v>227876</v>
      </c>
      <c r="BP493" s="101">
        <v>100</v>
      </c>
      <c r="BS493" s="215">
        <v>45379</v>
      </c>
      <c r="BT493" s="104">
        <v>13284</v>
      </c>
      <c r="BU493" s="104">
        <v>0</v>
      </c>
      <c r="BV493" s="104">
        <v>13284</v>
      </c>
      <c r="BW493" s="104">
        <v>100</v>
      </c>
      <c r="BZ493" s="215">
        <v>45379</v>
      </c>
      <c r="CA493" s="1">
        <v>35864828</v>
      </c>
      <c r="CB493" s="1">
        <v>2723204</v>
      </c>
      <c r="CC493" s="71">
        <f t="shared" si="119"/>
        <v>13.170084944058543</v>
      </c>
      <c r="CE493" s="258">
        <v>45379</v>
      </c>
      <c r="CF493" s="101">
        <v>12028428</v>
      </c>
      <c r="CG493" s="101">
        <v>13212</v>
      </c>
      <c r="CH493" s="101">
        <v>12041640</v>
      </c>
      <c r="CI493" s="101">
        <v>99.89</v>
      </c>
      <c r="CJ493" s="71">
        <f t="shared" si="125"/>
        <v>12.041639999999999</v>
      </c>
      <c r="CL493" s="222">
        <v>45358</v>
      </c>
      <c r="CM493" t="s">
        <v>238</v>
      </c>
      <c r="CN493" s="101">
        <v>729</v>
      </c>
      <c r="CO493" s="101">
        <v>503</v>
      </c>
    </row>
    <row r="494" spans="1:93" hidden="1" x14ac:dyDescent="0.25">
      <c r="A494" s="215">
        <v>45380</v>
      </c>
      <c r="B494" s="104">
        <v>6541592</v>
      </c>
      <c r="C494" s="104">
        <v>35734</v>
      </c>
      <c r="D494" s="104">
        <v>6577326</v>
      </c>
      <c r="E494" s="104">
        <v>99.46</v>
      </c>
      <c r="F494" s="71">
        <f t="shared" si="122"/>
        <v>6.5773260000000002</v>
      </c>
      <c r="H494" s="215">
        <v>45380</v>
      </c>
      <c r="I494" s="101">
        <v>1642338</v>
      </c>
      <c r="J494" s="101">
        <v>334</v>
      </c>
      <c r="K494" s="101">
        <v>1642672</v>
      </c>
      <c r="L494" s="101">
        <v>99.98</v>
      </c>
      <c r="M494" s="71">
        <f t="shared" si="121"/>
        <v>1.6426719999999999</v>
      </c>
      <c r="O494" s="215">
        <v>45380</v>
      </c>
      <c r="P494" s="101">
        <v>803450</v>
      </c>
      <c r="Q494" s="101">
        <v>4</v>
      </c>
      <c r="R494" s="101">
        <v>803454</v>
      </c>
      <c r="S494" s="101">
        <v>100</v>
      </c>
      <c r="T494" s="71">
        <f t="shared" si="124"/>
        <v>0.803454</v>
      </c>
      <c r="V494" s="215">
        <v>45380</v>
      </c>
      <c r="W494" s="101">
        <v>946428</v>
      </c>
      <c r="X494" s="101">
        <v>2880</v>
      </c>
      <c r="Y494" s="101">
        <v>949308</v>
      </c>
      <c r="Z494" s="101">
        <v>99.7</v>
      </c>
      <c r="AA494" s="71">
        <f t="shared" si="118"/>
        <v>0.94930800000000004</v>
      </c>
      <c r="AC494" s="215">
        <v>45380</v>
      </c>
      <c r="AD494" s="101">
        <v>758252</v>
      </c>
      <c r="AE494" s="101">
        <v>80</v>
      </c>
      <c r="AF494" s="101">
        <v>758332</v>
      </c>
      <c r="AG494" s="101">
        <v>99.99</v>
      </c>
      <c r="AH494" s="71">
        <f t="shared" si="120"/>
        <v>0.75833200000000001</v>
      </c>
      <c r="AJ494" s="215">
        <v>45380</v>
      </c>
      <c r="AK494" s="48">
        <v>0</v>
      </c>
      <c r="AL494" s="48">
        <v>70</v>
      </c>
      <c r="AM494" s="48">
        <v>70</v>
      </c>
      <c r="AN494" s="48">
        <v>0</v>
      </c>
      <c r="AQ494" s="215">
        <v>45380</v>
      </c>
      <c r="AR494" s="48">
        <v>86</v>
      </c>
      <c r="AS494" s="48">
        <v>0</v>
      </c>
      <c r="AT494" s="48">
        <v>86</v>
      </c>
      <c r="AU494" s="48">
        <v>100</v>
      </c>
      <c r="AX494" s="215">
        <v>45380</v>
      </c>
      <c r="AY494" s="48">
        <v>14</v>
      </c>
      <c r="AZ494" s="48">
        <v>0</v>
      </c>
      <c r="BA494" s="48">
        <v>14</v>
      </c>
      <c r="BB494" s="48">
        <v>100</v>
      </c>
      <c r="BE494" s="215">
        <v>45380</v>
      </c>
      <c r="BF494" s="101">
        <v>16462</v>
      </c>
      <c r="BG494" s="101">
        <v>164</v>
      </c>
      <c r="BH494" s="101">
        <v>16626</v>
      </c>
      <c r="BI494" s="101">
        <v>99.01</v>
      </c>
      <c r="BL494" s="215">
        <v>45380</v>
      </c>
      <c r="BM494" s="101">
        <v>226966</v>
      </c>
      <c r="BN494" s="101">
        <v>0</v>
      </c>
      <c r="BO494" s="101">
        <v>226966</v>
      </c>
      <c r="BP494" s="101">
        <v>100</v>
      </c>
      <c r="BS494" s="215">
        <v>45380</v>
      </c>
      <c r="BT494" s="104">
        <v>21200</v>
      </c>
      <c r="BU494" s="104">
        <v>0</v>
      </c>
      <c r="BV494" s="104">
        <v>21200</v>
      </c>
      <c r="BW494" s="104">
        <v>100</v>
      </c>
      <c r="BZ494" s="215">
        <v>45380</v>
      </c>
      <c r="CA494" s="1">
        <v>37926689</v>
      </c>
      <c r="CB494" s="1">
        <v>2745568</v>
      </c>
      <c r="CC494" s="71">
        <f t="shared" si="119"/>
        <v>13.8137860726815</v>
      </c>
      <c r="CE494" s="258">
        <v>45380</v>
      </c>
      <c r="CF494" s="101">
        <v>12725624</v>
      </c>
      <c r="CG494" s="101">
        <v>42970</v>
      </c>
      <c r="CH494" s="101">
        <v>12768594</v>
      </c>
      <c r="CI494" s="101">
        <v>99.66</v>
      </c>
      <c r="CJ494" s="71">
        <f t="shared" si="125"/>
        <v>12.768594</v>
      </c>
      <c r="CL494" s="222">
        <v>45358</v>
      </c>
      <c r="CM494" t="s">
        <v>243</v>
      </c>
      <c r="CN494" s="101">
        <v>709</v>
      </c>
      <c r="CO494" s="101">
        <v>540</v>
      </c>
    </row>
    <row r="495" spans="1:93" hidden="1" x14ac:dyDescent="0.25">
      <c r="A495" s="215">
        <v>45381</v>
      </c>
      <c r="B495" s="104">
        <v>6547178</v>
      </c>
      <c r="C495" s="104">
        <v>7926</v>
      </c>
      <c r="D495" s="104">
        <v>6555104</v>
      </c>
      <c r="E495" s="104">
        <v>99.88</v>
      </c>
      <c r="F495" s="71">
        <f t="shared" si="122"/>
        <v>6.555104</v>
      </c>
      <c r="H495" s="215">
        <v>45381</v>
      </c>
      <c r="I495" s="101">
        <v>1667256</v>
      </c>
      <c r="J495" s="101">
        <v>516</v>
      </c>
      <c r="K495" s="101">
        <v>1667772</v>
      </c>
      <c r="L495" s="101">
        <v>99.97</v>
      </c>
      <c r="M495" s="71">
        <f t="shared" si="121"/>
        <v>1.667772</v>
      </c>
      <c r="O495" s="215">
        <v>45381</v>
      </c>
      <c r="P495" s="101">
        <v>769678</v>
      </c>
      <c r="Q495" s="101">
        <v>0</v>
      </c>
      <c r="R495" s="101">
        <v>769678</v>
      </c>
      <c r="S495" s="101">
        <v>100</v>
      </c>
      <c r="T495" s="71">
        <f t="shared" si="124"/>
        <v>0.76967799999999997</v>
      </c>
      <c r="V495" s="215">
        <v>45381</v>
      </c>
      <c r="W495" s="101">
        <v>891424</v>
      </c>
      <c r="X495" s="101">
        <v>972</v>
      </c>
      <c r="Y495" s="101">
        <v>892396</v>
      </c>
      <c r="Z495" s="101">
        <v>99.89</v>
      </c>
      <c r="AA495" s="71">
        <f t="shared" si="118"/>
        <v>0.89239599999999997</v>
      </c>
      <c r="AC495" s="215">
        <v>45381</v>
      </c>
      <c r="AD495" s="101">
        <v>759480</v>
      </c>
      <c r="AE495" s="101">
        <v>88</v>
      </c>
      <c r="AF495" s="101">
        <v>759568</v>
      </c>
      <c r="AG495" s="101">
        <v>99.99</v>
      </c>
      <c r="AH495" s="71">
        <f t="shared" si="120"/>
        <v>0.75956800000000002</v>
      </c>
      <c r="AJ495" s="215">
        <v>45381</v>
      </c>
      <c r="AK495" s="48">
        <v>0</v>
      </c>
      <c r="AL495" s="48">
        <v>20</v>
      </c>
      <c r="AM495" s="48">
        <v>20</v>
      </c>
      <c r="AN495" s="48">
        <v>0</v>
      </c>
      <c r="AQ495" s="215">
        <v>45381</v>
      </c>
      <c r="AR495" s="48">
        <v>50</v>
      </c>
      <c r="AS495" s="48">
        <v>2</v>
      </c>
      <c r="AT495" s="48">
        <v>52</v>
      </c>
      <c r="AU495" s="48">
        <v>96.15</v>
      </c>
      <c r="AX495" s="215">
        <v>45381</v>
      </c>
      <c r="AY495" s="48">
        <v>8</v>
      </c>
      <c r="AZ495" s="48">
        <v>0</v>
      </c>
      <c r="BA495" s="48">
        <v>8</v>
      </c>
      <c r="BB495" s="48">
        <v>100</v>
      </c>
      <c r="BE495" s="215">
        <v>45381</v>
      </c>
      <c r="BF495" s="101">
        <v>12728</v>
      </c>
      <c r="BG495" s="101">
        <v>134</v>
      </c>
      <c r="BH495" s="101">
        <v>12862</v>
      </c>
      <c r="BI495" s="101">
        <v>98.96</v>
      </c>
      <c r="BL495" s="215">
        <v>45381</v>
      </c>
      <c r="BM495" s="101">
        <v>228862</v>
      </c>
      <c r="BN495" s="101">
        <v>0</v>
      </c>
      <c r="BO495" s="101">
        <v>228862</v>
      </c>
      <c r="BP495" s="101">
        <v>100</v>
      </c>
      <c r="BS495" s="215">
        <v>45381</v>
      </c>
      <c r="BT495" s="104">
        <v>29518</v>
      </c>
      <c r="BU495" s="104">
        <v>0</v>
      </c>
      <c r="BV495" s="104">
        <v>29518</v>
      </c>
      <c r="BW495" s="104">
        <v>100</v>
      </c>
      <c r="BZ495" s="215">
        <v>45381</v>
      </c>
      <c r="CA495" s="1">
        <v>37608156</v>
      </c>
      <c r="CB495" s="1">
        <v>2688585</v>
      </c>
      <c r="CC495" s="71">
        <f t="shared" si="119"/>
        <v>13.988085182354286</v>
      </c>
      <c r="CE495" s="258">
        <v>45381</v>
      </c>
      <c r="CF495" s="101">
        <v>12554686</v>
      </c>
      <c r="CG495" s="101">
        <v>12566</v>
      </c>
      <c r="CH495" s="101">
        <v>12567252</v>
      </c>
      <c r="CI495" s="101">
        <v>99.9</v>
      </c>
      <c r="CJ495" s="71">
        <f t="shared" si="125"/>
        <v>12.567252</v>
      </c>
    </row>
    <row r="496" spans="1:93" hidden="1" x14ac:dyDescent="0.25">
      <c r="A496" s="215">
        <v>45382</v>
      </c>
      <c r="B496" s="104">
        <v>5173918</v>
      </c>
      <c r="C496" s="104">
        <v>2920</v>
      </c>
      <c r="D496" s="104">
        <v>5176838</v>
      </c>
      <c r="E496" s="104">
        <v>99.94</v>
      </c>
      <c r="F496" s="71">
        <f t="shared" si="122"/>
        <v>5.1768380000000001</v>
      </c>
      <c r="H496" s="215">
        <v>45382</v>
      </c>
      <c r="I496" s="101">
        <v>1344906</v>
      </c>
      <c r="J496" s="101">
        <v>314</v>
      </c>
      <c r="K496" s="101">
        <v>1345220</v>
      </c>
      <c r="L496" s="101">
        <v>99.98</v>
      </c>
      <c r="M496" s="71">
        <f t="shared" si="121"/>
        <v>1.3452200000000001</v>
      </c>
      <c r="O496" s="215">
        <v>45382</v>
      </c>
      <c r="P496" s="101">
        <v>760686</v>
      </c>
      <c r="Q496" s="101">
        <v>0</v>
      </c>
      <c r="R496" s="101">
        <v>760686</v>
      </c>
      <c r="S496" s="101">
        <v>100</v>
      </c>
      <c r="T496" s="71">
        <f t="shared" si="124"/>
        <v>0.76068599999999997</v>
      </c>
      <c r="V496" s="215">
        <v>45382</v>
      </c>
      <c r="W496" s="101">
        <v>797848</v>
      </c>
      <c r="X496" s="101">
        <v>334</v>
      </c>
      <c r="Y496" s="101">
        <v>798182</v>
      </c>
      <c r="Z496" s="101">
        <v>99.96</v>
      </c>
      <c r="AA496" s="71">
        <f t="shared" si="118"/>
        <v>0.79818199999999995</v>
      </c>
      <c r="AC496" s="215">
        <v>45382</v>
      </c>
      <c r="AD496" s="101">
        <v>711898</v>
      </c>
      <c r="AE496" s="101">
        <v>114</v>
      </c>
      <c r="AF496" s="101">
        <v>712012</v>
      </c>
      <c r="AG496" s="101">
        <v>99.98</v>
      </c>
      <c r="AH496" s="71">
        <f t="shared" si="120"/>
        <v>0.71201199999999998</v>
      </c>
      <c r="AJ496" s="215">
        <v>45382</v>
      </c>
      <c r="AK496" s="48">
        <v>0</v>
      </c>
      <c r="AL496" s="48">
        <v>24</v>
      </c>
      <c r="AM496" s="48">
        <v>24</v>
      </c>
      <c r="AN496" s="48">
        <v>0</v>
      </c>
      <c r="AQ496" s="215">
        <v>45382</v>
      </c>
      <c r="AR496" s="48">
        <v>88</v>
      </c>
      <c r="AS496" s="48">
        <v>0</v>
      </c>
      <c r="AT496" s="48">
        <v>88</v>
      </c>
      <c r="AU496" s="48">
        <v>100</v>
      </c>
      <c r="AX496" s="215">
        <v>45382</v>
      </c>
      <c r="AY496" s="48">
        <v>8</v>
      </c>
      <c r="AZ496" s="48">
        <v>0</v>
      </c>
      <c r="BA496" s="48">
        <v>8</v>
      </c>
      <c r="BB496" s="48">
        <v>100</v>
      </c>
      <c r="BE496" s="215">
        <v>45382</v>
      </c>
      <c r="BF496" s="101">
        <v>8726</v>
      </c>
      <c r="BG496" s="101">
        <v>100</v>
      </c>
      <c r="BH496" s="101">
        <v>8826</v>
      </c>
      <c r="BI496" s="101">
        <v>98.87</v>
      </c>
      <c r="BL496" s="215">
        <v>45382</v>
      </c>
      <c r="BM496" s="101">
        <v>3894</v>
      </c>
      <c r="BN496" s="101">
        <v>0</v>
      </c>
      <c r="BO496" s="101">
        <v>3894</v>
      </c>
      <c r="BP496" s="101">
        <v>100</v>
      </c>
      <c r="BS496" s="215">
        <v>45382</v>
      </c>
      <c r="BT496" s="104">
        <v>22178</v>
      </c>
      <c r="BU496" s="104">
        <v>0</v>
      </c>
      <c r="BV496" s="104">
        <v>22178</v>
      </c>
      <c r="BW496" s="104">
        <v>100</v>
      </c>
      <c r="BZ496" s="215">
        <v>45382</v>
      </c>
      <c r="CA496" s="1">
        <v>31296803</v>
      </c>
      <c r="CB496" s="1">
        <v>1950781</v>
      </c>
      <c r="CC496" s="71">
        <f t="shared" si="119"/>
        <v>16.043217049991771</v>
      </c>
      <c r="CE496" s="258">
        <v>45382</v>
      </c>
      <c r="CF496" s="101">
        <v>10441102</v>
      </c>
      <c r="CG496" s="101">
        <v>6498</v>
      </c>
      <c r="CH496" s="101">
        <v>10447600</v>
      </c>
      <c r="CI496" s="101">
        <v>99.94</v>
      </c>
      <c r="CJ496" s="71">
        <f t="shared" si="125"/>
        <v>10.4476</v>
      </c>
      <c r="CL496" s="70">
        <v>45361</v>
      </c>
      <c r="CM496" t="s">
        <v>237</v>
      </c>
      <c r="CN496">
        <v>12428</v>
      </c>
      <c r="CO496">
        <v>527</v>
      </c>
    </row>
    <row r="497" spans="1:93" hidden="1" x14ac:dyDescent="0.25">
      <c r="A497" s="215">
        <v>45383</v>
      </c>
      <c r="B497" s="104">
        <v>5367844</v>
      </c>
      <c r="C497" s="104">
        <v>6322</v>
      </c>
      <c r="D497" s="104">
        <v>5374166</v>
      </c>
      <c r="E497" s="104">
        <v>99.88</v>
      </c>
      <c r="F497" s="71">
        <f t="shared" si="122"/>
        <v>5.3741659999999998</v>
      </c>
      <c r="H497" s="215">
        <v>45383</v>
      </c>
      <c r="I497" s="101">
        <v>1388244</v>
      </c>
      <c r="J497" s="101">
        <v>404</v>
      </c>
      <c r="K497" s="101">
        <v>1388648</v>
      </c>
      <c r="L497" s="101">
        <v>99.97</v>
      </c>
      <c r="M497" s="71">
        <f t="shared" si="121"/>
        <v>1.3886480000000001</v>
      </c>
      <c r="O497" s="215">
        <v>45383</v>
      </c>
      <c r="P497" s="101">
        <v>759874</v>
      </c>
      <c r="Q497" s="101">
        <v>0</v>
      </c>
      <c r="R497" s="101">
        <v>759874</v>
      </c>
      <c r="S497" s="101">
        <v>100</v>
      </c>
      <c r="T497" s="71">
        <f t="shared" si="124"/>
        <v>0.75987400000000005</v>
      </c>
      <c r="V497" s="215">
        <v>45383</v>
      </c>
      <c r="W497" s="101">
        <v>850952</v>
      </c>
      <c r="X497" s="101">
        <v>584</v>
      </c>
      <c r="Y497" s="101">
        <v>851536</v>
      </c>
      <c r="Z497" s="101">
        <v>99.93</v>
      </c>
      <c r="AA497" s="71">
        <f t="shared" si="118"/>
        <v>0.85153599999999996</v>
      </c>
      <c r="AC497" s="215">
        <v>45383</v>
      </c>
      <c r="AD497" s="101">
        <v>668936</v>
      </c>
      <c r="AE497" s="101">
        <v>72</v>
      </c>
      <c r="AF497" s="101">
        <v>669008</v>
      </c>
      <c r="AG497" s="101">
        <v>99.99</v>
      </c>
      <c r="AH497" s="71">
        <f t="shared" si="120"/>
        <v>0.66900800000000005</v>
      </c>
      <c r="AJ497" s="215">
        <v>45383</v>
      </c>
      <c r="AK497" s="48">
        <v>0</v>
      </c>
      <c r="AL497" s="48">
        <v>14</v>
      </c>
      <c r="AM497" s="48">
        <v>14</v>
      </c>
      <c r="AN497" s="48">
        <v>0</v>
      </c>
      <c r="AQ497" s="215">
        <v>45383</v>
      </c>
      <c r="AR497" s="48">
        <v>140</v>
      </c>
      <c r="AS497" s="48">
        <v>0</v>
      </c>
      <c r="AT497" s="48">
        <v>140</v>
      </c>
      <c r="AU497" s="48">
        <v>100</v>
      </c>
      <c r="AX497" s="215">
        <v>45383</v>
      </c>
      <c r="AY497" s="48">
        <v>10</v>
      </c>
      <c r="AZ497" s="48">
        <v>0</v>
      </c>
      <c r="BA497" s="48">
        <v>10</v>
      </c>
      <c r="BB497" s="48">
        <v>100</v>
      </c>
      <c r="BE497" s="215">
        <v>45383</v>
      </c>
      <c r="BF497" s="101">
        <v>10404</v>
      </c>
      <c r="BG497" s="101">
        <v>114</v>
      </c>
      <c r="BH497" s="101">
        <v>10518</v>
      </c>
      <c r="BI497" s="101">
        <v>98.92</v>
      </c>
      <c r="BL497" s="215">
        <v>45383</v>
      </c>
      <c r="BM497" s="101">
        <v>4816</v>
      </c>
      <c r="BN497" s="101">
        <v>0</v>
      </c>
      <c r="BO497" s="101">
        <v>4816</v>
      </c>
      <c r="BP497" s="101">
        <v>100</v>
      </c>
      <c r="BS497" s="215">
        <v>45383</v>
      </c>
      <c r="BT497" s="104">
        <v>18300</v>
      </c>
      <c r="BU497" s="104">
        <v>12</v>
      </c>
      <c r="BV497" s="104">
        <v>18312</v>
      </c>
      <c r="BW497" s="104">
        <v>99.93</v>
      </c>
      <c r="BZ497" s="215">
        <v>45383</v>
      </c>
      <c r="CA497" s="1">
        <v>32308416</v>
      </c>
      <c r="CB497" s="1">
        <v>2364994</v>
      </c>
      <c r="CC497" s="71">
        <f t="shared" si="119"/>
        <v>13.661098505958154</v>
      </c>
      <c r="CE497" s="258">
        <v>45383</v>
      </c>
      <c r="CF497" s="101">
        <v>10814540</v>
      </c>
      <c r="CG497" s="101">
        <v>10576</v>
      </c>
      <c r="CH497" s="101">
        <v>10825116</v>
      </c>
      <c r="CI497" s="101">
        <v>99.9</v>
      </c>
      <c r="CJ497" s="71">
        <f t="shared" si="125"/>
        <v>10.825116</v>
      </c>
      <c r="CL497" s="70">
        <v>45361</v>
      </c>
      <c r="CM497" s="252" t="s">
        <v>239</v>
      </c>
      <c r="CN497">
        <v>5288</v>
      </c>
      <c r="CO497">
        <v>504</v>
      </c>
    </row>
    <row r="498" spans="1:93" hidden="1" x14ac:dyDescent="0.25">
      <c r="A498" s="215">
        <v>45384</v>
      </c>
      <c r="B498" s="104">
        <v>6005550</v>
      </c>
      <c r="C498" s="104">
        <v>4510</v>
      </c>
      <c r="D498" s="104">
        <v>6010060</v>
      </c>
      <c r="E498" s="104">
        <v>99.92</v>
      </c>
      <c r="F498" s="71">
        <f t="shared" si="122"/>
        <v>6.0100600000000002</v>
      </c>
      <c r="H498" s="215">
        <v>45384</v>
      </c>
      <c r="I498" s="101">
        <v>1599114</v>
      </c>
      <c r="J498" s="101">
        <v>448</v>
      </c>
      <c r="K498" s="101">
        <v>1599562</v>
      </c>
      <c r="L498" s="101">
        <v>99.97</v>
      </c>
      <c r="M498" s="71">
        <f t="shared" si="121"/>
        <v>1.5995619999999999</v>
      </c>
      <c r="O498" s="215">
        <v>45384</v>
      </c>
      <c r="P498" s="101">
        <v>747772</v>
      </c>
      <c r="Q498" s="101">
        <v>0</v>
      </c>
      <c r="R498" s="101">
        <v>747772</v>
      </c>
      <c r="S498" s="101">
        <v>100</v>
      </c>
      <c r="T498" s="71">
        <f t="shared" si="124"/>
        <v>0.74777199999999999</v>
      </c>
      <c r="V498" s="215">
        <v>45384</v>
      </c>
      <c r="W498" s="101">
        <v>862226</v>
      </c>
      <c r="X498" s="101">
        <v>156</v>
      </c>
      <c r="Y498" s="101">
        <v>862382</v>
      </c>
      <c r="Z498" s="101">
        <v>99.98</v>
      </c>
      <c r="AA498" s="71">
        <f t="shared" si="118"/>
        <v>0.86238199999999998</v>
      </c>
      <c r="AC498" s="215">
        <v>45384</v>
      </c>
      <c r="AD498" s="101">
        <v>672844</v>
      </c>
      <c r="AE498" s="101">
        <v>102</v>
      </c>
      <c r="AF498" s="101">
        <v>672946</v>
      </c>
      <c r="AG498" s="101">
        <v>99.98</v>
      </c>
      <c r="AH498" s="71">
        <f t="shared" si="120"/>
        <v>0.67294600000000004</v>
      </c>
      <c r="AJ498" s="215">
        <v>45384</v>
      </c>
      <c r="AK498" s="48">
        <v>0</v>
      </c>
      <c r="AL498" s="48">
        <v>8</v>
      </c>
      <c r="AM498" s="48">
        <v>8</v>
      </c>
      <c r="AN498" s="48">
        <v>0</v>
      </c>
      <c r="AQ498" s="215">
        <v>45384</v>
      </c>
      <c r="AR498" s="48">
        <v>402</v>
      </c>
      <c r="AS498" s="48">
        <v>2</v>
      </c>
      <c r="AT498" s="48">
        <v>404</v>
      </c>
      <c r="AU498" s="48">
        <v>99.5</v>
      </c>
      <c r="AX498" s="215">
        <v>45384</v>
      </c>
      <c r="AY498" s="48">
        <v>20</v>
      </c>
      <c r="AZ498" s="48">
        <v>0</v>
      </c>
      <c r="BA498" s="48">
        <v>20</v>
      </c>
      <c r="BB498" s="48">
        <v>100</v>
      </c>
      <c r="BE498" s="215">
        <v>45384</v>
      </c>
      <c r="BF498" s="101">
        <v>39460</v>
      </c>
      <c r="BG498" s="101">
        <v>2026</v>
      </c>
      <c r="BH498" s="101">
        <v>41486</v>
      </c>
      <c r="BI498" s="101">
        <v>95.12</v>
      </c>
      <c r="BL498" s="215">
        <v>45384</v>
      </c>
      <c r="BM498" s="101">
        <v>227806</v>
      </c>
      <c r="BN498" s="101">
        <v>0</v>
      </c>
      <c r="BO498" s="101">
        <v>227806</v>
      </c>
      <c r="BP498" s="101">
        <v>100</v>
      </c>
      <c r="BS498" s="215">
        <v>45384</v>
      </c>
      <c r="BT498" s="104">
        <v>8958</v>
      </c>
      <c r="BU498" s="104">
        <v>358</v>
      </c>
      <c r="BV498" s="104">
        <v>9316</v>
      </c>
      <c r="BW498" s="104">
        <v>96.16</v>
      </c>
      <c r="BZ498" s="215">
        <v>45384</v>
      </c>
      <c r="CA498" s="1">
        <v>35512142</v>
      </c>
      <c r="CB498" s="1">
        <v>2794801</v>
      </c>
      <c r="CC498" s="71">
        <f t="shared" si="119"/>
        <v>12.706501106876662</v>
      </c>
      <c r="CE498" s="258">
        <v>45384</v>
      </c>
      <c r="CF498" s="101">
        <v>11886210</v>
      </c>
      <c r="CG498" s="101">
        <v>10804</v>
      </c>
      <c r="CH498" s="101">
        <v>11897014</v>
      </c>
      <c r="CI498" s="101">
        <v>99.91</v>
      </c>
      <c r="CJ498" s="71">
        <f t="shared" si="125"/>
        <v>11.897014</v>
      </c>
      <c r="CL498" s="70">
        <v>45361</v>
      </c>
      <c r="CM498" t="s">
        <v>240</v>
      </c>
      <c r="CN498">
        <v>3026</v>
      </c>
      <c r="CO498">
        <v>516</v>
      </c>
    </row>
    <row r="499" spans="1:93" hidden="1" x14ac:dyDescent="0.25">
      <c r="A499" s="215">
        <v>45385</v>
      </c>
      <c r="B499" s="104">
        <v>5551612</v>
      </c>
      <c r="C499" s="104">
        <v>1972</v>
      </c>
      <c r="D499" s="104">
        <v>5553584</v>
      </c>
      <c r="E499" s="104">
        <v>99.96</v>
      </c>
      <c r="F499" s="71">
        <f t="shared" si="122"/>
        <v>5.5535839999999999</v>
      </c>
      <c r="H499" s="215">
        <v>45385</v>
      </c>
      <c r="I499" s="101">
        <v>1321292</v>
      </c>
      <c r="J499" s="101">
        <v>408</v>
      </c>
      <c r="K499" s="101">
        <v>1321700</v>
      </c>
      <c r="L499" s="101">
        <v>99.97</v>
      </c>
      <c r="M499" s="71">
        <f t="shared" si="121"/>
        <v>1.3217000000000001</v>
      </c>
      <c r="O499" s="215">
        <v>45385</v>
      </c>
      <c r="P499" s="101">
        <v>659846</v>
      </c>
      <c r="Q499" s="101">
        <v>0</v>
      </c>
      <c r="R499" s="101">
        <v>659846</v>
      </c>
      <c r="S499" s="101">
        <v>100</v>
      </c>
      <c r="T499" s="71">
        <f t="shared" si="124"/>
        <v>0.65984600000000004</v>
      </c>
      <c r="V499" s="215">
        <v>45385</v>
      </c>
      <c r="W499" s="101">
        <v>793838</v>
      </c>
      <c r="X499" s="101">
        <v>112</v>
      </c>
      <c r="Y499" s="101">
        <v>793950</v>
      </c>
      <c r="Z499" s="101">
        <v>99.99</v>
      </c>
      <c r="AA499" s="71">
        <f t="shared" si="118"/>
        <v>0.79395000000000004</v>
      </c>
      <c r="AC499" s="215">
        <v>45385</v>
      </c>
      <c r="AD499" s="101">
        <v>685952</v>
      </c>
      <c r="AE499" s="101">
        <v>54</v>
      </c>
      <c r="AF499" s="101">
        <v>686006</v>
      </c>
      <c r="AG499" s="101">
        <v>99.99</v>
      </c>
      <c r="AH499" s="71">
        <f t="shared" si="120"/>
        <v>0.686006</v>
      </c>
      <c r="AJ499" s="215">
        <v>45385</v>
      </c>
      <c r="AK499" s="48">
        <v>0</v>
      </c>
      <c r="AL499" s="48">
        <v>12</v>
      </c>
      <c r="AM499" s="48">
        <v>12</v>
      </c>
      <c r="AN499" s="48">
        <v>0</v>
      </c>
      <c r="AQ499" s="215">
        <v>45385</v>
      </c>
      <c r="AR499" s="48">
        <v>98</v>
      </c>
      <c r="AS499" s="48">
        <v>0</v>
      </c>
      <c r="AT499" s="48">
        <v>98</v>
      </c>
      <c r="AU499" s="48">
        <v>100</v>
      </c>
      <c r="AX499" s="215">
        <v>45385</v>
      </c>
      <c r="AY499" s="48">
        <v>14</v>
      </c>
      <c r="AZ499" s="48">
        <v>0</v>
      </c>
      <c r="BA499" s="48">
        <v>14</v>
      </c>
      <c r="BB499" s="48">
        <v>100</v>
      </c>
      <c r="BE499" s="215">
        <v>45385</v>
      </c>
      <c r="BF499" s="101">
        <v>13714</v>
      </c>
      <c r="BG499" s="101">
        <v>168</v>
      </c>
      <c r="BH499" s="101">
        <v>13882</v>
      </c>
      <c r="BI499" s="101">
        <v>98.79</v>
      </c>
      <c r="BL499" s="215">
        <v>45385</v>
      </c>
      <c r="BM499" s="101">
        <v>230694</v>
      </c>
      <c r="BN499" s="101">
        <v>0</v>
      </c>
      <c r="BO499" s="101">
        <v>230694</v>
      </c>
      <c r="BP499" s="101">
        <v>100</v>
      </c>
      <c r="BS499" s="215">
        <v>45385</v>
      </c>
      <c r="BT499" s="104">
        <v>27462</v>
      </c>
      <c r="BU499" s="104">
        <v>0</v>
      </c>
      <c r="BV499" s="104">
        <v>27462</v>
      </c>
      <c r="BW499" s="104">
        <v>100</v>
      </c>
      <c r="BZ499" s="215">
        <v>45385</v>
      </c>
      <c r="CA499" s="1">
        <v>32472024</v>
      </c>
      <c r="CB499" s="1">
        <v>2644491</v>
      </c>
      <c r="CC499" s="71">
        <f t="shared" si="119"/>
        <v>12.279120632288029</v>
      </c>
      <c r="CE499" s="258">
        <v>45385</v>
      </c>
      <c r="CF499" s="101">
        <v>10854038</v>
      </c>
      <c r="CG499" s="101">
        <v>5288</v>
      </c>
      <c r="CH499" s="101">
        <v>10859326</v>
      </c>
      <c r="CI499" s="101">
        <v>99.95</v>
      </c>
      <c r="CJ499" s="71">
        <f t="shared" si="125"/>
        <v>10.859325999999999</v>
      </c>
      <c r="CL499" s="70">
        <v>45361</v>
      </c>
      <c r="CM499" t="s">
        <v>243</v>
      </c>
      <c r="CN499">
        <v>936</v>
      </c>
      <c r="CO499">
        <v>540</v>
      </c>
    </row>
    <row r="500" spans="1:93" hidden="1" x14ac:dyDescent="0.25">
      <c r="A500" s="215">
        <v>45386</v>
      </c>
      <c r="B500" s="104">
        <v>5839156</v>
      </c>
      <c r="C500" s="104">
        <v>2228</v>
      </c>
      <c r="D500" s="104">
        <v>5841384</v>
      </c>
      <c r="E500" s="104">
        <v>99.96</v>
      </c>
      <c r="F500" s="71">
        <f t="shared" si="122"/>
        <v>5.8413839999999997</v>
      </c>
      <c r="H500" s="215">
        <v>45386</v>
      </c>
      <c r="I500" s="101">
        <v>1368414</v>
      </c>
      <c r="J500" s="101">
        <v>302</v>
      </c>
      <c r="K500" s="101">
        <v>1368716</v>
      </c>
      <c r="L500" s="101">
        <v>99.98</v>
      </c>
      <c r="M500" s="71">
        <f t="shared" si="121"/>
        <v>1.368716</v>
      </c>
      <c r="O500" s="215">
        <v>45386</v>
      </c>
      <c r="P500" s="101">
        <v>687442</v>
      </c>
      <c r="Q500" s="101">
        <v>0</v>
      </c>
      <c r="R500" s="101">
        <v>687442</v>
      </c>
      <c r="S500" s="101">
        <v>100</v>
      </c>
      <c r="T500" s="71">
        <f t="shared" si="124"/>
        <v>0.687442</v>
      </c>
      <c r="V500" s="215">
        <v>45386</v>
      </c>
      <c r="W500" s="101">
        <v>822038</v>
      </c>
      <c r="X500" s="101">
        <v>162</v>
      </c>
      <c r="Y500" s="101">
        <v>822200</v>
      </c>
      <c r="Z500" s="101">
        <v>99.98</v>
      </c>
      <c r="AA500" s="71">
        <f t="shared" si="118"/>
        <v>0.82220000000000004</v>
      </c>
      <c r="AC500" s="215">
        <v>45386</v>
      </c>
      <c r="AD500" s="101">
        <v>740890</v>
      </c>
      <c r="AE500" s="101">
        <v>80</v>
      </c>
      <c r="AF500" s="101">
        <v>740970</v>
      </c>
      <c r="AG500" s="101">
        <v>99.99</v>
      </c>
      <c r="AH500" s="71">
        <f t="shared" si="120"/>
        <v>0.74097000000000002</v>
      </c>
      <c r="AJ500" s="215">
        <v>45386</v>
      </c>
      <c r="AK500" s="48">
        <v>0</v>
      </c>
      <c r="AL500" s="48">
        <v>20</v>
      </c>
      <c r="AM500" s="48">
        <v>20</v>
      </c>
      <c r="AN500" s="48">
        <v>0</v>
      </c>
      <c r="AQ500" s="215">
        <v>45386</v>
      </c>
      <c r="AR500" s="48">
        <v>166</v>
      </c>
      <c r="AS500" s="48">
        <v>2</v>
      </c>
      <c r="AT500" s="48">
        <v>168</v>
      </c>
      <c r="AU500" s="48">
        <v>98.81</v>
      </c>
      <c r="AX500" s="215">
        <v>45386</v>
      </c>
      <c r="AY500" s="48">
        <v>4</v>
      </c>
      <c r="AZ500" s="48">
        <v>0</v>
      </c>
      <c r="BA500" s="48">
        <v>4</v>
      </c>
      <c r="BB500" s="48">
        <v>100</v>
      </c>
      <c r="BE500" s="215">
        <v>45386</v>
      </c>
      <c r="BF500" s="101">
        <v>12918</v>
      </c>
      <c r="BG500" s="101">
        <v>194</v>
      </c>
      <c r="BH500" s="101">
        <v>13112</v>
      </c>
      <c r="BI500" s="101">
        <v>98.52</v>
      </c>
      <c r="BL500" s="215">
        <v>45386</v>
      </c>
      <c r="BM500" s="101">
        <v>228138</v>
      </c>
      <c r="BN500" s="101">
        <v>0</v>
      </c>
      <c r="BO500" s="101">
        <v>228138</v>
      </c>
      <c r="BP500" s="101">
        <v>100</v>
      </c>
      <c r="BS500" s="215">
        <v>45386</v>
      </c>
      <c r="BT500" s="104">
        <v>4832</v>
      </c>
      <c r="BU500" s="104">
        <v>0</v>
      </c>
      <c r="BV500" s="104">
        <v>4832</v>
      </c>
      <c r="BW500" s="104">
        <v>100</v>
      </c>
      <c r="BZ500" s="215">
        <v>45386</v>
      </c>
      <c r="CA500" s="1">
        <v>33404237</v>
      </c>
      <c r="CB500" s="1">
        <v>2673560</v>
      </c>
      <c r="CC500" s="71">
        <f t="shared" si="119"/>
        <v>12.494291132422687</v>
      </c>
      <c r="CE500" s="258">
        <v>45386</v>
      </c>
      <c r="CF500" s="101">
        <v>11355724</v>
      </c>
      <c r="CG500" s="101">
        <v>5926</v>
      </c>
      <c r="CH500" s="101">
        <v>11361650</v>
      </c>
      <c r="CI500" s="101">
        <v>99.95</v>
      </c>
      <c r="CJ500" s="71">
        <f t="shared" si="125"/>
        <v>11.361649999999999</v>
      </c>
      <c r="CL500" s="70">
        <v>45361</v>
      </c>
      <c r="CM500" t="s">
        <v>238</v>
      </c>
      <c r="CN500">
        <v>757</v>
      </c>
      <c r="CO500">
        <v>503</v>
      </c>
    </row>
    <row r="501" spans="1:93" hidden="1" x14ac:dyDescent="0.25">
      <c r="A501" s="215">
        <v>45387</v>
      </c>
      <c r="B501" s="104">
        <v>6730422</v>
      </c>
      <c r="C501" s="104">
        <v>13618</v>
      </c>
      <c r="D501" s="104">
        <v>6744040</v>
      </c>
      <c r="E501" s="104">
        <v>99.8</v>
      </c>
      <c r="F501" s="71">
        <f t="shared" si="122"/>
        <v>6.74404</v>
      </c>
      <c r="H501" s="215">
        <v>45387</v>
      </c>
      <c r="I501" s="101">
        <v>1501704</v>
      </c>
      <c r="J501" s="101">
        <v>302</v>
      </c>
      <c r="K501" s="101">
        <v>1502006</v>
      </c>
      <c r="L501" s="101">
        <v>99.98</v>
      </c>
      <c r="M501" s="71">
        <f t="shared" si="121"/>
        <v>1.502006</v>
      </c>
      <c r="O501" s="215">
        <v>45387</v>
      </c>
      <c r="P501" s="101">
        <v>702402</v>
      </c>
      <c r="Q501" s="101">
        <v>0</v>
      </c>
      <c r="R501" s="101">
        <v>702402</v>
      </c>
      <c r="S501" s="101">
        <v>100</v>
      </c>
      <c r="T501" s="71">
        <f t="shared" si="124"/>
        <v>0.70240199999999997</v>
      </c>
      <c r="V501" s="215">
        <v>45387</v>
      </c>
      <c r="W501" s="101">
        <v>911124</v>
      </c>
      <c r="X501" s="101">
        <v>1386</v>
      </c>
      <c r="Y501" s="101">
        <v>912510</v>
      </c>
      <c r="Z501" s="101">
        <v>99.85</v>
      </c>
      <c r="AA501" s="71">
        <f t="shared" si="118"/>
        <v>0.91251000000000004</v>
      </c>
      <c r="AC501" s="215">
        <v>45387</v>
      </c>
      <c r="AD501" s="101">
        <v>751682</v>
      </c>
      <c r="AE501" s="101">
        <v>54</v>
      </c>
      <c r="AF501" s="101">
        <v>751736</v>
      </c>
      <c r="AG501" s="101">
        <v>99.99</v>
      </c>
      <c r="AH501" s="71">
        <f t="shared" si="120"/>
        <v>0.75173599999999996</v>
      </c>
      <c r="AJ501" s="215">
        <v>45387</v>
      </c>
      <c r="AK501" s="48">
        <v>0</v>
      </c>
      <c r="AL501" s="48">
        <v>84</v>
      </c>
      <c r="AM501" s="48">
        <v>84</v>
      </c>
      <c r="AN501" s="48">
        <v>0</v>
      </c>
      <c r="AQ501" s="215">
        <v>45387</v>
      </c>
      <c r="AR501" s="48">
        <v>88</v>
      </c>
      <c r="AS501" s="48">
        <v>0</v>
      </c>
      <c r="AT501" s="48">
        <v>88</v>
      </c>
      <c r="AU501" s="48">
        <v>100</v>
      </c>
      <c r="AX501" s="215">
        <v>45387</v>
      </c>
      <c r="AY501" s="48">
        <v>2</v>
      </c>
      <c r="AZ501" s="48">
        <v>0</v>
      </c>
      <c r="BA501" s="48">
        <v>2</v>
      </c>
      <c r="BB501" s="48">
        <v>100</v>
      </c>
      <c r="BE501" s="215">
        <v>45387</v>
      </c>
      <c r="BF501" s="101">
        <v>12684</v>
      </c>
      <c r="BG501" s="101">
        <v>212</v>
      </c>
      <c r="BH501" s="101">
        <v>12896</v>
      </c>
      <c r="BI501" s="101">
        <v>98.36</v>
      </c>
      <c r="BL501" s="215">
        <v>45387</v>
      </c>
      <c r="BM501" s="101">
        <v>226054</v>
      </c>
      <c r="BN501" s="101">
        <v>0</v>
      </c>
      <c r="BO501" s="101">
        <v>226054</v>
      </c>
      <c r="BP501" s="101">
        <v>100</v>
      </c>
      <c r="BS501" s="215">
        <v>45387</v>
      </c>
      <c r="BT501" s="104">
        <v>4178</v>
      </c>
      <c r="BU501" s="104">
        <v>0</v>
      </c>
      <c r="BV501" s="104">
        <v>4178</v>
      </c>
      <c r="BW501" s="104">
        <v>100</v>
      </c>
      <c r="BZ501" s="215">
        <v>45387</v>
      </c>
      <c r="CA501" s="1">
        <v>38354120</v>
      </c>
      <c r="CB501" s="1">
        <v>2685666</v>
      </c>
      <c r="CC501" s="71">
        <f t="shared" si="119"/>
        <v>14.281046116680184</v>
      </c>
      <c r="CE501" s="258">
        <v>45387</v>
      </c>
      <c r="CF501" s="101">
        <v>12842864</v>
      </c>
      <c r="CG501" s="101">
        <v>19426</v>
      </c>
      <c r="CH501" s="101">
        <v>12862290</v>
      </c>
      <c r="CI501" s="101">
        <v>99.85</v>
      </c>
      <c r="CJ501" s="71">
        <f t="shared" si="125"/>
        <v>12.86229</v>
      </c>
    </row>
    <row r="502" spans="1:93" hidden="1" x14ac:dyDescent="0.25">
      <c r="A502" s="215">
        <v>45388</v>
      </c>
      <c r="B502" s="104">
        <v>5807872</v>
      </c>
      <c r="C502" s="104">
        <v>2038</v>
      </c>
      <c r="D502" s="104">
        <v>5809910</v>
      </c>
      <c r="E502" s="104">
        <v>99.96</v>
      </c>
      <c r="F502" s="71">
        <f t="shared" si="122"/>
        <v>5.8099100000000004</v>
      </c>
      <c r="H502" s="215">
        <v>45388</v>
      </c>
      <c r="I502" s="101">
        <v>1313592</v>
      </c>
      <c r="J502" s="101">
        <v>334</v>
      </c>
      <c r="K502" s="101">
        <v>1313926</v>
      </c>
      <c r="L502" s="101">
        <v>99.97</v>
      </c>
      <c r="M502" s="71">
        <f t="shared" si="121"/>
        <v>1.3139259999999999</v>
      </c>
      <c r="O502" s="215">
        <v>45388</v>
      </c>
      <c r="P502" s="101">
        <v>647294</v>
      </c>
      <c r="Q502" s="101">
        <v>0</v>
      </c>
      <c r="R502" s="101">
        <v>647294</v>
      </c>
      <c r="S502" s="101">
        <v>100</v>
      </c>
      <c r="T502" s="71">
        <f t="shared" si="124"/>
        <v>0.64729400000000004</v>
      </c>
      <c r="V502" s="215">
        <v>45388</v>
      </c>
      <c r="W502" s="101">
        <v>798864</v>
      </c>
      <c r="X502" s="101">
        <v>118</v>
      </c>
      <c r="Y502" s="101">
        <v>798982</v>
      </c>
      <c r="Z502" s="101">
        <v>99.99</v>
      </c>
      <c r="AA502" s="71">
        <f t="shared" si="118"/>
        <v>0.79898199999999997</v>
      </c>
      <c r="AC502" s="215">
        <v>45388</v>
      </c>
      <c r="AD502" s="101">
        <v>756200</v>
      </c>
      <c r="AE502" s="101">
        <v>72</v>
      </c>
      <c r="AF502" s="101">
        <v>756272</v>
      </c>
      <c r="AG502" s="101">
        <v>99.99</v>
      </c>
      <c r="AH502" s="71">
        <f t="shared" si="120"/>
        <v>0.75627200000000006</v>
      </c>
      <c r="AJ502" s="215">
        <v>45388</v>
      </c>
      <c r="AK502" s="48">
        <v>0</v>
      </c>
      <c r="AL502" s="48">
        <v>20</v>
      </c>
      <c r="AM502" s="48">
        <v>20</v>
      </c>
      <c r="AN502" s="48">
        <v>0</v>
      </c>
      <c r="AQ502" s="215">
        <v>45388</v>
      </c>
      <c r="AR502" s="48">
        <v>38</v>
      </c>
      <c r="AS502" s="48">
        <v>0</v>
      </c>
      <c r="AT502" s="48">
        <v>38</v>
      </c>
      <c r="AU502" s="48">
        <v>100</v>
      </c>
      <c r="AX502" s="215">
        <v>45388</v>
      </c>
      <c r="AY502" s="48">
        <v>6</v>
      </c>
      <c r="AZ502" s="48">
        <v>0</v>
      </c>
      <c r="BA502" s="48">
        <v>6</v>
      </c>
      <c r="BB502" s="48">
        <v>100</v>
      </c>
      <c r="BE502" s="215">
        <v>45388</v>
      </c>
      <c r="BF502" s="101">
        <v>10630</v>
      </c>
      <c r="BG502" s="101">
        <v>124</v>
      </c>
      <c r="BH502" s="101">
        <v>10754</v>
      </c>
      <c r="BI502" s="101">
        <v>98.85</v>
      </c>
      <c r="BL502" s="215">
        <v>45388</v>
      </c>
      <c r="BM502" s="101">
        <v>227604</v>
      </c>
      <c r="BN502" s="101">
        <v>0</v>
      </c>
      <c r="BO502" s="101">
        <v>227604</v>
      </c>
      <c r="BP502" s="101">
        <v>100</v>
      </c>
      <c r="BS502" s="215">
        <v>45388</v>
      </c>
      <c r="BT502" s="104">
        <v>23944</v>
      </c>
      <c r="BU502" s="104">
        <v>0</v>
      </c>
      <c r="BV502" s="104">
        <v>23944</v>
      </c>
      <c r="BW502" s="104">
        <v>100</v>
      </c>
      <c r="BZ502" s="215">
        <v>45388</v>
      </c>
      <c r="CA502" s="1">
        <v>33954349</v>
      </c>
      <c r="CB502" s="1">
        <v>2578043</v>
      </c>
      <c r="CC502" s="71">
        <f t="shared" si="119"/>
        <v>13.170590637937382</v>
      </c>
      <c r="CE502" s="258">
        <v>45388</v>
      </c>
      <c r="CF502" s="101">
        <v>11368808</v>
      </c>
      <c r="CG502" s="101">
        <v>5760</v>
      </c>
      <c r="CH502" s="101">
        <v>11374568</v>
      </c>
      <c r="CI502" s="101">
        <v>99.95</v>
      </c>
      <c r="CJ502" s="71">
        <f t="shared" si="125"/>
        <v>11.374568</v>
      </c>
      <c r="CL502" s="70">
        <v>45362</v>
      </c>
      <c r="CM502" t="s">
        <v>237</v>
      </c>
      <c r="CN502">
        <v>20168</v>
      </c>
      <c r="CO502">
        <v>527</v>
      </c>
    </row>
    <row r="503" spans="1:93" hidden="1" x14ac:dyDescent="0.25">
      <c r="A503" s="215">
        <v>45389</v>
      </c>
      <c r="B503" s="104">
        <v>5238956</v>
      </c>
      <c r="C503" s="104">
        <v>2030</v>
      </c>
      <c r="D503" s="104">
        <v>5240986</v>
      </c>
      <c r="E503" s="104">
        <v>99.96</v>
      </c>
      <c r="F503" s="71">
        <f t="shared" si="122"/>
        <v>5.2409860000000004</v>
      </c>
      <c r="H503" s="215">
        <v>45389</v>
      </c>
      <c r="I503" s="101">
        <v>1221020</v>
      </c>
      <c r="J503" s="101">
        <v>284</v>
      </c>
      <c r="K503" s="101">
        <v>1221304</v>
      </c>
      <c r="L503" s="101">
        <v>99.98</v>
      </c>
      <c r="M503" s="71">
        <f t="shared" si="121"/>
        <v>1.2213039999999999</v>
      </c>
      <c r="O503" s="215">
        <v>45389</v>
      </c>
      <c r="P503" s="101">
        <v>649624</v>
      </c>
      <c r="Q503" s="101">
        <v>0</v>
      </c>
      <c r="R503" s="101">
        <v>649624</v>
      </c>
      <c r="S503" s="101">
        <v>100</v>
      </c>
      <c r="T503" s="71">
        <f t="shared" si="124"/>
        <v>0.64962399999999998</v>
      </c>
      <c r="V503" s="215">
        <v>45389</v>
      </c>
      <c r="W503" s="101">
        <v>788680</v>
      </c>
      <c r="X503" s="101">
        <v>162</v>
      </c>
      <c r="Y503" s="101">
        <v>788842</v>
      </c>
      <c r="Z503" s="101">
        <v>99.98</v>
      </c>
      <c r="AA503" s="71">
        <f t="shared" si="118"/>
        <v>0.78884200000000004</v>
      </c>
      <c r="AC503" s="215">
        <v>45389</v>
      </c>
      <c r="AD503" s="101">
        <v>731360</v>
      </c>
      <c r="AE503" s="101">
        <v>64</v>
      </c>
      <c r="AF503" s="101">
        <v>731424</v>
      </c>
      <c r="AG503" s="101">
        <v>99.99</v>
      </c>
      <c r="AH503" s="71">
        <f t="shared" si="120"/>
        <v>0.73142399999999996</v>
      </c>
      <c r="AJ503" s="215">
        <v>45389</v>
      </c>
      <c r="AK503" s="48">
        <v>0</v>
      </c>
      <c r="AL503" s="48">
        <v>20</v>
      </c>
      <c r="AM503" s="48">
        <v>20</v>
      </c>
      <c r="AN503" s="48">
        <v>0</v>
      </c>
      <c r="AQ503" s="215">
        <v>45389</v>
      </c>
      <c r="AR503" s="48">
        <v>48</v>
      </c>
      <c r="AS503" s="48">
        <v>20</v>
      </c>
      <c r="AT503" s="48">
        <v>68</v>
      </c>
      <c r="AU503" s="48">
        <v>70.59</v>
      </c>
      <c r="AX503" s="215">
        <v>45389</v>
      </c>
      <c r="AY503" s="48">
        <v>2</v>
      </c>
      <c r="AZ503" s="48">
        <v>0</v>
      </c>
      <c r="BA503" s="48">
        <v>2</v>
      </c>
      <c r="BB503" s="48">
        <v>100</v>
      </c>
      <c r="BE503" s="215">
        <v>45389</v>
      </c>
      <c r="BF503" s="101">
        <v>8510</v>
      </c>
      <c r="BG503" s="101">
        <v>68</v>
      </c>
      <c r="BH503" s="101">
        <v>8578</v>
      </c>
      <c r="BI503" s="101">
        <v>99.21</v>
      </c>
      <c r="BL503" s="215">
        <v>45389</v>
      </c>
      <c r="BM503" s="101">
        <v>3808</v>
      </c>
      <c r="BN503" s="101">
        <v>0</v>
      </c>
      <c r="BO503" s="101">
        <v>3808</v>
      </c>
      <c r="BP503" s="101">
        <v>100</v>
      </c>
      <c r="BS503" s="215">
        <v>45389</v>
      </c>
      <c r="BT503" s="104">
        <v>5946</v>
      </c>
      <c r="BU503" s="104">
        <v>0</v>
      </c>
      <c r="BV503" s="104">
        <v>5946</v>
      </c>
      <c r="BW503" s="104">
        <v>100</v>
      </c>
      <c r="BZ503" s="215">
        <v>45389</v>
      </c>
      <c r="CA503" s="1">
        <v>31134014</v>
      </c>
      <c r="CB503" s="1">
        <v>1950949</v>
      </c>
      <c r="CC503" s="71">
        <f t="shared" si="119"/>
        <v>15.958394606932318</v>
      </c>
      <c r="CE503" s="258">
        <v>45389</v>
      </c>
      <c r="CF503" s="101">
        <v>10470976</v>
      </c>
      <c r="CG503" s="101">
        <v>8030</v>
      </c>
      <c r="CH503" s="101">
        <v>10479006</v>
      </c>
      <c r="CI503" s="101">
        <v>99.92</v>
      </c>
      <c r="CJ503" s="71">
        <f t="shared" si="125"/>
        <v>10.479006</v>
      </c>
      <c r="CL503" s="70">
        <v>45362</v>
      </c>
      <c r="CM503" t="s">
        <v>240</v>
      </c>
      <c r="CN503">
        <v>3832</v>
      </c>
      <c r="CO503">
        <v>516</v>
      </c>
    </row>
    <row r="504" spans="1:93" hidden="1" x14ac:dyDescent="0.25">
      <c r="A504" s="215">
        <v>45390</v>
      </c>
      <c r="B504" s="104">
        <v>6595798</v>
      </c>
      <c r="C504" s="104">
        <v>2246</v>
      </c>
      <c r="D504" s="104">
        <v>6598044</v>
      </c>
      <c r="E504" s="104">
        <v>99.97</v>
      </c>
      <c r="F504" s="71">
        <f t="shared" si="122"/>
        <v>6.5980439999999998</v>
      </c>
      <c r="H504" s="215">
        <v>45390</v>
      </c>
      <c r="I504" s="101">
        <v>1524284</v>
      </c>
      <c r="J504" s="101">
        <v>9320</v>
      </c>
      <c r="K504" s="101">
        <v>1533604</v>
      </c>
      <c r="L504" s="101">
        <v>99.39</v>
      </c>
      <c r="M504" s="71">
        <f t="shared" si="121"/>
        <v>1.533604</v>
      </c>
      <c r="O504" s="215">
        <v>45390</v>
      </c>
      <c r="P504" s="101">
        <v>745878</v>
      </c>
      <c r="Q504" s="101">
        <v>0</v>
      </c>
      <c r="R504" s="101">
        <v>745878</v>
      </c>
      <c r="S504" s="101">
        <v>100</v>
      </c>
      <c r="T504" s="71">
        <f t="shared" si="124"/>
        <v>0.74587800000000004</v>
      </c>
      <c r="V504" s="215">
        <v>45390</v>
      </c>
      <c r="W504" s="101">
        <v>983278</v>
      </c>
      <c r="X504" s="101">
        <v>168</v>
      </c>
      <c r="Y504" s="101">
        <v>983446</v>
      </c>
      <c r="Z504" s="101">
        <v>99.98</v>
      </c>
      <c r="AA504" s="71">
        <f t="shared" si="118"/>
        <v>0.98344600000000004</v>
      </c>
      <c r="AC504" s="215">
        <v>45390</v>
      </c>
      <c r="AD504" s="101">
        <v>718086</v>
      </c>
      <c r="AE504" s="101">
        <v>66</v>
      </c>
      <c r="AF504" s="101">
        <v>718152</v>
      </c>
      <c r="AG504" s="101">
        <v>99.99</v>
      </c>
      <c r="AH504" s="71">
        <f t="shared" si="120"/>
        <v>0.71815200000000001</v>
      </c>
      <c r="AJ504" s="215">
        <v>45390</v>
      </c>
      <c r="AK504" s="48">
        <v>0</v>
      </c>
      <c r="AL504" s="48">
        <v>4</v>
      </c>
      <c r="AM504" s="48">
        <v>4</v>
      </c>
      <c r="AN504" s="48">
        <v>0</v>
      </c>
      <c r="AQ504" s="215">
        <v>45390</v>
      </c>
      <c r="AR504" s="48">
        <v>104</v>
      </c>
      <c r="AS504" s="48">
        <v>0</v>
      </c>
      <c r="AT504" s="48">
        <v>104</v>
      </c>
      <c r="AU504" s="48">
        <v>100</v>
      </c>
      <c r="AX504" s="215">
        <v>45390</v>
      </c>
      <c r="AY504" s="288">
        <v>8</v>
      </c>
      <c r="AZ504" s="48">
        <v>0</v>
      </c>
      <c r="BA504" s="48">
        <v>8</v>
      </c>
      <c r="BB504" s="48">
        <v>100</v>
      </c>
      <c r="BE504" s="215">
        <v>45390</v>
      </c>
      <c r="BF504" s="101">
        <v>10872</v>
      </c>
      <c r="BG504" s="101">
        <v>284</v>
      </c>
      <c r="BH504" s="101">
        <v>11156</v>
      </c>
      <c r="BI504" s="101">
        <v>97.45</v>
      </c>
      <c r="BL504" s="215">
        <v>45390</v>
      </c>
      <c r="BM504" s="101">
        <v>227396</v>
      </c>
      <c r="BN504" s="101">
        <v>0</v>
      </c>
      <c r="BO504" s="101">
        <v>227396</v>
      </c>
      <c r="BP504" s="101">
        <v>100</v>
      </c>
      <c r="BS504" s="215">
        <v>45390</v>
      </c>
      <c r="BT504" s="104">
        <v>34942</v>
      </c>
      <c r="BU504" s="104">
        <v>0</v>
      </c>
      <c r="BV504" s="104">
        <v>34942</v>
      </c>
      <c r="BW504" s="104">
        <v>100</v>
      </c>
      <c r="BZ504" s="215">
        <v>45390</v>
      </c>
      <c r="CA504" s="1">
        <v>38928830</v>
      </c>
      <c r="CB504" s="1">
        <v>2805600</v>
      </c>
      <c r="CC504" s="71">
        <f t="shared" si="119"/>
        <v>13.875402765896778</v>
      </c>
      <c r="CE504" s="258">
        <v>45390</v>
      </c>
      <c r="CF504" s="101">
        <v>13004110</v>
      </c>
      <c r="CG504" s="101">
        <v>39238</v>
      </c>
      <c r="CH504" s="101">
        <v>13043348</v>
      </c>
      <c r="CI504" s="101">
        <v>99.7</v>
      </c>
      <c r="CJ504" s="71">
        <f t="shared" si="125"/>
        <v>13.043348</v>
      </c>
      <c r="CL504" s="70">
        <v>45362</v>
      </c>
      <c r="CM504" t="s">
        <v>243</v>
      </c>
      <c r="CN504">
        <v>844</v>
      </c>
      <c r="CO504">
        <v>540</v>
      </c>
    </row>
    <row r="505" spans="1:93" hidden="1" x14ac:dyDescent="0.25">
      <c r="A505" s="215">
        <v>45391</v>
      </c>
      <c r="B505" s="104">
        <v>7205302</v>
      </c>
      <c r="C505" s="104">
        <v>2352</v>
      </c>
      <c r="D505" s="104">
        <v>7207654</v>
      </c>
      <c r="E505" s="104">
        <v>99.97</v>
      </c>
      <c r="F505" s="71">
        <f t="shared" si="122"/>
        <v>7.2076539999999998</v>
      </c>
      <c r="H505" s="215">
        <v>45391</v>
      </c>
      <c r="I505" s="101">
        <v>1691996</v>
      </c>
      <c r="J505" s="101">
        <v>454</v>
      </c>
      <c r="K505" s="101">
        <v>1692450</v>
      </c>
      <c r="L505" s="101">
        <v>99.97</v>
      </c>
      <c r="M505" s="71">
        <f t="shared" si="121"/>
        <v>1.69245</v>
      </c>
      <c r="O505" s="215">
        <v>45391</v>
      </c>
      <c r="P505" s="101">
        <v>712506</v>
      </c>
      <c r="Q505" s="101">
        <v>4</v>
      </c>
      <c r="R505" s="101">
        <v>712510</v>
      </c>
      <c r="S505" s="101">
        <v>100</v>
      </c>
      <c r="T505" s="71">
        <f t="shared" si="124"/>
        <v>0.71250999999999998</v>
      </c>
      <c r="V505" s="215">
        <v>45391</v>
      </c>
      <c r="W505" s="101">
        <v>1066152</v>
      </c>
      <c r="X505" s="101">
        <v>202</v>
      </c>
      <c r="Y505" s="101">
        <v>1066354</v>
      </c>
      <c r="Z505" s="101">
        <v>99.98</v>
      </c>
      <c r="AA505" s="71">
        <f t="shared" si="118"/>
        <v>1.066354</v>
      </c>
      <c r="AC505" s="215">
        <v>45391</v>
      </c>
      <c r="AD505" s="101">
        <v>788084</v>
      </c>
      <c r="AE505" s="101">
        <v>118</v>
      </c>
      <c r="AF505" s="101">
        <v>788202</v>
      </c>
      <c r="AG505" s="101">
        <v>99.99</v>
      </c>
      <c r="AH505" s="71">
        <f t="shared" si="120"/>
        <v>0.78820199999999996</v>
      </c>
      <c r="AJ505" s="215">
        <v>45391</v>
      </c>
      <c r="AK505" s="48">
        <v>0</v>
      </c>
      <c r="AL505" s="48">
        <v>12</v>
      </c>
      <c r="AM505" s="48">
        <v>12</v>
      </c>
      <c r="AN505" s="48">
        <v>0</v>
      </c>
      <c r="AQ505" s="215">
        <v>45391</v>
      </c>
      <c r="AR505" s="48">
        <v>112</v>
      </c>
      <c r="AS505" s="48">
        <v>0</v>
      </c>
      <c r="AT505" s="48">
        <v>112</v>
      </c>
      <c r="AU505" s="48">
        <v>100</v>
      </c>
      <c r="AX505" s="215">
        <v>45391</v>
      </c>
      <c r="AY505" s="48">
        <v>18</v>
      </c>
      <c r="AZ505" s="48">
        <v>0</v>
      </c>
      <c r="BA505" s="48">
        <v>18</v>
      </c>
      <c r="BB505" s="48">
        <v>100</v>
      </c>
      <c r="BE505" s="215">
        <v>45391</v>
      </c>
      <c r="BF505" s="101">
        <v>28042</v>
      </c>
      <c r="BG505" s="101">
        <v>614</v>
      </c>
      <c r="BH505" s="101">
        <v>28656</v>
      </c>
      <c r="BI505" s="101">
        <v>97.86</v>
      </c>
      <c r="BL505" s="215">
        <v>45391</v>
      </c>
      <c r="BM505" s="101">
        <v>235698</v>
      </c>
      <c r="BN505" s="101">
        <v>0</v>
      </c>
      <c r="BO505" s="101">
        <v>235698</v>
      </c>
      <c r="BP505" s="101">
        <v>100</v>
      </c>
      <c r="BS505" s="215">
        <v>45391</v>
      </c>
      <c r="BT505" s="104">
        <v>66274</v>
      </c>
      <c r="BU505" s="104">
        <v>0</v>
      </c>
      <c r="BV505" s="104">
        <v>66274</v>
      </c>
      <c r="BW505" s="104">
        <v>100</v>
      </c>
      <c r="BZ505" s="215">
        <v>45391</v>
      </c>
      <c r="CA505" s="1">
        <v>41150771</v>
      </c>
      <c r="CB505" s="1">
        <v>2843941</v>
      </c>
      <c r="CC505" s="71">
        <f t="shared" si="119"/>
        <v>14.469628940966075</v>
      </c>
      <c r="CE505" s="258">
        <v>45391</v>
      </c>
      <c r="CF505" s="101">
        <v>13838600</v>
      </c>
      <c r="CG505" s="101">
        <v>7670</v>
      </c>
      <c r="CH505" s="101">
        <v>13846270</v>
      </c>
      <c r="CI505" s="101">
        <v>99.94</v>
      </c>
      <c r="CJ505" s="71">
        <f t="shared" si="125"/>
        <v>13.846270000000001</v>
      </c>
      <c r="CL505" s="70">
        <v>45362</v>
      </c>
      <c r="CM505" s="252" t="s">
        <v>239</v>
      </c>
      <c r="CN505">
        <v>708</v>
      </c>
      <c r="CO505">
        <v>504</v>
      </c>
    </row>
    <row r="506" spans="1:93" hidden="1" x14ac:dyDescent="0.25">
      <c r="A506" s="215">
        <v>45392</v>
      </c>
      <c r="B506" s="104">
        <v>5636202</v>
      </c>
      <c r="C506" s="104">
        <v>1956</v>
      </c>
      <c r="D506" s="104">
        <v>5638158</v>
      </c>
      <c r="E506" s="104">
        <v>99.97</v>
      </c>
      <c r="F506" s="71">
        <f t="shared" si="122"/>
        <v>5.6381579999999998</v>
      </c>
      <c r="H506" s="215">
        <v>45392</v>
      </c>
      <c r="I506" s="101">
        <v>1512612</v>
      </c>
      <c r="J506" s="101">
        <v>286</v>
      </c>
      <c r="K506" s="101">
        <v>1512898</v>
      </c>
      <c r="L506" s="101">
        <v>99.98</v>
      </c>
      <c r="M506" s="71">
        <f t="shared" si="121"/>
        <v>1.5128980000000001</v>
      </c>
      <c r="O506" s="215">
        <v>45392</v>
      </c>
      <c r="P506" s="101">
        <v>677752</v>
      </c>
      <c r="Q506" s="101">
        <v>2</v>
      </c>
      <c r="R506" s="101">
        <v>677754</v>
      </c>
      <c r="S506" s="101">
        <v>100</v>
      </c>
      <c r="T506" s="71">
        <f t="shared" si="124"/>
        <v>0.67775399999999997</v>
      </c>
      <c r="V506" s="215">
        <v>45392</v>
      </c>
      <c r="W506" s="101">
        <v>1002720</v>
      </c>
      <c r="X506" s="101">
        <v>188</v>
      </c>
      <c r="Y506" s="101">
        <v>1002908</v>
      </c>
      <c r="Z506" s="101">
        <v>99.98</v>
      </c>
      <c r="AA506" s="71">
        <f t="shared" si="118"/>
        <v>1.0029079999999999</v>
      </c>
      <c r="AC506" s="215">
        <v>45392</v>
      </c>
      <c r="AD506" s="101">
        <v>751810</v>
      </c>
      <c r="AE506" s="101">
        <v>76</v>
      </c>
      <c r="AF506" s="101">
        <v>751886</v>
      </c>
      <c r="AG506" s="101">
        <v>99.99</v>
      </c>
      <c r="AH506" s="71">
        <f t="shared" si="120"/>
        <v>0.75188600000000005</v>
      </c>
      <c r="AJ506" s="215">
        <v>45392</v>
      </c>
      <c r="AK506" s="48">
        <v>0</v>
      </c>
      <c r="AL506" s="48">
        <v>22</v>
      </c>
      <c r="AM506" s="48">
        <v>22</v>
      </c>
      <c r="AN506" s="48">
        <v>0</v>
      </c>
      <c r="AQ506" s="215">
        <v>45392</v>
      </c>
      <c r="AR506" s="48">
        <v>594</v>
      </c>
      <c r="AS506" s="48">
        <v>0</v>
      </c>
      <c r="AT506" s="48">
        <v>594</v>
      </c>
      <c r="AU506" s="48">
        <v>100</v>
      </c>
      <c r="AX506" s="215">
        <v>45392</v>
      </c>
      <c r="AY506" s="48">
        <v>0</v>
      </c>
      <c r="AZ506" s="48">
        <v>0</v>
      </c>
      <c r="BA506" s="48">
        <v>0</v>
      </c>
      <c r="BB506" s="48">
        <v>0</v>
      </c>
      <c r="BE506" s="215">
        <v>45392</v>
      </c>
      <c r="BF506" s="101">
        <v>11246</v>
      </c>
      <c r="BG506" s="101">
        <v>104</v>
      </c>
      <c r="BH506" s="101">
        <v>11350</v>
      </c>
      <c r="BI506" s="101">
        <v>99.08</v>
      </c>
      <c r="BL506" s="215">
        <v>45392</v>
      </c>
      <c r="BM506" s="101">
        <v>233670</v>
      </c>
      <c r="BN506" s="101">
        <v>0</v>
      </c>
      <c r="BO506" s="101">
        <v>233670</v>
      </c>
      <c r="BP506" s="101">
        <v>100</v>
      </c>
      <c r="BS506" s="215">
        <v>45392</v>
      </c>
      <c r="BT506" s="104">
        <v>19410</v>
      </c>
      <c r="BU506" s="104">
        <v>0</v>
      </c>
      <c r="BV506" s="104">
        <v>19410</v>
      </c>
      <c r="BW506" s="104">
        <v>100</v>
      </c>
      <c r="BZ506" s="215">
        <v>45392</v>
      </c>
      <c r="CA506" s="1">
        <v>34759829</v>
      </c>
      <c r="CB506" s="1">
        <v>2593009</v>
      </c>
      <c r="CC506" s="71">
        <f t="shared" si="119"/>
        <v>13.405209546129612</v>
      </c>
      <c r="CE506" s="258">
        <v>45392</v>
      </c>
      <c r="CF506" s="101">
        <v>11689940</v>
      </c>
      <c r="CG506" s="101">
        <v>5788</v>
      </c>
      <c r="CH506" s="101">
        <v>11695728</v>
      </c>
      <c r="CI506" s="101">
        <v>99.95</v>
      </c>
      <c r="CJ506" s="71">
        <f t="shared" si="125"/>
        <v>11.695728000000001</v>
      </c>
      <c r="CL506" s="70">
        <v>45362</v>
      </c>
      <c r="CM506" t="s">
        <v>238</v>
      </c>
      <c r="CN506">
        <v>702</v>
      </c>
      <c r="CO506">
        <v>503</v>
      </c>
    </row>
    <row r="507" spans="1:93" hidden="1" x14ac:dyDescent="0.25">
      <c r="A507" s="215">
        <v>45393</v>
      </c>
      <c r="B507" s="104">
        <v>5828970</v>
      </c>
      <c r="C507" s="104">
        <v>179506</v>
      </c>
      <c r="D507" s="104">
        <v>6008476</v>
      </c>
      <c r="E507" s="104">
        <v>97.01</v>
      </c>
      <c r="F507" s="71">
        <f t="shared" si="122"/>
        <v>6.0084759999999999</v>
      </c>
      <c r="H507" s="215">
        <v>45393</v>
      </c>
      <c r="I507" s="101">
        <v>1376220</v>
      </c>
      <c r="J507" s="101">
        <v>22472</v>
      </c>
      <c r="K507" s="101">
        <v>1398692</v>
      </c>
      <c r="L507" s="101">
        <v>98.39</v>
      </c>
      <c r="M507" s="71">
        <f t="shared" si="121"/>
        <v>1.398692</v>
      </c>
      <c r="O507" s="215">
        <v>45393</v>
      </c>
      <c r="P507" s="101">
        <v>611172</v>
      </c>
      <c r="Q507" s="101">
        <v>16920</v>
      </c>
      <c r="R507" s="101">
        <v>628092</v>
      </c>
      <c r="S507" s="101">
        <v>97.31</v>
      </c>
      <c r="T507" s="71">
        <f t="shared" si="124"/>
        <v>0.62809199999999998</v>
      </c>
      <c r="V507" s="215">
        <v>45393</v>
      </c>
      <c r="W507" s="101">
        <v>909440</v>
      </c>
      <c r="X507" s="101">
        <v>20072</v>
      </c>
      <c r="Y507" s="101">
        <v>929512</v>
      </c>
      <c r="Z507" s="101">
        <v>97.84</v>
      </c>
      <c r="AA507" s="71">
        <f t="shared" si="118"/>
        <v>0.929512</v>
      </c>
      <c r="AC507" s="215">
        <v>45393</v>
      </c>
      <c r="AD507" s="101">
        <v>731158</v>
      </c>
      <c r="AE507" s="101">
        <v>104</v>
      </c>
      <c r="AF507" s="101">
        <v>731262</v>
      </c>
      <c r="AG507" s="101">
        <v>99.99</v>
      </c>
      <c r="AH507" s="71">
        <f t="shared" si="120"/>
        <v>0.73126199999999997</v>
      </c>
      <c r="AJ507" s="215">
        <v>45393</v>
      </c>
      <c r="AK507" s="48">
        <v>0</v>
      </c>
      <c r="AL507" s="48">
        <v>18</v>
      </c>
      <c r="AM507" s="48">
        <v>18</v>
      </c>
      <c r="AN507" s="48">
        <v>0</v>
      </c>
      <c r="AQ507" s="215">
        <v>45393</v>
      </c>
      <c r="AR507" s="48">
        <v>194</v>
      </c>
      <c r="AS507" s="48">
        <v>0</v>
      </c>
      <c r="AT507" s="48">
        <v>194</v>
      </c>
      <c r="AU507" s="48">
        <v>100</v>
      </c>
      <c r="AX507" s="215">
        <v>45393</v>
      </c>
      <c r="AY507" s="48">
        <v>8</v>
      </c>
      <c r="AZ507" s="48">
        <v>0</v>
      </c>
      <c r="BA507" s="48">
        <v>8</v>
      </c>
      <c r="BB507" s="48">
        <v>100</v>
      </c>
      <c r="BE507" s="215">
        <v>45393</v>
      </c>
      <c r="BF507" s="101">
        <v>9722</v>
      </c>
      <c r="BG507" s="101">
        <v>180</v>
      </c>
      <c r="BH507" s="101">
        <v>9902</v>
      </c>
      <c r="BI507" s="101">
        <v>98.18</v>
      </c>
      <c r="BL507" s="215">
        <v>45393</v>
      </c>
      <c r="BM507" s="101">
        <v>240858</v>
      </c>
      <c r="BN507" s="101">
        <v>0</v>
      </c>
      <c r="BO507" s="101">
        <v>240858</v>
      </c>
      <c r="BP507" s="101">
        <v>100</v>
      </c>
      <c r="BS507" s="215">
        <v>45393</v>
      </c>
      <c r="BT507" s="104">
        <v>34174</v>
      </c>
      <c r="BU507" s="104">
        <v>0</v>
      </c>
      <c r="BV507" s="104">
        <v>34174</v>
      </c>
      <c r="BW507" s="104">
        <v>100</v>
      </c>
      <c r="BZ507" s="215">
        <v>45393</v>
      </c>
      <c r="CA507" s="1">
        <v>34396304</v>
      </c>
      <c r="CB507" s="1">
        <v>2562998</v>
      </c>
      <c r="CC507" s="71">
        <f t="shared" si="119"/>
        <v>13.420339773967831</v>
      </c>
      <c r="CE507" s="258">
        <v>45393</v>
      </c>
      <c r="CF507" s="101">
        <v>11416148</v>
      </c>
      <c r="CG507" s="101">
        <v>279388</v>
      </c>
      <c r="CH507" s="101">
        <v>11695536</v>
      </c>
      <c r="CI507" s="101">
        <v>97.61</v>
      </c>
      <c r="CJ507" s="71">
        <f t="shared" si="125"/>
        <v>11.695536000000001</v>
      </c>
    </row>
    <row r="508" spans="1:93" hidden="1" x14ac:dyDescent="0.25">
      <c r="A508" s="215">
        <v>45394</v>
      </c>
      <c r="B508" s="104">
        <v>6072976</v>
      </c>
      <c r="C508" s="104">
        <v>3008</v>
      </c>
      <c r="D508" s="104">
        <v>6075984</v>
      </c>
      <c r="E508" s="104">
        <v>99.95</v>
      </c>
      <c r="F508" s="71">
        <f t="shared" si="122"/>
        <v>6.0759840000000001</v>
      </c>
      <c r="H508" s="215">
        <v>45394</v>
      </c>
      <c r="I508" s="101">
        <v>1547576</v>
      </c>
      <c r="J508" s="101">
        <v>288</v>
      </c>
      <c r="K508" s="101">
        <v>1547864</v>
      </c>
      <c r="L508" s="101">
        <v>99.98</v>
      </c>
      <c r="M508" s="71">
        <f t="shared" si="121"/>
        <v>1.5478639999999999</v>
      </c>
      <c r="O508" s="215">
        <v>45394</v>
      </c>
      <c r="P508" s="101">
        <v>655862</v>
      </c>
      <c r="Q508" s="101">
        <v>0</v>
      </c>
      <c r="R508" s="101">
        <v>655862</v>
      </c>
      <c r="S508" s="101">
        <v>100</v>
      </c>
      <c r="T508" s="71">
        <f t="shared" si="124"/>
        <v>0.65586199999999995</v>
      </c>
      <c r="V508" s="215">
        <v>45394</v>
      </c>
      <c r="W508" s="101">
        <v>960694</v>
      </c>
      <c r="X508" s="101">
        <v>186</v>
      </c>
      <c r="Y508" s="101">
        <v>960880</v>
      </c>
      <c r="Z508" s="101">
        <v>99.98</v>
      </c>
      <c r="AA508" s="71">
        <f t="shared" si="118"/>
        <v>0.96087999999999996</v>
      </c>
      <c r="AC508" s="215">
        <v>45394</v>
      </c>
      <c r="AD508" s="101">
        <v>724284</v>
      </c>
      <c r="AE508" s="101">
        <v>1012</v>
      </c>
      <c r="AF508" s="101">
        <v>725296</v>
      </c>
      <c r="AG508" s="101">
        <v>99.86</v>
      </c>
      <c r="AH508" s="71">
        <f t="shared" si="120"/>
        <v>0.72529600000000005</v>
      </c>
      <c r="AJ508" s="215">
        <v>45394</v>
      </c>
      <c r="AK508" s="48">
        <v>0</v>
      </c>
      <c r="AL508" s="48">
        <v>42</v>
      </c>
      <c r="AM508" s="48">
        <v>42</v>
      </c>
      <c r="AN508" s="48">
        <v>0</v>
      </c>
      <c r="AQ508" s="215">
        <v>45394</v>
      </c>
      <c r="AR508" s="48">
        <v>158</v>
      </c>
      <c r="AS508" s="48">
        <v>0</v>
      </c>
      <c r="AT508" s="48">
        <v>158</v>
      </c>
      <c r="AU508" s="48">
        <v>100</v>
      </c>
      <c r="AX508" s="215">
        <v>45394</v>
      </c>
      <c r="AY508" s="48">
        <v>10</v>
      </c>
      <c r="AZ508" s="48">
        <v>0</v>
      </c>
      <c r="BA508" s="48">
        <v>10</v>
      </c>
      <c r="BB508" s="48">
        <v>100</v>
      </c>
      <c r="BE508" s="215">
        <v>45394</v>
      </c>
      <c r="BF508" s="101">
        <v>11848</v>
      </c>
      <c r="BG508" s="101">
        <v>142</v>
      </c>
      <c r="BH508" s="101">
        <v>11990</v>
      </c>
      <c r="BI508" s="101">
        <v>98.82</v>
      </c>
      <c r="BL508" s="215">
        <v>45394</v>
      </c>
      <c r="BM508" s="101">
        <v>263912</v>
      </c>
      <c r="BN508" s="101">
        <v>0</v>
      </c>
      <c r="BO508" s="101">
        <v>263912</v>
      </c>
      <c r="BP508" s="101">
        <v>100</v>
      </c>
      <c r="BS508" s="215">
        <v>45394</v>
      </c>
      <c r="BT508" s="104">
        <v>17134</v>
      </c>
      <c r="BU508" s="104">
        <v>24</v>
      </c>
      <c r="BV508" s="104">
        <v>17158</v>
      </c>
      <c r="BW508" s="104">
        <v>99.86</v>
      </c>
      <c r="BZ508" s="215">
        <v>45394</v>
      </c>
      <c r="CA508" s="1">
        <v>36204583</v>
      </c>
      <c r="CB508" s="1">
        <v>2762015</v>
      </c>
      <c r="CC508" s="71">
        <f t="shared" si="119"/>
        <v>13.108032722487025</v>
      </c>
      <c r="CE508" s="258">
        <v>45394</v>
      </c>
      <c r="CF508" s="101">
        <v>12115424</v>
      </c>
      <c r="CG508" s="101">
        <v>11138</v>
      </c>
      <c r="CH508" s="101">
        <v>12126562</v>
      </c>
      <c r="CI508" s="101">
        <v>99.91</v>
      </c>
      <c r="CJ508" s="71">
        <f t="shared" si="125"/>
        <v>12.126562</v>
      </c>
      <c r="CL508" s="70">
        <v>45363</v>
      </c>
      <c r="CM508" t="s">
        <v>237</v>
      </c>
      <c r="CN508">
        <v>14800</v>
      </c>
      <c r="CO508">
        <v>527</v>
      </c>
    </row>
    <row r="509" spans="1:93" hidden="1" x14ac:dyDescent="0.25">
      <c r="A509" s="215">
        <v>45395</v>
      </c>
      <c r="B509" s="104">
        <v>5858840</v>
      </c>
      <c r="C509" s="104">
        <v>2310</v>
      </c>
      <c r="D509" s="104">
        <v>5861150</v>
      </c>
      <c r="E509" s="104">
        <v>99.96</v>
      </c>
      <c r="F509" s="71">
        <f t="shared" si="122"/>
        <v>5.8611500000000003</v>
      </c>
      <c r="H509" s="215">
        <v>45395</v>
      </c>
      <c r="I509" s="101">
        <v>1426206</v>
      </c>
      <c r="J509" s="101">
        <v>614</v>
      </c>
      <c r="K509" s="101">
        <v>1426820</v>
      </c>
      <c r="L509" s="101">
        <v>99.96</v>
      </c>
      <c r="M509" s="71">
        <f t="shared" si="121"/>
        <v>1.42682</v>
      </c>
      <c r="O509" s="215">
        <v>45395</v>
      </c>
      <c r="P509" s="101">
        <v>640468</v>
      </c>
      <c r="Q509" s="101">
        <v>0</v>
      </c>
      <c r="R509" s="101">
        <v>640468</v>
      </c>
      <c r="S509" s="101">
        <v>100</v>
      </c>
      <c r="T509" s="71">
        <f t="shared" si="124"/>
        <v>0.64046800000000004</v>
      </c>
      <c r="V509" s="215">
        <v>45395</v>
      </c>
      <c r="W509" s="101">
        <v>884524</v>
      </c>
      <c r="X509" s="101">
        <v>134</v>
      </c>
      <c r="Y509" s="101">
        <v>884658</v>
      </c>
      <c r="Z509" s="101">
        <v>99.98</v>
      </c>
      <c r="AA509" s="71">
        <f t="shared" si="118"/>
        <v>0.88465800000000006</v>
      </c>
      <c r="AC509" s="215">
        <v>45395</v>
      </c>
      <c r="AD509" s="101">
        <v>693122</v>
      </c>
      <c r="AE509" s="101">
        <v>62</v>
      </c>
      <c r="AF509" s="101">
        <v>693184</v>
      </c>
      <c r="AG509" s="101">
        <v>99.99</v>
      </c>
      <c r="AH509" s="71">
        <f t="shared" si="120"/>
        <v>0.69318400000000002</v>
      </c>
      <c r="AJ509" s="215">
        <v>45395</v>
      </c>
      <c r="AK509" s="48">
        <v>0</v>
      </c>
      <c r="AL509" s="48">
        <v>22</v>
      </c>
      <c r="AM509" s="48">
        <v>22</v>
      </c>
      <c r="AN509" s="48">
        <v>0</v>
      </c>
      <c r="AQ509" s="215">
        <v>45395</v>
      </c>
      <c r="AR509" s="48">
        <v>86</v>
      </c>
      <c r="AS509" s="48">
        <v>0</v>
      </c>
      <c r="AT509" s="48">
        <v>86</v>
      </c>
      <c r="AU509" s="48">
        <v>100</v>
      </c>
      <c r="AX509" s="215">
        <v>45395</v>
      </c>
      <c r="AY509" s="48">
        <v>2</v>
      </c>
      <c r="AZ509" s="48">
        <v>0</v>
      </c>
      <c r="BA509" s="48">
        <v>2</v>
      </c>
      <c r="BB509" s="48">
        <v>100</v>
      </c>
      <c r="BE509" s="215">
        <v>45395</v>
      </c>
      <c r="BF509" s="101">
        <v>11362</v>
      </c>
      <c r="BG509" s="101">
        <v>156</v>
      </c>
      <c r="BH509" s="101">
        <v>11518</v>
      </c>
      <c r="BI509" s="101">
        <v>98.65</v>
      </c>
      <c r="BL509" s="215">
        <v>45395</v>
      </c>
      <c r="BM509" s="101">
        <v>270440</v>
      </c>
      <c r="BN509" s="101">
        <v>0</v>
      </c>
      <c r="BO509" s="101">
        <v>270440</v>
      </c>
      <c r="BP509" s="101">
        <v>100</v>
      </c>
      <c r="BS509" s="215">
        <v>45395</v>
      </c>
      <c r="BT509" s="104">
        <v>11808</v>
      </c>
      <c r="BU509" s="104">
        <v>0</v>
      </c>
      <c r="BV509" s="104">
        <v>11808</v>
      </c>
      <c r="BW509" s="104">
        <v>100</v>
      </c>
      <c r="BZ509" s="215">
        <v>45395</v>
      </c>
      <c r="CA509" s="1">
        <v>34422411</v>
      </c>
      <c r="CB509" s="1">
        <v>2717151</v>
      </c>
      <c r="CC509" s="71">
        <f t="shared" si="119"/>
        <v>12.668567554766003</v>
      </c>
      <c r="CE509" s="258">
        <v>45395</v>
      </c>
      <c r="CF509" s="101">
        <v>11559634</v>
      </c>
      <c r="CG509" s="101">
        <v>9806</v>
      </c>
      <c r="CH509" s="101">
        <v>11569440</v>
      </c>
      <c r="CI509" s="101">
        <v>99.92</v>
      </c>
      <c r="CJ509" s="71">
        <f t="shared" si="125"/>
        <v>11.56944</v>
      </c>
      <c r="CL509" s="70">
        <v>45363</v>
      </c>
      <c r="CM509" t="s">
        <v>240</v>
      </c>
      <c r="CN509">
        <v>4272</v>
      </c>
      <c r="CO509">
        <v>516</v>
      </c>
    </row>
    <row r="510" spans="1:93" hidden="1" x14ac:dyDescent="0.25">
      <c r="A510" s="215">
        <v>45396</v>
      </c>
      <c r="B510" s="104">
        <v>4974226</v>
      </c>
      <c r="C510" s="104">
        <v>2150</v>
      </c>
      <c r="D510" s="104">
        <v>4976376</v>
      </c>
      <c r="E510" s="104">
        <v>99.96</v>
      </c>
      <c r="F510" s="71">
        <f t="shared" si="122"/>
        <v>4.9763760000000001</v>
      </c>
      <c r="H510" s="215">
        <v>45396</v>
      </c>
      <c r="I510" s="101">
        <v>1273520</v>
      </c>
      <c r="J510" s="101">
        <v>318</v>
      </c>
      <c r="K510" s="101">
        <v>1273838</v>
      </c>
      <c r="L510" s="101">
        <v>99.98</v>
      </c>
      <c r="M510" s="71">
        <f t="shared" si="121"/>
        <v>1.273838</v>
      </c>
      <c r="O510" s="215">
        <v>45396</v>
      </c>
      <c r="P510" s="101">
        <v>649984</v>
      </c>
      <c r="Q510" s="101">
        <v>2</v>
      </c>
      <c r="R510" s="101">
        <v>649986</v>
      </c>
      <c r="S510" s="101">
        <v>100</v>
      </c>
      <c r="T510" s="71">
        <f t="shared" si="124"/>
        <v>0.64998599999999995</v>
      </c>
      <c r="V510" s="215">
        <v>45396</v>
      </c>
      <c r="W510" s="101">
        <v>824674</v>
      </c>
      <c r="X510" s="101">
        <v>174</v>
      </c>
      <c r="Y510" s="101">
        <v>824848</v>
      </c>
      <c r="Z510" s="101">
        <v>99.98</v>
      </c>
      <c r="AA510" s="71">
        <f t="shared" si="118"/>
        <v>0.82484800000000003</v>
      </c>
      <c r="AC510" s="215">
        <v>45396</v>
      </c>
      <c r="AD510" s="101">
        <v>695206</v>
      </c>
      <c r="AE510" s="101">
        <v>52</v>
      </c>
      <c r="AF510" s="101">
        <v>695258</v>
      </c>
      <c r="AG510" s="101">
        <v>99.99</v>
      </c>
      <c r="AH510" s="71">
        <f t="shared" si="120"/>
        <v>0.69525800000000004</v>
      </c>
      <c r="AJ510" s="215">
        <v>45396</v>
      </c>
      <c r="AK510" s="48">
        <v>0</v>
      </c>
      <c r="AL510" s="48">
        <v>8</v>
      </c>
      <c r="AM510" s="48">
        <v>8</v>
      </c>
      <c r="AN510" s="48">
        <v>0</v>
      </c>
      <c r="AQ510" s="215">
        <v>45396</v>
      </c>
      <c r="AR510" s="48">
        <v>238</v>
      </c>
      <c r="AS510" s="48">
        <v>0</v>
      </c>
      <c r="AT510" s="48">
        <v>238</v>
      </c>
      <c r="AU510" s="48">
        <v>100</v>
      </c>
      <c r="AX510" s="215">
        <v>45396</v>
      </c>
      <c r="AY510" s="48">
        <v>4</v>
      </c>
      <c r="AZ510" s="48">
        <v>0</v>
      </c>
      <c r="BA510" s="48">
        <v>4</v>
      </c>
      <c r="BB510" s="48">
        <v>100</v>
      </c>
      <c r="BE510" s="215">
        <v>45396</v>
      </c>
      <c r="BF510" s="101">
        <v>8666</v>
      </c>
      <c r="BG510" s="101">
        <v>84</v>
      </c>
      <c r="BH510" s="101">
        <v>8750</v>
      </c>
      <c r="BI510" s="101">
        <v>99.04</v>
      </c>
      <c r="BL510" s="215">
        <v>45396</v>
      </c>
      <c r="BM510" s="101">
        <v>4678</v>
      </c>
      <c r="BN510" s="101">
        <v>0</v>
      </c>
      <c r="BO510" s="101">
        <v>4678</v>
      </c>
      <c r="BP510" s="101">
        <v>100</v>
      </c>
      <c r="BS510" s="215">
        <v>45396</v>
      </c>
      <c r="BT510" s="104">
        <v>8028</v>
      </c>
      <c r="BU510" s="104">
        <v>0</v>
      </c>
      <c r="BV510" s="104">
        <v>8028</v>
      </c>
      <c r="BW510" s="104">
        <v>100</v>
      </c>
      <c r="BZ510" s="215">
        <v>45396</v>
      </c>
      <c r="CA510" s="1">
        <v>30265592</v>
      </c>
      <c r="CB510" s="1">
        <v>1867523</v>
      </c>
      <c r="CC510" s="71">
        <f t="shared" si="119"/>
        <v>16.206275371173476</v>
      </c>
      <c r="CE510" s="258">
        <v>45396</v>
      </c>
      <c r="CF510" s="101">
        <v>10158518</v>
      </c>
      <c r="CG510" s="101">
        <v>8574</v>
      </c>
      <c r="CH510" s="101">
        <v>10167092</v>
      </c>
      <c r="CI510" s="101">
        <v>99.92</v>
      </c>
      <c r="CJ510" s="71">
        <f t="shared" si="125"/>
        <v>10.167092</v>
      </c>
      <c r="CL510" s="70">
        <v>45363</v>
      </c>
      <c r="CM510" t="s">
        <v>243</v>
      </c>
      <c r="CN510">
        <v>844</v>
      </c>
      <c r="CO510">
        <v>540</v>
      </c>
    </row>
    <row r="511" spans="1:93" hidden="1" x14ac:dyDescent="0.25">
      <c r="A511" s="215">
        <v>45397</v>
      </c>
      <c r="B511" s="104">
        <v>5944680</v>
      </c>
      <c r="C511" s="104">
        <v>2300</v>
      </c>
      <c r="D511" s="104">
        <v>5946980</v>
      </c>
      <c r="E511" s="104">
        <v>99.96</v>
      </c>
      <c r="F511" s="71">
        <f t="shared" si="122"/>
        <v>5.9469799999999999</v>
      </c>
      <c r="H511" s="215">
        <v>45397</v>
      </c>
      <c r="I511" s="101">
        <v>1454102</v>
      </c>
      <c r="J511" s="101">
        <v>1082</v>
      </c>
      <c r="K511" s="101">
        <v>1455184</v>
      </c>
      <c r="L511" s="101">
        <v>99.93</v>
      </c>
      <c r="M511" s="71">
        <f t="shared" si="121"/>
        <v>1.455184</v>
      </c>
      <c r="O511" s="215">
        <v>45397</v>
      </c>
      <c r="P511" s="101">
        <v>758332</v>
      </c>
      <c r="Q511" s="101">
        <v>0</v>
      </c>
      <c r="R511" s="101">
        <v>758332</v>
      </c>
      <c r="S511" s="101">
        <v>100</v>
      </c>
      <c r="T511" s="71">
        <f t="shared" si="124"/>
        <v>0.75833200000000001</v>
      </c>
      <c r="V511" s="215">
        <v>45397</v>
      </c>
      <c r="W511" s="101">
        <v>921552</v>
      </c>
      <c r="X511" s="101">
        <v>162</v>
      </c>
      <c r="Y511" s="101">
        <v>921714</v>
      </c>
      <c r="Z511" s="101">
        <v>99.98</v>
      </c>
      <c r="AA511" s="71">
        <f t="shared" si="118"/>
        <v>0.92171400000000003</v>
      </c>
      <c r="AC511" s="215">
        <v>45397</v>
      </c>
      <c r="AD511" s="101">
        <v>672524</v>
      </c>
      <c r="AE511" s="101">
        <v>82</v>
      </c>
      <c r="AF511" s="101">
        <v>672606</v>
      </c>
      <c r="AG511" s="101">
        <v>99.99</v>
      </c>
      <c r="AH511" s="71">
        <f t="shared" si="120"/>
        <v>0.67260600000000004</v>
      </c>
      <c r="AJ511" s="215">
        <v>45397</v>
      </c>
      <c r="AK511" s="48">
        <v>0</v>
      </c>
      <c r="AL511" s="48">
        <v>12</v>
      </c>
      <c r="AM511" s="48">
        <v>12</v>
      </c>
      <c r="AN511" s="48">
        <v>0</v>
      </c>
      <c r="AQ511" s="215">
        <v>45397</v>
      </c>
      <c r="AR511" s="48">
        <v>80</v>
      </c>
      <c r="AS511" s="48">
        <v>0</v>
      </c>
      <c r="AT511" s="48">
        <v>80</v>
      </c>
      <c r="AU511" s="48">
        <v>100</v>
      </c>
      <c r="AX511" s="215">
        <v>45397</v>
      </c>
      <c r="AY511" s="48">
        <v>10</v>
      </c>
      <c r="AZ511" s="48">
        <v>0</v>
      </c>
      <c r="BA511" s="48">
        <v>10</v>
      </c>
      <c r="BB511" s="48">
        <v>100</v>
      </c>
      <c r="BE511" s="215">
        <v>45397</v>
      </c>
      <c r="BF511" s="101">
        <v>11542</v>
      </c>
      <c r="BG511" s="101">
        <v>164</v>
      </c>
      <c r="BH511" s="101">
        <v>11706</v>
      </c>
      <c r="BI511" s="101">
        <v>98.6</v>
      </c>
      <c r="BL511" s="215">
        <v>45397</v>
      </c>
      <c r="BM511" s="101">
        <v>255078</v>
      </c>
      <c r="BN511" s="101">
        <v>0</v>
      </c>
      <c r="BO511" s="101">
        <v>255078</v>
      </c>
      <c r="BP511" s="101">
        <v>100</v>
      </c>
      <c r="BS511" s="215">
        <v>45397</v>
      </c>
      <c r="BT511" s="104">
        <v>13316</v>
      </c>
      <c r="BU511" s="104">
        <v>72</v>
      </c>
      <c r="BV511" s="104">
        <v>13388</v>
      </c>
      <c r="BW511" s="104">
        <v>99.46</v>
      </c>
      <c r="BZ511" s="215">
        <v>45397</v>
      </c>
      <c r="CA511" s="1">
        <v>35455220</v>
      </c>
      <c r="CB511" s="1">
        <v>2764675</v>
      </c>
      <c r="CC511" s="71">
        <f t="shared" si="119"/>
        <v>12.824371761599465</v>
      </c>
      <c r="CE511" s="258">
        <v>45397</v>
      </c>
      <c r="CF511" s="101">
        <v>11881782</v>
      </c>
      <c r="CG511" s="101">
        <v>11042</v>
      </c>
      <c r="CH511" s="101">
        <v>11892824</v>
      </c>
      <c r="CI511" s="101">
        <v>99.91</v>
      </c>
      <c r="CJ511" s="71">
        <f t="shared" si="125"/>
        <v>11.892823999999999</v>
      </c>
      <c r="CL511" s="70">
        <v>45363</v>
      </c>
      <c r="CM511" s="252" t="s">
        <v>239</v>
      </c>
      <c r="CN511">
        <v>758</v>
      </c>
      <c r="CO511">
        <v>504</v>
      </c>
    </row>
    <row r="512" spans="1:93" hidden="1" x14ac:dyDescent="0.25">
      <c r="A512" s="215">
        <v>45398</v>
      </c>
      <c r="B512" s="104">
        <v>5912138</v>
      </c>
      <c r="C512" s="104">
        <v>2302</v>
      </c>
      <c r="D512" s="104">
        <v>5914440</v>
      </c>
      <c r="E512" s="104">
        <v>99.96</v>
      </c>
      <c r="F512" s="71">
        <f t="shared" si="122"/>
        <v>5.9144399999999999</v>
      </c>
      <c r="H512" s="215">
        <v>45398</v>
      </c>
      <c r="I512" s="101">
        <v>1514826</v>
      </c>
      <c r="J512" s="101">
        <v>1488</v>
      </c>
      <c r="K512" s="101">
        <v>1516314</v>
      </c>
      <c r="L512" s="101">
        <v>99.9</v>
      </c>
      <c r="M512" s="71">
        <f t="shared" si="121"/>
        <v>1.5163139999999999</v>
      </c>
      <c r="O512" s="215">
        <v>45398</v>
      </c>
      <c r="P512" s="101">
        <v>714518</v>
      </c>
      <c r="Q512" s="101">
        <v>0</v>
      </c>
      <c r="R512" s="101">
        <v>714518</v>
      </c>
      <c r="S512" s="101">
        <v>100</v>
      </c>
      <c r="T512" s="71">
        <f t="shared" si="124"/>
        <v>0.71451799999999999</v>
      </c>
      <c r="V512" s="215">
        <v>45398</v>
      </c>
      <c r="W512" s="101">
        <v>830852</v>
      </c>
      <c r="X512" s="101">
        <v>160</v>
      </c>
      <c r="Y512" s="101">
        <v>831012</v>
      </c>
      <c r="Z512" s="101">
        <v>99.98</v>
      </c>
      <c r="AA512" s="71">
        <f t="shared" si="118"/>
        <v>0.83101199999999997</v>
      </c>
      <c r="AC512" s="215">
        <v>45398</v>
      </c>
      <c r="AD512" s="101">
        <v>657884</v>
      </c>
      <c r="AE512" s="101">
        <v>204</v>
      </c>
      <c r="AF512" s="101">
        <v>658088</v>
      </c>
      <c r="AG512" s="101">
        <v>99.97</v>
      </c>
      <c r="AH512" s="71">
        <f t="shared" si="120"/>
        <v>0.65808800000000001</v>
      </c>
      <c r="AJ512" s="215">
        <v>45398</v>
      </c>
      <c r="AK512" s="48">
        <v>0</v>
      </c>
      <c r="AL512" s="48">
        <v>18</v>
      </c>
      <c r="AM512" s="48">
        <v>18</v>
      </c>
      <c r="AN512" s="48">
        <v>0</v>
      </c>
      <c r="AQ512" s="215">
        <v>45398</v>
      </c>
      <c r="AR512" s="48">
        <v>130</v>
      </c>
      <c r="AS512" s="48">
        <v>0</v>
      </c>
      <c r="AT512" s="48">
        <v>130</v>
      </c>
      <c r="AU512" s="48">
        <v>100</v>
      </c>
      <c r="AX512" s="215">
        <v>45398</v>
      </c>
      <c r="AY512" s="48">
        <v>6</v>
      </c>
      <c r="AZ512" s="48">
        <v>0</v>
      </c>
      <c r="BA512" s="48">
        <v>6</v>
      </c>
      <c r="BB512" s="48">
        <v>100</v>
      </c>
      <c r="BE512" s="215">
        <v>45398</v>
      </c>
      <c r="BF512" s="101">
        <v>25268</v>
      </c>
      <c r="BG512" s="101">
        <v>3060</v>
      </c>
      <c r="BH512" s="101">
        <v>28328</v>
      </c>
      <c r="BI512" s="101">
        <v>89.2</v>
      </c>
      <c r="BL512" s="215">
        <v>45398</v>
      </c>
      <c r="BM512" s="101">
        <v>247028</v>
      </c>
      <c r="BN512" s="101">
        <v>0</v>
      </c>
      <c r="BO512" s="101">
        <v>247028</v>
      </c>
      <c r="BP512" s="101">
        <v>100</v>
      </c>
      <c r="BS512" s="215">
        <v>45398</v>
      </c>
      <c r="BT512" s="104">
        <v>43616</v>
      </c>
      <c r="BU512" s="104">
        <v>0</v>
      </c>
      <c r="BV512" s="104">
        <v>43616</v>
      </c>
      <c r="BW512" s="104">
        <v>100</v>
      </c>
      <c r="BZ512" s="215">
        <v>45398</v>
      </c>
      <c r="CA512" s="1">
        <v>34766161</v>
      </c>
      <c r="CB512" s="1">
        <v>2687109</v>
      </c>
      <c r="CC512" s="71">
        <f t="shared" si="119"/>
        <v>12.938128300712773</v>
      </c>
      <c r="CE512" s="258">
        <v>45398</v>
      </c>
      <c r="CF512" s="101">
        <v>11660436</v>
      </c>
      <c r="CG512" s="101">
        <v>14172</v>
      </c>
      <c r="CH512" s="101">
        <v>11674608</v>
      </c>
      <c r="CI512" s="101">
        <v>99.88</v>
      </c>
      <c r="CJ512" s="71">
        <f t="shared" si="125"/>
        <v>11.674607999999999</v>
      </c>
      <c r="CL512" s="70">
        <v>45363</v>
      </c>
      <c r="CM512" t="s">
        <v>238</v>
      </c>
      <c r="CN512">
        <v>694</v>
      </c>
      <c r="CO512">
        <v>503</v>
      </c>
    </row>
    <row r="513" spans="1:93" hidden="1" x14ac:dyDescent="0.25">
      <c r="A513" s="215">
        <v>45399</v>
      </c>
      <c r="B513" s="104">
        <v>6027922</v>
      </c>
      <c r="C513" s="104">
        <v>2358</v>
      </c>
      <c r="D513" s="104">
        <v>6030280</v>
      </c>
      <c r="E513" s="104">
        <v>99.96</v>
      </c>
      <c r="F513" s="71">
        <f t="shared" si="122"/>
        <v>6.0302800000000003</v>
      </c>
      <c r="H513" s="215">
        <v>45399</v>
      </c>
      <c r="I513" s="101">
        <v>1358670</v>
      </c>
      <c r="J513" s="101">
        <v>380</v>
      </c>
      <c r="K513" s="101">
        <v>1359050</v>
      </c>
      <c r="L513" s="101">
        <v>99.97</v>
      </c>
      <c r="M513" s="71">
        <f t="shared" si="121"/>
        <v>1.3590500000000001</v>
      </c>
      <c r="O513" s="215">
        <v>45399</v>
      </c>
      <c r="P513" s="101">
        <v>678800</v>
      </c>
      <c r="Q513" s="101">
        <v>0</v>
      </c>
      <c r="R513" s="101">
        <v>678800</v>
      </c>
      <c r="S513" s="101">
        <v>100</v>
      </c>
      <c r="T513" s="71">
        <f t="shared" si="124"/>
        <v>0.67879999999999996</v>
      </c>
      <c r="V513" s="215">
        <v>45399</v>
      </c>
      <c r="W513" s="101">
        <v>880812</v>
      </c>
      <c r="X513" s="101">
        <v>172</v>
      </c>
      <c r="Y513" s="101">
        <v>880984</v>
      </c>
      <c r="Z513" s="101">
        <v>99.98</v>
      </c>
      <c r="AA513" s="71">
        <f t="shared" si="118"/>
        <v>0.88098399999999999</v>
      </c>
      <c r="AC513" s="215">
        <v>45399</v>
      </c>
      <c r="AD513" s="101">
        <v>696394</v>
      </c>
      <c r="AE513" s="101">
        <v>92</v>
      </c>
      <c r="AF513" s="101">
        <v>696486</v>
      </c>
      <c r="AG513" s="101">
        <v>99.99</v>
      </c>
      <c r="AH513" s="71">
        <f t="shared" si="120"/>
        <v>0.69648600000000005</v>
      </c>
      <c r="AJ513" s="215">
        <v>45399</v>
      </c>
      <c r="AK513" s="48">
        <v>0</v>
      </c>
      <c r="AL513" s="48">
        <v>10</v>
      </c>
      <c r="AM513" s="48">
        <v>10</v>
      </c>
      <c r="AN513" s="48">
        <v>0</v>
      </c>
      <c r="AQ513" s="215">
        <v>45399</v>
      </c>
      <c r="AR513" s="48">
        <v>90</v>
      </c>
      <c r="AS513" s="48">
        <v>0</v>
      </c>
      <c r="AT513" s="48">
        <v>90</v>
      </c>
      <c r="AU513" s="48">
        <v>100</v>
      </c>
      <c r="AX513" s="215">
        <v>45399</v>
      </c>
      <c r="AY513" s="48">
        <v>10</v>
      </c>
      <c r="AZ513" s="48">
        <v>0</v>
      </c>
      <c r="BA513" s="48">
        <v>10</v>
      </c>
      <c r="BB513" s="48">
        <v>100</v>
      </c>
      <c r="BE513" s="215">
        <v>45399</v>
      </c>
      <c r="BF513" s="101">
        <v>12432</v>
      </c>
      <c r="BG513" s="101">
        <v>120</v>
      </c>
      <c r="BH513" s="101">
        <v>12552</v>
      </c>
      <c r="BI513" s="101">
        <v>99.04</v>
      </c>
      <c r="BL513" s="215">
        <v>45399</v>
      </c>
      <c r="BM513" s="101">
        <v>210180</v>
      </c>
      <c r="BN513" s="101">
        <v>0</v>
      </c>
      <c r="BO513" s="101">
        <v>210180</v>
      </c>
      <c r="BP513" s="101">
        <v>100</v>
      </c>
      <c r="BS513" s="215">
        <v>45399</v>
      </c>
      <c r="BT513" s="104">
        <v>17574</v>
      </c>
      <c r="BU513" s="104">
        <v>0</v>
      </c>
      <c r="BV513" s="104">
        <v>17574</v>
      </c>
      <c r="BW513" s="104">
        <v>100</v>
      </c>
      <c r="BZ513" s="215">
        <v>45399</v>
      </c>
      <c r="CA513" s="1">
        <v>33772482</v>
      </c>
      <c r="CB513" s="1">
        <v>2572110</v>
      </c>
      <c r="CC513" s="71">
        <f t="shared" si="119"/>
        <v>13.130263480177753</v>
      </c>
      <c r="CE513" s="258">
        <v>45399</v>
      </c>
      <c r="CF513" s="101">
        <v>11575272</v>
      </c>
      <c r="CG513" s="101">
        <v>8294</v>
      </c>
      <c r="CH513" s="101">
        <v>11583566</v>
      </c>
      <c r="CI513" s="101">
        <v>99.93</v>
      </c>
      <c r="CJ513" s="71">
        <f t="shared" si="125"/>
        <v>11.583565999999999</v>
      </c>
    </row>
    <row r="514" spans="1:93" hidden="1" x14ac:dyDescent="0.25">
      <c r="A514" s="215">
        <v>45400</v>
      </c>
      <c r="B514" s="104">
        <v>5961542</v>
      </c>
      <c r="C514" s="104">
        <v>4076</v>
      </c>
      <c r="D514" s="104">
        <v>5965618</v>
      </c>
      <c r="E514" s="104">
        <v>99.93</v>
      </c>
      <c r="F514" s="71">
        <f t="shared" si="122"/>
        <v>5.9656180000000001</v>
      </c>
      <c r="H514" s="215">
        <v>45400</v>
      </c>
      <c r="I514" s="101">
        <v>1312668</v>
      </c>
      <c r="J514" s="101">
        <v>334</v>
      </c>
      <c r="K514" s="101">
        <v>1313002</v>
      </c>
      <c r="L514" s="101">
        <v>99.97</v>
      </c>
      <c r="M514" s="71">
        <f t="shared" si="121"/>
        <v>1.313002</v>
      </c>
      <c r="O514" s="215">
        <v>45400</v>
      </c>
      <c r="P514" s="101">
        <v>662016</v>
      </c>
      <c r="Q514" s="101">
        <v>0</v>
      </c>
      <c r="R514" s="101">
        <v>662016</v>
      </c>
      <c r="S514" s="101">
        <v>100</v>
      </c>
      <c r="T514" s="71">
        <f t="shared" si="124"/>
        <v>0.66201600000000005</v>
      </c>
      <c r="V514" s="215">
        <v>45400</v>
      </c>
      <c r="W514" s="101">
        <v>868718</v>
      </c>
      <c r="X514" s="101">
        <v>414</v>
      </c>
      <c r="Y514" s="101">
        <v>869132</v>
      </c>
      <c r="Z514" s="101">
        <v>99.95</v>
      </c>
      <c r="AA514" s="71">
        <f t="shared" si="118"/>
        <v>0.86913200000000002</v>
      </c>
      <c r="AC514" s="215">
        <v>45400</v>
      </c>
      <c r="AD514" s="101">
        <v>693090</v>
      </c>
      <c r="AE514" s="101">
        <v>282</v>
      </c>
      <c r="AF514" s="101">
        <v>693372</v>
      </c>
      <c r="AG514" s="101">
        <v>99.96</v>
      </c>
      <c r="AH514" s="71">
        <f t="shared" si="120"/>
        <v>0.69337199999999999</v>
      </c>
      <c r="AJ514" s="215">
        <v>45400</v>
      </c>
      <c r="AK514" s="48">
        <v>0</v>
      </c>
      <c r="AL514" s="48">
        <v>16</v>
      </c>
      <c r="AM514" s="48">
        <v>16</v>
      </c>
      <c r="AN514" s="48">
        <v>0</v>
      </c>
      <c r="AQ514" s="215">
        <v>45400</v>
      </c>
      <c r="AR514" s="48">
        <v>102</v>
      </c>
      <c r="AS514" s="48">
        <v>0</v>
      </c>
      <c r="AT514" s="48">
        <v>102</v>
      </c>
      <c r="AU514" s="48">
        <v>100</v>
      </c>
      <c r="AX514" s="215">
        <v>45400</v>
      </c>
      <c r="AY514" s="48">
        <v>12</v>
      </c>
      <c r="AZ514" s="48">
        <v>0</v>
      </c>
      <c r="BA514" s="48">
        <v>12</v>
      </c>
      <c r="BB514" s="48">
        <v>100</v>
      </c>
      <c r="BE514" s="215">
        <v>45400</v>
      </c>
      <c r="BF514" s="101">
        <v>11184</v>
      </c>
      <c r="BG514" s="101">
        <v>118</v>
      </c>
      <c r="BH514" s="101">
        <v>11302</v>
      </c>
      <c r="BI514" s="101">
        <v>98.96</v>
      </c>
      <c r="BL514" s="215">
        <v>45400</v>
      </c>
      <c r="BM514" s="101">
        <v>208206</v>
      </c>
      <c r="BN514" s="101">
        <v>0</v>
      </c>
      <c r="BO514" s="101">
        <v>208206</v>
      </c>
      <c r="BP514" s="101">
        <v>100</v>
      </c>
      <c r="BS514" s="215">
        <v>45400</v>
      </c>
      <c r="BT514" s="104">
        <v>35864</v>
      </c>
      <c r="BU514" s="104">
        <v>20</v>
      </c>
      <c r="BV514" s="104">
        <v>35884</v>
      </c>
      <c r="BW514" s="104">
        <v>99.94</v>
      </c>
      <c r="BZ514" s="215">
        <v>45400</v>
      </c>
      <c r="CA514" s="1">
        <v>34083507</v>
      </c>
      <c r="CB514" s="1">
        <v>2584385</v>
      </c>
      <c r="CC514" s="71">
        <f t="shared" si="119"/>
        <v>13.188246720206161</v>
      </c>
      <c r="CE514" s="258">
        <v>45400</v>
      </c>
      <c r="CF514" s="101">
        <v>11427554</v>
      </c>
      <c r="CG514" s="101">
        <v>10220</v>
      </c>
      <c r="CH514" s="101">
        <v>11437774</v>
      </c>
      <c r="CI514" s="101">
        <v>99.91</v>
      </c>
      <c r="CJ514" s="71">
        <f t="shared" si="125"/>
        <v>11.437773999999999</v>
      </c>
      <c r="CL514" s="70">
        <v>45364</v>
      </c>
      <c r="CM514" t="s">
        <v>237</v>
      </c>
      <c r="CN514">
        <v>24850</v>
      </c>
      <c r="CO514">
        <v>527</v>
      </c>
    </row>
    <row r="515" spans="1:93" hidden="1" x14ac:dyDescent="0.25">
      <c r="A515" s="215">
        <v>45401</v>
      </c>
      <c r="B515" s="104">
        <v>6021606</v>
      </c>
      <c r="C515" s="104">
        <v>2784</v>
      </c>
      <c r="D515" s="104">
        <v>6024390</v>
      </c>
      <c r="E515" s="104">
        <v>99.95</v>
      </c>
      <c r="F515" s="71">
        <f t="shared" si="122"/>
        <v>6.0243900000000004</v>
      </c>
      <c r="H515" s="215">
        <v>45401</v>
      </c>
      <c r="I515" s="101">
        <v>1574922</v>
      </c>
      <c r="J515" s="101">
        <v>336</v>
      </c>
      <c r="K515" s="101">
        <v>1575258</v>
      </c>
      <c r="L515" s="101">
        <v>99.98</v>
      </c>
      <c r="M515" s="71">
        <f t="shared" si="121"/>
        <v>1.575258</v>
      </c>
      <c r="O515" s="215">
        <v>45401</v>
      </c>
      <c r="P515" s="101">
        <v>678554</v>
      </c>
      <c r="Q515" s="101">
        <v>0</v>
      </c>
      <c r="R515" s="101">
        <v>678554</v>
      </c>
      <c r="S515" s="101">
        <v>100</v>
      </c>
      <c r="T515" s="71">
        <f t="shared" si="124"/>
        <v>0.67855399999999999</v>
      </c>
      <c r="V515" s="215">
        <v>45401</v>
      </c>
      <c r="W515" s="101">
        <v>936084</v>
      </c>
      <c r="X515" s="101">
        <v>172</v>
      </c>
      <c r="Y515" s="101">
        <v>936256</v>
      </c>
      <c r="Z515" s="101">
        <v>99.98</v>
      </c>
      <c r="AA515" s="71">
        <f t="shared" si="118"/>
        <v>0.93625599999999998</v>
      </c>
      <c r="AC515" s="215">
        <v>45401</v>
      </c>
      <c r="AD515" s="101">
        <v>716928</v>
      </c>
      <c r="AE515" s="101">
        <v>136</v>
      </c>
      <c r="AF515" s="101">
        <v>717064</v>
      </c>
      <c r="AG515" s="101">
        <v>99.98</v>
      </c>
      <c r="AH515" s="71">
        <f t="shared" si="120"/>
        <v>0.71706400000000003</v>
      </c>
      <c r="AJ515" s="215">
        <v>45401</v>
      </c>
      <c r="AK515" s="48">
        <v>0</v>
      </c>
      <c r="AL515" s="48">
        <v>50</v>
      </c>
      <c r="AM515" s="48">
        <v>50</v>
      </c>
      <c r="AN515" s="48">
        <v>0</v>
      </c>
      <c r="AQ515" s="215">
        <v>45401</v>
      </c>
      <c r="AR515" s="48">
        <v>60</v>
      </c>
      <c r="AS515" s="48">
        <v>0</v>
      </c>
      <c r="AT515" s="48">
        <v>60</v>
      </c>
      <c r="AU515" s="48">
        <v>100</v>
      </c>
      <c r="AX515" s="215">
        <v>45401</v>
      </c>
      <c r="AY515" s="48">
        <v>6</v>
      </c>
      <c r="AZ515" s="48">
        <v>0</v>
      </c>
      <c r="BA515" s="48">
        <v>6</v>
      </c>
      <c r="BB515" s="48">
        <v>100</v>
      </c>
      <c r="BE515" s="215">
        <v>45401</v>
      </c>
      <c r="BF515" s="101">
        <v>11750</v>
      </c>
      <c r="BG515" s="101">
        <v>140</v>
      </c>
      <c r="BH515" s="101">
        <v>11890</v>
      </c>
      <c r="BI515" s="101">
        <v>98.82</v>
      </c>
      <c r="BL515" s="215">
        <v>45401</v>
      </c>
      <c r="BM515" s="101">
        <v>222200</v>
      </c>
      <c r="BN515" s="101">
        <v>0</v>
      </c>
      <c r="BO515" s="101">
        <v>222200</v>
      </c>
      <c r="BP515" s="101">
        <v>100</v>
      </c>
      <c r="BS515" s="215">
        <v>45401</v>
      </c>
      <c r="BT515" s="104">
        <v>41426</v>
      </c>
      <c r="BU515" s="104">
        <v>0</v>
      </c>
      <c r="BV515" s="104">
        <v>41426</v>
      </c>
      <c r="BW515" s="104">
        <v>100</v>
      </c>
      <c r="BZ515" s="215">
        <v>45401</v>
      </c>
      <c r="CA515" s="1">
        <v>35703701</v>
      </c>
      <c r="CB515" s="1">
        <v>2645576</v>
      </c>
      <c r="CC515" s="71">
        <f t="shared" si="119"/>
        <v>13.495624771316342</v>
      </c>
      <c r="CE515" s="258">
        <v>45401</v>
      </c>
      <c r="CF515" s="101">
        <v>11979358</v>
      </c>
      <c r="CG515" s="101">
        <v>8488</v>
      </c>
      <c r="CH515" s="101">
        <v>11987846</v>
      </c>
      <c r="CI515" s="101">
        <v>99.93</v>
      </c>
      <c r="CJ515" s="71">
        <f t="shared" si="125"/>
        <v>11.987845999999999</v>
      </c>
      <c r="CL515" s="70">
        <v>45364</v>
      </c>
      <c r="CM515" s="252" t="s">
        <v>239</v>
      </c>
      <c r="CN515">
        <v>13094</v>
      </c>
      <c r="CO515">
        <v>504</v>
      </c>
    </row>
    <row r="516" spans="1:93" hidden="1" x14ac:dyDescent="0.25">
      <c r="A516" s="215">
        <v>45402</v>
      </c>
      <c r="B516" s="104">
        <v>5994968</v>
      </c>
      <c r="C516" s="104">
        <v>2416</v>
      </c>
      <c r="D516" s="104">
        <v>5997384</v>
      </c>
      <c r="E516" s="104">
        <v>99.96</v>
      </c>
      <c r="F516" s="71">
        <f t="shared" si="122"/>
        <v>5.9973840000000003</v>
      </c>
      <c r="H516" s="215">
        <v>45402</v>
      </c>
      <c r="I516" s="101">
        <v>1432004</v>
      </c>
      <c r="J516" s="101">
        <v>330</v>
      </c>
      <c r="K516" s="101">
        <v>1432334</v>
      </c>
      <c r="L516" s="101">
        <v>99.98</v>
      </c>
      <c r="M516" s="71">
        <f t="shared" si="121"/>
        <v>1.432334</v>
      </c>
      <c r="O516" s="215">
        <v>45402</v>
      </c>
      <c r="P516" s="101">
        <v>676098</v>
      </c>
      <c r="Q516" s="101">
        <v>2</v>
      </c>
      <c r="R516" s="101">
        <v>676100</v>
      </c>
      <c r="S516" s="101">
        <v>100</v>
      </c>
      <c r="T516" s="71">
        <f t="shared" si="124"/>
        <v>0.67610000000000003</v>
      </c>
      <c r="V516" s="215">
        <v>45402</v>
      </c>
      <c r="W516" s="101">
        <v>891904</v>
      </c>
      <c r="X516" s="101">
        <v>140</v>
      </c>
      <c r="Y516" s="101">
        <v>892044</v>
      </c>
      <c r="Z516" s="101">
        <v>99.98</v>
      </c>
      <c r="AA516" s="71">
        <f t="shared" ref="AA516:AA585" si="126">Y516/1000000</f>
        <v>0.89204399999999995</v>
      </c>
      <c r="AC516" s="215">
        <v>45402</v>
      </c>
      <c r="AD516" s="101">
        <v>717622</v>
      </c>
      <c r="AE516" s="101">
        <v>142</v>
      </c>
      <c r="AF516" s="101">
        <v>717764</v>
      </c>
      <c r="AG516" s="101">
        <v>99.98</v>
      </c>
      <c r="AH516" s="71">
        <f t="shared" si="120"/>
        <v>0.71776399999999996</v>
      </c>
      <c r="AJ516" s="215">
        <v>45402</v>
      </c>
      <c r="AK516" s="48">
        <v>0</v>
      </c>
      <c r="AL516" s="48">
        <v>18</v>
      </c>
      <c r="AM516" s="48">
        <v>18</v>
      </c>
      <c r="AN516" s="48">
        <v>0</v>
      </c>
      <c r="AQ516" s="215">
        <v>45402</v>
      </c>
      <c r="AR516" s="48">
        <v>114</v>
      </c>
      <c r="AS516" s="48">
        <v>4</v>
      </c>
      <c r="AT516" s="48">
        <v>118</v>
      </c>
      <c r="AU516" s="48">
        <v>96.61</v>
      </c>
      <c r="AX516" s="215">
        <v>45402</v>
      </c>
      <c r="AY516" s="48">
        <v>6</v>
      </c>
      <c r="AZ516" s="48">
        <v>0</v>
      </c>
      <c r="BA516" s="48">
        <v>6</v>
      </c>
      <c r="BB516" s="48">
        <v>100</v>
      </c>
      <c r="BE516" s="215">
        <v>45402</v>
      </c>
      <c r="BF516">
        <v>10230</v>
      </c>
      <c r="BG516" s="101">
        <v>132</v>
      </c>
      <c r="BH516" s="101">
        <v>10362</v>
      </c>
      <c r="BI516" s="101">
        <v>98.73</v>
      </c>
      <c r="BL516" s="215">
        <v>45402</v>
      </c>
      <c r="BM516" s="101">
        <v>218324</v>
      </c>
      <c r="BN516" s="101">
        <v>0</v>
      </c>
      <c r="BO516" s="101">
        <v>218324</v>
      </c>
      <c r="BP516" s="101">
        <v>100</v>
      </c>
      <c r="BS516" s="215">
        <v>45402</v>
      </c>
      <c r="BT516" s="104">
        <v>32994</v>
      </c>
      <c r="BU516" s="104">
        <v>0</v>
      </c>
      <c r="BV516" s="104">
        <v>32994</v>
      </c>
      <c r="BW516" s="104">
        <v>100</v>
      </c>
      <c r="BZ516" s="215">
        <v>45402</v>
      </c>
      <c r="CA516" s="1">
        <v>34671693</v>
      </c>
      <c r="CB516" s="1">
        <v>2548667</v>
      </c>
      <c r="CC516" s="71">
        <f t="shared" si="119"/>
        <v>13.6038537007777</v>
      </c>
      <c r="CE516" s="258">
        <v>45402</v>
      </c>
      <c r="CF516" s="101">
        <v>11692942</v>
      </c>
      <c r="CG516" s="101">
        <v>8018</v>
      </c>
      <c r="CH516" s="101">
        <v>11700960</v>
      </c>
      <c r="CI516" s="101">
        <v>99.93</v>
      </c>
      <c r="CJ516" s="71">
        <f t="shared" si="125"/>
        <v>11.70096</v>
      </c>
      <c r="CL516" s="70">
        <v>45364</v>
      </c>
      <c r="CM516" t="s">
        <v>240</v>
      </c>
      <c r="CN516">
        <v>3416</v>
      </c>
      <c r="CO516">
        <v>516</v>
      </c>
    </row>
    <row r="517" spans="1:93" hidden="1" x14ac:dyDescent="0.25">
      <c r="A517" s="215">
        <v>45403</v>
      </c>
      <c r="B517" s="104">
        <v>5047304</v>
      </c>
      <c r="C517" s="104">
        <v>4528</v>
      </c>
      <c r="D517" s="104">
        <v>5051832</v>
      </c>
      <c r="E517" s="104">
        <v>99.91</v>
      </c>
      <c r="F517" s="71">
        <f t="shared" si="122"/>
        <v>5.0518320000000001</v>
      </c>
      <c r="H517" s="215">
        <v>45403</v>
      </c>
      <c r="I517" s="101">
        <v>1232678</v>
      </c>
      <c r="J517" s="101">
        <v>270</v>
      </c>
      <c r="K517" s="101">
        <v>1232948</v>
      </c>
      <c r="L517" s="101">
        <v>99.98</v>
      </c>
      <c r="M517" s="71">
        <f t="shared" si="121"/>
        <v>1.2329479999999999</v>
      </c>
      <c r="O517" s="215">
        <v>45403</v>
      </c>
      <c r="P517" s="101">
        <v>649628</v>
      </c>
      <c r="Q517" s="101">
        <v>0</v>
      </c>
      <c r="R517" s="101">
        <v>649628</v>
      </c>
      <c r="S517" s="101">
        <v>100</v>
      </c>
      <c r="T517" s="71">
        <f t="shared" si="124"/>
        <v>0.64962799999999998</v>
      </c>
      <c r="V517" s="215">
        <v>45403</v>
      </c>
      <c r="W517" s="101">
        <v>802106</v>
      </c>
      <c r="X517" s="101">
        <v>268</v>
      </c>
      <c r="Y517" s="101">
        <v>802374</v>
      </c>
      <c r="Z517" s="101">
        <v>99.97</v>
      </c>
      <c r="AA517" s="71">
        <f t="shared" si="126"/>
        <v>0.80237400000000003</v>
      </c>
      <c r="AC517" s="215">
        <v>45403</v>
      </c>
      <c r="AD517" s="101">
        <v>684292</v>
      </c>
      <c r="AE517" s="101">
        <v>146</v>
      </c>
      <c r="AF517" s="101">
        <v>684438</v>
      </c>
      <c r="AG517" s="101">
        <v>99.98</v>
      </c>
      <c r="AH517" s="71">
        <f t="shared" si="120"/>
        <v>0.68443799999999999</v>
      </c>
      <c r="AJ517" s="215">
        <v>45403</v>
      </c>
      <c r="AK517" s="48">
        <v>0</v>
      </c>
      <c r="AL517" s="48">
        <v>18</v>
      </c>
      <c r="AM517" s="48">
        <v>18</v>
      </c>
      <c r="AN517" s="48">
        <v>0</v>
      </c>
      <c r="AQ517" s="215">
        <v>45403</v>
      </c>
      <c r="AR517" s="48">
        <v>100</v>
      </c>
      <c r="AS517" s="48">
        <v>0</v>
      </c>
      <c r="AT517" s="48">
        <v>100</v>
      </c>
      <c r="AU517" s="48">
        <v>100</v>
      </c>
      <c r="AX517" s="215">
        <v>45403</v>
      </c>
      <c r="AY517" s="48">
        <v>4</v>
      </c>
      <c r="AZ517" s="48">
        <v>0</v>
      </c>
      <c r="BA517" s="48">
        <v>4</v>
      </c>
      <c r="BB517" s="48">
        <v>100</v>
      </c>
      <c r="BE517" s="215">
        <v>45403</v>
      </c>
      <c r="BF517">
        <v>8678</v>
      </c>
      <c r="BG517" s="101">
        <v>100</v>
      </c>
      <c r="BH517" s="101">
        <v>8778</v>
      </c>
      <c r="BI517" s="101">
        <v>98.86</v>
      </c>
      <c r="BL517" s="215">
        <v>45403</v>
      </c>
      <c r="BM517" s="101">
        <v>4176</v>
      </c>
      <c r="BN517" s="101">
        <v>0</v>
      </c>
      <c r="BO517" s="101">
        <v>4176</v>
      </c>
      <c r="BP517" s="101">
        <v>100</v>
      </c>
      <c r="BS517" s="215">
        <v>45403</v>
      </c>
      <c r="BT517" s="104">
        <v>31524</v>
      </c>
      <c r="BU517" s="104">
        <v>0</v>
      </c>
      <c r="BV517" s="104">
        <v>31524</v>
      </c>
      <c r="BW517" s="104">
        <v>100</v>
      </c>
      <c r="BZ517" s="215">
        <v>45403</v>
      </c>
      <c r="CA517" s="1">
        <v>30072540</v>
      </c>
      <c r="CB517" s="1">
        <v>1826836</v>
      </c>
      <c r="CC517" s="71">
        <f t="shared" si="119"/>
        <v>16.461543345981795</v>
      </c>
      <c r="CE517" s="258">
        <v>45403</v>
      </c>
      <c r="CF517" s="101">
        <v>10051174</v>
      </c>
      <c r="CG517" s="101">
        <v>9574</v>
      </c>
      <c r="CH517" s="101">
        <v>10060748</v>
      </c>
      <c r="CI517" s="101">
        <v>99.9</v>
      </c>
      <c r="CJ517" s="71">
        <f t="shared" si="125"/>
        <v>10.060748</v>
      </c>
      <c r="CL517" s="70">
        <v>45364</v>
      </c>
      <c r="CM517" t="s">
        <v>243</v>
      </c>
      <c r="CN517">
        <v>772</v>
      </c>
      <c r="CO517">
        <v>540</v>
      </c>
    </row>
    <row r="518" spans="1:93" hidden="1" x14ac:dyDescent="0.25">
      <c r="A518" s="215">
        <v>45404</v>
      </c>
      <c r="B518" s="104">
        <v>5811420</v>
      </c>
      <c r="C518" s="104">
        <v>2834</v>
      </c>
      <c r="D518" s="104">
        <v>5814254</v>
      </c>
      <c r="E518" s="104">
        <v>99.95</v>
      </c>
      <c r="F518" s="71">
        <f t="shared" si="122"/>
        <v>5.814254</v>
      </c>
      <c r="H518" s="215">
        <v>45404</v>
      </c>
      <c r="I518" s="101">
        <v>1325410</v>
      </c>
      <c r="J518" s="101">
        <v>286</v>
      </c>
      <c r="K518" s="101">
        <v>1325696</v>
      </c>
      <c r="L518" s="101">
        <v>99.98</v>
      </c>
      <c r="M518" s="71">
        <f t="shared" si="121"/>
        <v>1.325696</v>
      </c>
      <c r="O518" s="215">
        <v>45404</v>
      </c>
      <c r="P518" s="101">
        <v>658204</v>
      </c>
      <c r="Q518" s="101">
        <v>0</v>
      </c>
      <c r="R518" s="101">
        <v>658204</v>
      </c>
      <c r="S518" s="101">
        <v>100</v>
      </c>
      <c r="T518" s="71">
        <f t="shared" si="124"/>
        <v>0.65820400000000001</v>
      </c>
      <c r="V518" s="215">
        <v>45404</v>
      </c>
      <c r="W518" s="101">
        <v>898256</v>
      </c>
      <c r="X518" s="101">
        <v>164</v>
      </c>
      <c r="Y518" s="101">
        <v>898420</v>
      </c>
      <c r="Z518" s="101">
        <v>99.98</v>
      </c>
      <c r="AA518" s="71">
        <f t="shared" si="126"/>
        <v>0.89842</v>
      </c>
      <c r="AC518" s="215">
        <v>45404</v>
      </c>
      <c r="AD518" s="101">
        <v>677390</v>
      </c>
      <c r="AE518" s="101">
        <v>80</v>
      </c>
      <c r="AF518" s="101">
        <v>677470</v>
      </c>
      <c r="AG518" s="101">
        <v>99.99</v>
      </c>
      <c r="AH518" s="71">
        <f t="shared" si="120"/>
        <v>0.67747000000000002</v>
      </c>
      <c r="AJ518" s="215">
        <v>45404</v>
      </c>
      <c r="AK518" s="48">
        <v>0</v>
      </c>
      <c r="AL518" s="48">
        <v>6</v>
      </c>
      <c r="AM518" s="48">
        <v>6</v>
      </c>
      <c r="AN518" s="48">
        <v>0</v>
      </c>
      <c r="AQ518" s="215">
        <v>45404</v>
      </c>
      <c r="AR518" s="48">
        <v>22</v>
      </c>
      <c r="AS518" s="48">
        <v>2</v>
      </c>
      <c r="AT518" s="48">
        <v>24</v>
      </c>
      <c r="AU518" s="48">
        <v>91.67</v>
      </c>
      <c r="AX518" s="215">
        <v>45404</v>
      </c>
      <c r="AY518" s="48">
        <v>2</v>
      </c>
      <c r="AZ518" s="48">
        <v>0</v>
      </c>
      <c r="BA518" s="48">
        <v>2</v>
      </c>
      <c r="BB518" s="48">
        <v>100</v>
      </c>
      <c r="BE518" s="215">
        <v>45404</v>
      </c>
      <c r="BF518">
        <v>11332</v>
      </c>
      <c r="BG518" s="101">
        <v>128</v>
      </c>
      <c r="BH518" s="101">
        <v>11460</v>
      </c>
      <c r="BI518" s="101">
        <v>98.88</v>
      </c>
      <c r="BL518" s="215">
        <v>45404</v>
      </c>
      <c r="BM518">
        <v>218324</v>
      </c>
      <c r="BN518" s="101">
        <v>0</v>
      </c>
      <c r="BO518" s="101">
        <v>220668</v>
      </c>
      <c r="BP518" s="101">
        <v>100</v>
      </c>
      <c r="BS518" s="215">
        <v>45404</v>
      </c>
      <c r="BT518" s="104">
        <v>15230</v>
      </c>
      <c r="BU518" s="104">
        <v>0</v>
      </c>
      <c r="BV518" s="104">
        <v>15230</v>
      </c>
      <c r="BW518" s="104">
        <v>100</v>
      </c>
      <c r="BZ518" s="215">
        <v>45404</v>
      </c>
      <c r="CA518" s="1">
        <v>33501200</v>
      </c>
      <c r="CB518" s="1">
        <v>2554751</v>
      </c>
      <c r="CC518" s="71">
        <f t="shared" si="119"/>
        <v>13.113293624310158</v>
      </c>
      <c r="CE518" s="258">
        <v>45404</v>
      </c>
      <c r="CF518" s="101">
        <v>11292150</v>
      </c>
      <c r="CG518" s="101">
        <v>8326</v>
      </c>
      <c r="CH518" s="101">
        <v>11300476</v>
      </c>
      <c r="CI518" s="101">
        <v>99.93</v>
      </c>
      <c r="CJ518" s="71">
        <f t="shared" si="125"/>
        <v>11.300476</v>
      </c>
      <c r="CL518" s="70">
        <v>45364</v>
      </c>
      <c r="CM518" t="s">
        <v>238</v>
      </c>
      <c r="CN518">
        <v>726</v>
      </c>
      <c r="CO518">
        <v>503</v>
      </c>
    </row>
    <row r="519" spans="1:93" hidden="1" x14ac:dyDescent="0.25">
      <c r="A519" s="215">
        <v>45405</v>
      </c>
      <c r="B519" s="104">
        <v>5922490</v>
      </c>
      <c r="C519" s="104">
        <v>6648</v>
      </c>
      <c r="D519" s="104">
        <v>5929138</v>
      </c>
      <c r="E519" s="104">
        <v>99.89</v>
      </c>
      <c r="F519" s="71">
        <f t="shared" si="122"/>
        <v>5.929138</v>
      </c>
      <c r="H519" s="215">
        <v>45405</v>
      </c>
      <c r="I519" s="101">
        <v>1480442</v>
      </c>
      <c r="J519" s="101">
        <v>398</v>
      </c>
      <c r="K519" s="101">
        <v>1480840</v>
      </c>
      <c r="L519" s="101">
        <v>99.97</v>
      </c>
      <c r="M519" s="71">
        <f t="shared" si="121"/>
        <v>1.4808399999999999</v>
      </c>
      <c r="O519" s="215">
        <v>45405</v>
      </c>
      <c r="P519" s="101">
        <v>664416</v>
      </c>
      <c r="Q519" s="101">
        <v>2</v>
      </c>
      <c r="R519" s="101">
        <v>664418</v>
      </c>
      <c r="S519" s="101">
        <v>100</v>
      </c>
      <c r="T519" s="71">
        <f t="shared" si="124"/>
        <v>0.66441799999999995</v>
      </c>
      <c r="V519" s="215">
        <v>45405</v>
      </c>
      <c r="W519" s="101">
        <v>846654</v>
      </c>
      <c r="X519" s="101">
        <v>764</v>
      </c>
      <c r="Y519" s="101">
        <v>847418</v>
      </c>
      <c r="Z519" s="101">
        <v>99.91</v>
      </c>
      <c r="AA519" s="71">
        <f t="shared" si="126"/>
        <v>0.847418</v>
      </c>
      <c r="AC519" s="215">
        <v>45405</v>
      </c>
      <c r="AD519" s="101">
        <v>664544</v>
      </c>
      <c r="AE519" s="101">
        <v>74</v>
      </c>
      <c r="AF519" s="101">
        <v>664618</v>
      </c>
      <c r="AG519" s="101">
        <v>99.99</v>
      </c>
      <c r="AH519" s="71">
        <f t="shared" si="120"/>
        <v>0.66461800000000004</v>
      </c>
      <c r="AJ519" s="215">
        <v>45405</v>
      </c>
      <c r="AK519" s="48">
        <v>0</v>
      </c>
      <c r="AL519" s="48">
        <v>14</v>
      </c>
      <c r="AM519" s="48">
        <v>14</v>
      </c>
      <c r="AN519" s="48">
        <v>0</v>
      </c>
      <c r="AQ519" s="215">
        <v>45405</v>
      </c>
      <c r="AR519" s="48">
        <v>92</v>
      </c>
      <c r="AS519" s="48">
        <v>0</v>
      </c>
      <c r="AT519" s="48">
        <v>92</v>
      </c>
      <c r="AU519" s="48">
        <v>100</v>
      </c>
      <c r="AX519" s="215">
        <v>45405</v>
      </c>
      <c r="AY519" s="48">
        <v>6</v>
      </c>
      <c r="AZ519" s="48">
        <v>0</v>
      </c>
      <c r="BA519" s="48">
        <v>6</v>
      </c>
      <c r="BB519" s="48">
        <v>100</v>
      </c>
      <c r="BE519" s="215">
        <v>45405</v>
      </c>
      <c r="BF519">
        <v>28800</v>
      </c>
      <c r="BG519" s="101">
        <v>1912</v>
      </c>
      <c r="BH519" s="101">
        <v>30712</v>
      </c>
      <c r="BI519" s="101">
        <v>93.77</v>
      </c>
      <c r="BL519" s="215">
        <v>45405</v>
      </c>
      <c r="BM519">
        <v>4176</v>
      </c>
      <c r="BN519" s="101">
        <v>0</v>
      </c>
      <c r="BO519" s="101">
        <v>217726</v>
      </c>
      <c r="BP519" s="101">
        <v>100</v>
      </c>
      <c r="BS519" s="215">
        <v>45405</v>
      </c>
      <c r="BT519" s="104">
        <v>14740</v>
      </c>
      <c r="BU519" s="104">
        <v>0</v>
      </c>
      <c r="BV519" s="104">
        <v>14740</v>
      </c>
      <c r="BW519" s="104">
        <v>100</v>
      </c>
      <c r="BZ519" s="215">
        <v>45405</v>
      </c>
      <c r="CA519" s="1">
        <v>34247301</v>
      </c>
      <c r="CB519" s="1">
        <v>2616853</v>
      </c>
      <c r="CC519" s="71">
        <f t="shared" si="119"/>
        <v>13.087208566931348</v>
      </c>
      <c r="CE519" s="258">
        <v>45405</v>
      </c>
      <c r="CF519" s="101">
        <v>11492522</v>
      </c>
      <c r="CG519" s="101">
        <v>14022</v>
      </c>
      <c r="CH519" s="101">
        <v>11506544</v>
      </c>
      <c r="CI519" s="101">
        <v>99.88</v>
      </c>
      <c r="CJ519" s="71">
        <f t="shared" si="125"/>
        <v>11.506544</v>
      </c>
      <c r="CL519" s="70">
        <v>45369</v>
      </c>
      <c r="CM519" t="s">
        <v>240</v>
      </c>
      <c r="CN519">
        <v>2552</v>
      </c>
      <c r="CO519">
        <v>516</v>
      </c>
    </row>
    <row r="520" spans="1:93" hidden="1" x14ac:dyDescent="0.25">
      <c r="A520" s="215">
        <v>45406</v>
      </c>
      <c r="B520" s="104">
        <v>5862360</v>
      </c>
      <c r="C520" s="104">
        <v>2554</v>
      </c>
      <c r="D520" s="104">
        <v>5864914</v>
      </c>
      <c r="E520" s="104">
        <v>99.96</v>
      </c>
      <c r="F520" s="71">
        <f t="shared" si="122"/>
        <v>5.8649139999999997</v>
      </c>
      <c r="H520" s="215">
        <v>45406</v>
      </c>
      <c r="I520" s="101">
        <v>1290442</v>
      </c>
      <c r="J520" s="101">
        <v>320</v>
      </c>
      <c r="K520" s="101">
        <v>1290762</v>
      </c>
      <c r="L520" s="101">
        <v>99.98</v>
      </c>
      <c r="M520" s="71">
        <f t="shared" si="121"/>
        <v>1.290762</v>
      </c>
      <c r="O520" s="215">
        <v>45406</v>
      </c>
      <c r="P520" s="101">
        <v>613018</v>
      </c>
      <c r="Q520" s="101">
        <v>2</v>
      </c>
      <c r="R520" s="101">
        <v>613020</v>
      </c>
      <c r="S520" s="101">
        <v>100</v>
      </c>
      <c r="T520" s="71">
        <f t="shared" si="124"/>
        <v>0.61302000000000001</v>
      </c>
      <c r="V520" s="215">
        <v>45406</v>
      </c>
      <c r="W520" s="101">
        <v>841774</v>
      </c>
      <c r="X520" s="101">
        <v>128</v>
      </c>
      <c r="Y520" s="101">
        <v>841902</v>
      </c>
      <c r="Z520" s="101">
        <v>99.98</v>
      </c>
      <c r="AA520" s="71">
        <f t="shared" si="126"/>
        <v>0.84190200000000004</v>
      </c>
      <c r="AC520" s="215">
        <v>45406</v>
      </c>
      <c r="AD520" s="101">
        <v>676274</v>
      </c>
      <c r="AE520" s="101">
        <v>452</v>
      </c>
      <c r="AF520" s="101">
        <v>676726</v>
      </c>
      <c r="AG520" s="101">
        <v>99.93</v>
      </c>
      <c r="AH520" s="71">
        <f t="shared" si="120"/>
        <v>0.67672600000000005</v>
      </c>
      <c r="AJ520" s="215">
        <v>45406</v>
      </c>
      <c r="AK520" s="48">
        <v>0</v>
      </c>
      <c r="AL520" s="48">
        <v>18</v>
      </c>
      <c r="AM520" s="48">
        <v>18</v>
      </c>
      <c r="AN520" s="48">
        <v>0</v>
      </c>
      <c r="AQ520" s="215">
        <v>45406</v>
      </c>
      <c r="AR520" s="48">
        <v>92</v>
      </c>
      <c r="AS520" s="48">
        <v>0</v>
      </c>
      <c r="AT520" s="48">
        <v>92</v>
      </c>
      <c r="AU520" s="48">
        <v>100</v>
      </c>
      <c r="AX520" s="215">
        <v>45406</v>
      </c>
      <c r="AY520" s="48">
        <v>12</v>
      </c>
      <c r="AZ520" s="48">
        <v>0</v>
      </c>
      <c r="BA520" s="48">
        <v>12</v>
      </c>
      <c r="BB520" s="48">
        <v>100</v>
      </c>
      <c r="BE520" s="215">
        <v>45406</v>
      </c>
      <c r="BF520">
        <v>12736</v>
      </c>
      <c r="BG520" s="101">
        <v>128</v>
      </c>
      <c r="BH520" s="101">
        <v>12864</v>
      </c>
      <c r="BI520" s="101">
        <v>99</v>
      </c>
      <c r="BL520" s="215">
        <v>45406</v>
      </c>
      <c r="BM520">
        <v>220668</v>
      </c>
      <c r="BN520" s="101">
        <v>0</v>
      </c>
      <c r="BO520" s="101">
        <v>217848</v>
      </c>
      <c r="BP520" s="101">
        <v>100</v>
      </c>
      <c r="BS520" s="215">
        <v>45406</v>
      </c>
      <c r="BT520" s="104">
        <v>16730</v>
      </c>
      <c r="BU520" s="104">
        <v>0</v>
      </c>
      <c r="BV520" s="104">
        <v>16730</v>
      </c>
      <c r="BW520" s="104">
        <v>100</v>
      </c>
      <c r="BZ520" s="215">
        <v>45406</v>
      </c>
      <c r="CA520" s="1">
        <v>32875293</v>
      </c>
      <c r="CB520" s="1">
        <v>2520339</v>
      </c>
      <c r="CC520" s="71">
        <f t="shared" si="119"/>
        <v>13.043996462380656</v>
      </c>
      <c r="CE520" s="258">
        <v>45406</v>
      </c>
      <c r="CF520" s="101">
        <v>11059844</v>
      </c>
      <c r="CG520" s="101">
        <v>7576</v>
      </c>
      <c r="CH520" s="101">
        <v>11067420</v>
      </c>
      <c r="CI520" s="101">
        <v>99.93</v>
      </c>
      <c r="CJ520" s="71">
        <f t="shared" si="125"/>
        <v>11.06742</v>
      </c>
      <c r="CL520" s="70">
        <v>45369</v>
      </c>
      <c r="CM520" t="s">
        <v>237</v>
      </c>
      <c r="CN520">
        <v>1282</v>
      </c>
      <c r="CO520">
        <v>527</v>
      </c>
    </row>
    <row r="521" spans="1:93" hidden="1" x14ac:dyDescent="0.25">
      <c r="A521" s="215">
        <v>45407</v>
      </c>
      <c r="B521" s="104">
        <v>5802476</v>
      </c>
      <c r="C521" s="104">
        <v>2086</v>
      </c>
      <c r="D521" s="104">
        <v>5864914</v>
      </c>
      <c r="E521" s="104">
        <v>99.96</v>
      </c>
      <c r="F521" s="71">
        <f t="shared" si="122"/>
        <v>5.8649139999999997</v>
      </c>
      <c r="H521" s="215">
        <v>45407</v>
      </c>
      <c r="I521">
        <v>1255316</v>
      </c>
      <c r="J521">
        <v>292</v>
      </c>
      <c r="K521">
        <v>1255608</v>
      </c>
      <c r="L521">
        <v>99.98</v>
      </c>
      <c r="M521" s="71">
        <f t="shared" si="121"/>
        <v>1.2556080000000001</v>
      </c>
      <c r="O521" s="215">
        <v>45407</v>
      </c>
      <c r="P521" s="101">
        <v>600546</v>
      </c>
      <c r="Q521" s="101">
        <v>0</v>
      </c>
      <c r="R521" s="101">
        <v>600546</v>
      </c>
      <c r="S521" s="101">
        <v>100</v>
      </c>
      <c r="T521" s="71">
        <f t="shared" si="124"/>
        <v>0.60054600000000002</v>
      </c>
      <c r="V521" s="215">
        <v>45407</v>
      </c>
      <c r="W521" s="101">
        <v>817592</v>
      </c>
      <c r="X521" s="101">
        <v>182</v>
      </c>
      <c r="Y521" s="101">
        <v>817774</v>
      </c>
      <c r="Z521" s="101">
        <v>99.98</v>
      </c>
      <c r="AA521" s="71">
        <f t="shared" si="126"/>
        <v>0.817774</v>
      </c>
      <c r="AC521" s="215">
        <v>45407</v>
      </c>
      <c r="AD521" s="101">
        <v>689434</v>
      </c>
      <c r="AE521" s="101">
        <v>188</v>
      </c>
      <c r="AF521" s="101">
        <v>689622</v>
      </c>
      <c r="AG521" s="101">
        <v>99.97</v>
      </c>
      <c r="AH521" s="71">
        <f t="shared" si="120"/>
        <v>0.68962199999999996</v>
      </c>
      <c r="AJ521" s="215">
        <v>45407</v>
      </c>
      <c r="AK521" s="48">
        <v>0</v>
      </c>
      <c r="AL521" s="48">
        <v>20</v>
      </c>
      <c r="AM521" s="48">
        <v>20</v>
      </c>
      <c r="AN521" s="48">
        <v>0</v>
      </c>
      <c r="AQ521" s="215">
        <v>45407</v>
      </c>
      <c r="AR521" s="48">
        <v>114</v>
      </c>
      <c r="AS521" s="48">
        <v>0</v>
      </c>
      <c r="AT521" s="48">
        <v>114</v>
      </c>
      <c r="AU521" s="48">
        <v>100</v>
      </c>
      <c r="AX521" s="215">
        <v>45407</v>
      </c>
      <c r="AY521" s="48">
        <v>4</v>
      </c>
      <c r="AZ521" s="48">
        <v>0</v>
      </c>
      <c r="BA521" s="48">
        <v>4</v>
      </c>
      <c r="BB521" s="48">
        <v>100</v>
      </c>
      <c r="BE521" s="215">
        <v>45407</v>
      </c>
      <c r="BF521">
        <v>10968</v>
      </c>
      <c r="BG521" s="101">
        <v>106</v>
      </c>
      <c r="BH521" s="101">
        <v>11074</v>
      </c>
      <c r="BI521" s="101">
        <v>99.04</v>
      </c>
      <c r="BL521" s="215">
        <v>45407</v>
      </c>
      <c r="BM521">
        <v>217726</v>
      </c>
      <c r="BN521" s="101">
        <v>0</v>
      </c>
      <c r="BO521" s="101">
        <v>232734</v>
      </c>
      <c r="BP521" s="101">
        <v>100</v>
      </c>
      <c r="BS521" s="215">
        <v>45407</v>
      </c>
      <c r="BT521" s="104">
        <v>12818</v>
      </c>
      <c r="BU521" s="104">
        <v>0</v>
      </c>
      <c r="BV521" s="104">
        <v>12818</v>
      </c>
      <c r="BW521" s="104">
        <v>100</v>
      </c>
      <c r="BZ521" s="215">
        <v>45407</v>
      </c>
      <c r="CA521" s="1">
        <v>32496575</v>
      </c>
      <c r="CB521" s="1">
        <v>2513748</v>
      </c>
      <c r="CC521" s="71">
        <f t="shared" si="119"/>
        <v>12.927538878200997</v>
      </c>
      <c r="CE521" s="311">
        <v>45407</v>
      </c>
      <c r="CF521" s="173">
        <v>10959144</v>
      </c>
      <c r="CG521" s="173">
        <v>6810</v>
      </c>
      <c r="CH521" s="173">
        <v>10965954</v>
      </c>
      <c r="CI521" s="173">
        <v>99.94</v>
      </c>
      <c r="CJ521" s="208">
        <f t="shared" si="125"/>
        <v>10.965954</v>
      </c>
      <c r="CL521" s="70">
        <v>45369</v>
      </c>
      <c r="CM521" t="s">
        <v>243</v>
      </c>
      <c r="CN521">
        <v>952</v>
      </c>
      <c r="CO521">
        <v>540</v>
      </c>
    </row>
    <row r="522" spans="1:93" hidden="1" x14ac:dyDescent="0.25">
      <c r="A522" s="215">
        <v>45408</v>
      </c>
      <c r="B522" s="48">
        <v>6637288</v>
      </c>
      <c r="C522" s="48">
        <v>2215</v>
      </c>
      <c r="D522" s="48">
        <v>5804562</v>
      </c>
      <c r="E522" s="48">
        <v>99.97</v>
      </c>
      <c r="F522" s="71">
        <f t="shared" si="122"/>
        <v>5.8045619999999998</v>
      </c>
      <c r="H522" s="215">
        <v>45408</v>
      </c>
      <c r="I522" s="101">
        <v>1552476</v>
      </c>
      <c r="J522" s="101">
        <v>354</v>
      </c>
      <c r="K522" s="101">
        <v>1552830</v>
      </c>
      <c r="L522" s="101">
        <v>99.98</v>
      </c>
      <c r="M522" s="71">
        <f t="shared" si="121"/>
        <v>1.5528299999999999</v>
      </c>
      <c r="O522" s="215">
        <v>45408</v>
      </c>
      <c r="P522" s="101">
        <v>777147</v>
      </c>
      <c r="Q522" s="101">
        <v>0</v>
      </c>
      <c r="R522" s="101">
        <v>777147</v>
      </c>
      <c r="S522" s="101">
        <v>100</v>
      </c>
      <c r="T522" s="71">
        <f t="shared" si="124"/>
        <v>0.77714700000000003</v>
      </c>
      <c r="V522" s="215">
        <v>45408</v>
      </c>
      <c r="W522" s="101">
        <v>915745</v>
      </c>
      <c r="X522" s="101">
        <v>143</v>
      </c>
      <c r="Y522" s="101">
        <v>915888</v>
      </c>
      <c r="Z522" s="101">
        <v>99.98</v>
      </c>
      <c r="AA522" s="71">
        <f t="shared" si="126"/>
        <v>0.91588800000000004</v>
      </c>
      <c r="AC522" s="215">
        <v>45408</v>
      </c>
      <c r="AD522" s="101">
        <v>713075</v>
      </c>
      <c r="AE522" s="101">
        <v>80</v>
      </c>
      <c r="AF522" s="101">
        <v>713155</v>
      </c>
      <c r="AG522" s="101">
        <v>99.99</v>
      </c>
      <c r="AH522" s="71">
        <f t="shared" ref="AH522:AH552" si="127">AF522/1000000</f>
        <v>0.71315499999999998</v>
      </c>
      <c r="AJ522" s="215">
        <v>45408</v>
      </c>
      <c r="AK522" s="48">
        <v>0</v>
      </c>
      <c r="AL522" s="48">
        <v>89</v>
      </c>
      <c r="AM522" s="48">
        <v>89</v>
      </c>
      <c r="AN522" s="48">
        <v>0</v>
      </c>
      <c r="AQ522" s="215">
        <v>45408</v>
      </c>
      <c r="AR522" s="48">
        <v>91</v>
      </c>
      <c r="AS522" s="48">
        <v>0</v>
      </c>
      <c r="AT522" s="48">
        <v>91</v>
      </c>
      <c r="AU522" s="48">
        <v>100</v>
      </c>
      <c r="AX522" s="215">
        <v>45408</v>
      </c>
      <c r="AY522" s="48">
        <v>8</v>
      </c>
      <c r="AZ522" s="48">
        <v>0</v>
      </c>
      <c r="BA522" s="48">
        <v>8</v>
      </c>
      <c r="BB522" s="48">
        <v>100</v>
      </c>
      <c r="BE522" s="215">
        <v>45408</v>
      </c>
      <c r="BF522">
        <v>12106</v>
      </c>
      <c r="BG522" s="101">
        <v>112</v>
      </c>
      <c r="BH522" s="101">
        <v>12218</v>
      </c>
      <c r="BI522" s="101">
        <v>99.08</v>
      </c>
      <c r="BL522" s="215">
        <v>45408</v>
      </c>
      <c r="BM522">
        <v>217848</v>
      </c>
      <c r="BN522" s="101">
        <v>0</v>
      </c>
      <c r="BO522" s="101">
        <v>224039</v>
      </c>
      <c r="BP522" s="101">
        <v>100</v>
      </c>
      <c r="BS522" s="215">
        <v>45408</v>
      </c>
      <c r="BT522" s="104">
        <v>18506</v>
      </c>
      <c r="BU522" s="104">
        <v>0</v>
      </c>
      <c r="BV522" s="104">
        <v>18506</v>
      </c>
      <c r="BW522" s="104">
        <v>100</v>
      </c>
      <c r="BZ522" s="215">
        <v>45408</v>
      </c>
      <c r="CA522" s="1">
        <v>36653498</v>
      </c>
      <c r="CB522" s="1">
        <v>2694206</v>
      </c>
      <c r="CC522" s="71">
        <f t="shared" ref="CC522:CC585" si="128">CA522/CB522</f>
        <v>13.604564016263048</v>
      </c>
      <c r="CE522" s="258">
        <v>45408</v>
      </c>
      <c r="CF522" s="104">
        <v>12580726</v>
      </c>
      <c r="CG522" s="104">
        <v>7046</v>
      </c>
      <c r="CH522" s="104">
        <v>12587772</v>
      </c>
      <c r="CI522" s="104">
        <v>99.94</v>
      </c>
      <c r="CJ522" s="71">
        <f t="shared" si="125"/>
        <v>12.587771999999999</v>
      </c>
      <c r="CL522" s="70">
        <v>45369</v>
      </c>
      <c r="CM522" t="s">
        <v>238</v>
      </c>
      <c r="CN522">
        <v>798</v>
      </c>
      <c r="CO522">
        <v>503</v>
      </c>
    </row>
    <row r="523" spans="1:93" hidden="1" x14ac:dyDescent="0.25">
      <c r="A523" s="215">
        <v>45409</v>
      </c>
      <c r="B523" s="104">
        <v>17118688</v>
      </c>
      <c r="C523" s="104">
        <v>5866</v>
      </c>
      <c r="D523" s="104">
        <v>17124554</v>
      </c>
      <c r="E523" s="104">
        <v>99.97</v>
      </c>
      <c r="F523" s="71">
        <f t="shared" si="122"/>
        <v>17.124554</v>
      </c>
      <c r="H523" s="215">
        <v>45409</v>
      </c>
      <c r="I523">
        <v>3877740</v>
      </c>
      <c r="J523">
        <v>906</v>
      </c>
      <c r="K523">
        <v>3878646</v>
      </c>
      <c r="L523">
        <v>99.98</v>
      </c>
      <c r="M523" s="71">
        <f t="shared" si="121"/>
        <v>3.8786459999999998</v>
      </c>
      <c r="O523" s="215">
        <v>45409</v>
      </c>
      <c r="P523">
        <v>1974267</v>
      </c>
      <c r="Q523">
        <v>3</v>
      </c>
      <c r="R523">
        <v>1974270</v>
      </c>
      <c r="S523" s="101">
        <v>100</v>
      </c>
      <c r="T523" s="71">
        <f t="shared" si="124"/>
        <v>1.97427</v>
      </c>
      <c r="V523" s="215">
        <v>45409</v>
      </c>
      <c r="W523">
        <v>2412486</v>
      </c>
      <c r="X523">
        <v>400</v>
      </c>
      <c r="Y523">
        <v>2412886</v>
      </c>
      <c r="Z523">
        <v>99.98</v>
      </c>
      <c r="AA523" s="71">
        <f t="shared" si="126"/>
        <v>2.4128859999999999</v>
      </c>
      <c r="AC523" s="215">
        <v>45409</v>
      </c>
      <c r="AD523">
        <v>1800354</v>
      </c>
      <c r="AE523">
        <v>341</v>
      </c>
      <c r="AF523">
        <v>1800695</v>
      </c>
      <c r="AG523">
        <v>99.98</v>
      </c>
      <c r="AH523" s="71">
        <f t="shared" si="127"/>
        <v>1.8006949999999999</v>
      </c>
      <c r="AJ523" s="215">
        <v>45409</v>
      </c>
      <c r="AK523" s="48">
        <v>0</v>
      </c>
      <c r="AL523" s="48">
        <v>67</v>
      </c>
      <c r="AM523" s="48">
        <v>67</v>
      </c>
      <c r="AN523" s="48">
        <v>0</v>
      </c>
      <c r="AQ523" s="215">
        <v>45409</v>
      </c>
      <c r="AR523" s="48">
        <v>253</v>
      </c>
      <c r="AS523" s="48">
        <v>0</v>
      </c>
      <c r="AT523" s="48">
        <v>253</v>
      </c>
      <c r="AU523" s="48">
        <v>100</v>
      </c>
      <c r="AX523" s="215">
        <v>45409</v>
      </c>
      <c r="AY523" s="48">
        <v>25</v>
      </c>
      <c r="AZ523" s="48">
        <v>0</v>
      </c>
      <c r="BA523" s="48">
        <v>25</v>
      </c>
      <c r="BB523" s="48">
        <v>100</v>
      </c>
      <c r="BE523" s="215">
        <v>45409</v>
      </c>
      <c r="BF523">
        <v>28441</v>
      </c>
      <c r="BG523">
        <v>311</v>
      </c>
      <c r="BH523">
        <v>28752</v>
      </c>
      <c r="BI523">
        <v>98.92</v>
      </c>
      <c r="BL523" s="215">
        <v>45409</v>
      </c>
      <c r="BM523">
        <v>561982</v>
      </c>
      <c r="BN523">
        <v>0</v>
      </c>
      <c r="BO523">
        <v>561982</v>
      </c>
      <c r="BP523">
        <v>100</v>
      </c>
      <c r="BS523" s="215">
        <v>45409</v>
      </c>
      <c r="BT523" s="48">
        <v>75445</v>
      </c>
      <c r="BU523" s="104">
        <v>0</v>
      </c>
      <c r="BV523" s="48">
        <v>75445</v>
      </c>
      <c r="BW523" s="48">
        <v>100</v>
      </c>
      <c r="BZ523" s="215">
        <v>45409</v>
      </c>
      <c r="CA523" s="1">
        <v>35123648</v>
      </c>
      <c r="CB523" s="1">
        <v>2534639</v>
      </c>
      <c r="CC523" s="71">
        <f t="shared" si="128"/>
        <v>13.857455834933495</v>
      </c>
      <c r="CE523" s="258">
        <v>45409</v>
      </c>
      <c r="CF523" s="48">
        <v>32205512</v>
      </c>
      <c r="CG523" s="104">
        <v>20610</v>
      </c>
      <c r="CH523" s="48">
        <v>32226122</v>
      </c>
      <c r="CI523" s="114">
        <f>CF523/CH523%</f>
        <v>99.936045671272524</v>
      </c>
      <c r="CJ523" s="71">
        <f t="shared" si="125"/>
        <v>32.226121999999997</v>
      </c>
      <c r="CL523" s="70">
        <v>45369</v>
      </c>
      <c r="CM523" s="252" t="s">
        <v>239</v>
      </c>
      <c r="CN523">
        <v>728</v>
      </c>
      <c r="CO523">
        <v>504</v>
      </c>
    </row>
    <row r="524" spans="1:93" ht="17.25" hidden="1" customHeight="1" x14ac:dyDescent="0.25">
      <c r="A524" s="215">
        <v>45410</v>
      </c>
      <c r="B524" s="48">
        <v>300437</v>
      </c>
      <c r="C524" s="48">
        <v>156</v>
      </c>
      <c r="D524" s="48">
        <v>300593</v>
      </c>
      <c r="E524" s="48">
        <v>99.95</v>
      </c>
      <c r="F524" s="71">
        <f t="shared" si="122"/>
        <v>0.300593</v>
      </c>
      <c r="H524" s="215">
        <v>45410</v>
      </c>
      <c r="I524">
        <v>96808</v>
      </c>
      <c r="J524">
        <v>47</v>
      </c>
      <c r="K524">
        <v>96855</v>
      </c>
      <c r="L524">
        <v>99.95</v>
      </c>
      <c r="M524" s="71">
        <f t="shared" si="121"/>
        <v>9.6854999999999997E-2</v>
      </c>
      <c r="O524" s="215">
        <v>45410</v>
      </c>
      <c r="P524">
        <v>69346</v>
      </c>
      <c r="Q524">
        <v>0</v>
      </c>
      <c r="R524">
        <v>69346</v>
      </c>
      <c r="S524">
        <v>100</v>
      </c>
      <c r="T524" s="71">
        <f t="shared" si="124"/>
        <v>6.9346000000000005E-2</v>
      </c>
      <c r="V524" s="215">
        <v>45410</v>
      </c>
      <c r="W524">
        <v>18029</v>
      </c>
      <c r="X524">
        <v>6</v>
      </c>
      <c r="Y524">
        <v>18035</v>
      </c>
      <c r="Z524">
        <v>99.97</v>
      </c>
      <c r="AA524" s="71">
        <f t="shared" si="126"/>
        <v>1.8034999999999999E-2</v>
      </c>
      <c r="AC524" s="215">
        <v>45410</v>
      </c>
      <c r="AD524">
        <v>60633</v>
      </c>
      <c r="AE524">
        <v>8</v>
      </c>
      <c r="AF524">
        <v>60641</v>
      </c>
      <c r="AG524">
        <v>99.99</v>
      </c>
      <c r="AH524" s="71">
        <f t="shared" si="127"/>
        <v>6.0641E-2</v>
      </c>
      <c r="AJ524" s="215">
        <v>45410</v>
      </c>
      <c r="AK524" s="48">
        <v>0</v>
      </c>
      <c r="AL524" s="48">
        <v>21</v>
      </c>
      <c r="AM524" s="48">
        <v>21</v>
      </c>
      <c r="AN524" s="48">
        <v>0</v>
      </c>
      <c r="AQ524" s="215">
        <v>45410</v>
      </c>
      <c r="AR524" s="48">
        <v>80</v>
      </c>
      <c r="AS524" s="48">
        <v>0</v>
      </c>
      <c r="AT524" s="48">
        <v>80</v>
      </c>
      <c r="AU524" s="48">
        <v>100</v>
      </c>
      <c r="AX524" s="215">
        <v>45410</v>
      </c>
      <c r="AY524" s="48">
        <v>7</v>
      </c>
      <c r="AZ524" s="48">
        <v>0</v>
      </c>
      <c r="BA524" s="48">
        <v>7</v>
      </c>
      <c r="BB524" s="48">
        <v>100</v>
      </c>
      <c r="BE524" s="215">
        <v>45410</v>
      </c>
      <c r="BF524">
        <v>511</v>
      </c>
      <c r="BG524">
        <v>2</v>
      </c>
      <c r="BH524">
        <v>513</v>
      </c>
      <c r="BI524">
        <v>99.61</v>
      </c>
      <c r="BL524" s="215">
        <v>45410</v>
      </c>
      <c r="BM524">
        <v>307</v>
      </c>
      <c r="BN524">
        <v>0</v>
      </c>
      <c r="BO524">
        <v>307</v>
      </c>
      <c r="BP524">
        <v>100</v>
      </c>
      <c r="BS524" s="215">
        <v>45410</v>
      </c>
      <c r="BT524" s="48">
        <v>2542</v>
      </c>
      <c r="BU524" s="48">
        <v>3</v>
      </c>
      <c r="BV524" s="48">
        <v>2545</v>
      </c>
      <c r="BW524" s="48">
        <v>99.88</v>
      </c>
      <c r="BZ524" s="215">
        <v>45410</v>
      </c>
      <c r="CA524" s="1">
        <v>29687213</v>
      </c>
      <c r="CB524" s="1">
        <v>1920449</v>
      </c>
      <c r="CC524" s="71">
        <f t="shared" si="128"/>
        <v>15.458475075359981</v>
      </c>
      <c r="CE524" s="258">
        <v>45410</v>
      </c>
      <c r="CF524" s="48">
        <v>29668106</v>
      </c>
      <c r="CG524" s="104">
        <v>19096</v>
      </c>
      <c r="CH524" s="48">
        <v>29687202</v>
      </c>
      <c r="CI524" s="104">
        <v>99.94</v>
      </c>
      <c r="CJ524" s="71">
        <f t="shared" si="125"/>
        <v>29.687201999999999</v>
      </c>
      <c r="CL524" s="70">
        <v>45370</v>
      </c>
      <c r="CM524" t="s">
        <v>240</v>
      </c>
      <c r="CN524" s="101">
        <v>3220</v>
      </c>
      <c r="CO524" s="101">
        <v>516</v>
      </c>
    </row>
    <row r="525" spans="1:93" hidden="1" x14ac:dyDescent="0.25">
      <c r="A525" s="215">
        <v>45411</v>
      </c>
      <c r="B525" s="48">
        <v>7472865</v>
      </c>
      <c r="C525" s="48">
        <v>2793</v>
      </c>
      <c r="D525" s="48">
        <v>7475658</v>
      </c>
      <c r="E525" s="48">
        <v>99.96</v>
      </c>
      <c r="F525" s="71">
        <f t="shared" si="122"/>
        <v>7.4756580000000001</v>
      </c>
      <c r="H525" s="215">
        <v>45411</v>
      </c>
      <c r="I525">
        <v>1661962</v>
      </c>
      <c r="J525">
        <v>423</v>
      </c>
      <c r="K525">
        <v>1662385</v>
      </c>
      <c r="L525">
        <v>99.97</v>
      </c>
      <c r="M525" s="71">
        <f t="shared" si="121"/>
        <v>1.662385</v>
      </c>
      <c r="O525" s="215">
        <v>45411</v>
      </c>
      <c r="P525">
        <v>771971</v>
      </c>
      <c r="Q525">
        <v>0</v>
      </c>
      <c r="R525">
        <v>771971</v>
      </c>
      <c r="S525" s="101">
        <v>100</v>
      </c>
      <c r="T525" s="71">
        <f t="shared" si="124"/>
        <v>0.77197099999999996</v>
      </c>
      <c r="V525" s="215">
        <v>45411</v>
      </c>
      <c r="W525">
        <v>1053817</v>
      </c>
      <c r="X525">
        <v>210</v>
      </c>
      <c r="Y525">
        <v>1054027</v>
      </c>
      <c r="Z525">
        <v>99.98</v>
      </c>
      <c r="AA525" s="71">
        <f t="shared" si="126"/>
        <v>1.054027</v>
      </c>
      <c r="AC525" s="215">
        <v>45411</v>
      </c>
      <c r="AD525">
        <v>700798</v>
      </c>
      <c r="AE525">
        <v>104</v>
      </c>
      <c r="AF525">
        <v>700902</v>
      </c>
      <c r="AG525">
        <v>99.99</v>
      </c>
      <c r="AH525" s="71">
        <f t="shared" si="127"/>
        <v>0.70090200000000003</v>
      </c>
      <c r="AJ525" s="215">
        <v>45411</v>
      </c>
      <c r="AK525" s="48">
        <v>0</v>
      </c>
      <c r="AL525" s="48">
        <v>22</v>
      </c>
      <c r="AM525" s="48">
        <v>22</v>
      </c>
      <c r="AN525" s="48">
        <v>0</v>
      </c>
      <c r="AQ525" s="215">
        <v>45411</v>
      </c>
      <c r="AR525" s="48">
        <v>0</v>
      </c>
      <c r="AS525" s="48">
        <v>598</v>
      </c>
      <c r="AT525" s="48">
        <v>598</v>
      </c>
      <c r="AU525" s="48">
        <v>0</v>
      </c>
      <c r="AX525" s="215">
        <v>45411</v>
      </c>
      <c r="AY525" s="48">
        <v>3</v>
      </c>
      <c r="AZ525" s="48">
        <v>0</v>
      </c>
      <c r="BA525" s="48">
        <v>3</v>
      </c>
      <c r="BB525" s="48">
        <v>100</v>
      </c>
      <c r="BE525" s="215">
        <v>45411</v>
      </c>
      <c r="BF525">
        <v>11235</v>
      </c>
      <c r="BG525">
        <v>113</v>
      </c>
      <c r="BH525">
        <v>11348</v>
      </c>
      <c r="BI525">
        <v>99</v>
      </c>
      <c r="BL525" s="215">
        <v>45411</v>
      </c>
      <c r="BM525">
        <v>239994</v>
      </c>
      <c r="BN525">
        <v>66</v>
      </c>
      <c r="BO525">
        <v>240060</v>
      </c>
      <c r="BP525" s="220">
        <v>99.97</v>
      </c>
      <c r="BS525" s="215">
        <v>45411</v>
      </c>
      <c r="BT525" s="48">
        <v>17589</v>
      </c>
      <c r="BU525" s="48">
        <v>3</v>
      </c>
      <c r="BV525" s="48">
        <v>17592</v>
      </c>
      <c r="BW525" s="48">
        <v>99.98</v>
      </c>
      <c r="BZ525" s="215">
        <v>45411</v>
      </c>
      <c r="CA525" s="1">
        <v>35172005</v>
      </c>
      <c r="CB525" s="1">
        <v>2720999</v>
      </c>
      <c r="CC525" s="71">
        <f t="shared" si="128"/>
        <v>12.92613668729757</v>
      </c>
      <c r="CE525" s="258">
        <v>45411</v>
      </c>
      <c r="CF525" s="48">
        <v>35699397</v>
      </c>
      <c r="CG525" s="104">
        <v>25503</v>
      </c>
      <c r="CH525" s="48">
        <v>35724900</v>
      </c>
      <c r="CI525" s="104">
        <v>99.93</v>
      </c>
      <c r="CJ525" s="71">
        <f t="shared" si="125"/>
        <v>35.724899999999998</v>
      </c>
      <c r="CL525" s="70">
        <v>45370</v>
      </c>
      <c r="CM525" t="s">
        <v>237</v>
      </c>
      <c r="CN525" s="101">
        <v>1282</v>
      </c>
      <c r="CO525" s="101">
        <v>527</v>
      </c>
    </row>
    <row r="526" spans="1:93" hidden="1" x14ac:dyDescent="0.25">
      <c r="A526" s="215">
        <v>45412</v>
      </c>
      <c r="B526" s="104">
        <v>8981193</v>
      </c>
      <c r="C526" s="104">
        <v>3581</v>
      </c>
      <c r="D526" s="104">
        <v>8984774</v>
      </c>
      <c r="E526" s="104">
        <v>99.96</v>
      </c>
      <c r="F526" s="71">
        <f t="shared" si="122"/>
        <v>8.9847739999999998</v>
      </c>
      <c r="H526" s="215">
        <v>45412</v>
      </c>
      <c r="I526" s="101">
        <v>2110984</v>
      </c>
      <c r="J526" s="101">
        <v>572</v>
      </c>
      <c r="K526" s="101">
        <v>2111556</v>
      </c>
      <c r="L526" s="101">
        <v>99.97</v>
      </c>
      <c r="M526" s="71">
        <f t="shared" si="121"/>
        <v>2.1115560000000002</v>
      </c>
      <c r="O526" s="215">
        <v>45412</v>
      </c>
      <c r="P526" s="101">
        <v>950085</v>
      </c>
      <c r="Q526" s="101">
        <v>0</v>
      </c>
      <c r="R526" s="101">
        <v>950085</v>
      </c>
      <c r="S526" s="101">
        <v>100</v>
      </c>
      <c r="T526" s="71">
        <f t="shared" si="124"/>
        <v>0.95008499999999996</v>
      </c>
      <c r="V526" s="215">
        <v>45412</v>
      </c>
      <c r="W526" s="101">
        <v>1254068</v>
      </c>
      <c r="X526" s="101">
        <v>293</v>
      </c>
      <c r="Y526" s="101">
        <v>1254361</v>
      </c>
      <c r="Z526" s="101">
        <v>99.98</v>
      </c>
      <c r="AA526" s="71">
        <f t="shared" si="126"/>
        <v>1.2543610000000001</v>
      </c>
      <c r="AC526" s="215">
        <v>45412</v>
      </c>
      <c r="AD526" s="101">
        <v>1121497</v>
      </c>
      <c r="AE526" s="101">
        <v>260</v>
      </c>
      <c r="AF526" s="101">
        <v>1121757</v>
      </c>
      <c r="AG526" s="101">
        <v>99.98</v>
      </c>
      <c r="AH526" s="71">
        <f t="shared" si="127"/>
        <v>1.1217569999999999</v>
      </c>
      <c r="AJ526" s="215">
        <v>45412</v>
      </c>
      <c r="AK526" s="48">
        <v>0</v>
      </c>
      <c r="AL526" s="48">
        <v>22</v>
      </c>
      <c r="AM526" s="48">
        <v>22</v>
      </c>
      <c r="AN526" s="48">
        <v>0</v>
      </c>
      <c r="AQ526" s="215">
        <v>45412</v>
      </c>
      <c r="AR526" s="48">
        <v>0</v>
      </c>
      <c r="AS526" s="48">
        <v>134</v>
      </c>
      <c r="AT526" s="48">
        <v>134</v>
      </c>
      <c r="AU526" s="48">
        <v>0</v>
      </c>
      <c r="AX526" s="215">
        <v>45412</v>
      </c>
      <c r="AY526" s="48">
        <v>12</v>
      </c>
      <c r="AZ526" s="48">
        <v>0</v>
      </c>
      <c r="BA526" s="48">
        <v>12</v>
      </c>
      <c r="BB526" s="48">
        <v>100</v>
      </c>
      <c r="BE526" s="215">
        <v>45412</v>
      </c>
      <c r="BF526">
        <v>78454</v>
      </c>
      <c r="BG526">
        <v>5498</v>
      </c>
      <c r="BH526">
        <v>83952</v>
      </c>
      <c r="BI526">
        <v>93.45</v>
      </c>
      <c r="BL526" s="215">
        <v>45412</v>
      </c>
      <c r="BM526">
        <v>296223</v>
      </c>
      <c r="BN526">
        <v>0</v>
      </c>
      <c r="BO526">
        <v>344624</v>
      </c>
      <c r="BP526" s="101">
        <v>100</v>
      </c>
      <c r="BS526" s="215">
        <v>45412</v>
      </c>
      <c r="BT526" s="48">
        <v>39161</v>
      </c>
      <c r="BU526" s="48">
        <v>10</v>
      </c>
      <c r="BV526" s="48">
        <v>39171</v>
      </c>
      <c r="BW526" s="48">
        <v>99.97</v>
      </c>
      <c r="BZ526" s="215">
        <v>45412</v>
      </c>
      <c r="CA526" s="1">
        <v>35441020</v>
      </c>
      <c r="CB526" s="1">
        <v>2631634</v>
      </c>
      <c r="CC526" s="71">
        <f t="shared" si="128"/>
        <v>13.467305863961325</v>
      </c>
      <c r="CE526" s="258">
        <v>45412</v>
      </c>
      <c r="CF526" s="101">
        <v>17120579</v>
      </c>
      <c r="CG526" s="101">
        <v>15964</v>
      </c>
      <c r="CH526" s="101">
        <v>17136543</v>
      </c>
      <c r="CI526" s="101">
        <v>99.91</v>
      </c>
      <c r="CJ526" s="71">
        <f t="shared" si="125"/>
        <v>17.136543</v>
      </c>
      <c r="CL526" s="222">
        <v>45383</v>
      </c>
      <c r="CM526" s="252" t="s">
        <v>239</v>
      </c>
      <c r="CN526" s="101">
        <v>5560</v>
      </c>
      <c r="CO526" s="101">
        <v>504</v>
      </c>
    </row>
    <row r="527" spans="1:93" hidden="1" x14ac:dyDescent="0.25">
      <c r="A527" s="215">
        <v>45413</v>
      </c>
      <c r="B527" s="104">
        <v>6067961</v>
      </c>
      <c r="C527" s="104">
        <v>2340</v>
      </c>
      <c r="D527" s="104">
        <v>6070301</v>
      </c>
      <c r="E527" s="104">
        <v>99.96</v>
      </c>
      <c r="F527" s="71">
        <f t="shared" si="122"/>
        <v>6.0703009999999997</v>
      </c>
      <c r="H527" s="215">
        <v>45413</v>
      </c>
      <c r="I527" s="101">
        <v>1463451</v>
      </c>
      <c r="J527" s="101">
        <v>313</v>
      </c>
      <c r="K527" s="101">
        <v>1463764</v>
      </c>
      <c r="L527" s="101">
        <v>99.98</v>
      </c>
      <c r="M527" s="71">
        <f t="shared" si="121"/>
        <v>1.4637640000000001</v>
      </c>
      <c r="O527" s="215">
        <v>45413</v>
      </c>
      <c r="P527" s="101">
        <v>604461</v>
      </c>
      <c r="Q527" s="101">
        <v>0</v>
      </c>
      <c r="R527" s="101">
        <v>604461</v>
      </c>
      <c r="S527" s="101">
        <v>100</v>
      </c>
      <c r="T527" s="71">
        <f t="shared" si="124"/>
        <v>0.60446100000000003</v>
      </c>
      <c r="V527" s="215">
        <v>45413</v>
      </c>
      <c r="W527" s="101">
        <v>869412</v>
      </c>
      <c r="X527" s="101">
        <v>201</v>
      </c>
      <c r="Y527" s="101">
        <v>869613</v>
      </c>
      <c r="Z527" s="101">
        <v>99.98</v>
      </c>
      <c r="AA527" s="71">
        <f t="shared" si="126"/>
        <v>0.86961299999999997</v>
      </c>
      <c r="AC527" s="215">
        <v>45413</v>
      </c>
      <c r="AD527" s="101">
        <v>778619</v>
      </c>
      <c r="AE527" s="101">
        <v>55</v>
      </c>
      <c r="AF527" s="101">
        <v>778674</v>
      </c>
      <c r="AG527" s="101">
        <v>99.99</v>
      </c>
      <c r="AH527" s="71">
        <f t="shared" si="127"/>
        <v>0.77867399999999998</v>
      </c>
      <c r="AJ527" s="215">
        <v>45413</v>
      </c>
      <c r="AK527" s="48">
        <v>0</v>
      </c>
      <c r="AL527" s="48">
        <v>18</v>
      </c>
      <c r="AM527" s="48">
        <v>18</v>
      </c>
      <c r="AN527" s="48">
        <v>0</v>
      </c>
      <c r="AQ527" s="215">
        <v>45413</v>
      </c>
      <c r="AR527" s="48">
        <v>0</v>
      </c>
      <c r="AS527" s="48">
        <v>33</v>
      </c>
      <c r="AT527" s="48">
        <v>33</v>
      </c>
      <c r="AU527" s="48">
        <v>0</v>
      </c>
      <c r="AX527" s="215">
        <v>45413</v>
      </c>
      <c r="AY527" s="48">
        <v>6</v>
      </c>
      <c r="AZ527" s="48">
        <v>0</v>
      </c>
      <c r="BA527" s="48">
        <v>6</v>
      </c>
      <c r="BB527" s="48">
        <v>100</v>
      </c>
      <c r="BE527" s="215">
        <v>45413</v>
      </c>
      <c r="BF527" s="101">
        <v>14701</v>
      </c>
      <c r="BG527" s="101">
        <v>153</v>
      </c>
      <c r="BH527" s="101">
        <v>14854</v>
      </c>
      <c r="BI527" s="101">
        <v>98.97</v>
      </c>
      <c r="BL527" s="215">
        <v>45413</v>
      </c>
      <c r="BM527" s="101">
        <v>267151</v>
      </c>
      <c r="BN527" s="101">
        <v>0</v>
      </c>
      <c r="BO527" s="101">
        <v>267151</v>
      </c>
      <c r="BP527" s="101">
        <v>100</v>
      </c>
      <c r="BS527" s="215">
        <v>45413</v>
      </c>
      <c r="BT527" s="104">
        <v>17629</v>
      </c>
      <c r="BU527" s="104">
        <v>0</v>
      </c>
      <c r="BV527" s="104">
        <v>17629</v>
      </c>
      <c r="BW527" s="104">
        <v>100</v>
      </c>
      <c r="BZ527" s="215">
        <v>45413</v>
      </c>
      <c r="CA527" s="1">
        <v>31002043</v>
      </c>
      <c r="CB527" s="1">
        <v>2543494</v>
      </c>
      <c r="CC527" s="71">
        <f t="shared" si="128"/>
        <v>12.188761994327487</v>
      </c>
      <c r="CE527" s="258">
        <v>45413</v>
      </c>
      <c r="CF527" s="101">
        <v>11743890</v>
      </c>
      <c r="CG527" s="101">
        <v>6602</v>
      </c>
      <c r="CH527" s="101">
        <v>11750492</v>
      </c>
      <c r="CI527" s="101">
        <v>99.94</v>
      </c>
      <c r="CJ527" s="71">
        <f t="shared" si="125"/>
        <v>11.750491999999999</v>
      </c>
      <c r="CL527" s="222">
        <v>45383</v>
      </c>
      <c r="CM527" t="s">
        <v>240</v>
      </c>
      <c r="CN527" s="101">
        <v>2048</v>
      </c>
      <c r="CO527" s="101">
        <v>516</v>
      </c>
    </row>
    <row r="528" spans="1:93" hidden="1" x14ac:dyDescent="0.25">
      <c r="A528" s="215">
        <v>45414</v>
      </c>
      <c r="B528" s="104">
        <v>8270597</v>
      </c>
      <c r="C528" s="104">
        <v>3128</v>
      </c>
      <c r="D528" s="104">
        <v>8273725</v>
      </c>
      <c r="E528" s="104">
        <v>99.96</v>
      </c>
      <c r="F528" s="71">
        <f t="shared" si="122"/>
        <v>8.2737250000000007</v>
      </c>
      <c r="H528" s="215">
        <v>45414</v>
      </c>
      <c r="I528" s="101">
        <v>1754230</v>
      </c>
      <c r="J528" s="101">
        <v>362</v>
      </c>
      <c r="K528" s="101">
        <v>1754592</v>
      </c>
      <c r="L528" s="101">
        <v>99.98</v>
      </c>
      <c r="M528" s="71">
        <f t="shared" si="121"/>
        <v>1.7545919999999999</v>
      </c>
      <c r="O528" s="215">
        <v>45414</v>
      </c>
      <c r="P528" s="101">
        <v>733849</v>
      </c>
      <c r="Q528" s="101">
        <v>2</v>
      </c>
      <c r="R528" s="101">
        <v>733851</v>
      </c>
      <c r="S528" s="101">
        <v>100</v>
      </c>
      <c r="T528" s="71">
        <f t="shared" si="124"/>
        <v>0.73385100000000003</v>
      </c>
      <c r="V528" s="215">
        <v>45414</v>
      </c>
      <c r="W528" s="101">
        <v>1161543</v>
      </c>
      <c r="X528" s="101">
        <v>210</v>
      </c>
      <c r="Y528" s="101">
        <v>1161753</v>
      </c>
      <c r="Z528" s="101">
        <v>99.98</v>
      </c>
      <c r="AA528" s="71">
        <f t="shared" si="126"/>
        <v>1.161753</v>
      </c>
      <c r="AC528" s="215">
        <v>45414</v>
      </c>
      <c r="AD528" s="101">
        <v>876939</v>
      </c>
      <c r="AE528" s="101">
        <v>117</v>
      </c>
      <c r="AF528" s="101">
        <v>877056</v>
      </c>
      <c r="AG528" s="101">
        <v>99.99</v>
      </c>
      <c r="AH528" s="71">
        <f t="shared" si="127"/>
        <v>0.87705599999999995</v>
      </c>
      <c r="AJ528" s="215">
        <v>45414</v>
      </c>
      <c r="AK528" s="48">
        <v>0</v>
      </c>
      <c r="AL528" s="48">
        <v>14</v>
      </c>
      <c r="AM528" s="48">
        <v>14</v>
      </c>
      <c r="AN528" s="48">
        <v>0</v>
      </c>
      <c r="AQ528" s="215">
        <v>45414</v>
      </c>
      <c r="AR528" s="48">
        <v>0</v>
      </c>
      <c r="AS528" s="48">
        <v>60</v>
      </c>
      <c r="AT528" s="48">
        <v>60</v>
      </c>
      <c r="AU528" s="48">
        <v>0</v>
      </c>
      <c r="AX528" s="215">
        <v>45414</v>
      </c>
      <c r="AY528" s="48">
        <v>10</v>
      </c>
      <c r="AZ528" s="48">
        <v>0</v>
      </c>
      <c r="BA528" s="48">
        <v>10</v>
      </c>
      <c r="BB528" s="48">
        <v>100</v>
      </c>
      <c r="BE528" s="215">
        <v>45414</v>
      </c>
      <c r="BF528" s="101">
        <v>17764</v>
      </c>
      <c r="BG528" s="101">
        <v>181</v>
      </c>
      <c r="BH528" s="101">
        <v>17945</v>
      </c>
      <c r="BI528" s="101">
        <v>98.99</v>
      </c>
      <c r="BL528" s="215">
        <v>45414</v>
      </c>
      <c r="BM528" s="101">
        <v>337237</v>
      </c>
      <c r="BN528" s="101">
        <v>0</v>
      </c>
      <c r="BO528" s="101">
        <v>337237</v>
      </c>
      <c r="BP528" s="101">
        <v>100</v>
      </c>
      <c r="BS528" s="215">
        <v>45414</v>
      </c>
      <c r="BT528" s="104">
        <v>23414</v>
      </c>
      <c r="BU528" s="104">
        <v>74</v>
      </c>
      <c r="BV528" s="104">
        <v>23488</v>
      </c>
      <c r="BW528" s="104">
        <v>99.68</v>
      </c>
      <c r="BZ528" s="215">
        <v>45414</v>
      </c>
      <c r="CA528" s="1">
        <v>33339116</v>
      </c>
      <c r="CB528" s="1">
        <v>2593656</v>
      </c>
      <c r="CC528" s="71">
        <f t="shared" si="128"/>
        <v>12.854100929344524</v>
      </c>
      <c r="CE528" s="258">
        <v>45414</v>
      </c>
      <c r="CF528" s="101">
        <v>15256784</v>
      </c>
      <c r="CG528" s="101">
        <v>8467</v>
      </c>
      <c r="CH528" s="101">
        <v>15265251</v>
      </c>
      <c r="CI528" s="101">
        <v>99.94</v>
      </c>
      <c r="CJ528" s="71">
        <f t="shared" si="125"/>
        <v>15.265250999999999</v>
      </c>
      <c r="CL528" s="222">
        <v>45383</v>
      </c>
      <c r="CM528" t="s">
        <v>237</v>
      </c>
      <c r="CN528" s="101">
        <v>848</v>
      </c>
      <c r="CO528" s="101">
        <v>527</v>
      </c>
    </row>
    <row r="529" spans="1:93" hidden="1" x14ac:dyDescent="0.25">
      <c r="A529" s="215">
        <v>45415</v>
      </c>
      <c r="B529" s="101">
        <v>6426973</v>
      </c>
      <c r="C529" s="101">
        <v>2847</v>
      </c>
      <c r="D529" s="101">
        <v>6429820</v>
      </c>
      <c r="E529" s="101">
        <v>99.96</v>
      </c>
      <c r="F529" s="71">
        <f t="shared" si="122"/>
        <v>6.4298200000000003</v>
      </c>
      <c r="H529" s="215">
        <v>45415</v>
      </c>
      <c r="I529" s="101">
        <v>1508783</v>
      </c>
      <c r="J529" s="101">
        <v>389</v>
      </c>
      <c r="K529" s="101">
        <v>1509172</v>
      </c>
      <c r="L529" s="101">
        <v>99.97</v>
      </c>
      <c r="M529" s="71">
        <f t="shared" si="121"/>
        <v>1.509172</v>
      </c>
      <c r="O529" s="215">
        <v>45415</v>
      </c>
      <c r="P529" s="101">
        <v>608616</v>
      </c>
      <c r="Q529" s="101">
        <v>0</v>
      </c>
      <c r="R529" s="101">
        <v>608616</v>
      </c>
      <c r="S529" s="101">
        <v>100</v>
      </c>
      <c r="T529" s="71">
        <f t="shared" si="124"/>
        <v>0.60861600000000005</v>
      </c>
      <c r="V529" s="215">
        <v>45415</v>
      </c>
      <c r="W529" s="101">
        <v>899505</v>
      </c>
      <c r="X529" s="101">
        <v>180</v>
      </c>
      <c r="Y529" s="101">
        <v>899685</v>
      </c>
      <c r="Z529" s="101">
        <v>99.98</v>
      </c>
      <c r="AA529" s="71">
        <f t="shared" si="126"/>
        <v>0.89968499999999996</v>
      </c>
      <c r="AC529" s="215">
        <v>45415</v>
      </c>
      <c r="AD529" s="101">
        <v>796516</v>
      </c>
      <c r="AE529" s="101">
        <v>135</v>
      </c>
      <c r="AF529" s="101">
        <v>796651</v>
      </c>
      <c r="AG529" s="101">
        <v>99.98</v>
      </c>
      <c r="AH529" s="71">
        <f t="shared" si="127"/>
        <v>0.796651</v>
      </c>
      <c r="AJ529" s="215">
        <v>45415</v>
      </c>
      <c r="AK529" s="48">
        <v>0</v>
      </c>
      <c r="AL529" s="48">
        <v>41</v>
      </c>
      <c r="AM529" s="48">
        <v>41</v>
      </c>
      <c r="AN529" s="48">
        <v>0</v>
      </c>
      <c r="AQ529" s="215">
        <v>45415</v>
      </c>
      <c r="AR529" s="48">
        <v>0</v>
      </c>
      <c r="AS529" s="48">
        <v>27</v>
      </c>
      <c r="AT529" s="48">
        <v>27</v>
      </c>
      <c r="AU529" s="48">
        <v>0</v>
      </c>
      <c r="AX529" s="215">
        <v>45415</v>
      </c>
      <c r="AY529" s="48">
        <v>3</v>
      </c>
      <c r="AZ529" s="48">
        <v>0</v>
      </c>
      <c r="BA529" s="48">
        <v>3</v>
      </c>
      <c r="BB529" s="48">
        <v>100</v>
      </c>
      <c r="BE529" s="215">
        <v>45415</v>
      </c>
      <c r="BF529" s="101">
        <v>12194</v>
      </c>
      <c r="BG529" s="101">
        <v>146</v>
      </c>
      <c r="BH529" s="101">
        <v>12340</v>
      </c>
      <c r="BI529" s="101">
        <v>98.82</v>
      </c>
      <c r="BL529" s="215">
        <v>45415</v>
      </c>
      <c r="BM529" s="101">
        <v>223309</v>
      </c>
      <c r="BN529" s="101">
        <v>0</v>
      </c>
      <c r="BO529" s="101">
        <v>223309</v>
      </c>
      <c r="BP529" s="101">
        <v>100</v>
      </c>
      <c r="BS529" s="215">
        <v>45415</v>
      </c>
      <c r="BT529" s="104">
        <v>15751</v>
      </c>
      <c r="BU529" s="104">
        <v>0</v>
      </c>
      <c r="BV529" s="104">
        <v>15751</v>
      </c>
      <c r="BW529" s="104">
        <v>100</v>
      </c>
      <c r="BZ529" s="215">
        <v>45415</v>
      </c>
      <c r="CA529" s="1">
        <v>35067493</v>
      </c>
      <c r="CB529" s="1">
        <v>2619100</v>
      </c>
      <c r="CC529" s="71">
        <f t="shared" si="128"/>
        <v>13.389138635409109</v>
      </c>
      <c r="CE529" s="258">
        <v>45415</v>
      </c>
      <c r="CF529" s="101">
        <v>12182234</v>
      </c>
      <c r="CG529" s="101">
        <v>7023</v>
      </c>
      <c r="CH529" s="101">
        <v>12189257</v>
      </c>
      <c r="CI529" s="101">
        <v>99.94</v>
      </c>
      <c r="CJ529" s="71">
        <f t="shared" si="125"/>
        <v>12.189257</v>
      </c>
      <c r="CL529" s="222">
        <v>45383</v>
      </c>
      <c r="CM529" t="s">
        <v>238</v>
      </c>
      <c r="CN529" s="101">
        <v>712</v>
      </c>
      <c r="CO529" s="101">
        <v>503</v>
      </c>
    </row>
    <row r="530" spans="1:93" hidden="1" x14ac:dyDescent="0.25">
      <c r="A530" s="215">
        <v>45416</v>
      </c>
      <c r="B530" s="101">
        <v>5792998</v>
      </c>
      <c r="C530" s="101">
        <v>2360</v>
      </c>
      <c r="D530" s="101">
        <v>5795358</v>
      </c>
      <c r="E530" s="101">
        <v>99.96</v>
      </c>
      <c r="F530" s="71">
        <f t="shared" si="122"/>
        <v>5.7953580000000002</v>
      </c>
      <c r="H530" s="215">
        <v>45416</v>
      </c>
      <c r="I530" s="101">
        <v>1334752</v>
      </c>
      <c r="J530" s="101">
        <v>311</v>
      </c>
      <c r="K530" s="101">
        <v>1335063</v>
      </c>
      <c r="L530" s="101">
        <v>99.98</v>
      </c>
      <c r="M530" s="71">
        <f t="shared" ref="M530:M593" si="129">K530/1000000</f>
        <v>1.3350630000000001</v>
      </c>
      <c r="O530" s="215">
        <v>45416</v>
      </c>
      <c r="P530" s="101">
        <v>538651</v>
      </c>
      <c r="Q530" s="101">
        <v>0</v>
      </c>
      <c r="R530" s="101">
        <v>538651</v>
      </c>
      <c r="S530" s="101">
        <v>100</v>
      </c>
      <c r="T530" s="71">
        <f t="shared" si="124"/>
        <v>0.53865099999999999</v>
      </c>
      <c r="V530" s="215">
        <v>45416</v>
      </c>
      <c r="W530" s="101">
        <v>844635</v>
      </c>
      <c r="X530" s="101">
        <v>176</v>
      </c>
      <c r="Y530" s="101">
        <v>844811</v>
      </c>
      <c r="Z530" s="101">
        <v>99.98</v>
      </c>
      <c r="AA530" s="71">
        <f t="shared" si="126"/>
        <v>0.84481099999999998</v>
      </c>
      <c r="AC530" s="215">
        <v>45416</v>
      </c>
      <c r="AD530" s="101">
        <v>684692</v>
      </c>
      <c r="AE530" s="101">
        <v>102</v>
      </c>
      <c r="AF530" s="101">
        <v>684794</v>
      </c>
      <c r="AG530" s="101">
        <v>99.99</v>
      </c>
      <c r="AH530" s="71">
        <f t="shared" si="127"/>
        <v>0.68479400000000001</v>
      </c>
      <c r="AJ530" s="215">
        <v>45416</v>
      </c>
      <c r="AK530" s="48">
        <v>0</v>
      </c>
      <c r="AL530" s="48">
        <v>26</v>
      </c>
      <c r="AM530" s="48">
        <v>26</v>
      </c>
      <c r="AN530" s="48">
        <v>0</v>
      </c>
      <c r="AQ530" s="215">
        <v>45416</v>
      </c>
      <c r="AR530" s="48">
        <v>0</v>
      </c>
      <c r="AS530" s="48">
        <v>22</v>
      </c>
      <c r="AT530" s="48">
        <v>22</v>
      </c>
      <c r="AU530" s="48">
        <v>0</v>
      </c>
      <c r="AX530" s="215">
        <v>45416</v>
      </c>
      <c r="AY530" s="48">
        <v>6</v>
      </c>
      <c r="AZ530" s="48">
        <v>0</v>
      </c>
      <c r="BA530" s="48">
        <v>6</v>
      </c>
      <c r="BB530" s="48">
        <v>100</v>
      </c>
      <c r="BE530" s="215">
        <v>45416</v>
      </c>
      <c r="BF530" s="101">
        <v>9235</v>
      </c>
      <c r="BG530" s="101">
        <v>104</v>
      </c>
      <c r="BH530" s="101">
        <v>9339</v>
      </c>
      <c r="BI530" s="101">
        <v>98.89</v>
      </c>
      <c r="BL530" s="215">
        <v>45416</v>
      </c>
      <c r="BM530" s="101">
        <v>198667</v>
      </c>
      <c r="BN530" s="101">
        <v>2</v>
      </c>
      <c r="BO530" s="101">
        <v>198669</v>
      </c>
      <c r="BP530" s="101">
        <v>100</v>
      </c>
      <c r="BS530" s="215">
        <v>45416</v>
      </c>
      <c r="BT530" s="104">
        <v>25631</v>
      </c>
      <c r="BU530" s="104">
        <v>0</v>
      </c>
      <c r="BV530" s="104">
        <v>25631</v>
      </c>
      <c r="BW530" s="104">
        <v>100</v>
      </c>
      <c r="BZ530" s="215">
        <v>45416</v>
      </c>
      <c r="CA530" s="1">
        <v>34486155</v>
      </c>
      <c r="CB530" s="1">
        <v>2565427</v>
      </c>
      <c r="CC530" s="71">
        <f t="shared" si="128"/>
        <v>13.442656914423992</v>
      </c>
      <c r="CE530" s="258">
        <v>45416</v>
      </c>
      <c r="CF530" s="101">
        <v>10902556</v>
      </c>
      <c r="CG530" s="101">
        <v>6073</v>
      </c>
      <c r="CH530" s="101">
        <v>10908629</v>
      </c>
      <c r="CI530" s="101">
        <v>99.94</v>
      </c>
      <c r="CJ530" s="71">
        <f t="shared" si="125"/>
        <v>10.908628999999999</v>
      </c>
      <c r="CL530" s="222">
        <v>45383</v>
      </c>
      <c r="CM530" t="s">
        <v>243</v>
      </c>
      <c r="CN530" s="101">
        <v>686</v>
      </c>
      <c r="CO530" s="101">
        <v>540</v>
      </c>
    </row>
    <row r="531" spans="1:93" hidden="1" x14ac:dyDescent="0.25">
      <c r="A531" s="215">
        <v>45417</v>
      </c>
      <c r="B531" s="101">
        <v>5284424</v>
      </c>
      <c r="C531" s="101">
        <v>4246</v>
      </c>
      <c r="D531" s="101">
        <v>5288670</v>
      </c>
      <c r="E531" s="101">
        <v>99.92</v>
      </c>
      <c r="F531" s="71">
        <f t="shared" si="122"/>
        <v>5.2886699999999998</v>
      </c>
      <c r="H531" s="215">
        <v>45417</v>
      </c>
      <c r="I531" s="101">
        <v>1295666</v>
      </c>
      <c r="J531" s="101">
        <v>298</v>
      </c>
      <c r="K531" s="101">
        <v>1295964</v>
      </c>
      <c r="L531" s="101">
        <v>99.98</v>
      </c>
      <c r="M531" s="71">
        <f t="shared" si="129"/>
        <v>1.2959639999999999</v>
      </c>
      <c r="O531" s="215">
        <v>45417</v>
      </c>
      <c r="P531" s="101">
        <v>572824</v>
      </c>
      <c r="Q531" s="101">
        <v>2</v>
      </c>
      <c r="R531" s="101">
        <v>572826</v>
      </c>
      <c r="S531" s="101">
        <v>100</v>
      </c>
      <c r="T531" s="71">
        <f t="shared" si="124"/>
        <v>0.57282599999999995</v>
      </c>
      <c r="V531" s="215">
        <v>45417</v>
      </c>
      <c r="W531" s="101">
        <v>797744</v>
      </c>
      <c r="X531" s="101">
        <v>572</v>
      </c>
      <c r="Y531" s="101">
        <v>798316</v>
      </c>
      <c r="Z531" s="101">
        <v>99.93</v>
      </c>
      <c r="AA531" s="71">
        <f t="shared" si="126"/>
        <v>0.79831600000000003</v>
      </c>
      <c r="AC531" s="215">
        <v>45417</v>
      </c>
      <c r="AD531" s="101">
        <v>728308</v>
      </c>
      <c r="AE531" s="101">
        <v>66</v>
      </c>
      <c r="AF531" s="101">
        <v>728374</v>
      </c>
      <c r="AG531" s="101">
        <v>99.99</v>
      </c>
      <c r="AH531" s="71">
        <f t="shared" si="127"/>
        <v>0.72837399999999997</v>
      </c>
      <c r="AJ531" s="215">
        <v>45417</v>
      </c>
      <c r="AK531" s="48">
        <v>0</v>
      </c>
      <c r="AL531" s="48">
        <v>18</v>
      </c>
      <c r="AM531" s="48">
        <v>18</v>
      </c>
      <c r="AN531" s="48">
        <v>0</v>
      </c>
      <c r="AQ531" s="215">
        <v>45417</v>
      </c>
      <c r="AR531" s="48">
        <v>0</v>
      </c>
      <c r="AS531" s="48">
        <v>16</v>
      </c>
      <c r="AT531" s="48">
        <v>16</v>
      </c>
      <c r="AU531" s="48">
        <v>0</v>
      </c>
      <c r="AX531" s="215">
        <v>45417</v>
      </c>
      <c r="AY531" s="48">
        <v>4</v>
      </c>
      <c r="AZ531" s="48">
        <v>0</v>
      </c>
      <c r="BA531" s="48">
        <v>4</v>
      </c>
      <c r="BB531" s="48">
        <v>100</v>
      </c>
      <c r="BE531" s="215">
        <v>45417</v>
      </c>
      <c r="BF531" s="101">
        <v>8962</v>
      </c>
      <c r="BG531" s="101">
        <v>72</v>
      </c>
      <c r="BH531" s="101">
        <v>9034</v>
      </c>
      <c r="BI531" s="101">
        <v>99.2</v>
      </c>
      <c r="BL531" s="215">
        <v>45417</v>
      </c>
      <c r="BM531" s="101">
        <v>4460</v>
      </c>
      <c r="BN531" s="101">
        <v>0</v>
      </c>
      <c r="BO531" s="101">
        <v>4460</v>
      </c>
      <c r="BP531" s="101">
        <v>100</v>
      </c>
      <c r="BS531" s="215">
        <v>45417</v>
      </c>
      <c r="BT531" s="104">
        <v>23140</v>
      </c>
      <c r="BU531" s="104">
        <v>0</v>
      </c>
      <c r="BV531" s="104">
        <v>23140</v>
      </c>
      <c r="BW531" s="104">
        <v>100</v>
      </c>
      <c r="BZ531" s="215">
        <v>45417</v>
      </c>
      <c r="CA531" s="1">
        <v>30414051</v>
      </c>
      <c r="CB531" s="1">
        <v>2010349</v>
      </c>
      <c r="CC531" s="71">
        <f t="shared" si="128"/>
        <v>15.128741825424342</v>
      </c>
      <c r="CE531" s="258">
        <v>45417</v>
      </c>
      <c r="CF531" s="101">
        <v>10245710</v>
      </c>
      <c r="CG531" s="101">
        <v>8336</v>
      </c>
      <c r="CH531" s="101">
        <v>10254046</v>
      </c>
      <c r="CI531" s="101">
        <v>99.92</v>
      </c>
      <c r="CJ531" s="71">
        <f t="shared" si="125"/>
        <v>10.254046000000001</v>
      </c>
    </row>
    <row r="532" spans="1:93" hidden="1" x14ac:dyDescent="0.25">
      <c r="A532" s="215">
        <v>45418</v>
      </c>
      <c r="B532" s="101">
        <v>6134780</v>
      </c>
      <c r="C532" s="101">
        <v>2428</v>
      </c>
      <c r="D532" s="101">
        <v>6137208</v>
      </c>
      <c r="E532" s="101">
        <v>99.96</v>
      </c>
      <c r="F532" s="71">
        <f t="shared" si="122"/>
        <v>6.1372080000000002</v>
      </c>
      <c r="H532" s="215">
        <v>45418</v>
      </c>
      <c r="I532" s="101">
        <v>1348088</v>
      </c>
      <c r="J532" s="101">
        <v>290</v>
      </c>
      <c r="K532" s="101">
        <v>1348378</v>
      </c>
      <c r="L532" s="101">
        <v>99.98</v>
      </c>
      <c r="M532" s="71">
        <f t="shared" si="129"/>
        <v>1.3483780000000001</v>
      </c>
      <c r="O532" s="215">
        <v>45418</v>
      </c>
      <c r="P532" s="101">
        <v>586534</v>
      </c>
      <c r="Q532" s="101">
        <v>0</v>
      </c>
      <c r="R532" s="101">
        <v>586534</v>
      </c>
      <c r="S532" s="101">
        <v>100</v>
      </c>
      <c r="T532" s="71">
        <f t="shared" si="124"/>
        <v>0.586534</v>
      </c>
      <c r="V532" s="215">
        <v>45418</v>
      </c>
      <c r="W532" s="101">
        <v>862870</v>
      </c>
      <c r="X532" s="101">
        <v>140</v>
      </c>
      <c r="Y532" s="101">
        <v>863010</v>
      </c>
      <c r="Z532" s="101">
        <v>99.98</v>
      </c>
      <c r="AA532" s="71">
        <f t="shared" si="126"/>
        <v>0.86301000000000005</v>
      </c>
      <c r="AC532" s="215">
        <v>45418</v>
      </c>
      <c r="AD532" s="101">
        <v>691200</v>
      </c>
      <c r="AE532" s="101">
        <v>114</v>
      </c>
      <c r="AF532" s="101">
        <v>691314</v>
      </c>
      <c r="AG532" s="101">
        <v>99.98</v>
      </c>
      <c r="AH532" s="71">
        <f t="shared" si="127"/>
        <v>0.69131399999999998</v>
      </c>
      <c r="AJ532" s="215">
        <v>45418</v>
      </c>
      <c r="AK532" s="48">
        <v>0</v>
      </c>
      <c r="AL532" s="48">
        <v>12</v>
      </c>
      <c r="AM532" s="48">
        <v>12</v>
      </c>
      <c r="AN532" s="48">
        <v>0</v>
      </c>
      <c r="AQ532" s="215">
        <v>45418</v>
      </c>
      <c r="AR532" s="48">
        <v>0</v>
      </c>
      <c r="AS532" s="48">
        <v>22</v>
      </c>
      <c r="AT532" s="48">
        <v>22</v>
      </c>
      <c r="AU532" s="48">
        <v>0</v>
      </c>
      <c r="AX532" s="215">
        <v>45418</v>
      </c>
      <c r="AY532" s="48">
        <v>2</v>
      </c>
      <c r="AZ532" s="48">
        <v>0</v>
      </c>
      <c r="BA532" s="48">
        <v>2</v>
      </c>
      <c r="BB532" s="48">
        <v>100</v>
      </c>
      <c r="BE532" s="215">
        <v>45418</v>
      </c>
      <c r="BF532" s="101">
        <v>10842</v>
      </c>
      <c r="BG532" s="101">
        <v>126</v>
      </c>
      <c r="BH532" s="101">
        <v>10968</v>
      </c>
      <c r="BI532" s="101">
        <v>98.85</v>
      </c>
      <c r="BL532" s="215">
        <v>45418</v>
      </c>
      <c r="BM532" s="101">
        <v>217292</v>
      </c>
      <c r="BN532" s="101">
        <v>0</v>
      </c>
      <c r="BO532" s="101">
        <v>217292</v>
      </c>
      <c r="BP532" s="101">
        <v>100</v>
      </c>
      <c r="BS532" s="215">
        <v>45418</v>
      </c>
      <c r="BT532" s="101">
        <v>12856</v>
      </c>
      <c r="BU532" s="101">
        <v>0</v>
      </c>
      <c r="BV532" s="101">
        <v>12856</v>
      </c>
      <c r="BW532" s="101">
        <v>100</v>
      </c>
      <c r="BZ532" s="215">
        <v>45418</v>
      </c>
      <c r="CA532" s="1">
        <v>34335090</v>
      </c>
      <c r="CB532" s="1">
        <v>2628210</v>
      </c>
      <c r="CC532" s="71">
        <f t="shared" si="128"/>
        <v>13.064058808086111</v>
      </c>
      <c r="CE532" s="258">
        <v>45418</v>
      </c>
      <c r="CF532" s="101">
        <v>11511098</v>
      </c>
      <c r="CG532" s="101">
        <v>6498</v>
      </c>
      <c r="CH532" s="101">
        <v>11517596</v>
      </c>
      <c r="CI532" s="101">
        <v>99.94</v>
      </c>
      <c r="CJ532" s="71">
        <f t="shared" si="125"/>
        <v>11.517595999999999</v>
      </c>
      <c r="CL532" s="222">
        <v>45384</v>
      </c>
      <c r="CM532" t="s">
        <v>237</v>
      </c>
      <c r="CN532" s="101">
        <v>5208</v>
      </c>
      <c r="CO532" s="101">
        <v>527</v>
      </c>
    </row>
    <row r="533" spans="1:93" hidden="1" x14ac:dyDescent="0.25">
      <c r="A533" s="215">
        <v>45419</v>
      </c>
      <c r="B533" s="101">
        <v>6174425</v>
      </c>
      <c r="C533" s="101">
        <v>3001</v>
      </c>
      <c r="D533" s="101">
        <v>6177426</v>
      </c>
      <c r="E533" s="101">
        <v>99.95</v>
      </c>
      <c r="F533" s="71">
        <f t="shared" si="122"/>
        <v>6.1774259999999996</v>
      </c>
      <c r="H533" s="215">
        <v>45419</v>
      </c>
      <c r="I533" s="101">
        <v>1375667</v>
      </c>
      <c r="J533" s="101">
        <v>394</v>
      </c>
      <c r="K533" s="101">
        <v>1376061</v>
      </c>
      <c r="L533" s="101">
        <v>99.97</v>
      </c>
      <c r="M533" s="71">
        <f t="shared" si="129"/>
        <v>1.376061</v>
      </c>
      <c r="O533" s="215">
        <v>45419</v>
      </c>
      <c r="P533" s="101">
        <v>503743</v>
      </c>
      <c r="Q533" s="101">
        <v>0</v>
      </c>
      <c r="R533" s="101">
        <v>503743</v>
      </c>
      <c r="S533" s="101">
        <v>100</v>
      </c>
      <c r="T533" s="71">
        <f t="shared" si="124"/>
        <v>0.50374300000000005</v>
      </c>
      <c r="V533" s="215">
        <v>45419</v>
      </c>
      <c r="W533" s="101">
        <v>829804</v>
      </c>
      <c r="X533" s="101">
        <v>269</v>
      </c>
      <c r="Y533" s="101">
        <v>830073</v>
      </c>
      <c r="Z533" s="101">
        <v>99.97</v>
      </c>
      <c r="AA533" s="71">
        <f t="shared" si="126"/>
        <v>0.83007299999999995</v>
      </c>
      <c r="AC533" s="215">
        <v>45419</v>
      </c>
      <c r="AD533" s="101">
        <v>693279</v>
      </c>
      <c r="AE533" s="101">
        <v>71</v>
      </c>
      <c r="AF533" s="101">
        <v>693350</v>
      </c>
      <c r="AG533" s="101">
        <v>99.99</v>
      </c>
      <c r="AH533" s="71">
        <f t="shared" si="127"/>
        <v>0.69335000000000002</v>
      </c>
      <c r="AJ533" s="215">
        <v>45419</v>
      </c>
      <c r="AK533" s="48">
        <v>0</v>
      </c>
      <c r="AL533" s="48">
        <v>20</v>
      </c>
      <c r="AM533" s="48">
        <v>20</v>
      </c>
      <c r="AN533" s="48">
        <v>0</v>
      </c>
      <c r="AQ533" s="215">
        <v>45419</v>
      </c>
      <c r="AR533" s="48">
        <v>0</v>
      </c>
      <c r="AS533" s="48">
        <v>28</v>
      </c>
      <c r="AT533" s="48">
        <v>28</v>
      </c>
      <c r="AU533" s="48">
        <v>0</v>
      </c>
      <c r="AX533" s="215">
        <v>45419</v>
      </c>
      <c r="AY533" s="48">
        <v>1</v>
      </c>
      <c r="AZ533" s="48">
        <v>0</v>
      </c>
      <c r="BA533" s="48">
        <v>1</v>
      </c>
      <c r="BB533" s="48">
        <v>100</v>
      </c>
      <c r="BE533" s="215">
        <v>45419</v>
      </c>
      <c r="BF533" s="101">
        <v>60744</v>
      </c>
      <c r="BG533" s="101">
        <v>674</v>
      </c>
      <c r="BH533" s="101">
        <v>61418</v>
      </c>
      <c r="BI533" s="101">
        <v>98.9</v>
      </c>
      <c r="BL533" s="215">
        <v>45419</v>
      </c>
      <c r="BM533" s="101">
        <v>317004</v>
      </c>
      <c r="BN533" s="101">
        <v>0</v>
      </c>
      <c r="BO533" s="101">
        <v>317004</v>
      </c>
      <c r="BP533" s="101">
        <v>100</v>
      </c>
      <c r="BS533" s="215">
        <v>45419</v>
      </c>
      <c r="BT533" s="101">
        <v>49630</v>
      </c>
      <c r="BU533" s="101">
        <v>0</v>
      </c>
      <c r="BV533" s="101">
        <v>49630</v>
      </c>
      <c r="BW533" s="101">
        <v>100</v>
      </c>
      <c r="BZ533" s="215">
        <v>45419</v>
      </c>
      <c r="CA533" s="1">
        <v>35391518</v>
      </c>
      <c r="CB533" s="1">
        <v>2650394</v>
      </c>
      <c r="CC533" s="71">
        <f t="shared" si="128"/>
        <v>13.353304452092782</v>
      </c>
      <c r="CE533" s="258">
        <v>45419</v>
      </c>
      <c r="CF533" s="101">
        <v>11322215</v>
      </c>
      <c r="CG533" s="101">
        <v>7212</v>
      </c>
      <c r="CH533" s="101">
        <v>11329427</v>
      </c>
      <c r="CI533" s="101">
        <v>99.94</v>
      </c>
      <c r="CJ533" s="71">
        <f t="shared" si="125"/>
        <v>11.329427000000001</v>
      </c>
      <c r="CL533" s="222">
        <v>45384</v>
      </c>
      <c r="CM533" t="s">
        <v>240</v>
      </c>
      <c r="CN533" s="101">
        <v>2316</v>
      </c>
      <c r="CO533" s="101">
        <v>516</v>
      </c>
    </row>
    <row r="534" spans="1:93" hidden="1" x14ac:dyDescent="0.25">
      <c r="A534" s="215">
        <v>45420</v>
      </c>
      <c r="F534" s="71">
        <f t="shared" si="122"/>
        <v>0</v>
      </c>
      <c r="H534" s="215">
        <v>45420</v>
      </c>
      <c r="M534" s="71">
        <f t="shared" si="129"/>
        <v>0</v>
      </c>
      <c r="O534" s="215">
        <v>45420</v>
      </c>
      <c r="T534" s="71">
        <f t="shared" si="124"/>
        <v>0</v>
      </c>
      <c r="V534" s="215">
        <v>45420</v>
      </c>
      <c r="AA534" s="71">
        <f t="shared" si="126"/>
        <v>0</v>
      </c>
      <c r="AC534" s="215">
        <v>45420</v>
      </c>
      <c r="AH534" s="71">
        <f t="shared" si="127"/>
        <v>0</v>
      </c>
      <c r="AJ534" s="215">
        <v>45420</v>
      </c>
      <c r="AK534" s="48"/>
      <c r="AL534" s="48"/>
      <c r="AM534" s="48"/>
      <c r="AN534" s="48"/>
      <c r="AQ534" s="215">
        <v>45420</v>
      </c>
      <c r="AR534" s="48"/>
      <c r="AS534" s="48"/>
      <c r="AT534" s="48"/>
      <c r="AU534" s="48"/>
      <c r="AX534" s="215">
        <v>45420</v>
      </c>
      <c r="AY534" s="48"/>
      <c r="AZ534" s="48"/>
      <c r="BA534" s="48"/>
      <c r="BB534" s="48">
        <v>100</v>
      </c>
      <c r="BE534" s="215">
        <v>45420</v>
      </c>
      <c r="BL534" s="215">
        <v>45420</v>
      </c>
      <c r="BS534" s="215">
        <v>45420</v>
      </c>
      <c r="BZ534" s="215">
        <v>45420</v>
      </c>
      <c r="CA534" s="1">
        <v>33087145</v>
      </c>
      <c r="CB534" s="1">
        <v>2501288</v>
      </c>
      <c r="CC534" s="71">
        <f t="shared" si="128"/>
        <v>13.228042912291587</v>
      </c>
      <c r="CE534" s="258">
        <v>45420</v>
      </c>
      <c r="CF534" s="101"/>
      <c r="CG534" s="101"/>
      <c r="CH534" s="101"/>
      <c r="CI534" s="101"/>
      <c r="CJ534" s="71">
        <f t="shared" si="125"/>
        <v>0</v>
      </c>
      <c r="CL534" s="222">
        <v>45384</v>
      </c>
      <c r="CM534" s="252" t="s">
        <v>239</v>
      </c>
      <c r="CN534" s="101">
        <v>908</v>
      </c>
      <c r="CO534" s="101">
        <v>504</v>
      </c>
    </row>
    <row r="535" spans="1:93" hidden="1" x14ac:dyDescent="0.25">
      <c r="A535" s="215">
        <v>45421</v>
      </c>
      <c r="F535" s="71">
        <f t="shared" ref="F535:F599" si="130">D535/1000000</f>
        <v>0</v>
      </c>
      <c r="H535" s="215">
        <v>45421</v>
      </c>
      <c r="M535" s="71">
        <f t="shared" si="129"/>
        <v>0</v>
      </c>
      <c r="O535" s="215">
        <v>45421</v>
      </c>
      <c r="T535" s="71">
        <f t="shared" si="124"/>
        <v>0</v>
      </c>
      <c r="V535" s="215">
        <v>45421</v>
      </c>
      <c r="AA535" s="71">
        <f t="shared" si="126"/>
        <v>0</v>
      </c>
      <c r="AC535" s="215">
        <v>45421</v>
      </c>
      <c r="AH535" s="71">
        <f t="shared" si="127"/>
        <v>0</v>
      </c>
      <c r="AJ535" s="215">
        <v>45421</v>
      </c>
      <c r="AK535" s="48"/>
      <c r="AL535" s="48"/>
      <c r="AM535" s="48"/>
      <c r="AN535" s="48"/>
      <c r="AQ535" s="215">
        <v>45421</v>
      </c>
      <c r="AR535" s="48"/>
      <c r="AS535" s="48"/>
      <c r="AT535" s="48"/>
      <c r="AU535" s="48"/>
      <c r="AX535" s="215">
        <v>45421</v>
      </c>
      <c r="AY535" s="48">
        <v>3</v>
      </c>
      <c r="AZ535" s="48">
        <v>0</v>
      </c>
      <c r="BA535" s="48">
        <v>3</v>
      </c>
      <c r="BB535" s="48">
        <v>100</v>
      </c>
      <c r="BE535" s="215">
        <v>45421</v>
      </c>
      <c r="BL535" s="215">
        <v>45421</v>
      </c>
      <c r="BS535" s="215">
        <v>45421</v>
      </c>
      <c r="BZ535" s="215">
        <v>45421</v>
      </c>
      <c r="CA535" s="1">
        <v>32930377</v>
      </c>
      <c r="CB535" s="1">
        <v>2512986</v>
      </c>
      <c r="CC535" s="71">
        <f t="shared" si="128"/>
        <v>13.104082951516641</v>
      </c>
      <c r="CE535" s="258">
        <v>45421</v>
      </c>
      <c r="CJ535" s="71">
        <f t="shared" si="125"/>
        <v>0</v>
      </c>
      <c r="CL535" s="222">
        <v>45384</v>
      </c>
      <c r="CM535" t="s">
        <v>238</v>
      </c>
      <c r="CN535" s="101">
        <v>780</v>
      </c>
      <c r="CO535" s="101">
        <v>503</v>
      </c>
    </row>
    <row r="536" spans="1:93" hidden="1" x14ac:dyDescent="0.25">
      <c r="A536" s="215">
        <v>45422</v>
      </c>
      <c r="B536">
        <v>6262146</v>
      </c>
      <c r="C536">
        <v>8134</v>
      </c>
      <c r="D536">
        <v>6270280</v>
      </c>
      <c r="E536">
        <v>99.87</v>
      </c>
      <c r="F536" s="71">
        <f t="shared" si="130"/>
        <v>6.2702799999999996</v>
      </c>
      <c r="H536" s="215">
        <v>45422</v>
      </c>
      <c r="I536">
        <v>1460170</v>
      </c>
      <c r="J536">
        <v>352</v>
      </c>
      <c r="K536">
        <v>1460522</v>
      </c>
      <c r="L536">
        <v>99.98</v>
      </c>
      <c r="M536" s="71">
        <f t="shared" si="129"/>
        <v>1.4605220000000001</v>
      </c>
      <c r="O536" s="215">
        <v>45422</v>
      </c>
      <c r="P536">
        <v>562734</v>
      </c>
      <c r="Q536">
        <v>2</v>
      </c>
      <c r="R536">
        <v>562736</v>
      </c>
      <c r="S536" s="101">
        <v>100</v>
      </c>
      <c r="T536" s="71">
        <f t="shared" si="124"/>
        <v>0.56273600000000001</v>
      </c>
      <c r="V536" s="215">
        <v>45422</v>
      </c>
      <c r="W536">
        <v>946706</v>
      </c>
      <c r="X536">
        <v>190</v>
      </c>
      <c r="Y536">
        <v>946896</v>
      </c>
      <c r="Z536">
        <v>99.98</v>
      </c>
      <c r="AA536" s="71">
        <f t="shared" si="126"/>
        <v>0.94689599999999996</v>
      </c>
      <c r="AC536" s="215">
        <v>45422</v>
      </c>
      <c r="AD536">
        <v>749244</v>
      </c>
      <c r="AE536">
        <v>102</v>
      </c>
      <c r="AF536">
        <v>749346</v>
      </c>
      <c r="AG536">
        <v>99.99</v>
      </c>
      <c r="AH536" s="71">
        <f t="shared" si="127"/>
        <v>0.74934599999999996</v>
      </c>
      <c r="AJ536" s="215">
        <v>45422</v>
      </c>
      <c r="AK536" s="48">
        <v>0</v>
      </c>
      <c r="AL536" s="48">
        <v>70</v>
      </c>
      <c r="AM536" s="48">
        <v>70</v>
      </c>
      <c r="AN536" s="48">
        <v>0</v>
      </c>
      <c r="AQ536" s="215">
        <v>45422</v>
      </c>
      <c r="AR536" s="48">
        <v>0</v>
      </c>
      <c r="AS536" s="48">
        <v>20</v>
      </c>
      <c r="AT536" s="48">
        <v>20</v>
      </c>
      <c r="AU536" s="48">
        <v>0</v>
      </c>
      <c r="AX536" s="215">
        <v>45422</v>
      </c>
      <c r="AY536" s="48">
        <v>2</v>
      </c>
      <c r="AZ536" s="48">
        <v>0</v>
      </c>
      <c r="BA536" s="48">
        <v>2</v>
      </c>
      <c r="BB536" s="48">
        <v>100</v>
      </c>
      <c r="BE536" s="215">
        <v>45422</v>
      </c>
      <c r="BF536">
        <v>11264</v>
      </c>
      <c r="BG536">
        <v>104</v>
      </c>
      <c r="BH536">
        <v>11368</v>
      </c>
      <c r="BI536">
        <v>99.09</v>
      </c>
      <c r="BL536" s="215">
        <v>45422</v>
      </c>
      <c r="BM536">
        <v>219206</v>
      </c>
      <c r="BO536">
        <v>219206</v>
      </c>
      <c r="BP536" s="101">
        <v>100</v>
      </c>
      <c r="BS536" s="215">
        <v>45422</v>
      </c>
      <c r="BT536">
        <v>15366</v>
      </c>
      <c r="BU536">
        <v>200</v>
      </c>
      <c r="BV536">
        <v>15566</v>
      </c>
      <c r="BW536">
        <v>98.72</v>
      </c>
      <c r="BZ536" s="215">
        <v>45422</v>
      </c>
      <c r="CA536" s="1">
        <v>35330172</v>
      </c>
      <c r="CB536" s="1">
        <v>2601543</v>
      </c>
      <c r="CC536" s="71">
        <f t="shared" si="128"/>
        <v>13.580468206752684</v>
      </c>
      <c r="CE536" s="258">
        <v>45422</v>
      </c>
      <c r="CF536" s="101">
        <v>11862308</v>
      </c>
      <c r="CG536" s="101">
        <v>13884</v>
      </c>
      <c r="CH536" s="101">
        <v>11876192</v>
      </c>
      <c r="CI536" s="101">
        <v>99.88</v>
      </c>
      <c r="CJ536" s="71">
        <f t="shared" si="125"/>
        <v>11.876192</v>
      </c>
      <c r="CL536" s="222">
        <v>45384</v>
      </c>
      <c r="CM536" t="s">
        <v>243</v>
      </c>
      <c r="CN536" s="101">
        <v>778</v>
      </c>
      <c r="CO536" s="101">
        <v>540</v>
      </c>
    </row>
    <row r="537" spans="1:93" hidden="1" x14ac:dyDescent="0.25">
      <c r="A537" s="215">
        <v>45423</v>
      </c>
      <c r="B537">
        <v>6023592</v>
      </c>
      <c r="C537">
        <v>4154</v>
      </c>
      <c r="D537">
        <v>6027746</v>
      </c>
      <c r="E537">
        <v>99.93</v>
      </c>
      <c r="F537" s="71">
        <f t="shared" si="130"/>
        <v>6.0277459999999996</v>
      </c>
      <c r="H537" s="215">
        <v>45423</v>
      </c>
      <c r="I537">
        <v>1349444</v>
      </c>
      <c r="J537">
        <v>310</v>
      </c>
      <c r="K537">
        <v>1349754</v>
      </c>
      <c r="L537">
        <v>99.98</v>
      </c>
      <c r="M537" s="71">
        <f t="shared" si="129"/>
        <v>1.3497539999999999</v>
      </c>
      <c r="O537" s="215">
        <v>45423</v>
      </c>
      <c r="P537">
        <v>506612</v>
      </c>
      <c r="Q537">
        <v>0</v>
      </c>
      <c r="R537">
        <v>506612</v>
      </c>
      <c r="S537" s="101">
        <v>100</v>
      </c>
      <c r="T537" s="71">
        <f t="shared" si="124"/>
        <v>0.50661199999999995</v>
      </c>
      <c r="V537" s="215">
        <v>45423</v>
      </c>
      <c r="W537">
        <v>856722</v>
      </c>
      <c r="X537">
        <v>466</v>
      </c>
      <c r="Y537">
        <v>857188</v>
      </c>
      <c r="Z537">
        <v>99.95</v>
      </c>
      <c r="AA537" s="71">
        <f t="shared" si="126"/>
        <v>0.85718799999999995</v>
      </c>
      <c r="AC537" s="215">
        <v>45423</v>
      </c>
      <c r="AD537">
        <v>744494</v>
      </c>
      <c r="AE537">
        <v>200</v>
      </c>
      <c r="AF537">
        <v>744694</v>
      </c>
      <c r="AG537">
        <v>99.97</v>
      </c>
      <c r="AH537" s="71">
        <f t="shared" si="127"/>
        <v>0.74469399999999997</v>
      </c>
      <c r="AJ537" s="215">
        <v>45423</v>
      </c>
      <c r="AK537" s="48">
        <v>0</v>
      </c>
      <c r="AL537" s="48">
        <v>16</v>
      </c>
      <c r="AM537" s="48">
        <v>16</v>
      </c>
      <c r="AN537" s="48">
        <v>0</v>
      </c>
      <c r="AQ537" s="215">
        <v>45423</v>
      </c>
      <c r="AR537" s="48">
        <v>0</v>
      </c>
      <c r="AS537" s="48">
        <v>22</v>
      </c>
      <c r="AT537" s="48">
        <v>22</v>
      </c>
      <c r="AU537" s="48">
        <v>0</v>
      </c>
      <c r="AX537" s="215">
        <v>45423</v>
      </c>
      <c r="AY537" s="48">
        <v>6</v>
      </c>
      <c r="AZ537" s="48">
        <v>0</v>
      </c>
      <c r="BA537" s="48">
        <v>6</v>
      </c>
      <c r="BB537" s="48">
        <v>100</v>
      </c>
      <c r="BE537" s="215">
        <v>45423</v>
      </c>
      <c r="BF537">
        <v>8708</v>
      </c>
      <c r="BG537">
        <v>94</v>
      </c>
      <c r="BH537">
        <v>8802</v>
      </c>
      <c r="BI537">
        <v>98.93</v>
      </c>
      <c r="BL537" s="215">
        <v>45423</v>
      </c>
      <c r="BM537">
        <v>227700</v>
      </c>
      <c r="BO537">
        <v>227700</v>
      </c>
      <c r="BP537" s="101">
        <v>100</v>
      </c>
      <c r="BS537" s="215">
        <v>45423</v>
      </c>
      <c r="BT537">
        <v>27284</v>
      </c>
      <c r="BU537">
        <v>0</v>
      </c>
      <c r="BV537">
        <v>27284</v>
      </c>
      <c r="BW537">
        <v>100</v>
      </c>
      <c r="BZ537" s="215">
        <v>45423</v>
      </c>
      <c r="CA537" s="1">
        <v>33605518</v>
      </c>
      <c r="CB537" s="1">
        <v>2550456</v>
      </c>
      <c r="CC537" s="71">
        <f t="shared" si="128"/>
        <v>13.176278281217163</v>
      </c>
      <c r="CE537" s="258">
        <v>45423</v>
      </c>
      <c r="CF537" s="101">
        <v>11240404</v>
      </c>
      <c r="CG537" s="101">
        <v>8536</v>
      </c>
      <c r="CH537" s="101">
        <v>11248940</v>
      </c>
      <c r="CI537" s="101">
        <v>99.92</v>
      </c>
      <c r="CJ537" s="71">
        <f t="shared" si="125"/>
        <v>11.248939999999999</v>
      </c>
    </row>
    <row r="538" spans="1:93" hidden="1" x14ac:dyDescent="0.25">
      <c r="A538" s="215">
        <v>45424</v>
      </c>
      <c r="B538">
        <v>5104592</v>
      </c>
      <c r="C538">
        <v>1820</v>
      </c>
      <c r="D538">
        <v>5106412</v>
      </c>
      <c r="E538">
        <v>99.96</v>
      </c>
      <c r="F538" s="71">
        <f t="shared" si="130"/>
        <v>5.1064119999999997</v>
      </c>
      <c r="H538" s="215">
        <v>45424</v>
      </c>
      <c r="I538">
        <v>1235418</v>
      </c>
      <c r="J538">
        <v>298</v>
      </c>
      <c r="K538">
        <v>1235716</v>
      </c>
      <c r="L538">
        <v>99.98</v>
      </c>
      <c r="M538" s="71">
        <f t="shared" si="129"/>
        <v>1.235716</v>
      </c>
      <c r="O538" s="215">
        <v>45424</v>
      </c>
      <c r="P538">
        <v>508766</v>
      </c>
      <c r="Q538">
        <v>2</v>
      </c>
      <c r="R538">
        <v>508768</v>
      </c>
      <c r="S538" s="101">
        <v>100</v>
      </c>
      <c r="T538" s="71">
        <f t="shared" si="124"/>
        <v>0.508768</v>
      </c>
      <c r="V538" s="215">
        <v>45424</v>
      </c>
      <c r="W538">
        <v>821334</v>
      </c>
      <c r="X538">
        <v>150</v>
      </c>
      <c r="Y538">
        <v>821484</v>
      </c>
      <c r="Z538">
        <v>99.98</v>
      </c>
      <c r="AA538" s="71">
        <f t="shared" si="126"/>
        <v>0.82148399999999999</v>
      </c>
      <c r="AC538" s="215">
        <v>45424</v>
      </c>
      <c r="AD538">
        <v>716012</v>
      </c>
      <c r="AE538">
        <v>106</v>
      </c>
      <c r="AF538">
        <v>716118</v>
      </c>
      <c r="AG538">
        <v>99.99</v>
      </c>
      <c r="AH538" s="71">
        <f t="shared" si="127"/>
        <v>0.71611800000000003</v>
      </c>
      <c r="AJ538" s="215">
        <v>45424</v>
      </c>
      <c r="AK538" s="48">
        <v>0</v>
      </c>
      <c r="AL538" s="48">
        <v>18</v>
      </c>
      <c r="AM538" s="48">
        <v>18</v>
      </c>
      <c r="AN538" s="48">
        <v>0</v>
      </c>
      <c r="AQ538" s="215">
        <v>45424</v>
      </c>
      <c r="AR538" s="48">
        <v>0</v>
      </c>
      <c r="AS538" s="48">
        <v>20</v>
      </c>
      <c r="AT538" s="48">
        <v>20</v>
      </c>
      <c r="AU538" s="48">
        <v>0</v>
      </c>
      <c r="AX538" s="215">
        <v>45424</v>
      </c>
      <c r="AY538" s="48">
        <v>4</v>
      </c>
      <c r="AZ538" s="48">
        <v>0</v>
      </c>
      <c r="BA538" s="48">
        <v>4</v>
      </c>
      <c r="BB538" s="48">
        <v>100</v>
      </c>
      <c r="BE538" s="215">
        <v>45424</v>
      </c>
      <c r="BF538">
        <v>8130</v>
      </c>
      <c r="BG538">
        <v>70</v>
      </c>
      <c r="BH538">
        <v>8200</v>
      </c>
      <c r="BI538">
        <v>99.15</v>
      </c>
      <c r="BL538" s="215">
        <v>45424</v>
      </c>
      <c r="BM538">
        <v>3500</v>
      </c>
      <c r="BO538">
        <v>3500</v>
      </c>
      <c r="BP538" s="101">
        <v>100</v>
      </c>
      <c r="BS538" s="215">
        <v>45424</v>
      </c>
      <c r="BT538">
        <v>21620</v>
      </c>
      <c r="BU538">
        <v>0</v>
      </c>
      <c r="BV538">
        <v>21620</v>
      </c>
      <c r="BW538">
        <v>100</v>
      </c>
      <c r="BZ538" s="215">
        <v>45424</v>
      </c>
      <c r="CA538" s="1">
        <v>29484700</v>
      </c>
      <c r="CB538" s="1">
        <v>1830727</v>
      </c>
      <c r="CC538" s="71">
        <f t="shared" si="128"/>
        <v>16.105459743588202</v>
      </c>
      <c r="CE538" s="258">
        <v>45424</v>
      </c>
      <c r="CF538" s="101">
        <v>9958810</v>
      </c>
      <c r="CG538" s="101">
        <v>6016</v>
      </c>
      <c r="CH538" s="101">
        <v>9964826</v>
      </c>
      <c r="CI538" s="101">
        <v>99.94</v>
      </c>
      <c r="CJ538" s="71">
        <f t="shared" si="125"/>
        <v>9.9648260000000004</v>
      </c>
      <c r="CL538" s="222">
        <v>45385</v>
      </c>
      <c r="CM538" t="s">
        <v>240</v>
      </c>
      <c r="CN538" s="101">
        <v>2022</v>
      </c>
      <c r="CO538" s="101">
        <v>516</v>
      </c>
    </row>
    <row r="539" spans="1:93" hidden="1" x14ac:dyDescent="0.25">
      <c r="A539" s="215">
        <v>45425</v>
      </c>
      <c r="B539">
        <v>5664898</v>
      </c>
      <c r="C539">
        <v>83500</v>
      </c>
      <c r="D539">
        <v>5748398</v>
      </c>
      <c r="E539">
        <v>98.55</v>
      </c>
      <c r="F539" s="71">
        <f t="shared" si="130"/>
        <v>5.7483979999999999</v>
      </c>
      <c r="H539" s="215">
        <v>45425</v>
      </c>
      <c r="I539">
        <v>1200374</v>
      </c>
      <c r="J539">
        <v>314</v>
      </c>
      <c r="K539">
        <v>1200688</v>
      </c>
      <c r="L539">
        <v>99.97</v>
      </c>
      <c r="M539" s="71">
        <f t="shared" si="129"/>
        <v>1.200688</v>
      </c>
      <c r="O539" s="215">
        <v>45425</v>
      </c>
      <c r="P539">
        <v>492172</v>
      </c>
      <c r="Q539">
        <v>0</v>
      </c>
      <c r="R539">
        <v>492172</v>
      </c>
      <c r="S539" s="101">
        <v>100</v>
      </c>
      <c r="T539" s="71">
        <f t="shared" si="124"/>
        <v>0.492172</v>
      </c>
      <c r="V539" s="215">
        <v>45425</v>
      </c>
      <c r="W539">
        <v>839658</v>
      </c>
      <c r="X539">
        <v>8542</v>
      </c>
      <c r="Y539">
        <v>848200</v>
      </c>
      <c r="Z539">
        <v>98.99</v>
      </c>
      <c r="AA539" s="71">
        <f t="shared" si="126"/>
        <v>0.84819999999999995</v>
      </c>
      <c r="AC539" s="215">
        <v>45425</v>
      </c>
      <c r="AD539">
        <v>660146</v>
      </c>
      <c r="AE539">
        <v>80</v>
      </c>
      <c r="AF539">
        <v>660226</v>
      </c>
      <c r="AG539">
        <v>99.99</v>
      </c>
      <c r="AH539" s="71">
        <f t="shared" si="127"/>
        <v>0.66022599999999998</v>
      </c>
      <c r="AJ539" s="215">
        <v>45425</v>
      </c>
      <c r="AK539" s="48">
        <v>0</v>
      </c>
      <c r="AL539" s="48">
        <v>14</v>
      </c>
      <c r="AM539" s="48">
        <v>14</v>
      </c>
      <c r="AN539" s="48">
        <v>0</v>
      </c>
      <c r="AQ539" s="215">
        <v>45425</v>
      </c>
      <c r="AR539" s="48">
        <v>0</v>
      </c>
      <c r="AS539" s="48">
        <v>10</v>
      </c>
      <c r="AT539" s="48">
        <v>10</v>
      </c>
      <c r="AU539" s="48">
        <v>0</v>
      </c>
      <c r="AX539" s="215">
        <v>45425</v>
      </c>
      <c r="AY539" s="48">
        <v>12</v>
      </c>
      <c r="AZ539" s="48">
        <v>0</v>
      </c>
      <c r="BA539" s="48">
        <v>12</v>
      </c>
      <c r="BB539" s="48">
        <v>100</v>
      </c>
      <c r="BE539" s="215">
        <v>45425</v>
      </c>
      <c r="BF539">
        <v>9948</v>
      </c>
      <c r="BG539">
        <v>96</v>
      </c>
      <c r="BH539">
        <v>10044</v>
      </c>
      <c r="BI539">
        <v>99.04</v>
      </c>
      <c r="BL539" s="215">
        <v>45425</v>
      </c>
      <c r="BM539">
        <v>208124</v>
      </c>
      <c r="BO539">
        <v>208124</v>
      </c>
      <c r="BP539" s="101">
        <v>100</v>
      </c>
      <c r="BS539" s="215">
        <v>45425</v>
      </c>
      <c r="BT539">
        <v>9774</v>
      </c>
      <c r="BU539">
        <v>0</v>
      </c>
      <c r="BV539">
        <v>9774</v>
      </c>
      <c r="BW539">
        <v>100</v>
      </c>
      <c r="BZ539" s="215">
        <v>45425</v>
      </c>
      <c r="CA539" s="1">
        <v>33966945</v>
      </c>
      <c r="CB539" s="1">
        <v>2554796</v>
      </c>
      <c r="CC539" s="71">
        <f t="shared" si="128"/>
        <v>13.295364874534014</v>
      </c>
      <c r="CE539" s="258">
        <v>45425</v>
      </c>
      <c r="CF539" s="101">
        <v>10633666</v>
      </c>
      <c r="CG539" s="101">
        <v>97984</v>
      </c>
      <c r="CH539" s="101">
        <v>10731650</v>
      </c>
      <c r="CI539" s="101">
        <v>99.09</v>
      </c>
      <c r="CJ539" s="71">
        <f t="shared" si="125"/>
        <v>10.73165</v>
      </c>
      <c r="CL539" s="222">
        <v>45385</v>
      </c>
      <c r="CM539" t="s">
        <v>237</v>
      </c>
      <c r="CN539" s="101">
        <v>880</v>
      </c>
      <c r="CO539" s="101">
        <v>527</v>
      </c>
    </row>
    <row r="540" spans="1:93" hidden="1" x14ac:dyDescent="0.25">
      <c r="A540" s="215">
        <v>45426</v>
      </c>
      <c r="B540">
        <v>7721443</v>
      </c>
      <c r="C540">
        <v>2788</v>
      </c>
      <c r="D540">
        <v>7724231</v>
      </c>
      <c r="E540">
        <v>99.96</v>
      </c>
      <c r="F540" s="71">
        <f t="shared" si="130"/>
        <v>7.7242309999999996</v>
      </c>
      <c r="H540" s="215">
        <v>45426</v>
      </c>
      <c r="I540">
        <v>1694791</v>
      </c>
      <c r="J540">
        <v>471</v>
      </c>
      <c r="K540">
        <v>1695262</v>
      </c>
      <c r="L540">
        <v>99.97</v>
      </c>
      <c r="M540" s="71">
        <f t="shared" si="129"/>
        <v>1.695262</v>
      </c>
      <c r="O540" s="215">
        <v>45426</v>
      </c>
      <c r="P540">
        <v>598525</v>
      </c>
      <c r="Q540">
        <v>0</v>
      </c>
      <c r="R540">
        <v>598525</v>
      </c>
      <c r="S540" s="101">
        <v>100</v>
      </c>
      <c r="T540" s="71">
        <f t="shared" si="124"/>
        <v>0.59852499999999997</v>
      </c>
      <c r="V540" s="215">
        <v>45426</v>
      </c>
      <c r="W540">
        <v>1085435</v>
      </c>
      <c r="X540">
        <v>248</v>
      </c>
      <c r="Y540">
        <v>1085683</v>
      </c>
      <c r="Z540">
        <v>99.98</v>
      </c>
      <c r="AA540" s="71">
        <f t="shared" si="126"/>
        <v>1.085683</v>
      </c>
      <c r="AC540" s="215">
        <v>45426</v>
      </c>
      <c r="AD540">
        <v>925465</v>
      </c>
      <c r="AE540">
        <v>71</v>
      </c>
      <c r="AF540">
        <v>925536</v>
      </c>
      <c r="AG540">
        <v>99.99</v>
      </c>
      <c r="AH540" s="71">
        <f t="shared" si="127"/>
        <v>0.92553600000000003</v>
      </c>
      <c r="AJ540" s="215">
        <v>45426</v>
      </c>
      <c r="AK540" s="48">
        <v>0</v>
      </c>
      <c r="AL540" s="48">
        <v>12</v>
      </c>
      <c r="AM540" s="48">
        <v>12</v>
      </c>
      <c r="AN540" s="48">
        <v>0</v>
      </c>
      <c r="AQ540" s="215">
        <v>45426</v>
      </c>
      <c r="AR540" s="48">
        <v>0</v>
      </c>
      <c r="AS540" s="48">
        <v>26</v>
      </c>
      <c r="AT540" s="48">
        <v>26</v>
      </c>
      <c r="AU540" s="48">
        <v>0</v>
      </c>
      <c r="AX540" s="215">
        <v>45426</v>
      </c>
      <c r="AY540" s="48">
        <v>8</v>
      </c>
      <c r="AZ540" s="48">
        <v>0</v>
      </c>
      <c r="BA540" s="48">
        <v>8</v>
      </c>
      <c r="BB540" s="48">
        <v>100</v>
      </c>
      <c r="BE540" s="215">
        <v>45426</v>
      </c>
      <c r="BF540">
        <v>13660</v>
      </c>
      <c r="BG540">
        <v>217</v>
      </c>
      <c r="BH540">
        <v>13877</v>
      </c>
      <c r="BI540">
        <v>98.44</v>
      </c>
      <c r="BL540" s="215">
        <v>45426</v>
      </c>
      <c r="BM540">
        <v>304845</v>
      </c>
      <c r="BN540">
        <v>2</v>
      </c>
      <c r="BO540">
        <v>304847</v>
      </c>
      <c r="BP540" s="101">
        <v>100</v>
      </c>
      <c r="BS540" s="215">
        <v>45426</v>
      </c>
      <c r="BT540">
        <v>13122</v>
      </c>
      <c r="BU540">
        <v>2</v>
      </c>
      <c r="BV540">
        <v>13124</v>
      </c>
      <c r="BW540">
        <v>99.98</v>
      </c>
      <c r="BZ540" s="215">
        <v>45426</v>
      </c>
      <c r="CA540" s="1">
        <v>34337224</v>
      </c>
      <c r="CB540" s="1">
        <v>2553159</v>
      </c>
      <c r="CC540" s="71">
        <f t="shared" si="128"/>
        <v>13.448917204138089</v>
      </c>
      <c r="CE540" s="258">
        <v>45426</v>
      </c>
      <c r="CF540" s="101">
        <v>14305812</v>
      </c>
      <c r="CG540" s="101">
        <v>7498</v>
      </c>
      <c r="CH540" s="101">
        <v>14313310</v>
      </c>
      <c r="CI540" s="101">
        <v>99.95</v>
      </c>
      <c r="CJ540" s="71">
        <f t="shared" si="125"/>
        <v>14.31331</v>
      </c>
    </row>
    <row r="541" spans="1:93" hidden="1" x14ac:dyDescent="0.25">
      <c r="A541" s="215">
        <v>45427</v>
      </c>
      <c r="B541">
        <v>5750486</v>
      </c>
      <c r="C541">
        <v>2132</v>
      </c>
      <c r="D541">
        <v>5752618</v>
      </c>
      <c r="E541">
        <v>99.96</v>
      </c>
      <c r="F541" s="71">
        <f t="shared" si="130"/>
        <v>5.752618</v>
      </c>
      <c r="H541" s="215">
        <v>45427</v>
      </c>
      <c r="I541">
        <v>1166637</v>
      </c>
      <c r="J541">
        <v>259</v>
      </c>
      <c r="K541">
        <v>1166896</v>
      </c>
      <c r="L541">
        <v>99.98</v>
      </c>
      <c r="M541" s="71">
        <f t="shared" si="129"/>
        <v>1.1668959999999999</v>
      </c>
      <c r="O541" s="215">
        <v>45427</v>
      </c>
      <c r="P541">
        <v>454459</v>
      </c>
      <c r="Q541">
        <v>0</v>
      </c>
      <c r="R541">
        <v>454459</v>
      </c>
      <c r="S541" s="101">
        <v>100</v>
      </c>
      <c r="T541" s="71">
        <f t="shared" si="124"/>
        <v>0.454459</v>
      </c>
      <c r="V541" s="215">
        <v>45427</v>
      </c>
      <c r="W541">
        <v>752917</v>
      </c>
      <c r="X541">
        <v>120</v>
      </c>
      <c r="Y541">
        <v>753037</v>
      </c>
      <c r="Z541">
        <v>99.98</v>
      </c>
      <c r="AA541" s="71">
        <f t="shared" si="126"/>
        <v>0.75303699999999996</v>
      </c>
      <c r="AC541" s="215">
        <v>45427</v>
      </c>
      <c r="AD541">
        <v>772084</v>
      </c>
      <c r="AE541">
        <v>844</v>
      </c>
      <c r="AF541">
        <v>772928</v>
      </c>
      <c r="AG541">
        <v>99.89</v>
      </c>
      <c r="AH541" s="71">
        <f t="shared" si="127"/>
        <v>0.77292799999999995</v>
      </c>
      <c r="AJ541" s="215">
        <v>45427</v>
      </c>
      <c r="AK541" s="48">
        <v>0</v>
      </c>
      <c r="AL541" s="48">
        <v>2</v>
      </c>
      <c r="AM541" s="48">
        <v>2</v>
      </c>
      <c r="AN541" s="48">
        <v>0</v>
      </c>
      <c r="AQ541" s="215">
        <v>45427</v>
      </c>
      <c r="AR541" s="48">
        <v>0</v>
      </c>
      <c r="AS541" s="48">
        <v>18</v>
      </c>
      <c r="AT541" s="48">
        <v>18</v>
      </c>
      <c r="AU541" s="48">
        <v>0</v>
      </c>
      <c r="AX541" s="215">
        <v>45427</v>
      </c>
      <c r="AY541" s="48">
        <v>21</v>
      </c>
      <c r="AZ541" s="48">
        <v>0</v>
      </c>
      <c r="BA541" s="48">
        <v>21</v>
      </c>
      <c r="BB541" s="48">
        <v>100</v>
      </c>
      <c r="BE541" s="215">
        <v>45427</v>
      </c>
      <c r="BF541">
        <v>8832</v>
      </c>
      <c r="BG541">
        <v>209</v>
      </c>
      <c r="BH541">
        <v>9041</v>
      </c>
      <c r="BI541">
        <v>97.69</v>
      </c>
      <c r="BL541" s="215">
        <v>45427</v>
      </c>
      <c r="BM541">
        <v>217832</v>
      </c>
      <c r="BO541">
        <v>217832</v>
      </c>
      <c r="BP541" s="101">
        <v>100</v>
      </c>
      <c r="BS541" s="215">
        <v>45427</v>
      </c>
      <c r="BT541">
        <v>25153</v>
      </c>
      <c r="BU541">
        <v>0</v>
      </c>
      <c r="BV541">
        <v>25153</v>
      </c>
      <c r="BW541">
        <v>100</v>
      </c>
      <c r="BZ541" s="215">
        <v>45427</v>
      </c>
      <c r="CA541" s="1">
        <v>32555240</v>
      </c>
      <c r="CB541" s="1">
        <v>2485710</v>
      </c>
      <c r="CC541" s="71">
        <f t="shared" si="128"/>
        <v>13.096958213146344</v>
      </c>
      <c r="CE541" s="258">
        <v>45427</v>
      </c>
      <c r="CF541" s="101">
        <v>10529908</v>
      </c>
      <c r="CG541" s="101">
        <v>6209</v>
      </c>
      <c r="CH541" s="101">
        <v>10536117</v>
      </c>
      <c r="CI541" s="101">
        <v>99.94</v>
      </c>
      <c r="CJ541" s="71">
        <f t="shared" si="125"/>
        <v>10.536117000000001</v>
      </c>
      <c r="CL541" s="222">
        <v>45413</v>
      </c>
      <c r="CM541" s="1" t="s">
        <v>240</v>
      </c>
      <c r="CN541" s="101">
        <v>2517</v>
      </c>
      <c r="CO541" s="101">
        <v>516</v>
      </c>
    </row>
    <row r="542" spans="1:93" hidden="1" x14ac:dyDescent="0.25">
      <c r="A542" s="215">
        <v>45428</v>
      </c>
      <c r="B542">
        <v>5608638</v>
      </c>
      <c r="C542">
        <v>30824</v>
      </c>
      <c r="D542">
        <v>5639462</v>
      </c>
      <c r="E542">
        <v>99.45</v>
      </c>
      <c r="F542" s="71">
        <f t="shared" si="130"/>
        <v>5.639462</v>
      </c>
      <c r="H542" s="215">
        <v>45428</v>
      </c>
      <c r="I542">
        <v>1188596</v>
      </c>
      <c r="J542">
        <v>286</v>
      </c>
      <c r="K542">
        <v>1188882</v>
      </c>
      <c r="L542">
        <v>99.98</v>
      </c>
      <c r="M542" s="71">
        <f t="shared" si="129"/>
        <v>1.188882</v>
      </c>
      <c r="O542" s="215">
        <v>45428</v>
      </c>
      <c r="P542">
        <v>441182</v>
      </c>
      <c r="Q542">
        <v>0</v>
      </c>
      <c r="R542">
        <v>441182</v>
      </c>
      <c r="S542" s="101">
        <v>100</v>
      </c>
      <c r="T542" s="71">
        <f t="shared" si="124"/>
        <v>0.44118200000000002</v>
      </c>
      <c r="V542" s="215">
        <v>45428</v>
      </c>
      <c r="W542">
        <v>774892</v>
      </c>
      <c r="X542">
        <v>262</v>
      </c>
      <c r="Y542">
        <v>775154</v>
      </c>
      <c r="Z542">
        <v>99.97</v>
      </c>
      <c r="AA542" s="71">
        <f t="shared" si="126"/>
        <v>0.77515400000000001</v>
      </c>
      <c r="AC542" s="215">
        <v>45428</v>
      </c>
      <c r="AD542">
        <v>712628</v>
      </c>
      <c r="AE542">
        <v>142</v>
      </c>
      <c r="AF542">
        <v>712770</v>
      </c>
      <c r="AG542">
        <v>99.98</v>
      </c>
      <c r="AH542" s="71">
        <f t="shared" si="127"/>
        <v>0.71277000000000001</v>
      </c>
      <c r="AJ542" s="215">
        <v>45428</v>
      </c>
      <c r="AK542" s="48">
        <v>0</v>
      </c>
      <c r="AL542" s="48">
        <v>10</v>
      </c>
      <c r="AM542" s="48">
        <v>10</v>
      </c>
      <c r="AN542" s="48">
        <v>0</v>
      </c>
      <c r="AQ542" s="215">
        <v>45428</v>
      </c>
      <c r="AR542" s="48">
        <v>0</v>
      </c>
      <c r="AS542" s="48">
        <v>28</v>
      </c>
      <c r="AT542" s="48">
        <v>28</v>
      </c>
      <c r="AU542" s="48">
        <v>0</v>
      </c>
      <c r="AX542" s="215">
        <v>45428</v>
      </c>
      <c r="AY542" s="48">
        <v>4</v>
      </c>
      <c r="AZ542" s="48">
        <v>0</v>
      </c>
      <c r="BA542" s="48">
        <v>4</v>
      </c>
      <c r="BB542" s="48">
        <v>100</v>
      </c>
      <c r="BE542" s="215">
        <v>45428</v>
      </c>
      <c r="BF542">
        <v>10524</v>
      </c>
      <c r="BG542">
        <v>98</v>
      </c>
      <c r="BH542">
        <v>10622</v>
      </c>
      <c r="BI542">
        <v>99.08</v>
      </c>
      <c r="BL542" s="215">
        <v>45428</v>
      </c>
      <c r="BM542">
        <v>10864</v>
      </c>
      <c r="BO542">
        <v>10864</v>
      </c>
      <c r="BP542" s="101">
        <v>100</v>
      </c>
      <c r="BS542" s="215">
        <v>45428</v>
      </c>
      <c r="BT542">
        <v>13474</v>
      </c>
      <c r="BU542">
        <v>0</v>
      </c>
      <c r="BV542">
        <v>13474</v>
      </c>
      <c r="BW542">
        <v>100</v>
      </c>
      <c r="BZ542" s="215">
        <v>45428</v>
      </c>
      <c r="CA542" s="1">
        <v>30813263</v>
      </c>
      <c r="CB542" s="1">
        <v>1908165</v>
      </c>
      <c r="CC542" s="71">
        <f t="shared" si="128"/>
        <v>16.148112453587608</v>
      </c>
      <c r="CE542" s="258">
        <v>45428</v>
      </c>
      <c r="CF542" s="101">
        <v>10320282</v>
      </c>
      <c r="CG542" s="101">
        <v>35824</v>
      </c>
      <c r="CH542" s="101">
        <v>10356106</v>
      </c>
      <c r="CI542" s="101">
        <v>99.65</v>
      </c>
      <c r="CJ542" s="71">
        <f t="shared" si="125"/>
        <v>10.356106</v>
      </c>
      <c r="CL542" s="222">
        <v>45413</v>
      </c>
      <c r="CM542" s="1" t="s">
        <v>237</v>
      </c>
      <c r="CN542" s="101">
        <v>1529</v>
      </c>
      <c r="CO542" s="101">
        <v>527</v>
      </c>
    </row>
    <row r="543" spans="1:93" hidden="1" x14ac:dyDescent="0.25">
      <c r="A543" s="215">
        <v>45429</v>
      </c>
      <c r="B543" s="101">
        <v>7112950</v>
      </c>
      <c r="C543" s="101">
        <v>6770</v>
      </c>
      <c r="D543" s="101">
        <v>7119720</v>
      </c>
      <c r="E543" s="101">
        <v>99.9</v>
      </c>
      <c r="F543" s="71">
        <f t="shared" si="130"/>
        <v>7.11972</v>
      </c>
      <c r="H543" s="215">
        <v>45429</v>
      </c>
      <c r="I543" s="101">
        <v>1440052</v>
      </c>
      <c r="J543" s="101">
        <v>330</v>
      </c>
      <c r="K543" s="101">
        <v>1440382</v>
      </c>
      <c r="L543" s="101">
        <v>99.98</v>
      </c>
      <c r="M543" s="71">
        <f t="shared" si="129"/>
        <v>1.4403820000000001</v>
      </c>
      <c r="O543" s="215">
        <v>45429</v>
      </c>
      <c r="P543" s="101">
        <v>382184</v>
      </c>
      <c r="Q543" s="101">
        <v>0</v>
      </c>
      <c r="R543" s="101">
        <v>382184</v>
      </c>
      <c r="S543" s="101">
        <v>100</v>
      </c>
      <c r="T543" s="71">
        <f t="shared" si="124"/>
        <v>0.38218400000000002</v>
      </c>
      <c r="V543" s="215">
        <v>45429</v>
      </c>
      <c r="W543" s="101">
        <v>968468</v>
      </c>
      <c r="X543" s="101">
        <v>176</v>
      </c>
      <c r="Y543" s="101">
        <v>968644</v>
      </c>
      <c r="Z543" s="101">
        <v>99.98</v>
      </c>
      <c r="AA543" s="71">
        <f t="shared" si="126"/>
        <v>0.96864399999999995</v>
      </c>
      <c r="AC543" s="215">
        <v>45429</v>
      </c>
      <c r="AD543" s="101">
        <v>710674</v>
      </c>
      <c r="AE543" s="101">
        <v>96</v>
      </c>
      <c r="AF543" s="101">
        <v>710770</v>
      </c>
      <c r="AG543" s="101">
        <v>99.99</v>
      </c>
      <c r="AH543" s="71">
        <f t="shared" si="127"/>
        <v>0.71077000000000001</v>
      </c>
      <c r="AJ543" s="215">
        <v>45429</v>
      </c>
      <c r="AK543" s="48">
        <v>0</v>
      </c>
      <c r="AL543" s="48">
        <v>12</v>
      </c>
      <c r="AM543" s="48">
        <v>12</v>
      </c>
      <c r="AN543" s="48">
        <v>0</v>
      </c>
      <c r="AQ543" s="215">
        <v>45429</v>
      </c>
      <c r="AR543" s="48">
        <v>0</v>
      </c>
      <c r="AS543" s="48">
        <v>6</v>
      </c>
      <c r="AT543" s="48">
        <v>6</v>
      </c>
      <c r="AU543" s="48">
        <v>0</v>
      </c>
      <c r="AX543" s="215">
        <v>45429</v>
      </c>
      <c r="AY543" s="48">
        <v>6</v>
      </c>
      <c r="AZ543" s="48">
        <v>0</v>
      </c>
      <c r="BA543" s="48">
        <v>6</v>
      </c>
      <c r="BB543" s="48">
        <v>100</v>
      </c>
      <c r="BE543" s="215">
        <v>45429</v>
      </c>
      <c r="BF543" s="101">
        <v>9910</v>
      </c>
      <c r="BG543" s="101">
        <v>152</v>
      </c>
      <c r="BH543" s="101">
        <v>10062</v>
      </c>
      <c r="BI543" s="101">
        <v>98.49</v>
      </c>
      <c r="BL543" s="215">
        <v>45429</v>
      </c>
      <c r="BM543" s="101">
        <v>217594</v>
      </c>
      <c r="BN543" s="101">
        <v>0</v>
      </c>
      <c r="BO543" s="101">
        <v>217594</v>
      </c>
      <c r="BP543" s="101">
        <v>100</v>
      </c>
      <c r="BS543" s="215">
        <v>45429</v>
      </c>
      <c r="BT543" s="101">
        <v>15652</v>
      </c>
      <c r="BU543" s="101">
        <v>0</v>
      </c>
      <c r="BV543" s="101">
        <v>15652</v>
      </c>
      <c r="BW543" s="101">
        <v>100</v>
      </c>
      <c r="BZ543" s="215">
        <v>45429</v>
      </c>
      <c r="CA543" s="1">
        <v>37517032</v>
      </c>
      <c r="CB543" s="1">
        <v>2601633</v>
      </c>
      <c r="CC543" s="71">
        <f t="shared" si="128"/>
        <v>14.420570464781159</v>
      </c>
      <c r="CE543" s="258">
        <v>45429</v>
      </c>
      <c r="CF543" s="101">
        <v>12593410</v>
      </c>
      <c r="CG543" s="101">
        <v>10098</v>
      </c>
      <c r="CH543" s="101">
        <v>12603508</v>
      </c>
      <c r="CI543" s="101">
        <v>99.92</v>
      </c>
      <c r="CJ543" s="71">
        <f t="shared" si="125"/>
        <v>12.603508</v>
      </c>
      <c r="CL543" s="222">
        <v>45413</v>
      </c>
      <c r="CM543" s="312" t="s">
        <v>244</v>
      </c>
      <c r="CN543" s="101">
        <v>881</v>
      </c>
      <c r="CO543" s="101">
        <v>513</v>
      </c>
    </row>
    <row r="544" spans="1:93" hidden="1" x14ac:dyDescent="0.25">
      <c r="A544" s="215">
        <v>45430</v>
      </c>
      <c r="B544" s="101">
        <v>6132618</v>
      </c>
      <c r="C544" s="101">
        <v>10102</v>
      </c>
      <c r="D544" s="101">
        <v>6142720</v>
      </c>
      <c r="E544" s="101">
        <v>99.84</v>
      </c>
      <c r="F544" s="71">
        <f t="shared" si="130"/>
        <v>6.1427199999999997</v>
      </c>
      <c r="H544" s="215">
        <v>45430</v>
      </c>
      <c r="I544" s="101">
        <v>1266916</v>
      </c>
      <c r="J544" s="101">
        <v>268</v>
      </c>
      <c r="K544" s="101">
        <v>1267184</v>
      </c>
      <c r="L544" s="101">
        <v>99.98</v>
      </c>
      <c r="M544" s="71">
        <f t="shared" si="129"/>
        <v>1.2671840000000001</v>
      </c>
      <c r="O544" s="215">
        <v>45430</v>
      </c>
      <c r="P544" s="101">
        <v>360232</v>
      </c>
      <c r="Q544" s="101">
        <v>0</v>
      </c>
      <c r="R544" s="101">
        <v>360232</v>
      </c>
      <c r="S544" s="101">
        <v>100</v>
      </c>
      <c r="T544" s="71">
        <f t="shared" si="124"/>
        <v>0.360232</v>
      </c>
      <c r="V544" s="215">
        <v>45430</v>
      </c>
      <c r="W544" s="101">
        <v>849232</v>
      </c>
      <c r="X544" s="101">
        <v>176</v>
      </c>
      <c r="Y544" s="101">
        <v>849408</v>
      </c>
      <c r="Z544" s="101">
        <v>99.98</v>
      </c>
      <c r="AA544" s="71">
        <f t="shared" si="126"/>
        <v>0.84940800000000005</v>
      </c>
      <c r="AC544" s="215">
        <v>45430</v>
      </c>
      <c r="AD544" s="101">
        <v>705430</v>
      </c>
      <c r="AE544" s="101">
        <v>100</v>
      </c>
      <c r="AF544" s="101">
        <v>705530</v>
      </c>
      <c r="AG544" s="101">
        <v>99.99</v>
      </c>
      <c r="AH544" s="71">
        <f t="shared" si="127"/>
        <v>0.70552999999999999</v>
      </c>
      <c r="AJ544" s="215">
        <v>45430</v>
      </c>
      <c r="AK544" s="48">
        <v>0</v>
      </c>
      <c r="AL544" s="48">
        <v>16</v>
      </c>
      <c r="AM544" s="48">
        <v>16</v>
      </c>
      <c r="AN544" s="48">
        <v>0</v>
      </c>
      <c r="AQ544" s="215">
        <v>45430</v>
      </c>
      <c r="AR544" s="48">
        <v>0</v>
      </c>
      <c r="AS544" s="48">
        <v>12</v>
      </c>
      <c r="AT544" s="48">
        <v>12</v>
      </c>
      <c r="AU544" s="48">
        <v>0</v>
      </c>
      <c r="AX544" s="215">
        <v>45430</v>
      </c>
      <c r="AY544" s="48">
        <v>6</v>
      </c>
      <c r="AZ544" s="48">
        <v>0</v>
      </c>
      <c r="BA544" s="48">
        <v>6</v>
      </c>
      <c r="BB544" s="48">
        <v>100</v>
      </c>
      <c r="BE544" s="215">
        <v>45430</v>
      </c>
      <c r="BF544" s="101">
        <v>8374</v>
      </c>
      <c r="BG544" s="101">
        <v>64</v>
      </c>
      <c r="BH544" s="101">
        <v>8438</v>
      </c>
      <c r="BI544" s="101">
        <v>99.24</v>
      </c>
      <c r="BL544" s="215">
        <v>45430</v>
      </c>
      <c r="BM544" s="101">
        <v>220494</v>
      </c>
      <c r="BN544" s="101">
        <v>0</v>
      </c>
      <c r="BO544" s="101">
        <v>220494</v>
      </c>
      <c r="BP544" s="101">
        <v>100</v>
      </c>
      <c r="BS544" s="215">
        <v>45430</v>
      </c>
      <c r="BT544" s="101">
        <v>48674</v>
      </c>
      <c r="BU544" s="101">
        <v>0</v>
      </c>
      <c r="BV544" s="101">
        <v>48674</v>
      </c>
      <c r="BW544" s="101">
        <v>100</v>
      </c>
      <c r="BZ544" s="215">
        <v>45430</v>
      </c>
      <c r="CA544" s="1">
        <v>33038748</v>
      </c>
      <c r="CB544" s="1">
        <v>2510144</v>
      </c>
      <c r="CC544" s="71">
        <f t="shared" si="128"/>
        <v>13.162092692690141</v>
      </c>
      <c r="CE544" s="258">
        <v>45430</v>
      </c>
      <c r="CF544" s="101">
        <v>11101874</v>
      </c>
      <c r="CG544" s="101">
        <v>13244</v>
      </c>
      <c r="CH544" s="101">
        <v>11115118</v>
      </c>
      <c r="CI544" s="101">
        <v>99.88</v>
      </c>
      <c r="CJ544" s="71">
        <f t="shared" si="125"/>
        <v>11.115118000000001</v>
      </c>
      <c r="CL544" s="222">
        <v>45413</v>
      </c>
      <c r="CM544" s="1" t="s">
        <v>238</v>
      </c>
      <c r="CN544" s="101">
        <v>633</v>
      </c>
      <c r="CO544" s="101">
        <v>503</v>
      </c>
    </row>
    <row r="545" spans="1:93" hidden="1" x14ac:dyDescent="0.25">
      <c r="A545" s="215">
        <v>45431</v>
      </c>
      <c r="B545" s="101">
        <v>5371728</v>
      </c>
      <c r="C545" s="101">
        <v>8012</v>
      </c>
      <c r="D545" s="101">
        <v>5379740</v>
      </c>
      <c r="E545" s="101">
        <v>99.85</v>
      </c>
      <c r="F545" s="71">
        <f t="shared" si="130"/>
        <v>5.37974</v>
      </c>
      <c r="H545" s="215">
        <v>45431</v>
      </c>
      <c r="I545" s="101">
        <v>1175748</v>
      </c>
      <c r="J545" s="101">
        <v>338</v>
      </c>
      <c r="K545" s="101">
        <v>1176086</v>
      </c>
      <c r="L545" s="101">
        <v>99.97</v>
      </c>
      <c r="M545" s="71">
        <f t="shared" si="129"/>
        <v>1.176086</v>
      </c>
      <c r="O545" s="215">
        <v>45431</v>
      </c>
      <c r="P545" s="101">
        <v>347366</v>
      </c>
      <c r="Q545" s="101">
        <v>0</v>
      </c>
      <c r="R545" s="101">
        <v>347366</v>
      </c>
      <c r="S545" s="101">
        <v>100</v>
      </c>
      <c r="T545" s="71">
        <f t="shared" si="124"/>
        <v>0.34736600000000001</v>
      </c>
      <c r="V545" s="215">
        <v>45431</v>
      </c>
      <c r="W545" s="101">
        <v>812654</v>
      </c>
      <c r="X545" s="101">
        <v>172</v>
      </c>
      <c r="Y545" s="101">
        <v>812826</v>
      </c>
      <c r="Z545" s="101">
        <v>99.98</v>
      </c>
      <c r="AA545" s="71">
        <f t="shared" si="126"/>
        <v>0.81282600000000005</v>
      </c>
      <c r="AC545" s="215">
        <v>45431</v>
      </c>
      <c r="AD545" s="101">
        <v>678332</v>
      </c>
      <c r="AE545" s="101">
        <v>102</v>
      </c>
      <c r="AF545" s="101">
        <v>678434</v>
      </c>
      <c r="AG545" s="101">
        <v>99.98</v>
      </c>
      <c r="AH545" s="71">
        <f t="shared" si="127"/>
        <v>0.67843399999999998</v>
      </c>
      <c r="AJ545" s="215">
        <v>45431</v>
      </c>
      <c r="AK545" s="48">
        <v>0</v>
      </c>
      <c r="AL545" s="48">
        <v>0</v>
      </c>
      <c r="AM545" s="48">
        <v>0</v>
      </c>
      <c r="AN545" s="48">
        <v>0</v>
      </c>
      <c r="AQ545" s="215">
        <v>45431</v>
      </c>
      <c r="AR545" s="48">
        <v>0</v>
      </c>
      <c r="AS545" s="48">
        <v>16</v>
      </c>
      <c r="AT545" s="48">
        <v>16</v>
      </c>
      <c r="AU545" s="48">
        <v>0</v>
      </c>
      <c r="AX545" s="215">
        <v>45431</v>
      </c>
      <c r="AY545" s="48">
        <v>0</v>
      </c>
      <c r="AZ545" s="48">
        <v>0</v>
      </c>
      <c r="BA545" s="48">
        <v>0</v>
      </c>
      <c r="BB545" s="48">
        <v>0</v>
      </c>
      <c r="BE545" s="215">
        <v>45431</v>
      </c>
      <c r="BF545" s="101">
        <v>8060</v>
      </c>
      <c r="BG545" s="101">
        <v>88</v>
      </c>
      <c r="BH545" s="101">
        <v>8148</v>
      </c>
      <c r="BI545" s="101">
        <v>98.92</v>
      </c>
      <c r="BL545" s="215">
        <v>45431</v>
      </c>
      <c r="BM545" s="101">
        <v>3646</v>
      </c>
      <c r="BN545" s="101">
        <v>0</v>
      </c>
      <c r="BO545" s="101">
        <v>3646</v>
      </c>
      <c r="BP545" s="101">
        <v>100</v>
      </c>
      <c r="BS545" s="215">
        <v>45431</v>
      </c>
      <c r="BT545" s="101">
        <v>29782</v>
      </c>
      <c r="BU545" s="101">
        <v>0</v>
      </c>
      <c r="BV545" s="101">
        <v>29782</v>
      </c>
      <c r="BW545" s="101">
        <v>100</v>
      </c>
      <c r="BZ545" s="215">
        <v>45431</v>
      </c>
      <c r="CA545" s="1">
        <v>29584184</v>
      </c>
      <c r="CB545" s="1">
        <v>1821941</v>
      </c>
      <c r="CC545" s="71">
        <f t="shared" si="128"/>
        <v>16.237728883646618</v>
      </c>
      <c r="CE545" s="258">
        <v>45431</v>
      </c>
      <c r="CF545" s="101">
        <v>9897816</v>
      </c>
      <c r="CG545" s="101">
        <v>11108</v>
      </c>
      <c r="CH545" s="101">
        <v>9908924</v>
      </c>
      <c r="CI545" s="101">
        <v>99.89</v>
      </c>
      <c r="CJ545" s="71">
        <f t="shared" si="125"/>
        <v>9.9089240000000007</v>
      </c>
      <c r="CL545" s="222">
        <v>45413</v>
      </c>
      <c r="CM545" s="312" t="s">
        <v>239</v>
      </c>
      <c r="CN545" s="101">
        <v>567</v>
      </c>
      <c r="CO545" s="101">
        <v>504</v>
      </c>
    </row>
    <row r="546" spans="1:93" hidden="1" x14ac:dyDescent="0.25">
      <c r="A546" s="215">
        <v>45432</v>
      </c>
      <c r="B546" s="101">
        <v>5929136</v>
      </c>
      <c r="C546" s="101">
        <v>6214</v>
      </c>
      <c r="D546" s="101">
        <v>5935350</v>
      </c>
      <c r="E546" s="101">
        <v>99.9</v>
      </c>
      <c r="F546" s="71">
        <f t="shared" si="130"/>
        <v>5.9353499999999997</v>
      </c>
      <c r="H546" s="215">
        <v>45432</v>
      </c>
      <c r="I546" s="101">
        <v>1256400</v>
      </c>
      <c r="J546" s="101">
        <v>274</v>
      </c>
      <c r="K546" s="101">
        <v>1256674</v>
      </c>
      <c r="L546" s="101">
        <v>99.98</v>
      </c>
      <c r="M546" s="71">
        <f t="shared" si="129"/>
        <v>1.2566740000000001</v>
      </c>
      <c r="O546" s="215">
        <v>45432</v>
      </c>
      <c r="P546" s="101">
        <v>359140</v>
      </c>
      <c r="Q546" s="101">
        <v>0</v>
      </c>
      <c r="R546" s="101">
        <v>359140</v>
      </c>
      <c r="S546" s="101">
        <v>100</v>
      </c>
      <c r="T546" s="71">
        <f t="shared" si="124"/>
        <v>0.35914000000000001</v>
      </c>
      <c r="V546" s="215">
        <v>45432</v>
      </c>
      <c r="W546" s="101">
        <v>882826</v>
      </c>
      <c r="X546" s="101">
        <v>142</v>
      </c>
      <c r="Y546" s="101">
        <v>882968</v>
      </c>
      <c r="Z546" s="101">
        <v>99.98</v>
      </c>
      <c r="AA546" s="71">
        <f t="shared" si="126"/>
        <v>0.88296799999999998</v>
      </c>
      <c r="AC546" s="215">
        <v>45432</v>
      </c>
      <c r="AD546" s="101">
        <v>655132</v>
      </c>
      <c r="AE546" s="101">
        <v>196</v>
      </c>
      <c r="AF546" s="101">
        <v>655328</v>
      </c>
      <c r="AG546" s="101">
        <v>99.97</v>
      </c>
      <c r="AH546" s="71">
        <f t="shared" si="127"/>
        <v>0.65532800000000002</v>
      </c>
      <c r="AJ546" s="215">
        <v>45432</v>
      </c>
      <c r="AK546" s="48">
        <v>0</v>
      </c>
      <c r="AL546" s="48">
        <v>8</v>
      </c>
      <c r="AM546" s="48">
        <v>8</v>
      </c>
      <c r="AN546" s="48">
        <v>0</v>
      </c>
      <c r="AQ546" s="215">
        <v>45432</v>
      </c>
      <c r="AR546" s="48">
        <v>0</v>
      </c>
      <c r="AS546" s="48">
        <v>14</v>
      </c>
      <c r="AT546" s="48">
        <v>14</v>
      </c>
      <c r="AU546" s="48">
        <v>0</v>
      </c>
      <c r="AX546" s="215">
        <v>45432</v>
      </c>
      <c r="AY546" s="48">
        <v>14</v>
      </c>
      <c r="AZ546" s="48">
        <v>0</v>
      </c>
      <c r="BA546" s="48">
        <v>14</v>
      </c>
      <c r="BB546" s="48">
        <v>100</v>
      </c>
      <c r="BE546" s="215">
        <v>45432</v>
      </c>
      <c r="BF546" s="101">
        <v>8696</v>
      </c>
      <c r="BG546" s="101">
        <v>118</v>
      </c>
      <c r="BH546" s="101">
        <v>8814</v>
      </c>
      <c r="BI546" s="101">
        <v>98.66</v>
      </c>
      <c r="BL546" s="215">
        <v>45432</v>
      </c>
      <c r="BM546" s="101">
        <v>220204</v>
      </c>
      <c r="BN546" s="101">
        <v>0</v>
      </c>
      <c r="BO546" s="101">
        <v>220204</v>
      </c>
      <c r="BP546" s="101">
        <v>100</v>
      </c>
      <c r="BS546" s="215">
        <v>45432</v>
      </c>
      <c r="BT546" s="101">
        <v>12064</v>
      </c>
      <c r="BU546" s="101">
        <v>0</v>
      </c>
      <c r="BV546" s="101">
        <v>12064</v>
      </c>
      <c r="BW546" s="101">
        <v>100</v>
      </c>
      <c r="BZ546" s="215">
        <v>45432</v>
      </c>
      <c r="CA546" s="1">
        <v>32294858</v>
      </c>
      <c r="CB546" s="1">
        <v>2569206</v>
      </c>
      <c r="CC546" s="71">
        <f t="shared" si="128"/>
        <v>12.569976093781502</v>
      </c>
      <c r="CE546" s="258">
        <v>45432</v>
      </c>
      <c r="CF546" s="101">
        <v>10849994</v>
      </c>
      <c r="CG546" s="101">
        <v>9516</v>
      </c>
      <c r="CH546" s="101">
        <v>10859510</v>
      </c>
      <c r="CI546" s="101">
        <v>99.91</v>
      </c>
      <c r="CJ546" s="71">
        <f t="shared" si="125"/>
        <v>10.85951</v>
      </c>
    </row>
    <row r="547" spans="1:93" hidden="1" x14ac:dyDescent="0.25">
      <c r="A547" s="215">
        <v>45433</v>
      </c>
      <c r="B547" s="101">
        <v>5866736</v>
      </c>
      <c r="C547" s="101">
        <v>10190</v>
      </c>
      <c r="D547" s="101">
        <v>5876926</v>
      </c>
      <c r="E547" s="101">
        <v>99.83</v>
      </c>
      <c r="F547" s="71">
        <f t="shared" si="130"/>
        <v>5.8769260000000001</v>
      </c>
      <c r="H547" s="215">
        <v>45433</v>
      </c>
      <c r="I547" s="101">
        <v>1264746</v>
      </c>
      <c r="J547" s="101">
        <v>416</v>
      </c>
      <c r="K547" s="101">
        <v>1265162</v>
      </c>
      <c r="L547" s="101">
        <v>99.97</v>
      </c>
      <c r="M547" s="71">
        <f t="shared" si="129"/>
        <v>1.2651619999999999</v>
      </c>
      <c r="O547" s="215">
        <v>45433</v>
      </c>
      <c r="P547" s="101">
        <v>337398</v>
      </c>
      <c r="Q547" s="101">
        <v>4</v>
      </c>
      <c r="R547" s="101">
        <v>337402</v>
      </c>
      <c r="S547" s="101">
        <v>100</v>
      </c>
      <c r="T547" s="71">
        <f t="shared" si="124"/>
        <v>0.33740199999999998</v>
      </c>
      <c r="V547" s="215">
        <v>45433</v>
      </c>
      <c r="W547" s="101">
        <v>852894</v>
      </c>
      <c r="X547" s="101">
        <v>146</v>
      </c>
      <c r="Y547" s="101">
        <v>853040</v>
      </c>
      <c r="Z547" s="101">
        <v>99.98</v>
      </c>
      <c r="AA547" s="71">
        <f t="shared" si="126"/>
        <v>0.85304000000000002</v>
      </c>
      <c r="AC547" s="215">
        <v>45433</v>
      </c>
      <c r="AD547" s="101">
        <v>630908</v>
      </c>
      <c r="AE547" s="101">
        <v>94</v>
      </c>
      <c r="AF547" s="101">
        <v>631002</v>
      </c>
      <c r="AG547" s="101">
        <v>99.99</v>
      </c>
      <c r="AH547" s="71">
        <f t="shared" si="127"/>
        <v>0.63100199999999995</v>
      </c>
      <c r="AJ547" s="215">
        <v>45433</v>
      </c>
      <c r="AK547" s="48">
        <v>0</v>
      </c>
      <c r="AL547" s="48">
        <v>6</v>
      </c>
      <c r="AM547" s="48">
        <v>6</v>
      </c>
      <c r="AN547" s="48">
        <v>0</v>
      </c>
      <c r="AQ547" s="215">
        <v>45433</v>
      </c>
      <c r="AR547" s="48">
        <v>0</v>
      </c>
      <c r="AS547" s="48">
        <v>32</v>
      </c>
      <c r="AT547" s="48">
        <v>32</v>
      </c>
      <c r="AU547" s="48">
        <v>0</v>
      </c>
      <c r="AX547" s="215">
        <v>45433</v>
      </c>
      <c r="AY547" s="48">
        <v>4</v>
      </c>
      <c r="AZ547" s="48">
        <v>0</v>
      </c>
      <c r="BA547" s="48">
        <v>4</v>
      </c>
      <c r="BB547" s="48">
        <v>100</v>
      </c>
      <c r="BE547" s="215">
        <v>45433</v>
      </c>
      <c r="BF547" s="101">
        <v>28730</v>
      </c>
      <c r="BG547" s="101">
        <v>234</v>
      </c>
      <c r="BH547" s="101">
        <v>28964</v>
      </c>
      <c r="BI547" s="101">
        <v>99.19</v>
      </c>
      <c r="BL547" s="215">
        <v>45433</v>
      </c>
      <c r="BM547" s="101">
        <v>4510</v>
      </c>
      <c r="BN547" s="101">
        <v>0</v>
      </c>
      <c r="BO547" s="101">
        <v>4510</v>
      </c>
      <c r="BP547" s="101">
        <v>100</v>
      </c>
      <c r="BS547" s="215">
        <v>45433</v>
      </c>
      <c r="BT547" s="101">
        <v>9904</v>
      </c>
      <c r="BU547" s="101">
        <v>0</v>
      </c>
      <c r="BV547" s="101">
        <v>9904</v>
      </c>
      <c r="BW547" s="101">
        <v>100</v>
      </c>
      <c r="BZ547" s="215">
        <v>45433</v>
      </c>
      <c r="CA547" s="1">
        <v>33797517</v>
      </c>
      <c r="CB547" s="1">
        <v>2094042</v>
      </c>
      <c r="CC547" s="71">
        <f t="shared" si="128"/>
        <v>16.139846765251125</v>
      </c>
      <c r="CE547" s="258">
        <v>45433</v>
      </c>
      <c r="CF547" s="101">
        <v>10521638</v>
      </c>
      <c r="CG547" s="101">
        <v>13698</v>
      </c>
      <c r="CH547" s="101">
        <v>10535336</v>
      </c>
      <c r="CI547" s="101">
        <v>99.87</v>
      </c>
      <c r="CJ547" s="71">
        <f t="shared" si="125"/>
        <v>10.535335999999999</v>
      </c>
      <c r="CL547" s="222">
        <v>45414</v>
      </c>
      <c r="CM547" s="1" t="s">
        <v>240</v>
      </c>
      <c r="CN547" s="101">
        <v>2990</v>
      </c>
      <c r="CO547" s="101">
        <v>516</v>
      </c>
    </row>
    <row r="548" spans="1:93" hidden="1" x14ac:dyDescent="0.25">
      <c r="A548" s="215">
        <v>45434</v>
      </c>
      <c r="B548" s="101">
        <v>5685874</v>
      </c>
      <c r="C548" s="101">
        <v>37260</v>
      </c>
      <c r="D548" s="101">
        <v>5723134</v>
      </c>
      <c r="E548" s="101">
        <v>99.35</v>
      </c>
      <c r="F548" s="71">
        <f t="shared" si="130"/>
        <v>5.7231339999999999</v>
      </c>
      <c r="H548" s="215">
        <v>45434</v>
      </c>
      <c r="I548" s="101">
        <v>1197036</v>
      </c>
      <c r="J548" s="101">
        <v>228</v>
      </c>
      <c r="K548" s="101">
        <v>1197264</v>
      </c>
      <c r="L548" s="101">
        <v>99.98</v>
      </c>
      <c r="M548" s="71">
        <f t="shared" si="129"/>
        <v>1.1972640000000001</v>
      </c>
      <c r="O548" s="215">
        <v>45434</v>
      </c>
      <c r="P548" s="101">
        <v>346512</v>
      </c>
      <c r="Q548" s="101">
        <v>0</v>
      </c>
      <c r="R548" s="101">
        <v>346512</v>
      </c>
      <c r="S548" s="101">
        <v>100</v>
      </c>
      <c r="T548" s="71">
        <f t="shared" si="124"/>
        <v>0.34651199999999999</v>
      </c>
      <c r="V548" s="215">
        <v>45434</v>
      </c>
      <c r="W548" s="101">
        <v>763878</v>
      </c>
      <c r="X548" s="101">
        <v>162</v>
      </c>
      <c r="Y548" s="101">
        <v>764040</v>
      </c>
      <c r="Z548" s="101">
        <v>99.98</v>
      </c>
      <c r="AA548" s="71">
        <f t="shared" si="126"/>
        <v>0.76404000000000005</v>
      </c>
      <c r="AC548" s="215">
        <v>45434</v>
      </c>
      <c r="AD548" s="101">
        <v>680340</v>
      </c>
      <c r="AE548" s="101">
        <v>15804</v>
      </c>
      <c r="AF548" s="101">
        <v>696144</v>
      </c>
      <c r="AG548" s="101">
        <v>97.73</v>
      </c>
      <c r="AH548" s="71">
        <f t="shared" si="127"/>
        <v>0.69614399999999999</v>
      </c>
      <c r="AJ548" s="215">
        <v>45434</v>
      </c>
      <c r="AK548" s="48">
        <v>0</v>
      </c>
      <c r="AL548" s="48">
        <v>14</v>
      </c>
      <c r="AM548" s="48">
        <v>14</v>
      </c>
      <c r="AN548" s="48">
        <v>0</v>
      </c>
      <c r="AQ548" s="215">
        <v>45434</v>
      </c>
      <c r="AR548" s="48">
        <v>0</v>
      </c>
      <c r="AS548" s="48">
        <v>14</v>
      </c>
      <c r="AT548" s="48">
        <v>14</v>
      </c>
      <c r="AU548" s="48">
        <v>0</v>
      </c>
      <c r="AX548" s="215">
        <v>45434</v>
      </c>
      <c r="AY548" s="48">
        <v>8</v>
      </c>
      <c r="AZ548" s="48">
        <v>0</v>
      </c>
      <c r="BA548" s="48">
        <v>8</v>
      </c>
      <c r="BB548" s="48">
        <v>100</v>
      </c>
      <c r="BE548" s="215">
        <v>45434</v>
      </c>
      <c r="BF548" s="101">
        <v>11442</v>
      </c>
      <c r="BG548" s="101">
        <v>140</v>
      </c>
      <c r="BH548" s="101">
        <v>11582</v>
      </c>
      <c r="BI548" s="101">
        <v>98.79</v>
      </c>
      <c r="BL548" s="215">
        <v>45434</v>
      </c>
      <c r="BM548" s="101">
        <v>237820</v>
      </c>
      <c r="BN548" s="101">
        <v>0</v>
      </c>
      <c r="BO548" s="101">
        <v>237820</v>
      </c>
      <c r="BP548" s="101">
        <v>100</v>
      </c>
      <c r="BS548" s="215">
        <v>45434</v>
      </c>
      <c r="BT548" s="101">
        <v>9558</v>
      </c>
      <c r="BU548" s="101">
        <v>0</v>
      </c>
      <c r="BV548" s="101">
        <v>9558</v>
      </c>
      <c r="BW548" s="101">
        <v>100</v>
      </c>
      <c r="BZ548" s="215">
        <v>45434</v>
      </c>
      <c r="CA548" s="1">
        <v>31201696</v>
      </c>
      <c r="CB548" s="1">
        <v>2544670</v>
      </c>
      <c r="CC548" s="71">
        <f t="shared" si="128"/>
        <v>12.26158833954894</v>
      </c>
      <c r="CE548" s="258">
        <v>45434</v>
      </c>
      <c r="CF548" s="101">
        <v>10413576</v>
      </c>
      <c r="CG548" s="101">
        <v>56580</v>
      </c>
      <c r="CH548" s="101">
        <v>10470156</v>
      </c>
      <c r="CI548" s="101">
        <v>99.46</v>
      </c>
      <c r="CJ548" s="71">
        <f t="shared" si="125"/>
        <v>10.470155999999999</v>
      </c>
      <c r="CL548" s="222">
        <v>45414</v>
      </c>
      <c r="CM548" s="1" t="s">
        <v>237</v>
      </c>
      <c r="CN548" s="101">
        <v>2179</v>
      </c>
      <c r="CO548" s="101">
        <v>527</v>
      </c>
    </row>
    <row r="549" spans="1:93" hidden="1" x14ac:dyDescent="0.25">
      <c r="A549" s="215">
        <v>45435</v>
      </c>
      <c r="B549" s="101">
        <v>5948916</v>
      </c>
      <c r="C549" s="101">
        <v>17282</v>
      </c>
      <c r="D549" s="101">
        <v>5966198</v>
      </c>
      <c r="E549" s="101">
        <v>99.71</v>
      </c>
      <c r="F549" s="71">
        <f t="shared" si="130"/>
        <v>5.9661980000000003</v>
      </c>
      <c r="H549" s="215">
        <v>45435</v>
      </c>
      <c r="I549" s="101">
        <v>1198026</v>
      </c>
      <c r="J549" s="101">
        <v>298</v>
      </c>
      <c r="K549" s="101">
        <v>1198324</v>
      </c>
      <c r="L549" s="101">
        <v>99.98</v>
      </c>
      <c r="M549" s="71">
        <f t="shared" si="129"/>
        <v>1.1983239999999999</v>
      </c>
      <c r="O549" s="215">
        <v>45435</v>
      </c>
      <c r="P549" s="101">
        <v>348712</v>
      </c>
      <c r="Q549" s="101">
        <v>0</v>
      </c>
      <c r="R549" s="101">
        <v>348712</v>
      </c>
      <c r="S549" s="101">
        <v>100</v>
      </c>
      <c r="T549" s="71">
        <f t="shared" si="124"/>
        <v>0.34871200000000002</v>
      </c>
      <c r="V549" s="215">
        <v>45435</v>
      </c>
      <c r="W549" s="101">
        <v>859412</v>
      </c>
      <c r="X549" s="101">
        <v>150</v>
      </c>
      <c r="Y549" s="101">
        <v>859562</v>
      </c>
      <c r="Z549" s="101">
        <v>99.98</v>
      </c>
      <c r="AA549" s="71">
        <f t="shared" si="126"/>
        <v>0.85956200000000005</v>
      </c>
      <c r="AC549" s="215">
        <v>45435</v>
      </c>
      <c r="AD549" s="101">
        <v>699764</v>
      </c>
      <c r="AE549" s="101">
        <v>1138</v>
      </c>
      <c r="AF549" s="101">
        <v>700902</v>
      </c>
      <c r="AG549" s="101">
        <v>99.84</v>
      </c>
      <c r="AH549" s="71">
        <f t="shared" si="127"/>
        <v>0.70090200000000003</v>
      </c>
      <c r="AJ549" s="215">
        <v>45435</v>
      </c>
      <c r="AK549" s="48">
        <v>0</v>
      </c>
      <c r="AL549" s="48">
        <v>10</v>
      </c>
      <c r="AM549" s="48">
        <v>10</v>
      </c>
      <c r="AN549" s="48">
        <v>0</v>
      </c>
      <c r="AQ549" s="215">
        <v>45435</v>
      </c>
      <c r="AR549" s="48">
        <v>0</v>
      </c>
      <c r="AS549" s="48">
        <v>10</v>
      </c>
      <c r="AT549" s="48">
        <v>10</v>
      </c>
      <c r="AU549" s="48">
        <v>0</v>
      </c>
      <c r="AX549" s="215">
        <v>45435</v>
      </c>
      <c r="AY549" s="48">
        <v>8</v>
      </c>
      <c r="AZ549" s="48">
        <v>0</v>
      </c>
      <c r="BA549" s="48">
        <v>8</v>
      </c>
      <c r="BB549" s="48">
        <v>100</v>
      </c>
      <c r="BE549" s="215">
        <v>45435</v>
      </c>
      <c r="BF549" s="101">
        <v>10116</v>
      </c>
      <c r="BG549" s="101">
        <v>82</v>
      </c>
      <c r="BH549" s="101">
        <v>10198</v>
      </c>
      <c r="BI549" s="101">
        <v>99.2</v>
      </c>
      <c r="BL549" s="215">
        <v>45435</v>
      </c>
      <c r="BM549" s="101">
        <v>224276</v>
      </c>
      <c r="BN549" s="101">
        <v>0</v>
      </c>
      <c r="BO549" s="101">
        <v>224276</v>
      </c>
      <c r="BP549" s="101">
        <v>100</v>
      </c>
      <c r="BS549" s="215">
        <v>45435</v>
      </c>
      <c r="BT549" s="101">
        <v>11496</v>
      </c>
      <c r="BU549" s="101">
        <v>0</v>
      </c>
      <c r="BV549" s="101">
        <v>11496</v>
      </c>
      <c r="BW549" s="101">
        <v>100</v>
      </c>
      <c r="BZ549" s="215">
        <v>45435</v>
      </c>
      <c r="CA549" s="1">
        <v>32314785</v>
      </c>
      <c r="CB549" s="1">
        <v>2515389</v>
      </c>
      <c r="CC549" s="71">
        <f t="shared" si="128"/>
        <v>12.846834028454445</v>
      </c>
      <c r="CE549" s="258">
        <v>45435</v>
      </c>
      <c r="CF549" s="101">
        <v>10822678</v>
      </c>
      <c r="CG549" s="101">
        <v>21646</v>
      </c>
      <c r="CH549" s="101">
        <v>10844324</v>
      </c>
      <c r="CI549" s="101">
        <v>99.8</v>
      </c>
      <c r="CJ549" s="71">
        <f t="shared" si="125"/>
        <v>10.844324</v>
      </c>
      <c r="CL549" s="222">
        <v>45414</v>
      </c>
      <c r="CM549" s="312" t="s">
        <v>244</v>
      </c>
      <c r="CN549" s="101">
        <v>1009</v>
      </c>
      <c r="CO549" s="101">
        <v>513</v>
      </c>
    </row>
    <row r="550" spans="1:93" hidden="1" x14ac:dyDescent="0.25">
      <c r="A550" s="215">
        <v>45436</v>
      </c>
      <c r="B550" s="101">
        <v>7357666</v>
      </c>
      <c r="C550" s="101">
        <v>32862</v>
      </c>
      <c r="D550" s="101">
        <v>7390528</v>
      </c>
      <c r="E550" s="101">
        <v>99.56</v>
      </c>
      <c r="F550" s="71">
        <f t="shared" si="130"/>
        <v>7.3905279999999998</v>
      </c>
      <c r="H550" s="215">
        <v>45436</v>
      </c>
      <c r="I550" s="101">
        <v>1383964</v>
      </c>
      <c r="J550" s="101">
        <v>326</v>
      </c>
      <c r="K550" s="101">
        <v>1384290</v>
      </c>
      <c r="L550" s="101">
        <v>99.98</v>
      </c>
      <c r="M550" s="71">
        <f t="shared" si="129"/>
        <v>1.38429</v>
      </c>
      <c r="O550" s="215">
        <v>45436</v>
      </c>
      <c r="P550" s="101">
        <v>357456</v>
      </c>
      <c r="Q550" s="101">
        <v>0</v>
      </c>
      <c r="R550" s="101">
        <v>357456</v>
      </c>
      <c r="S550" s="101">
        <v>100</v>
      </c>
      <c r="T550" s="71">
        <f t="shared" si="124"/>
        <v>0.357456</v>
      </c>
      <c r="V550" s="215">
        <v>45436</v>
      </c>
      <c r="W550" s="101">
        <v>911630</v>
      </c>
      <c r="X550" s="101">
        <v>452</v>
      </c>
      <c r="Y550" s="101">
        <v>912082</v>
      </c>
      <c r="Z550" s="101">
        <v>99.95</v>
      </c>
      <c r="AA550" s="71">
        <f t="shared" si="126"/>
        <v>0.91208199999999995</v>
      </c>
      <c r="AC550" s="215">
        <v>45436</v>
      </c>
      <c r="AD550" s="101">
        <v>728530</v>
      </c>
      <c r="AE550" s="101">
        <v>86</v>
      </c>
      <c r="AF550" s="101">
        <v>728616</v>
      </c>
      <c r="AG550" s="101">
        <v>99.99</v>
      </c>
      <c r="AH550" s="71">
        <f t="shared" si="127"/>
        <v>0.72861600000000004</v>
      </c>
      <c r="AJ550" s="215">
        <v>45436</v>
      </c>
      <c r="AK550" s="48">
        <v>0</v>
      </c>
      <c r="AL550" s="48">
        <v>66</v>
      </c>
      <c r="AM550" s="48">
        <v>66</v>
      </c>
      <c r="AN550" s="48">
        <v>0</v>
      </c>
      <c r="AQ550" s="215">
        <v>45436</v>
      </c>
      <c r="AR550" s="48">
        <v>0</v>
      </c>
      <c r="AS550" s="48">
        <v>36</v>
      </c>
      <c r="AT550" s="48">
        <v>36</v>
      </c>
      <c r="AU550" s="48">
        <v>0</v>
      </c>
      <c r="AX550" s="215">
        <v>45436</v>
      </c>
      <c r="AY550" s="48">
        <v>2</v>
      </c>
      <c r="AZ550" s="48">
        <v>0</v>
      </c>
      <c r="BA550" s="48">
        <v>2</v>
      </c>
      <c r="BB550" s="48">
        <v>100</v>
      </c>
      <c r="BE550" s="215">
        <v>45436</v>
      </c>
      <c r="BF550" s="101">
        <v>10672</v>
      </c>
      <c r="BG550" s="101">
        <v>104</v>
      </c>
      <c r="BH550" s="101">
        <v>10776</v>
      </c>
      <c r="BI550" s="101">
        <v>99.03</v>
      </c>
      <c r="BL550" s="215">
        <v>45436</v>
      </c>
      <c r="BM550" s="101">
        <v>229148</v>
      </c>
      <c r="BN550" s="101">
        <v>0</v>
      </c>
      <c r="BO550" s="101">
        <v>229148</v>
      </c>
      <c r="BP550" s="101">
        <v>100</v>
      </c>
      <c r="BS550" s="215">
        <v>45436</v>
      </c>
      <c r="BT550" s="101">
        <v>16628</v>
      </c>
      <c r="BU550" s="101">
        <v>0</v>
      </c>
      <c r="BV550" s="101">
        <v>16628</v>
      </c>
      <c r="BW550" s="101">
        <v>100</v>
      </c>
      <c r="BZ550" s="215">
        <v>45436</v>
      </c>
      <c r="CA550" s="1">
        <v>38205582</v>
      </c>
      <c r="CB550" s="1">
        <v>2603718</v>
      </c>
      <c r="CC550" s="71">
        <f t="shared" si="128"/>
        <v>14.673471551066591</v>
      </c>
      <c r="CE550" s="258">
        <v>45436</v>
      </c>
      <c r="CF550" s="101">
        <v>12788238</v>
      </c>
      <c r="CG550" s="101">
        <v>37860</v>
      </c>
      <c r="CH550" s="101">
        <v>12826098</v>
      </c>
      <c r="CI550" s="48">
        <v>99.7</v>
      </c>
      <c r="CJ550" s="71">
        <f t="shared" si="125"/>
        <v>12.826098</v>
      </c>
      <c r="CL550" s="222">
        <v>45414</v>
      </c>
      <c r="CM550" s="312" t="s">
        <v>239</v>
      </c>
      <c r="CN550" s="101">
        <v>956</v>
      </c>
      <c r="CO550" s="101">
        <v>504</v>
      </c>
    </row>
    <row r="551" spans="1:93" hidden="1" x14ac:dyDescent="0.25">
      <c r="A551" s="215">
        <v>45437</v>
      </c>
      <c r="B551" s="101">
        <v>6928884</v>
      </c>
      <c r="C551" s="101">
        <v>2630</v>
      </c>
      <c r="D551" s="101">
        <v>6931514</v>
      </c>
      <c r="E551" s="101">
        <v>99.96</v>
      </c>
      <c r="F551" s="71">
        <f t="shared" si="130"/>
        <v>6.931514</v>
      </c>
      <c r="H551" s="215">
        <v>45437</v>
      </c>
      <c r="I551" s="101">
        <v>1309478</v>
      </c>
      <c r="J551" s="101">
        <v>300</v>
      </c>
      <c r="K551" s="101">
        <v>1309778</v>
      </c>
      <c r="L551" s="101">
        <v>99.98</v>
      </c>
      <c r="M551" s="71">
        <f t="shared" si="129"/>
        <v>1.3097780000000001</v>
      </c>
      <c r="O551" s="215">
        <v>45437</v>
      </c>
      <c r="P551" s="101">
        <v>378198</v>
      </c>
      <c r="Q551" s="101">
        <v>0</v>
      </c>
      <c r="R551" s="101">
        <v>378198</v>
      </c>
      <c r="S551" s="101">
        <v>100</v>
      </c>
      <c r="T551" s="71">
        <f t="shared" ref="T551:T614" si="131">R551/1000000</f>
        <v>0.37819799999999998</v>
      </c>
      <c r="V551" s="215">
        <v>45437</v>
      </c>
      <c r="W551" s="101">
        <v>809724</v>
      </c>
      <c r="X551" s="101">
        <v>156</v>
      </c>
      <c r="Y551" s="101">
        <v>809880</v>
      </c>
      <c r="Z551" s="101">
        <v>99.98</v>
      </c>
      <c r="AA551" s="71">
        <f t="shared" si="126"/>
        <v>0.80988000000000004</v>
      </c>
      <c r="AC551" s="215">
        <v>45437</v>
      </c>
      <c r="AD551" s="101">
        <v>714230</v>
      </c>
      <c r="AE551" s="101">
        <v>476</v>
      </c>
      <c r="AF551" s="101">
        <v>714706</v>
      </c>
      <c r="AG551" s="101">
        <v>99.93</v>
      </c>
      <c r="AH551" s="71">
        <f t="shared" si="127"/>
        <v>0.71470599999999995</v>
      </c>
      <c r="AJ551" s="215">
        <v>45437</v>
      </c>
      <c r="AK551" s="48">
        <v>0</v>
      </c>
      <c r="AL551" s="48">
        <v>12</v>
      </c>
      <c r="AM551" s="48">
        <v>12</v>
      </c>
      <c r="AN551" s="48">
        <v>0</v>
      </c>
      <c r="AQ551" s="215">
        <v>45437</v>
      </c>
      <c r="AR551" s="48">
        <v>0</v>
      </c>
      <c r="AS551" s="48">
        <v>18</v>
      </c>
      <c r="AT551" s="48">
        <v>18</v>
      </c>
      <c r="AU551" s="48">
        <v>0</v>
      </c>
      <c r="AX551" s="215">
        <v>45437</v>
      </c>
      <c r="AY551" s="48">
        <v>4</v>
      </c>
      <c r="AZ551" s="48">
        <v>0</v>
      </c>
      <c r="BA551" s="48">
        <v>4</v>
      </c>
      <c r="BB551" s="48">
        <v>100</v>
      </c>
      <c r="BE551" s="215">
        <v>45437</v>
      </c>
      <c r="BF551" s="101">
        <v>8582</v>
      </c>
      <c r="BG551" s="101">
        <v>80</v>
      </c>
      <c r="BH551" s="101">
        <v>8662</v>
      </c>
      <c r="BI551" s="101">
        <v>99.08</v>
      </c>
      <c r="BL551" s="215">
        <v>45437</v>
      </c>
      <c r="BM551" s="101">
        <v>224986</v>
      </c>
      <c r="BN551" s="101">
        <v>0</v>
      </c>
      <c r="BO551" s="101">
        <v>224986</v>
      </c>
      <c r="BP551" s="101">
        <v>100</v>
      </c>
      <c r="BS551" s="215">
        <v>45437</v>
      </c>
      <c r="BT551" s="101">
        <v>17868</v>
      </c>
      <c r="BU551" s="101">
        <v>98</v>
      </c>
      <c r="BV551" s="101">
        <v>17966</v>
      </c>
      <c r="BW551" s="101">
        <v>99.45</v>
      </c>
      <c r="BZ551" s="215">
        <v>45437</v>
      </c>
      <c r="CA551" s="1">
        <v>4681999</v>
      </c>
      <c r="CB551" s="1">
        <v>457398</v>
      </c>
      <c r="CC551" s="71">
        <f t="shared" si="128"/>
        <v>10.236159755836274</v>
      </c>
      <c r="CE551" s="258">
        <v>45437</v>
      </c>
      <c r="CF551" s="48">
        <v>12045984</v>
      </c>
      <c r="CG551" s="101">
        <v>6100</v>
      </c>
      <c r="CH551" s="48">
        <v>12052084</v>
      </c>
      <c r="CI551" s="48">
        <v>99.95</v>
      </c>
      <c r="CJ551" s="71">
        <f t="shared" ref="CJ551:CJ614" si="132">CH551/1000000</f>
        <v>12.052084000000001</v>
      </c>
      <c r="CL551" s="222">
        <v>45414</v>
      </c>
      <c r="CM551" s="1" t="s">
        <v>238</v>
      </c>
      <c r="CN551" s="101">
        <v>741</v>
      </c>
      <c r="CO551" s="101">
        <v>503</v>
      </c>
    </row>
    <row r="552" spans="1:93" hidden="1" x14ac:dyDescent="0.25">
      <c r="A552" s="215">
        <v>45438</v>
      </c>
      <c r="B552" s="101">
        <v>5547582</v>
      </c>
      <c r="C552" s="101">
        <v>4602</v>
      </c>
      <c r="D552" s="101">
        <v>5552184</v>
      </c>
      <c r="E552" s="101">
        <v>99.92</v>
      </c>
      <c r="F552" s="71">
        <f t="shared" si="130"/>
        <v>5.5521839999999996</v>
      </c>
      <c r="H552" s="215">
        <v>45438</v>
      </c>
      <c r="I552" s="101">
        <v>1286700</v>
      </c>
      <c r="J552" s="101">
        <v>556</v>
      </c>
      <c r="K552" s="101">
        <v>1287256</v>
      </c>
      <c r="L552" s="101">
        <v>99.96</v>
      </c>
      <c r="M552" s="71">
        <f t="shared" si="129"/>
        <v>1.287256</v>
      </c>
      <c r="O552" s="215">
        <v>45438</v>
      </c>
      <c r="P552" s="101">
        <v>381092</v>
      </c>
      <c r="Q552" s="101">
        <v>0</v>
      </c>
      <c r="R552" s="101">
        <v>381092</v>
      </c>
      <c r="S552" s="101">
        <v>100</v>
      </c>
      <c r="T552" s="71">
        <f t="shared" si="131"/>
        <v>0.38109199999999999</v>
      </c>
      <c r="V552" s="215">
        <v>45438</v>
      </c>
      <c r="W552" s="101">
        <v>873826</v>
      </c>
      <c r="X552" s="101">
        <v>676</v>
      </c>
      <c r="Y552" s="101">
        <v>874502</v>
      </c>
      <c r="Z552" s="101">
        <v>99.92</v>
      </c>
      <c r="AA552" s="71">
        <f t="shared" si="126"/>
        <v>0.874502</v>
      </c>
      <c r="AC552" s="215">
        <v>45438</v>
      </c>
      <c r="AD552" s="101">
        <v>684464</v>
      </c>
      <c r="AE552" s="101">
        <v>88</v>
      </c>
      <c r="AF552" s="101">
        <v>684552</v>
      </c>
      <c r="AG552" s="101">
        <v>99.99</v>
      </c>
      <c r="AH552" s="71">
        <f t="shared" si="127"/>
        <v>0.68455200000000005</v>
      </c>
      <c r="AJ552" s="215">
        <v>45438</v>
      </c>
      <c r="AK552" s="48">
        <v>0</v>
      </c>
      <c r="AL552" s="48">
        <v>12</v>
      </c>
      <c r="AM552" s="48">
        <v>12</v>
      </c>
      <c r="AN552" s="48">
        <v>0</v>
      </c>
      <c r="AQ552" s="215">
        <v>45438</v>
      </c>
      <c r="AR552" s="48">
        <v>0</v>
      </c>
      <c r="AS552" s="48">
        <v>18</v>
      </c>
      <c r="AT552" s="48">
        <v>18</v>
      </c>
      <c r="AU552" s="48">
        <v>0</v>
      </c>
      <c r="AX552" s="215">
        <v>45438</v>
      </c>
      <c r="AY552" s="48">
        <v>0</v>
      </c>
      <c r="AZ552" s="48">
        <v>0</v>
      </c>
      <c r="BA552" s="48">
        <v>0</v>
      </c>
      <c r="BB552" s="48">
        <v>0</v>
      </c>
      <c r="BE552" s="215">
        <v>45438</v>
      </c>
      <c r="BF552" s="101">
        <v>8318</v>
      </c>
      <c r="BG552" s="101">
        <v>66</v>
      </c>
      <c r="BH552" s="101">
        <v>8384</v>
      </c>
      <c r="BI552" s="101">
        <v>99.21</v>
      </c>
      <c r="BL552" s="215">
        <v>45438</v>
      </c>
      <c r="BM552" s="101">
        <v>4212</v>
      </c>
      <c r="BN552" s="101">
        <v>0</v>
      </c>
      <c r="BO552" s="101">
        <v>4212</v>
      </c>
      <c r="BP552" s="101">
        <v>100</v>
      </c>
      <c r="BS552" s="215">
        <v>45438</v>
      </c>
      <c r="BT552" s="101">
        <v>16614</v>
      </c>
      <c r="BU552" s="101">
        <v>0</v>
      </c>
      <c r="BV552" s="101">
        <v>16614</v>
      </c>
      <c r="BW552" s="101">
        <v>100</v>
      </c>
      <c r="BZ552" s="215">
        <v>45438</v>
      </c>
      <c r="CA552" s="1">
        <v>30879192</v>
      </c>
      <c r="CB552" s="1">
        <v>1871038</v>
      </c>
      <c r="CC552" s="71">
        <f t="shared" si="128"/>
        <v>16.503775978895138</v>
      </c>
      <c r="CE552" s="258">
        <v>45438</v>
      </c>
      <c r="CF552" s="101">
        <v>10369496</v>
      </c>
      <c r="CG552" s="101">
        <v>8288</v>
      </c>
      <c r="CH552" s="101">
        <v>10377784</v>
      </c>
      <c r="CI552" s="101">
        <v>99.92</v>
      </c>
      <c r="CJ552" s="71">
        <f t="shared" si="132"/>
        <v>10.377784</v>
      </c>
    </row>
    <row r="553" spans="1:93" hidden="1" x14ac:dyDescent="0.25">
      <c r="A553" s="215">
        <v>45439</v>
      </c>
      <c r="B553" s="101">
        <v>6320634</v>
      </c>
      <c r="C553" s="101">
        <v>11074</v>
      </c>
      <c r="D553" s="101">
        <v>6331708</v>
      </c>
      <c r="E553" s="101">
        <v>99.83</v>
      </c>
      <c r="F553" s="71">
        <f t="shared" si="130"/>
        <v>6.3317079999999999</v>
      </c>
      <c r="H553" s="215">
        <v>45439</v>
      </c>
      <c r="I553" s="101">
        <v>1263054</v>
      </c>
      <c r="J553" s="101">
        <v>294</v>
      </c>
      <c r="K553" s="101">
        <v>1263348</v>
      </c>
      <c r="L553" s="101">
        <v>99.98</v>
      </c>
      <c r="M553" s="71">
        <f t="shared" si="129"/>
        <v>1.2633479999999999</v>
      </c>
      <c r="O553" s="215">
        <v>45439</v>
      </c>
      <c r="P553" s="101">
        <v>381616</v>
      </c>
      <c r="Q553" s="101">
        <v>0</v>
      </c>
      <c r="R553" s="101">
        <v>381616</v>
      </c>
      <c r="S553" s="101">
        <v>100</v>
      </c>
      <c r="T553" s="71">
        <f t="shared" si="131"/>
        <v>0.38161600000000001</v>
      </c>
      <c r="V553" s="215">
        <v>45439</v>
      </c>
      <c r="W553" s="101">
        <v>929130</v>
      </c>
      <c r="X553" s="101">
        <v>182</v>
      </c>
      <c r="Y553" s="101">
        <v>929312</v>
      </c>
      <c r="Z553" s="101">
        <v>99.98</v>
      </c>
      <c r="AA553" s="71">
        <f t="shared" si="126"/>
        <v>0.92931200000000003</v>
      </c>
      <c r="AC553" s="215">
        <v>45439</v>
      </c>
      <c r="AD553" s="101">
        <v>662106</v>
      </c>
      <c r="AE553" s="101">
        <v>72</v>
      </c>
      <c r="AF553" s="101">
        <v>662178</v>
      </c>
      <c r="AG553" s="101">
        <v>99.99</v>
      </c>
      <c r="AH553" s="71">
        <f>AF553/1000000</f>
        <v>0.66217800000000004</v>
      </c>
      <c r="AJ553" s="215">
        <v>45439</v>
      </c>
      <c r="AK553" s="48">
        <v>0</v>
      </c>
      <c r="AL553" s="288">
        <v>8</v>
      </c>
      <c r="AM553" s="48">
        <v>8</v>
      </c>
      <c r="AN553" s="48">
        <v>0</v>
      </c>
      <c r="AQ553" s="215">
        <v>45439</v>
      </c>
      <c r="AR553" s="48">
        <v>0</v>
      </c>
      <c r="AS553" s="48">
        <v>16</v>
      </c>
      <c r="AT553" s="48">
        <v>16</v>
      </c>
      <c r="AU553" s="48">
        <v>0</v>
      </c>
      <c r="AX553" s="215">
        <v>45439</v>
      </c>
      <c r="AY553" s="48">
        <v>12</v>
      </c>
      <c r="AZ553" s="48">
        <v>0</v>
      </c>
      <c r="BA553" s="48">
        <v>12</v>
      </c>
      <c r="BB553" s="48">
        <v>100</v>
      </c>
      <c r="BE553" s="215">
        <v>45439</v>
      </c>
      <c r="BF553" s="101">
        <v>9314</v>
      </c>
      <c r="BG553" s="101">
        <v>108</v>
      </c>
      <c r="BH553" s="101">
        <v>9422</v>
      </c>
      <c r="BI553" s="101">
        <v>98.85</v>
      </c>
      <c r="BL553" s="215">
        <v>45439</v>
      </c>
      <c r="BM553" s="101">
        <v>218608</v>
      </c>
      <c r="BN553" s="101">
        <v>0</v>
      </c>
      <c r="BO553" s="101">
        <v>218608</v>
      </c>
      <c r="BP553" s="101">
        <v>100</v>
      </c>
      <c r="BS553" s="215">
        <v>45439</v>
      </c>
      <c r="BT553" s="101">
        <v>7518</v>
      </c>
      <c r="BU553" s="101">
        <v>0</v>
      </c>
      <c r="BV553" s="101">
        <v>7518</v>
      </c>
      <c r="BW553" s="101">
        <v>100</v>
      </c>
      <c r="BZ553" s="215">
        <v>45439</v>
      </c>
      <c r="CA553" s="1">
        <v>34006101</v>
      </c>
      <c r="CB553" s="1">
        <v>2530566</v>
      </c>
      <c r="CC553" s="71">
        <f t="shared" si="128"/>
        <v>13.43814032117716</v>
      </c>
      <c r="CE553" s="258">
        <v>45439</v>
      </c>
      <c r="CF553" s="101">
        <v>11356064</v>
      </c>
      <c r="CG553" s="101">
        <v>14316</v>
      </c>
      <c r="CH553" s="101">
        <v>11370380</v>
      </c>
      <c r="CI553" s="101">
        <v>99.87</v>
      </c>
      <c r="CJ553" s="71">
        <f t="shared" si="132"/>
        <v>11.370380000000001</v>
      </c>
      <c r="CL553" s="222">
        <v>45417</v>
      </c>
      <c r="CM553" s="312" t="s">
        <v>239</v>
      </c>
      <c r="CN553" s="101">
        <v>3060</v>
      </c>
      <c r="CO553" s="101">
        <v>504</v>
      </c>
    </row>
    <row r="554" spans="1:93" hidden="1" x14ac:dyDescent="0.25">
      <c r="A554" s="215">
        <v>45440</v>
      </c>
      <c r="B554" s="101">
        <v>5867642</v>
      </c>
      <c r="C554" s="101">
        <v>18308</v>
      </c>
      <c r="D554" s="101">
        <v>5885950</v>
      </c>
      <c r="E554" s="101">
        <v>99.69</v>
      </c>
      <c r="F554" s="71">
        <f t="shared" si="130"/>
        <v>5.8859500000000002</v>
      </c>
      <c r="H554" s="215">
        <v>45440</v>
      </c>
      <c r="I554" s="101">
        <v>1444046</v>
      </c>
      <c r="J554" s="101">
        <v>472</v>
      </c>
      <c r="K554" s="101">
        <v>1444518</v>
      </c>
      <c r="L554" s="101">
        <v>99.97</v>
      </c>
      <c r="M554" s="71">
        <f t="shared" si="129"/>
        <v>1.444518</v>
      </c>
      <c r="O554" s="215">
        <v>45440</v>
      </c>
      <c r="P554" s="101">
        <v>393990</v>
      </c>
      <c r="Q554" s="101">
        <v>12</v>
      </c>
      <c r="R554" s="101">
        <v>394002</v>
      </c>
      <c r="S554" s="101">
        <v>100</v>
      </c>
      <c r="T554" s="71">
        <f t="shared" si="131"/>
        <v>0.39400200000000002</v>
      </c>
      <c r="V554" s="215">
        <v>45440</v>
      </c>
      <c r="W554" s="101">
        <v>955938</v>
      </c>
      <c r="X554" s="101">
        <v>658</v>
      </c>
      <c r="Y554" s="101">
        <v>956596</v>
      </c>
      <c r="Z554" s="101">
        <v>99.93</v>
      </c>
      <c r="AA554" s="71">
        <f t="shared" si="126"/>
        <v>0.956596</v>
      </c>
      <c r="AC554" s="215">
        <v>45440</v>
      </c>
      <c r="AD554" s="101">
        <v>709920</v>
      </c>
      <c r="AE554" s="101">
        <v>19266</v>
      </c>
      <c r="AF554" s="101">
        <v>729186</v>
      </c>
      <c r="AG554" s="101">
        <v>97.36</v>
      </c>
      <c r="AH554" s="71">
        <f>AF554/1000000</f>
        <v>0.729186</v>
      </c>
      <c r="AJ554" s="215">
        <v>45440</v>
      </c>
      <c r="AK554" s="48">
        <v>0</v>
      </c>
      <c r="AL554" s="48">
        <v>16</v>
      </c>
      <c r="AM554" s="48">
        <v>16</v>
      </c>
      <c r="AN554" s="48">
        <v>0</v>
      </c>
      <c r="AQ554" s="215">
        <v>45440</v>
      </c>
      <c r="AR554" s="48">
        <v>0</v>
      </c>
      <c r="AS554" s="48">
        <v>18</v>
      </c>
      <c r="AT554" s="48">
        <v>18</v>
      </c>
      <c r="AU554" s="48">
        <v>0</v>
      </c>
      <c r="AX554" s="215">
        <v>45440</v>
      </c>
      <c r="AY554" s="48">
        <v>10</v>
      </c>
      <c r="AZ554" s="48">
        <v>0</v>
      </c>
      <c r="BA554" s="48">
        <v>10</v>
      </c>
      <c r="BB554" s="48">
        <v>100</v>
      </c>
      <c r="BE554" s="215">
        <v>45440</v>
      </c>
      <c r="BF554" s="101">
        <v>52950</v>
      </c>
      <c r="BG554" s="101">
        <v>370</v>
      </c>
      <c r="BH554" s="101">
        <v>53320</v>
      </c>
      <c r="BI554" s="101">
        <v>99.31</v>
      </c>
      <c r="BL554" s="215">
        <v>45440</v>
      </c>
      <c r="BM554" s="101">
        <v>202018</v>
      </c>
      <c r="BN554" s="101">
        <v>0</v>
      </c>
      <c r="BO554" s="101">
        <v>202018</v>
      </c>
      <c r="BP554" s="101">
        <v>100</v>
      </c>
      <c r="BS554" s="215">
        <v>45440</v>
      </c>
      <c r="BT554" s="101">
        <v>5748</v>
      </c>
      <c r="BU554" s="101">
        <v>0</v>
      </c>
      <c r="BV554" s="101">
        <v>5748</v>
      </c>
      <c r="BW554" s="101">
        <v>100</v>
      </c>
      <c r="BZ554" s="215">
        <v>45440</v>
      </c>
      <c r="CA554" s="1">
        <v>34082620</v>
      </c>
      <c r="CB554" s="1">
        <v>2625534</v>
      </c>
      <c r="CC554" s="71">
        <f t="shared" si="128"/>
        <v>12.9812144881765</v>
      </c>
      <c r="CE554" s="258">
        <v>45440</v>
      </c>
      <c r="CF554" s="101">
        <v>11400418</v>
      </c>
      <c r="CG554" s="101">
        <v>42558</v>
      </c>
      <c r="CH554" s="101">
        <v>11442976</v>
      </c>
      <c r="CI554" s="101">
        <v>99.63</v>
      </c>
      <c r="CJ554" s="71">
        <f t="shared" si="132"/>
        <v>11.442976</v>
      </c>
      <c r="CL554" s="222">
        <v>45417</v>
      </c>
      <c r="CM554" s="1" t="s">
        <v>240</v>
      </c>
      <c r="CN554" s="101">
        <v>2148</v>
      </c>
      <c r="CO554" s="101">
        <v>516</v>
      </c>
    </row>
    <row r="555" spans="1:93" hidden="1" x14ac:dyDescent="0.25">
      <c r="A555" s="215">
        <v>45441</v>
      </c>
      <c r="B555" s="101">
        <v>5794932</v>
      </c>
      <c r="C555" s="101">
        <v>19578</v>
      </c>
      <c r="D555" s="101">
        <v>5814510</v>
      </c>
      <c r="E555" s="101">
        <v>99.66</v>
      </c>
      <c r="F555" s="71">
        <f t="shared" si="130"/>
        <v>5.8145100000000003</v>
      </c>
      <c r="H555" s="215">
        <v>45441</v>
      </c>
      <c r="I555" s="101">
        <v>1257260</v>
      </c>
      <c r="J555" s="101">
        <v>308</v>
      </c>
      <c r="K555" s="101">
        <v>1257568</v>
      </c>
      <c r="L555" s="101">
        <v>99.98</v>
      </c>
      <c r="M555" s="71">
        <f t="shared" si="129"/>
        <v>1.257568</v>
      </c>
      <c r="O555" s="215">
        <v>45441</v>
      </c>
      <c r="P555" s="101">
        <v>365488</v>
      </c>
      <c r="Q555" s="101">
        <v>10</v>
      </c>
      <c r="R555" s="101">
        <v>365498</v>
      </c>
      <c r="S555" s="101">
        <v>100</v>
      </c>
      <c r="T555" s="71">
        <f t="shared" si="131"/>
        <v>0.36549799999999999</v>
      </c>
      <c r="V555" s="215">
        <v>45441</v>
      </c>
      <c r="W555" s="101">
        <v>869100</v>
      </c>
      <c r="X555" s="101">
        <v>150</v>
      </c>
      <c r="Y555" s="101">
        <v>869250</v>
      </c>
      <c r="Z555" s="101">
        <v>99.98</v>
      </c>
      <c r="AA555" s="71">
        <f t="shared" si="126"/>
        <v>0.86924999999999997</v>
      </c>
      <c r="AC555" s="215">
        <v>45441</v>
      </c>
      <c r="AD555" s="101">
        <v>701374</v>
      </c>
      <c r="AE555" s="101">
        <v>126</v>
      </c>
      <c r="AF555" s="101">
        <v>701500</v>
      </c>
      <c r="AG555" s="101">
        <v>99.98</v>
      </c>
      <c r="AH555" s="71">
        <f t="shared" ref="AH555:AH620" si="133">AF555/1000000</f>
        <v>0.70150000000000001</v>
      </c>
      <c r="AJ555" s="215">
        <v>45441</v>
      </c>
      <c r="AK555" s="48">
        <v>0</v>
      </c>
      <c r="AL555" s="48">
        <v>20</v>
      </c>
      <c r="AM555" s="48">
        <v>20</v>
      </c>
      <c r="AN555" s="48">
        <v>0</v>
      </c>
      <c r="AQ555" s="215">
        <v>45441</v>
      </c>
      <c r="AR555" s="48">
        <v>0</v>
      </c>
      <c r="AS555" s="48">
        <v>16</v>
      </c>
      <c r="AT555" s="48">
        <v>18</v>
      </c>
      <c r="AU555" s="48">
        <v>0</v>
      </c>
      <c r="AX555" s="215">
        <v>45441</v>
      </c>
      <c r="AY555" s="48">
        <v>6</v>
      </c>
      <c r="AZ555" s="48">
        <v>0</v>
      </c>
      <c r="BA555" s="48">
        <v>6</v>
      </c>
      <c r="BB555" s="48">
        <v>100</v>
      </c>
      <c r="BE555" s="215">
        <v>45441</v>
      </c>
      <c r="BF555" s="101">
        <v>21246</v>
      </c>
      <c r="BG555" s="101">
        <v>252</v>
      </c>
      <c r="BH555" s="101">
        <v>21498</v>
      </c>
      <c r="BI555" s="101">
        <v>98.83</v>
      </c>
      <c r="BL555" s="215">
        <v>45441</v>
      </c>
      <c r="BM555" s="101">
        <v>206512</v>
      </c>
      <c r="BN555" s="101">
        <v>0</v>
      </c>
      <c r="BO555" s="101">
        <v>206512</v>
      </c>
      <c r="BP555" s="101">
        <v>100</v>
      </c>
      <c r="BS555" s="215">
        <v>45441</v>
      </c>
      <c r="BT555" s="101">
        <v>7364</v>
      </c>
      <c r="BU555" s="101">
        <v>0</v>
      </c>
      <c r="BV555" s="101">
        <v>7364</v>
      </c>
      <c r="BW555" s="101">
        <v>100</v>
      </c>
      <c r="BZ555" s="215">
        <v>45441</v>
      </c>
      <c r="CA555" s="1">
        <v>32278937</v>
      </c>
      <c r="CB555" s="1">
        <v>2453254</v>
      </c>
      <c r="CC555" s="71">
        <f t="shared" si="128"/>
        <v>13.157600884376425</v>
      </c>
      <c r="CE555" s="258">
        <v>45441</v>
      </c>
      <c r="CF555" s="101">
        <v>10850782</v>
      </c>
      <c r="CG555" s="101">
        <v>24144</v>
      </c>
      <c r="CH555" s="101">
        <v>10874926</v>
      </c>
      <c r="CI555" s="101">
        <v>99.78</v>
      </c>
      <c r="CJ555" s="71">
        <f t="shared" si="132"/>
        <v>10.874926</v>
      </c>
      <c r="CL555" s="222">
        <v>45417</v>
      </c>
      <c r="CM555" s="1" t="s">
        <v>237</v>
      </c>
      <c r="CN555" s="101">
        <v>1432</v>
      </c>
      <c r="CO555" s="101">
        <v>527</v>
      </c>
    </row>
    <row r="556" spans="1:93" hidden="1" x14ac:dyDescent="0.25">
      <c r="A556" s="215">
        <v>45442</v>
      </c>
      <c r="B556" s="101">
        <v>6010006</v>
      </c>
      <c r="C556" s="101">
        <v>27458</v>
      </c>
      <c r="D556" s="101">
        <v>6037464</v>
      </c>
      <c r="E556" s="101">
        <v>99.55</v>
      </c>
      <c r="F556" s="71">
        <f t="shared" si="130"/>
        <v>6.0374639999999999</v>
      </c>
      <c r="H556" s="215">
        <v>45442</v>
      </c>
      <c r="I556" s="101">
        <v>1264692</v>
      </c>
      <c r="J556" s="101">
        <v>362</v>
      </c>
      <c r="K556" s="101">
        <v>1265054</v>
      </c>
      <c r="L556" s="101">
        <v>99.97</v>
      </c>
      <c r="M556" s="71">
        <f t="shared" si="129"/>
        <v>1.2650539999999999</v>
      </c>
      <c r="O556" s="215">
        <v>45442</v>
      </c>
      <c r="P556" s="101">
        <v>386814</v>
      </c>
      <c r="Q556" s="101">
        <v>10</v>
      </c>
      <c r="R556" s="101">
        <v>386824</v>
      </c>
      <c r="S556" s="101">
        <v>100</v>
      </c>
      <c r="T556" s="71">
        <f t="shared" si="131"/>
        <v>0.386824</v>
      </c>
      <c r="V556" s="215">
        <v>45442</v>
      </c>
      <c r="W556" s="101">
        <v>902804</v>
      </c>
      <c r="X556" s="101">
        <v>184</v>
      </c>
      <c r="Y556" s="101">
        <v>902988</v>
      </c>
      <c r="Z556" s="101">
        <v>99.98</v>
      </c>
      <c r="AA556" s="71">
        <f t="shared" si="126"/>
        <v>0.90298800000000001</v>
      </c>
      <c r="AC556" s="215">
        <v>45442</v>
      </c>
      <c r="AD556" s="101">
        <v>710514</v>
      </c>
      <c r="AE556" s="101">
        <v>112</v>
      </c>
      <c r="AF556" s="101">
        <v>710626</v>
      </c>
      <c r="AG556" s="101">
        <v>99.98</v>
      </c>
      <c r="AH556" s="71">
        <f t="shared" si="133"/>
        <v>0.71062599999999998</v>
      </c>
      <c r="AJ556" s="215">
        <v>45442</v>
      </c>
      <c r="AK556" s="48">
        <v>0</v>
      </c>
      <c r="AL556" s="48">
        <v>6</v>
      </c>
      <c r="AM556" s="48">
        <v>6</v>
      </c>
      <c r="AN556" s="48">
        <v>0</v>
      </c>
      <c r="AQ556" s="215">
        <v>45442</v>
      </c>
      <c r="AR556" s="48">
        <v>0</v>
      </c>
      <c r="AS556" s="48">
        <v>16</v>
      </c>
      <c r="AT556" s="48">
        <v>16</v>
      </c>
      <c r="AU556" s="48">
        <v>0</v>
      </c>
      <c r="AX556" s="215">
        <v>45442</v>
      </c>
      <c r="AY556" s="48">
        <v>4</v>
      </c>
      <c r="AZ556" s="48">
        <v>0</v>
      </c>
      <c r="BA556" s="48">
        <v>6</v>
      </c>
      <c r="BB556" s="48">
        <v>100</v>
      </c>
      <c r="BE556" s="215">
        <v>45442</v>
      </c>
      <c r="BF556" s="101">
        <v>19530</v>
      </c>
      <c r="BG556" s="101">
        <v>186</v>
      </c>
      <c r="BH556" s="101">
        <v>19716</v>
      </c>
      <c r="BI556" s="101">
        <v>99.06</v>
      </c>
      <c r="BL556" s="215">
        <v>45442</v>
      </c>
      <c r="BM556" s="101">
        <v>202434</v>
      </c>
      <c r="BN556" s="101">
        <v>0</v>
      </c>
      <c r="BO556" s="101">
        <v>202434</v>
      </c>
      <c r="BP556" s="101">
        <v>100</v>
      </c>
      <c r="BS556" s="215">
        <v>45442</v>
      </c>
      <c r="BT556" s="101">
        <v>6800</v>
      </c>
      <c r="BU556" s="101">
        <v>0</v>
      </c>
      <c r="BV556" s="101">
        <v>6800</v>
      </c>
      <c r="BW556" s="101">
        <v>100</v>
      </c>
      <c r="BZ556" s="215">
        <v>45442</v>
      </c>
      <c r="CA556" s="1">
        <v>33609124</v>
      </c>
      <c r="CB556" s="1">
        <v>2504862</v>
      </c>
      <c r="CC556" s="71">
        <f t="shared" si="128"/>
        <v>13.417555138766128</v>
      </c>
      <c r="CE556" s="258">
        <v>45442</v>
      </c>
      <c r="CF556" s="101">
        <v>11182468</v>
      </c>
      <c r="CG556" s="101">
        <v>32362</v>
      </c>
      <c r="CH556" s="101">
        <v>11214830</v>
      </c>
      <c r="CI556" s="101">
        <v>99.71</v>
      </c>
      <c r="CJ556" s="71">
        <f t="shared" si="132"/>
        <v>11.214829999999999</v>
      </c>
      <c r="CL556" s="222">
        <v>45417</v>
      </c>
      <c r="CM556" s="312" t="s">
        <v>244</v>
      </c>
      <c r="CN556" s="101">
        <v>694</v>
      </c>
      <c r="CO556" s="101">
        <v>513</v>
      </c>
    </row>
    <row r="557" spans="1:93" hidden="1" x14ac:dyDescent="0.25">
      <c r="A557" s="215">
        <v>45443</v>
      </c>
      <c r="B557" s="101">
        <v>5955486</v>
      </c>
      <c r="C557" s="101">
        <v>18696</v>
      </c>
      <c r="D557" s="101">
        <v>5974182</v>
      </c>
      <c r="E557" s="101">
        <v>99.69</v>
      </c>
      <c r="F557" s="71">
        <f t="shared" si="130"/>
        <v>5.9741819999999999</v>
      </c>
      <c r="H557" s="215">
        <v>45443</v>
      </c>
      <c r="I557" s="101">
        <v>1404492</v>
      </c>
      <c r="J557" s="101">
        <v>368</v>
      </c>
      <c r="K557" s="101">
        <v>1404860</v>
      </c>
      <c r="L557" s="101">
        <v>99.97</v>
      </c>
      <c r="M557" s="71">
        <f t="shared" si="129"/>
        <v>1.40486</v>
      </c>
      <c r="O557" s="215">
        <v>45443</v>
      </c>
      <c r="P557" s="101">
        <v>395388</v>
      </c>
      <c r="Q557" s="101">
        <v>16</v>
      </c>
      <c r="R557" s="101">
        <v>395404</v>
      </c>
      <c r="S557" s="101">
        <v>100</v>
      </c>
      <c r="T557" s="71">
        <f t="shared" si="131"/>
        <v>0.39540399999999998</v>
      </c>
      <c r="V557" s="215">
        <v>45443</v>
      </c>
      <c r="W557" s="101">
        <v>965936</v>
      </c>
      <c r="X557" s="101">
        <v>162</v>
      </c>
      <c r="Y557" s="101">
        <v>966098</v>
      </c>
      <c r="Z557" s="101">
        <v>99.98</v>
      </c>
      <c r="AA557" s="71">
        <f t="shared" si="126"/>
        <v>0.96609800000000001</v>
      </c>
      <c r="AC557" s="215">
        <v>45443</v>
      </c>
      <c r="AD557" s="101">
        <v>712896</v>
      </c>
      <c r="AE557" s="101">
        <v>1278</v>
      </c>
      <c r="AF557" s="101">
        <v>714174</v>
      </c>
      <c r="AG557" s="101">
        <v>99.82</v>
      </c>
      <c r="AH557" s="71">
        <f t="shared" si="133"/>
        <v>0.71417399999999998</v>
      </c>
      <c r="AJ557" s="215">
        <v>45443</v>
      </c>
      <c r="AK557" s="48">
        <v>0</v>
      </c>
      <c r="AL557" s="48">
        <v>52</v>
      </c>
      <c r="AM557" s="48">
        <v>52</v>
      </c>
      <c r="AN557" s="48">
        <v>0</v>
      </c>
      <c r="AQ557" s="215">
        <v>45443</v>
      </c>
      <c r="AR557" s="48">
        <v>0</v>
      </c>
      <c r="AS557" s="48">
        <v>20</v>
      </c>
      <c r="AT557" s="48">
        <v>20</v>
      </c>
      <c r="AU557" s="48">
        <v>0</v>
      </c>
      <c r="AX557" s="215">
        <v>45443</v>
      </c>
      <c r="AY557" s="48">
        <v>4</v>
      </c>
      <c r="AZ557" s="48">
        <v>0</v>
      </c>
      <c r="BA557" s="48">
        <v>4</v>
      </c>
      <c r="BB557" s="48">
        <v>100</v>
      </c>
      <c r="BE557" s="215">
        <v>45443</v>
      </c>
      <c r="BF557" s="101">
        <v>21250</v>
      </c>
      <c r="BG557" s="101">
        <v>192</v>
      </c>
      <c r="BH557" s="101">
        <v>21442</v>
      </c>
      <c r="BI557" s="101">
        <v>99.1</v>
      </c>
      <c r="BL557" s="215">
        <v>45443</v>
      </c>
      <c r="BM557" s="101">
        <v>222566</v>
      </c>
      <c r="BN557" s="101">
        <v>0</v>
      </c>
      <c r="BO557" s="101">
        <v>222566</v>
      </c>
      <c r="BP557" s="101">
        <v>100</v>
      </c>
      <c r="BS557" s="215">
        <v>45443</v>
      </c>
      <c r="BT557" s="101">
        <v>7268</v>
      </c>
      <c r="BU557" s="101">
        <v>0</v>
      </c>
      <c r="BV557" s="101">
        <v>7268</v>
      </c>
      <c r="BW557" s="101">
        <v>100</v>
      </c>
      <c r="BZ557" s="215">
        <v>45443</v>
      </c>
      <c r="CA557" s="1">
        <v>34394340</v>
      </c>
      <c r="CB557" s="1">
        <v>2577576</v>
      </c>
      <c r="CC557" s="71">
        <f t="shared" si="128"/>
        <v>13.343676384323876</v>
      </c>
      <c r="CE557" s="258">
        <v>45443</v>
      </c>
      <c r="CF557" s="101">
        <v>11532852</v>
      </c>
      <c r="CG557" s="101">
        <v>24904</v>
      </c>
      <c r="CH557" s="101">
        <v>11557756</v>
      </c>
      <c r="CI557" s="101">
        <v>99.78</v>
      </c>
      <c r="CJ557" s="71">
        <f t="shared" si="132"/>
        <v>11.557755999999999</v>
      </c>
      <c r="CL557" s="222">
        <v>45417</v>
      </c>
      <c r="CM557" s="1" t="s">
        <v>238</v>
      </c>
      <c r="CN557" s="101">
        <v>582</v>
      </c>
      <c r="CO557" s="101">
        <v>503</v>
      </c>
    </row>
    <row r="558" spans="1:93" hidden="1" x14ac:dyDescent="0.25">
      <c r="A558" s="224">
        <v>45444</v>
      </c>
      <c r="B558" s="173">
        <v>5905634</v>
      </c>
      <c r="C558" s="173">
        <v>2178</v>
      </c>
      <c r="D558" s="173">
        <v>5907812</v>
      </c>
      <c r="E558" s="173">
        <v>99.96</v>
      </c>
      <c r="F558" s="208">
        <f t="shared" si="130"/>
        <v>5.9078119999999998</v>
      </c>
      <c r="H558" s="215">
        <v>45444</v>
      </c>
      <c r="I558" s="101">
        <v>1440464</v>
      </c>
      <c r="J558" s="101">
        <v>402</v>
      </c>
      <c r="K558" s="101">
        <v>1440866</v>
      </c>
      <c r="L558" s="101">
        <v>99.97</v>
      </c>
      <c r="M558" s="71">
        <f t="shared" si="129"/>
        <v>1.440866</v>
      </c>
      <c r="O558" s="215">
        <v>45444</v>
      </c>
      <c r="P558" s="101">
        <v>378422</v>
      </c>
      <c r="Q558" s="101">
        <v>20</v>
      </c>
      <c r="R558" s="101">
        <v>378442</v>
      </c>
      <c r="S558" s="101">
        <v>99.99</v>
      </c>
      <c r="T558" s="71">
        <f t="shared" si="131"/>
        <v>0.378442</v>
      </c>
      <c r="V558" s="215">
        <v>45444</v>
      </c>
      <c r="W558" s="101">
        <v>936944</v>
      </c>
      <c r="X558" s="101">
        <v>156</v>
      </c>
      <c r="Y558" s="101">
        <v>937100</v>
      </c>
      <c r="Z558" s="101">
        <v>99.98</v>
      </c>
      <c r="AA558" s="71">
        <f t="shared" si="126"/>
        <v>0.93710000000000004</v>
      </c>
      <c r="AC558" s="215">
        <v>45444</v>
      </c>
      <c r="AD558" s="101">
        <v>767208</v>
      </c>
      <c r="AE558" s="101">
        <v>106</v>
      </c>
      <c r="AF558" s="101">
        <v>767314</v>
      </c>
      <c r="AG558" s="101">
        <v>99.99</v>
      </c>
      <c r="AH558" s="71">
        <f t="shared" si="133"/>
        <v>0.76731400000000005</v>
      </c>
      <c r="AJ558" s="215">
        <v>45444</v>
      </c>
      <c r="AK558" s="48">
        <v>0</v>
      </c>
      <c r="AL558" s="48">
        <v>18</v>
      </c>
      <c r="AM558" s="48">
        <v>18</v>
      </c>
      <c r="AN558" s="48">
        <v>0</v>
      </c>
      <c r="AQ558" s="215">
        <v>45444</v>
      </c>
      <c r="AR558" s="48">
        <v>0</v>
      </c>
      <c r="AS558" s="48">
        <v>10</v>
      </c>
      <c r="AT558" s="48">
        <v>10</v>
      </c>
      <c r="AU558" s="48">
        <v>0</v>
      </c>
      <c r="AX558" s="215">
        <v>45444</v>
      </c>
      <c r="AY558" s="48">
        <v>6</v>
      </c>
      <c r="AZ558" s="48">
        <v>0</v>
      </c>
      <c r="BA558" s="48">
        <v>6</v>
      </c>
      <c r="BB558" s="48">
        <v>100</v>
      </c>
      <c r="BE558" s="215">
        <v>45444</v>
      </c>
      <c r="BF558" s="101">
        <v>17866</v>
      </c>
      <c r="BG558" s="101">
        <v>172</v>
      </c>
      <c r="BH558" s="101">
        <v>18038</v>
      </c>
      <c r="BI558" s="101">
        <v>99.05</v>
      </c>
      <c r="BL558" s="215">
        <v>45444</v>
      </c>
      <c r="BM558" s="101">
        <v>203142</v>
      </c>
      <c r="BN558" s="101">
        <v>0</v>
      </c>
      <c r="BO558" s="101">
        <v>203142</v>
      </c>
      <c r="BP558" s="101">
        <v>100</v>
      </c>
      <c r="BS558" s="215">
        <v>45444</v>
      </c>
      <c r="BT558" s="101">
        <v>11174</v>
      </c>
      <c r="BU558" s="101">
        <v>0</v>
      </c>
      <c r="BV558" s="101">
        <v>11174</v>
      </c>
      <c r="BW558" s="101">
        <v>100</v>
      </c>
      <c r="BZ558" s="215">
        <v>45444</v>
      </c>
      <c r="CA558" s="1">
        <v>34190212</v>
      </c>
      <c r="CB558" s="1">
        <v>2549021</v>
      </c>
      <c r="CC558" s="71">
        <f t="shared" si="128"/>
        <v>13.413075843627809</v>
      </c>
      <c r="CE558" s="258">
        <v>45444</v>
      </c>
      <c r="CF558" s="101">
        <v>11494946</v>
      </c>
      <c r="CG558" s="101">
        <v>6424</v>
      </c>
      <c r="CH558" s="101">
        <v>11501370</v>
      </c>
      <c r="CI558" s="101">
        <v>99.94</v>
      </c>
      <c r="CJ558" s="71">
        <f t="shared" si="132"/>
        <v>11.50137</v>
      </c>
    </row>
    <row r="559" spans="1:93" hidden="1" x14ac:dyDescent="0.25">
      <c r="A559" s="215">
        <v>45445</v>
      </c>
      <c r="B559" s="104">
        <v>5512226</v>
      </c>
      <c r="C559" s="104">
        <v>15907</v>
      </c>
      <c r="D559" s="104">
        <v>5528133</v>
      </c>
      <c r="E559" s="104">
        <v>99.71</v>
      </c>
      <c r="F559" s="71">
        <f t="shared" si="130"/>
        <v>5.5281330000000004</v>
      </c>
      <c r="H559" s="215">
        <v>45445</v>
      </c>
      <c r="I559" s="173">
        <v>1396999</v>
      </c>
      <c r="J559" s="173">
        <v>372</v>
      </c>
      <c r="K559" s="173">
        <v>1397371</v>
      </c>
      <c r="L559" s="173">
        <v>99.97</v>
      </c>
      <c r="M559" s="71">
        <f t="shared" si="129"/>
        <v>1.3973709999999999</v>
      </c>
      <c r="O559" s="215">
        <v>45445</v>
      </c>
      <c r="P559" s="173">
        <v>398788</v>
      </c>
      <c r="Q559" s="173">
        <v>21</v>
      </c>
      <c r="R559" s="173">
        <v>398809</v>
      </c>
      <c r="S559" s="173">
        <v>99.99</v>
      </c>
      <c r="T559" s="71">
        <f t="shared" si="131"/>
        <v>0.39880900000000002</v>
      </c>
      <c r="V559" s="215">
        <v>45445</v>
      </c>
      <c r="W559" s="173">
        <v>1041740</v>
      </c>
      <c r="X559" s="173">
        <v>186</v>
      </c>
      <c r="Y559" s="173">
        <v>1041926</v>
      </c>
      <c r="Z559" s="173">
        <v>99.98</v>
      </c>
      <c r="AA559" s="71">
        <f t="shared" si="126"/>
        <v>1.0419259999999999</v>
      </c>
      <c r="AC559" s="215">
        <v>45445</v>
      </c>
      <c r="AD559" s="173">
        <v>764841</v>
      </c>
      <c r="AE559" s="173">
        <v>338</v>
      </c>
      <c r="AF559" s="173">
        <v>765179</v>
      </c>
      <c r="AG559" s="173">
        <v>99.96</v>
      </c>
      <c r="AH559" s="71">
        <f t="shared" si="133"/>
        <v>0.76517900000000005</v>
      </c>
      <c r="AJ559" s="215">
        <v>45445</v>
      </c>
      <c r="AK559" s="48">
        <v>0</v>
      </c>
      <c r="AL559" s="48">
        <v>13</v>
      </c>
      <c r="AM559" s="48">
        <v>13</v>
      </c>
      <c r="AN559" s="48">
        <v>0</v>
      </c>
      <c r="AQ559" s="215">
        <v>45445</v>
      </c>
      <c r="AR559" s="48">
        <v>0</v>
      </c>
      <c r="AS559" s="48">
        <v>17</v>
      </c>
      <c r="AT559" s="48">
        <v>17</v>
      </c>
      <c r="AU559" s="48">
        <v>0</v>
      </c>
      <c r="AX559" s="215">
        <v>45445</v>
      </c>
      <c r="AY559" s="48">
        <v>5</v>
      </c>
      <c r="AZ559" s="48">
        <v>0</v>
      </c>
      <c r="BA559" s="48">
        <v>5</v>
      </c>
      <c r="BB559" s="48">
        <v>100</v>
      </c>
      <c r="BE559" s="215">
        <v>45445</v>
      </c>
      <c r="BF559" s="173">
        <v>18224</v>
      </c>
      <c r="BG559" s="173">
        <v>163</v>
      </c>
      <c r="BH559" s="173">
        <v>18387</v>
      </c>
      <c r="BI559" s="173">
        <v>99.11</v>
      </c>
      <c r="BL559" s="215">
        <v>45445</v>
      </c>
      <c r="BM559" s="173">
        <v>4322</v>
      </c>
      <c r="BN559" s="173">
        <v>0</v>
      </c>
      <c r="BO559" s="173">
        <v>4322</v>
      </c>
      <c r="BP559" s="173">
        <v>100</v>
      </c>
      <c r="BS559" s="215">
        <v>45445</v>
      </c>
      <c r="BT559" s="173">
        <v>10749</v>
      </c>
      <c r="BU559" s="173">
        <v>0</v>
      </c>
      <c r="BV559" s="173">
        <v>10749</v>
      </c>
      <c r="BW559" s="173">
        <v>100</v>
      </c>
      <c r="BZ559" s="215">
        <v>45445</v>
      </c>
      <c r="CA559" s="1">
        <v>29685160</v>
      </c>
      <c r="CB559" s="1">
        <v>1818803</v>
      </c>
      <c r="CC559" s="71">
        <f t="shared" si="128"/>
        <v>16.32126184089206</v>
      </c>
      <c r="CE559" s="311">
        <v>45445</v>
      </c>
      <c r="CF559" s="173">
        <v>11023706</v>
      </c>
      <c r="CG559" s="173">
        <v>20867</v>
      </c>
      <c r="CH559" s="173">
        <v>11044573</v>
      </c>
      <c r="CI559" s="173">
        <v>99.81</v>
      </c>
      <c r="CJ559" s="208">
        <f t="shared" si="132"/>
        <v>11.044573</v>
      </c>
      <c r="CL559" s="222">
        <v>45418</v>
      </c>
      <c r="CM559" s="1" t="s">
        <v>240</v>
      </c>
      <c r="CN559" s="101">
        <v>2154</v>
      </c>
      <c r="CO559" s="101">
        <v>516</v>
      </c>
    </row>
    <row r="560" spans="1:93" hidden="1" x14ac:dyDescent="0.25">
      <c r="A560" s="215">
        <v>45446</v>
      </c>
      <c r="B560" s="48">
        <v>6021424</v>
      </c>
      <c r="C560" s="48">
        <v>2780</v>
      </c>
      <c r="D560" s="48">
        <v>6024204</v>
      </c>
      <c r="E560" s="48">
        <v>99.95</v>
      </c>
      <c r="F560" s="71">
        <f t="shared" si="130"/>
        <v>6.0242040000000001</v>
      </c>
      <c r="H560" s="215">
        <v>45446</v>
      </c>
      <c r="I560" s="48">
        <v>1349086</v>
      </c>
      <c r="J560" s="48">
        <v>392</v>
      </c>
      <c r="K560" s="48">
        <v>1349478</v>
      </c>
      <c r="L560" s="48">
        <v>99.97</v>
      </c>
      <c r="M560" s="71">
        <f t="shared" si="129"/>
        <v>1.349478</v>
      </c>
      <c r="O560" s="215">
        <v>45446</v>
      </c>
      <c r="P560" s="48">
        <v>381616</v>
      </c>
      <c r="Q560" s="48">
        <v>20</v>
      </c>
      <c r="R560" s="48">
        <v>381636</v>
      </c>
      <c r="S560" s="48">
        <v>99.99</v>
      </c>
      <c r="T560" s="71">
        <f t="shared" si="131"/>
        <v>0.38163599999999998</v>
      </c>
      <c r="V560" s="215">
        <v>45446</v>
      </c>
      <c r="W560" s="48">
        <v>1052082</v>
      </c>
      <c r="X560" s="48">
        <v>176</v>
      </c>
      <c r="Y560" s="48">
        <v>1052258</v>
      </c>
      <c r="Z560" s="48">
        <v>99.98</v>
      </c>
      <c r="AA560" s="71">
        <f t="shared" si="126"/>
        <v>1.0522579999999999</v>
      </c>
      <c r="AC560" s="215">
        <v>45446</v>
      </c>
      <c r="AD560" s="48">
        <v>733350</v>
      </c>
      <c r="AE560" s="48">
        <v>118</v>
      </c>
      <c r="AF560" s="48">
        <v>733468</v>
      </c>
      <c r="AG560" s="48">
        <v>99.98</v>
      </c>
      <c r="AH560" s="71">
        <f t="shared" si="133"/>
        <v>0.73346800000000001</v>
      </c>
      <c r="AJ560" s="215">
        <v>45446</v>
      </c>
      <c r="AK560" s="48">
        <v>0</v>
      </c>
      <c r="AL560" s="48">
        <v>12</v>
      </c>
      <c r="AM560" s="48">
        <v>12</v>
      </c>
      <c r="AN560" s="48">
        <v>0</v>
      </c>
      <c r="AQ560" s="215">
        <v>45446</v>
      </c>
      <c r="AR560" s="48">
        <v>0</v>
      </c>
      <c r="AS560" s="48">
        <v>22</v>
      </c>
      <c r="AT560" s="48">
        <v>22</v>
      </c>
      <c r="AU560" s="48">
        <v>0</v>
      </c>
      <c r="AX560" s="215">
        <v>45446</v>
      </c>
      <c r="AY560" s="48">
        <v>8</v>
      </c>
      <c r="AZ560" s="48">
        <v>0</v>
      </c>
      <c r="BA560" s="48">
        <v>8</v>
      </c>
      <c r="BB560" s="48">
        <v>100</v>
      </c>
      <c r="BE560" s="215">
        <v>45446</v>
      </c>
      <c r="BF560" s="48">
        <v>17890</v>
      </c>
      <c r="BG560" s="48">
        <v>186</v>
      </c>
      <c r="BH560" s="48">
        <v>18076</v>
      </c>
      <c r="BI560" s="48">
        <v>98.97</v>
      </c>
      <c r="BL560" s="215">
        <v>45446</v>
      </c>
      <c r="BM560" s="48">
        <v>201766</v>
      </c>
      <c r="BN560" s="48">
        <v>0</v>
      </c>
      <c r="BO560" s="48">
        <v>201766</v>
      </c>
      <c r="BP560" s="48">
        <v>100</v>
      </c>
      <c r="BS560" s="215">
        <v>45446</v>
      </c>
      <c r="BT560" s="48">
        <v>6626</v>
      </c>
      <c r="BU560" s="48">
        <v>0</v>
      </c>
      <c r="BV560" s="48">
        <v>6626</v>
      </c>
      <c r="BW560" s="48">
        <v>100</v>
      </c>
      <c r="BZ560" s="215">
        <v>45446</v>
      </c>
      <c r="CA560" s="1">
        <v>34538719</v>
      </c>
      <c r="CB560" s="1">
        <v>2562703</v>
      </c>
      <c r="CC560" s="71">
        <f t="shared" si="128"/>
        <v>13.477456810250739</v>
      </c>
      <c r="CE560" s="258">
        <v>45446</v>
      </c>
      <c r="CF560" s="48">
        <v>11624730</v>
      </c>
      <c r="CG560" s="48">
        <v>7644</v>
      </c>
      <c r="CH560" s="48">
        <v>11632374</v>
      </c>
      <c r="CI560" s="48">
        <v>99.93</v>
      </c>
      <c r="CJ560" s="71">
        <f t="shared" si="132"/>
        <v>11.632374</v>
      </c>
      <c r="CL560" s="222">
        <v>45418</v>
      </c>
      <c r="CM560" s="1" t="s">
        <v>237</v>
      </c>
      <c r="CN560" s="101">
        <v>1900</v>
      </c>
      <c r="CO560" s="101">
        <v>527</v>
      </c>
    </row>
    <row r="561" spans="1:93" hidden="1" x14ac:dyDescent="0.25">
      <c r="A561" s="215">
        <v>45447</v>
      </c>
      <c r="B561" s="101">
        <v>6739846</v>
      </c>
      <c r="C561" s="101">
        <v>14204</v>
      </c>
      <c r="D561" s="101">
        <v>6754050</v>
      </c>
      <c r="E561" s="101">
        <v>99.79</v>
      </c>
      <c r="F561" s="71">
        <f t="shared" si="130"/>
        <v>6.7540500000000003</v>
      </c>
      <c r="H561" s="215">
        <v>45447</v>
      </c>
      <c r="I561" s="101">
        <v>1427682</v>
      </c>
      <c r="J561" s="101">
        <v>538</v>
      </c>
      <c r="K561" s="101">
        <v>1428220</v>
      </c>
      <c r="L561" s="101">
        <v>99.96</v>
      </c>
      <c r="M561" s="71">
        <f t="shared" si="129"/>
        <v>1.42822</v>
      </c>
      <c r="O561" s="215">
        <v>45447</v>
      </c>
      <c r="P561" s="101">
        <v>360450</v>
      </c>
      <c r="Q561" s="101">
        <v>10</v>
      </c>
      <c r="R561" s="101">
        <v>360460</v>
      </c>
      <c r="S561" s="101">
        <v>100</v>
      </c>
      <c r="T561" s="71">
        <f t="shared" si="131"/>
        <v>0.36046</v>
      </c>
      <c r="V561" s="215">
        <v>45447</v>
      </c>
      <c r="W561" s="101">
        <v>985856</v>
      </c>
      <c r="X561" s="101">
        <v>574</v>
      </c>
      <c r="Y561" s="101">
        <v>986430</v>
      </c>
      <c r="Z561" s="101">
        <v>99.94</v>
      </c>
      <c r="AA561" s="71">
        <f t="shared" si="126"/>
        <v>0.98643000000000003</v>
      </c>
      <c r="AC561" s="215">
        <v>45447</v>
      </c>
      <c r="AD561" s="101">
        <v>754862</v>
      </c>
      <c r="AE561" s="101">
        <v>136</v>
      </c>
      <c r="AF561" s="101">
        <v>754998</v>
      </c>
      <c r="AG561" s="101">
        <v>99.98</v>
      </c>
      <c r="AH561" s="71">
        <f t="shared" si="133"/>
        <v>0.75499799999999995</v>
      </c>
      <c r="AJ561" s="215">
        <v>45447</v>
      </c>
      <c r="AK561" s="48">
        <v>0</v>
      </c>
      <c r="AL561" s="48">
        <v>10</v>
      </c>
      <c r="AM561" s="48">
        <v>12</v>
      </c>
      <c r="AN561" s="48">
        <v>0</v>
      </c>
      <c r="AQ561" s="215">
        <v>45447</v>
      </c>
      <c r="AR561" s="48">
        <v>0</v>
      </c>
      <c r="AS561" s="48">
        <v>4</v>
      </c>
      <c r="AT561" s="48">
        <v>4</v>
      </c>
      <c r="AU561" s="48">
        <v>0</v>
      </c>
      <c r="AX561" s="215">
        <v>45447</v>
      </c>
      <c r="AY561" s="48">
        <v>8</v>
      </c>
      <c r="AZ561" s="48">
        <v>0</v>
      </c>
      <c r="BA561" s="48">
        <v>8</v>
      </c>
      <c r="BB561" s="48">
        <v>100</v>
      </c>
      <c r="BE561" s="215">
        <v>45447</v>
      </c>
      <c r="BF561" s="101">
        <v>43062</v>
      </c>
      <c r="BG561" s="101">
        <v>356</v>
      </c>
      <c r="BH561" s="101">
        <v>43418</v>
      </c>
      <c r="BI561" s="101">
        <v>99.18</v>
      </c>
      <c r="BL561" s="215">
        <v>45447</v>
      </c>
      <c r="BM561" s="101">
        <v>201872</v>
      </c>
      <c r="BN561" s="101">
        <v>0</v>
      </c>
      <c r="BO561" s="101">
        <v>201872</v>
      </c>
      <c r="BP561" s="101">
        <v>100</v>
      </c>
      <c r="BS561" s="215">
        <v>45447</v>
      </c>
      <c r="BT561" s="101">
        <v>39286</v>
      </c>
      <c r="BU561" s="101">
        <v>0</v>
      </c>
      <c r="BV561" s="101">
        <v>39286</v>
      </c>
      <c r="BW561" s="101">
        <v>100</v>
      </c>
      <c r="BZ561" s="215">
        <v>45447</v>
      </c>
      <c r="CA561" s="1">
        <v>36924992</v>
      </c>
      <c r="CB561" s="1">
        <v>2533270</v>
      </c>
      <c r="CC561" s="71">
        <f t="shared" si="128"/>
        <v>14.576019137320538</v>
      </c>
      <c r="CE561" s="258">
        <v>45447</v>
      </c>
      <c r="CF561" s="101">
        <v>12394644</v>
      </c>
      <c r="CG561" s="101">
        <v>19260</v>
      </c>
      <c r="CH561" s="101">
        <v>12413904</v>
      </c>
      <c r="CI561" s="101">
        <v>99.84</v>
      </c>
      <c r="CJ561" s="71">
        <f t="shared" si="132"/>
        <v>12.413904</v>
      </c>
      <c r="CL561" s="222">
        <v>45418</v>
      </c>
      <c r="CM561" s="312" t="s">
        <v>244</v>
      </c>
      <c r="CN561" s="101">
        <v>704</v>
      </c>
      <c r="CO561" s="101">
        <v>513</v>
      </c>
    </row>
    <row r="562" spans="1:93" hidden="1" x14ac:dyDescent="0.25">
      <c r="A562" s="215">
        <v>45448</v>
      </c>
      <c r="B562" s="101">
        <v>6319142</v>
      </c>
      <c r="C562" s="101">
        <v>2992</v>
      </c>
      <c r="D562" s="101">
        <v>6322134</v>
      </c>
      <c r="E562" s="101">
        <v>99.95</v>
      </c>
      <c r="F562" s="71">
        <f t="shared" si="130"/>
        <v>6.3221340000000001</v>
      </c>
      <c r="H562" s="215">
        <v>45448</v>
      </c>
      <c r="I562" s="101">
        <v>1202024</v>
      </c>
      <c r="J562" s="101">
        <v>278</v>
      </c>
      <c r="K562" s="101">
        <v>1202302</v>
      </c>
      <c r="L562" s="101">
        <v>99.98</v>
      </c>
      <c r="M562" s="71">
        <f t="shared" si="129"/>
        <v>1.202302</v>
      </c>
      <c r="O562" s="215">
        <v>45448</v>
      </c>
      <c r="P562" s="101">
        <v>337212</v>
      </c>
      <c r="Q562" s="101">
        <v>12</v>
      </c>
      <c r="R562" s="101">
        <v>337224</v>
      </c>
      <c r="S562" s="101">
        <v>100</v>
      </c>
      <c r="T562" s="71">
        <f t="shared" si="131"/>
        <v>0.33722400000000002</v>
      </c>
      <c r="V562" s="215">
        <v>45448</v>
      </c>
      <c r="W562" s="101">
        <v>897486</v>
      </c>
      <c r="X562" s="101">
        <v>144</v>
      </c>
      <c r="Y562" s="101">
        <v>897630</v>
      </c>
      <c r="Z562" s="101">
        <v>99.98</v>
      </c>
      <c r="AA562" s="71">
        <f t="shared" si="126"/>
        <v>0.89763000000000004</v>
      </c>
      <c r="AC562" s="215">
        <v>45448</v>
      </c>
      <c r="AD562" s="101">
        <v>801390</v>
      </c>
      <c r="AE562" s="101">
        <v>408</v>
      </c>
      <c r="AF562" s="101">
        <v>801798</v>
      </c>
      <c r="AG562" s="101">
        <v>99.95</v>
      </c>
      <c r="AH562" s="71">
        <f t="shared" si="133"/>
        <v>0.80179800000000001</v>
      </c>
      <c r="AJ562" s="215">
        <v>45448</v>
      </c>
      <c r="AK562" s="48">
        <v>0</v>
      </c>
      <c r="AL562" s="48">
        <v>2</v>
      </c>
      <c r="AM562" s="48">
        <v>2</v>
      </c>
      <c r="AN562" s="48">
        <v>0</v>
      </c>
      <c r="AQ562" s="215">
        <v>45448</v>
      </c>
      <c r="AR562" s="48">
        <v>0</v>
      </c>
      <c r="AS562" s="48">
        <v>16</v>
      </c>
      <c r="AT562" s="48">
        <v>16</v>
      </c>
      <c r="AU562" s="48">
        <v>0</v>
      </c>
      <c r="AX562" s="215">
        <v>45448</v>
      </c>
      <c r="AY562" s="48">
        <v>14</v>
      </c>
      <c r="AZ562" s="48">
        <v>0</v>
      </c>
      <c r="BA562" s="48">
        <v>14</v>
      </c>
      <c r="BB562" s="48">
        <v>100</v>
      </c>
      <c r="BE562" s="215">
        <v>45448</v>
      </c>
      <c r="BF562" s="101">
        <v>22038</v>
      </c>
      <c r="BG562" s="101">
        <v>220</v>
      </c>
      <c r="BH562" s="101">
        <v>22258</v>
      </c>
      <c r="BI562" s="101">
        <v>99.01</v>
      </c>
      <c r="BL562" s="215">
        <v>45448</v>
      </c>
      <c r="BM562" s="101">
        <v>213542</v>
      </c>
      <c r="BN562" s="101">
        <v>0</v>
      </c>
      <c r="BO562" s="101">
        <v>213542</v>
      </c>
      <c r="BP562" s="101">
        <v>100</v>
      </c>
      <c r="BS562" s="215">
        <v>45448</v>
      </c>
      <c r="BT562" s="101">
        <v>12884</v>
      </c>
      <c r="BU562" s="101">
        <v>0</v>
      </c>
      <c r="BV562" s="101">
        <v>12884</v>
      </c>
      <c r="BW562" s="101">
        <v>100</v>
      </c>
      <c r="BZ562" s="215">
        <v>45448</v>
      </c>
      <c r="CA562" s="1">
        <v>34350841</v>
      </c>
      <c r="CB562" s="1">
        <v>2454329</v>
      </c>
      <c r="CC562" s="71">
        <f t="shared" si="128"/>
        <v>13.996021315805665</v>
      </c>
      <c r="CE562" s="258">
        <v>45448</v>
      </c>
      <c r="CF562" s="101">
        <v>11538126</v>
      </c>
      <c r="CG562" s="101">
        <v>7332</v>
      </c>
      <c r="CH562" s="101">
        <v>11545458</v>
      </c>
      <c r="CI562" s="101">
        <v>99.94</v>
      </c>
      <c r="CJ562" s="71">
        <f t="shared" si="132"/>
        <v>11.545458</v>
      </c>
      <c r="CL562" s="222">
        <v>45418</v>
      </c>
      <c r="CM562" s="312" t="s">
        <v>239</v>
      </c>
      <c r="CN562" s="101">
        <v>658</v>
      </c>
      <c r="CO562" s="101">
        <v>504</v>
      </c>
    </row>
    <row r="563" spans="1:93" hidden="1" x14ac:dyDescent="0.25">
      <c r="A563" s="215">
        <v>45449</v>
      </c>
      <c r="B563" s="101">
        <v>6744732</v>
      </c>
      <c r="C563" s="101">
        <v>8910</v>
      </c>
      <c r="D563" s="101">
        <v>6753642</v>
      </c>
      <c r="E563" s="101">
        <v>99.87</v>
      </c>
      <c r="F563" s="71">
        <f t="shared" si="130"/>
        <v>6.7536420000000001</v>
      </c>
      <c r="H563" s="215">
        <v>45449</v>
      </c>
      <c r="I563" s="101">
        <v>1261042</v>
      </c>
      <c r="J563" s="101">
        <v>350</v>
      </c>
      <c r="K563" s="101">
        <v>1261392</v>
      </c>
      <c r="L563" s="101">
        <v>99.97</v>
      </c>
      <c r="M563" s="71">
        <f t="shared" si="129"/>
        <v>1.2613920000000001</v>
      </c>
      <c r="O563" s="215">
        <v>45449</v>
      </c>
      <c r="P563" s="101">
        <v>369408</v>
      </c>
      <c r="Q563" s="101">
        <v>8</v>
      </c>
      <c r="R563" s="101">
        <v>369416</v>
      </c>
      <c r="S563" s="101">
        <v>100</v>
      </c>
      <c r="T563" s="71">
        <f t="shared" si="131"/>
        <v>0.36941600000000002</v>
      </c>
      <c r="V563" s="215">
        <v>45449</v>
      </c>
      <c r="W563" s="101">
        <v>925276</v>
      </c>
      <c r="X563" s="101">
        <v>396</v>
      </c>
      <c r="Y563" s="101">
        <v>925672</v>
      </c>
      <c r="Z563" s="101">
        <v>99.96</v>
      </c>
      <c r="AA563" s="71">
        <f t="shared" si="126"/>
        <v>0.92567200000000005</v>
      </c>
      <c r="AC563" s="215">
        <v>45449</v>
      </c>
      <c r="AD563" s="101">
        <v>811738</v>
      </c>
      <c r="AE563" s="101">
        <v>110</v>
      </c>
      <c r="AF563" s="101">
        <v>811848</v>
      </c>
      <c r="AG563" s="101">
        <v>99.99</v>
      </c>
      <c r="AH563" s="71">
        <f t="shared" si="133"/>
        <v>0.81184800000000001</v>
      </c>
      <c r="AJ563" s="215">
        <v>45449</v>
      </c>
      <c r="AK563" s="48">
        <v>0</v>
      </c>
      <c r="AL563" s="48">
        <v>8</v>
      </c>
      <c r="AM563" s="48">
        <v>8</v>
      </c>
      <c r="AN563" s="48">
        <v>0</v>
      </c>
      <c r="AQ563" s="215">
        <v>45449</v>
      </c>
      <c r="AR563" s="48">
        <v>0</v>
      </c>
      <c r="AS563" s="48">
        <v>18</v>
      </c>
      <c r="AT563" s="48">
        <v>18</v>
      </c>
      <c r="AU563" s="48">
        <v>0</v>
      </c>
      <c r="AX563" s="215">
        <v>45449</v>
      </c>
      <c r="AY563" s="48">
        <v>4</v>
      </c>
      <c r="AZ563" s="48">
        <v>0</v>
      </c>
      <c r="BA563" s="48">
        <v>4</v>
      </c>
      <c r="BB563" s="48">
        <v>100</v>
      </c>
      <c r="BE563" s="215">
        <v>45449</v>
      </c>
      <c r="BF563" s="101">
        <v>18128</v>
      </c>
      <c r="BG563" s="101">
        <v>1058</v>
      </c>
      <c r="BH563" s="101">
        <v>19186</v>
      </c>
      <c r="BI563" s="101">
        <v>94.49</v>
      </c>
      <c r="BL563" s="215">
        <v>45449</v>
      </c>
      <c r="BM563" s="101">
        <v>202710</v>
      </c>
      <c r="BN563" s="101">
        <v>0</v>
      </c>
      <c r="BO563" s="101">
        <v>202710</v>
      </c>
      <c r="BP563" s="101">
        <v>100</v>
      </c>
      <c r="BS563" s="215">
        <v>45449</v>
      </c>
      <c r="BT563" s="101">
        <v>34266</v>
      </c>
      <c r="BU563" s="101">
        <v>0</v>
      </c>
      <c r="BV563" s="101">
        <v>34266</v>
      </c>
      <c r="BW563" s="101">
        <v>100</v>
      </c>
      <c r="BZ563" s="215">
        <v>45449</v>
      </c>
      <c r="CA563" s="1">
        <v>848894</v>
      </c>
      <c r="CB563" s="1">
        <v>84834</v>
      </c>
      <c r="CC563" s="71">
        <f t="shared" si="128"/>
        <v>10.00653040054695</v>
      </c>
      <c r="CE563" s="258">
        <v>45449</v>
      </c>
      <c r="CF563" s="101">
        <v>12220436</v>
      </c>
      <c r="CG563" s="101">
        <v>14702</v>
      </c>
      <c r="CH563" s="101">
        <v>12235138</v>
      </c>
      <c r="CI563" s="101">
        <v>99.88</v>
      </c>
      <c r="CJ563" s="71">
        <f t="shared" si="132"/>
        <v>12.235137999999999</v>
      </c>
      <c r="CL563" s="222">
        <v>45418</v>
      </c>
      <c r="CM563" s="1" t="s">
        <v>238</v>
      </c>
      <c r="CN563" s="101">
        <v>624</v>
      </c>
      <c r="CO563" s="101">
        <v>503</v>
      </c>
    </row>
    <row r="564" spans="1:93" hidden="1" x14ac:dyDescent="0.25">
      <c r="A564" s="215">
        <v>45450</v>
      </c>
      <c r="B564" s="101">
        <v>7537418</v>
      </c>
      <c r="C564" s="101">
        <v>8690</v>
      </c>
      <c r="D564" s="101">
        <v>7546108</v>
      </c>
      <c r="E564" s="101">
        <v>99.88</v>
      </c>
      <c r="F564" s="71">
        <f t="shared" si="130"/>
        <v>7.5461080000000003</v>
      </c>
      <c r="H564" s="215">
        <v>45450</v>
      </c>
      <c r="I564" s="101">
        <v>1357780</v>
      </c>
      <c r="J564" s="101">
        <v>354</v>
      </c>
      <c r="K564" s="101">
        <v>1358134</v>
      </c>
      <c r="L564" s="101">
        <v>99.97</v>
      </c>
      <c r="M564" s="71">
        <f t="shared" si="129"/>
        <v>1.358134</v>
      </c>
      <c r="O564" s="215">
        <v>45450</v>
      </c>
      <c r="P564" s="101">
        <v>357892</v>
      </c>
      <c r="Q564" s="101">
        <v>18</v>
      </c>
      <c r="R564" s="101">
        <v>357910</v>
      </c>
      <c r="S564" s="101">
        <v>99.99</v>
      </c>
      <c r="T564" s="71">
        <f t="shared" si="131"/>
        <v>0.35791000000000001</v>
      </c>
      <c r="V564" s="215">
        <v>45450</v>
      </c>
      <c r="W564" s="101">
        <v>950518</v>
      </c>
      <c r="X564" s="101">
        <v>422</v>
      </c>
      <c r="Y564" s="101">
        <v>950940</v>
      </c>
      <c r="Z564" s="101">
        <v>99.96</v>
      </c>
      <c r="AA564" s="71">
        <f t="shared" si="126"/>
        <v>0.95094000000000001</v>
      </c>
      <c r="AC564" s="215">
        <v>45450</v>
      </c>
      <c r="AD564" s="101">
        <v>835424</v>
      </c>
      <c r="AE564" s="101">
        <v>106</v>
      </c>
      <c r="AF564" s="101">
        <v>835530</v>
      </c>
      <c r="AG564" s="101">
        <v>99.99</v>
      </c>
      <c r="AH564" s="71">
        <f t="shared" si="133"/>
        <v>0.83552999999999999</v>
      </c>
      <c r="AJ564" s="215">
        <v>45450</v>
      </c>
      <c r="AK564" s="48">
        <v>0</v>
      </c>
      <c r="AL564" s="48">
        <v>98</v>
      </c>
      <c r="AM564" s="48">
        <v>98</v>
      </c>
      <c r="AN564" s="48">
        <v>0</v>
      </c>
      <c r="AQ564" s="215">
        <v>45450</v>
      </c>
      <c r="AR564" s="48">
        <v>0</v>
      </c>
      <c r="AS564" s="48">
        <v>8</v>
      </c>
      <c r="AT564" s="48">
        <v>8</v>
      </c>
      <c r="AU564" s="48">
        <v>0</v>
      </c>
      <c r="AX564" s="215">
        <v>45450</v>
      </c>
      <c r="AY564" s="48">
        <v>2</v>
      </c>
      <c r="AZ564" s="48">
        <v>0</v>
      </c>
      <c r="BA564" s="48">
        <v>2</v>
      </c>
      <c r="BB564" s="48">
        <v>100</v>
      </c>
      <c r="BE564" s="215">
        <v>45450</v>
      </c>
      <c r="BF564" s="101">
        <v>18956</v>
      </c>
      <c r="BG564" s="101">
        <v>1166</v>
      </c>
      <c r="BH564" s="101">
        <v>20122</v>
      </c>
      <c r="BI564" s="101">
        <v>94.21</v>
      </c>
      <c r="BL564" s="215">
        <v>45450</v>
      </c>
      <c r="BM564" s="101">
        <v>204780</v>
      </c>
      <c r="BN564" s="101">
        <v>0</v>
      </c>
      <c r="BO564" s="101">
        <v>204780</v>
      </c>
      <c r="BP564" s="101">
        <v>100</v>
      </c>
      <c r="BS564" s="215">
        <v>45450</v>
      </c>
      <c r="BT564" s="101">
        <v>15960</v>
      </c>
      <c r="BU564" s="101">
        <v>0</v>
      </c>
      <c r="BV564" s="101">
        <v>15960</v>
      </c>
      <c r="BW564" s="101">
        <v>100</v>
      </c>
      <c r="BZ564" s="215">
        <v>45450</v>
      </c>
      <c r="CA564" s="1">
        <v>39464318</v>
      </c>
      <c r="CB564" s="1">
        <v>2538827</v>
      </c>
      <c r="CC564" s="71">
        <f t="shared" si="128"/>
        <v>15.544311605320095</v>
      </c>
      <c r="CE564" s="258">
        <v>45450</v>
      </c>
      <c r="CF564" s="101">
        <v>13283250</v>
      </c>
      <c r="CG564" s="101">
        <v>15100</v>
      </c>
      <c r="CH564" s="101">
        <v>13298350</v>
      </c>
      <c r="CI564" s="101">
        <v>99.89</v>
      </c>
      <c r="CJ564" s="71">
        <f t="shared" si="132"/>
        <v>13.298349999999999</v>
      </c>
    </row>
    <row r="565" spans="1:93" hidden="1" x14ac:dyDescent="0.25">
      <c r="A565" s="215">
        <v>45451</v>
      </c>
      <c r="B565" s="101">
        <v>6104606</v>
      </c>
      <c r="C565" s="101">
        <v>4788</v>
      </c>
      <c r="D565" s="101">
        <v>6109394</v>
      </c>
      <c r="E565" s="101">
        <v>99.92</v>
      </c>
      <c r="F565" s="71">
        <f t="shared" si="130"/>
        <v>6.109394</v>
      </c>
      <c r="H565" s="215">
        <v>45451</v>
      </c>
      <c r="I565" s="101">
        <v>1267332</v>
      </c>
      <c r="J565" s="101">
        <v>324</v>
      </c>
      <c r="K565" s="101">
        <v>1267656</v>
      </c>
      <c r="L565" s="101">
        <v>99.97</v>
      </c>
      <c r="M565" s="71">
        <f t="shared" si="129"/>
        <v>1.2676559999999999</v>
      </c>
      <c r="O565" s="215">
        <v>45451</v>
      </c>
      <c r="P565" s="101">
        <v>343244</v>
      </c>
      <c r="Q565" s="101">
        <v>18</v>
      </c>
      <c r="R565" s="101">
        <v>343262</v>
      </c>
      <c r="S565" s="101">
        <v>99.99</v>
      </c>
      <c r="T565" s="71">
        <f t="shared" si="131"/>
        <v>0.34326200000000001</v>
      </c>
      <c r="V565" s="215">
        <v>45451</v>
      </c>
      <c r="W565" s="101">
        <v>944644</v>
      </c>
      <c r="X565" s="101">
        <v>174</v>
      </c>
      <c r="Y565" s="101">
        <v>944818</v>
      </c>
      <c r="Z565" s="101">
        <v>99.98</v>
      </c>
      <c r="AA565" s="71">
        <f t="shared" si="126"/>
        <v>0.94481800000000005</v>
      </c>
      <c r="AC565" s="215">
        <v>45451</v>
      </c>
      <c r="AD565" s="101">
        <v>881388</v>
      </c>
      <c r="AE565" s="101">
        <v>108</v>
      </c>
      <c r="AF565" s="101">
        <v>881496</v>
      </c>
      <c r="AG565" s="101">
        <v>99.99</v>
      </c>
      <c r="AH565" s="71">
        <f t="shared" si="133"/>
        <v>0.88149599999999995</v>
      </c>
      <c r="AJ565" s="215">
        <v>45451</v>
      </c>
      <c r="AK565" s="48">
        <v>0</v>
      </c>
      <c r="AL565" s="48">
        <v>26</v>
      </c>
      <c r="AM565" s="48">
        <v>26</v>
      </c>
      <c r="AN565" s="48">
        <v>0</v>
      </c>
      <c r="AQ565" s="215">
        <v>45451</v>
      </c>
      <c r="AR565" s="48">
        <v>0</v>
      </c>
      <c r="AS565" s="48">
        <v>10</v>
      </c>
      <c r="AT565" s="48">
        <v>10</v>
      </c>
      <c r="AU565" s="48">
        <v>0</v>
      </c>
      <c r="AX565" s="215">
        <v>45451</v>
      </c>
      <c r="AY565" s="48">
        <v>4</v>
      </c>
      <c r="AZ565" s="48">
        <v>0</v>
      </c>
      <c r="BA565" s="48">
        <v>4</v>
      </c>
      <c r="BB565" s="48">
        <v>100</v>
      </c>
      <c r="BE565" s="215">
        <v>45451</v>
      </c>
      <c r="BF565" s="101">
        <v>17050</v>
      </c>
      <c r="BG565" s="101">
        <v>1108</v>
      </c>
      <c r="BH565" s="101">
        <v>18158</v>
      </c>
      <c r="BI565" s="101">
        <v>93.9</v>
      </c>
      <c r="BL565" s="215">
        <v>45451</v>
      </c>
      <c r="BM565" s="101">
        <v>201486</v>
      </c>
      <c r="BN565" s="101">
        <v>2</v>
      </c>
      <c r="BO565" s="101">
        <v>201488</v>
      </c>
      <c r="BP565" s="101">
        <v>100</v>
      </c>
      <c r="BS565" s="215">
        <v>45451</v>
      </c>
      <c r="BT565" s="101">
        <v>10510</v>
      </c>
      <c r="BU565" s="101">
        <v>0</v>
      </c>
      <c r="BV565" s="101">
        <v>10510</v>
      </c>
      <c r="BW565" s="101">
        <v>100</v>
      </c>
      <c r="BZ565" s="215">
        <v>45451</v>
      </c>
      <c r="CA565" s="1">
        <v>1259038</v>
      </c>
      <c r="CB565" s="1">
        <v>112726</v>
      </c>
      <c r="CC565" s="71">
        <f t="shared" si="128"/>
        <v>11.169011585614676</v>
      </c>
      <c r="CE565" s="258">
        <v>45451</v>
      </c>
      <c r="CF565" s="101">
        <v>11658862</v>
      </c>
      <c r="CG565" s="101">
        <v>10328</v>
      </c>
      <c r="CH565" s="101">
        <v>11669190</v>
      </c>
      <c r="CI565" s="101">
        <v>99.91</v>
      </c>
      <c r="CJ565" s="71">
        <f t="shared" si="132"/>
        <v>11.66919</v>
      </c>
      <c r="CL565" s="222">
        <v>45419</v>
      </c>
      <c r="CM565" s="1" t="s">
        <v>237</v>
      </c>
      <c r="CN565" s="101">
        <v>2102</v>
      </c>
      <c r="CO565" s="101">
        <v>527</v>
      </c>
    </row>
    <row r="566" spans="1:93" hidden="1" x14ac:dyDescent="0.25">
      <c r="A566" s="215">
        <v>45452</v>
      </c>
      <c r="B566" s="173">
        <v>5419304</v>
      </c>
      <c r="C566" s="173">
        <v>29016</v>
      </c>
      <c r="D566" s="173">
        <v>5448320</v>
      </c>
      <c r="E566" s="173">
        <v>99.47</v>
      </c>
      <c r="F566" s="71">
        <f t="shared" si="130"/>
        <v>5.4483199999999998</v>
      </c>
      <c r="H566" s="215">
        <v>45452</v>
      </c>
      <c r="I566" s="101">
        <v>1210848</v>
      </c>
      <c r="J566" s="101">
        <v>350</v>
      </c>
      <c r="K566" s="101">
        <v>1211198</v>
      </c>
      <c r="L566" s="101">
        <v>99.97</v>
      </c>
      <c r="M566" s="71">
        <f t="shared" si="129"/>
        <v>1.211198</v>
      </c>
      <c r="O566" s="215">
        <v>45452</v>
      </c>
      <c r="P566" s="101">
        <v>345738</v>
      </c>
      <c r="Q566" s="101">
        <v>16</v>
      </c>
      <c r="R566" s="101">
        <v>345754</v>
      </c>
      <c r="S566" s="101">
        <v>100</v>
      </c>
      <c r="T566" s="71">
        <f t="shared" si="131"/>
        <v>0.34575400000000001</v>
      </c>
      <c r="V566" s="215">
        <v>45452</v>
      </c>
      <c r="W566" s="101">
        <v>888736</v>
      </c>
      <c r="X566" s="101">
        <v>6340</v>
      </c>
      <c r="Y566" s="101">
        <v>895076</v>
      </c>
      <c r="Z566" s="101">
        <v>99.29</v>
      </c>
      <c r="AA566" s="71">
        <f t="shared" si="126"/>
        <v>0.89507599999999998</v>
      </c>
      <c r="AC566" s="215">
        <v>45452</v>
      </c>
      <c r="AD566" s="101">
        <v>863052</v>
      </c>
      <c r="AE566" s="101">
        <v>96</v>
      </c>
      <c r="AF566" s="101">
        <v>863148</v>
      </c>
      <c r="AG566" s="101">
        <v>99.99</v>
      </c>
      <c r="AH566" s="71">
        <f t="shared" si="133"/>
        <v>0.86314800000000003</v>
      </c>
      <c r="AJ566" s="215">
        <v>45452</v>
      </c>
      <c r="AK566" s="48">
        <v>0</v>
      </c>
      <c r="AL566" s="48">
        <v>14</v>
      </c>
      <c r="AM566" s="48">
        <v>14</v>
      </c>
      <c r="AN566" s="48">
        <v>0</v>
      </c>
      <c r="AQ566" s="215">
        <v>45452</v>
      </c>
      <c r="AR566" s="48">
        <v>0</v>
      </c>
      <c r="AS566" s="48">
        <v>12</v>
      </c>
      <c r="AT566" s="48">
        <v>12</v>
      </c>
      <c r="AU566" s="48">
        <v>0</v>
      </c>
      <c r="AX566" s="215">
        <v>45452</v>
      </c>
      <c r="AY566" s="48">
        <v>8</v>
      </c>
      <c r="AZ566" s="48">
        <v>0</v>
      </c>
      <c r="BA566" s="48">
        <v>8</v>
      </c>
      <c r="BB566" s="48">
        <v>100</v>
      </c>
      <c r="BE566" s="215">
        <v>45452</v>
      </c>
      <c r="BF566" s="101">
        <v>13080</v>
      </c>
      <c r="BG566" s="101">
        <v>1038</v>
      </c>
      <c r="BH566" s="101">
        <v>14118</v>
      </c>
      <c r="BI566" s="101">
        <v>92.65</v>
      </c>
      <c r="BL566" s="215">
        <v>45452</v>
      </c>
      <c r="BM566" s="101">
        <v>3744</v>
      </c>
      <c r="BN566" s="101">
        <v>0</v>
      </c>
      <c r="BO566" s="101">
        <v>3744</v>
      </c>
      <c r="BP566" s="101">
        <v>100</v>
      </c>
      <c r="BS566" s="215">
        <v>45452</v>
      </c>
      <c r="BT566" s="101">
        <v>9670</v>
      </c>
      <c r="BU566" s="101">
        <v>0</v>
      </c>
      <c r="BV566" s="101">
        <v>9670</v>
      </c>
      <c r="BW566" s="101">
        <v>100</v>
      </c>
      <c r="BZ566" s="215">
        <v>45452</v>
      </c>
      <c r="CA566" s="1">
        <v>12402470</v>
      </c>
      <c r="CB566" s="1">
        <v>889606</v>
      </c>
      <c r="CC566" s="71">
        <f t="shared" si="128"/>
        <v>13.941531419527296</v>
      </c>
      <c r="CE566" s="258">
        <v>45452</v>
      </c>
      <c r="CF566" s="173">
        <v>10446246</v>
      </c>
      <c r="CG566" s="173">
        <v>40854</v>
      </c>
      <c r="CH566" s="173">
        <v>10487100</v>
      </c>
      <c r="CI566" s="173">
        <v>99.61</v>
      </c>
      <c r="CJ566" s="71">
        <f t="shared" si="132"/>
        <v>10.4871</v>
      </c>
      <c r="CL566" s="222">
        <v>45419</v>
      </c>
      <c r="CM566" s="1" t="s">
        <v>240</v>
      </c>
      <c r="CN566" s="101">
        <v>1999</v>
      </c>
      <c r="CO566" s="101">
        <v>516</v>
      </c>
    </row>
    <row r="567" spans="1:93" hidden="1" x14ac:dyDescent="0.25">
      <c r="A567" s="215">
        <v>45453</v>
      </c>
      <c r="B567" s="48">
        <v>6450896</v>
      </c>
      <c r="C567" s="48">
        <v>13150</v>
      </c>
      <c r="D567" s="48">
        <v>6464046</v>
      </c>
      <c r="E567" s="48">
        <v>99.8</v>
      </c>
      <c r="F567" s="71">
        <f t="shared" si="130"/>
        <v>6.4640459999999997</v>
      </c>
      <c r="H567" s="215">
        <v>45453</v>
      </c>
      <c r="I567" s="101">
        <v>1284804</v>
      </c>
      <c r="J567" s="101">
        <v>346</v>
      </c>
      <c r="K567" s="101">
        <v>1285150</v>
      </c>
      <c r="L567" s="101">
        <v>99.97</v>
      </c>
      <c r="M567" s="71">
        <f t="shared" si="129"/>
        <v>1.28515</v>
      </c>
      <c r="O567" s="215">
        <v>45453</v>
      </c>
      <c r="P567" s="101">
        <v>361996</v>
      </c>
      <c r="Q567" s="101">
        <v>12</v>
      </c>
      <c r="R567" s="101">
        <v>362008</v>
      </c>
      <c r="S567" s="101">
        <v>100</v>
      </c>
      <c r="T567" s="71">
        <f t="shared" si="131"/>
        <v>0.362008</v>
      </c>
      <c r="V567" s="215">
        <v>45453</v>
      </c>
      <c r="W567" s="101">
        <v>975316</v>
      </c>
      <c r="X567" s="101">
        <v>1660</v>
      </c>
      <c r="Y567" s="101">
        <v>976976</v>
      </c>
      <c r="Z567" s="101">
        <v>99.83</v>
      </c>
      <c r="AA567" s="71">
        <f t="shared" si="126"/>
        <v>0.97697599999999996</v>
      </c>
      <c r="AC567" s="215">
        <v>45453</v>
      </c>
      <c r="AD567" s="101">
        <v>798660</v>
      </c>
      <c r="AE567" s="101">
        <v>82</v>
      </c>
      <c r="AF567" s="101">
        <v>798742</v>
      </c>
      <c r="AG567" s="101">
        <v>99.99</v>
      </c>
      <c r="AH567" s="71">
        <f t="shared" si="133"/>
        <v>0.79874199999999995</v>
      </c>
      <c r="AJ567" s="215">
        <v>45453</v>
      </c>
      <c r="AK567" s="48">
        <v>0</v>
      </c>
      <c r="AL567" s="48">
        <v>12</v>
      </c>
      <c r="AM567" s="48">
        <v>12</v>
      </c>
      <c r="AN567" s="48">
        <v>0</v>
      </c>
      <c r="AQ567" s="215">
        <v>45453</v>
      </c>
      <c r="AR567" s="48">
        <v>0</v>
      </c>
      <c r="AS567" s="48">
        <v>16</v>
      </c>
      <c r="AT567" s="48">
        <v>16</v>
      </c>
      <c r="AU567" s="48">
        <v>0</v>
      </c>
      <c r="AX567" s="215">
        <v>45453</v>
      </c>
      <c r="AY567" s="48">
        <v>6</v>
      </c>
      <c r="AZ567" s="48">
        <v>0</v>
      </c>
      <c r="BA567" s="48">
        <v>6</v>
      </c>
      <c r="BB567" s="48">
        <v>100</v>
      </c>
      <c r="BE567" s="215">
        <v>45453</v>
      </c>
      <c r="BF567" s="101">
        <v>16982</v>
      </c>
      <c r="BG567" s="101">
        <v>1026</v>
      </c>
      <c r="BH567" s="101">
        <v>18008</v>
      </c>
      <c r="BI567" s="101">
        <v>94.3</v>
      </c>
      <c r="BL567" s="215">
        <v>45453</v>
      </c>
      <c r="BM567" s="101">
        <v>208564</v>
      </c>
      <c r="BN567" s="101">
        <v>0</v>
      </c>
      <c r="BO567" s="101">
        <v>208564</v>
      </c>
      <c r="BP567" s="101">
        <v>100</v>
      </c>
      <c r="BS567" s="215">
        <v>45453</v>
      </c>
      <c r="BT567" s="101">
        <v>10200</v>
      </c>
      <c r="BU567" s="101">
        <v>0</v>
      </c>
      <c r="BV567" s="101">
        <v>10200</v>
      </c>
      <c r="BW567" s="101">
        <v>100</v>
      </c>
      <c r="BZ567" s="215">
        <v>45453</v>
      </c>
      <c r="CA567" s="1">
        <v>35702188</v>
      </c>
      <c r="CB567" s="1">
        <v>2537058</v>
      </c>
      <c r="CC567" s="71">
        <f t="shared" si="128"/>
        <v>14.072278994015903</v>
      </c>
      <c r="CE567" s="258">
        <v>45453</v>
      </c>
      <c r="CF567" s="48">
        <v>11938168</v>
      </c>
      <c r="CG567" s="48">
        <v>19872</v>
      </c>
      <c r="CH567" s="48">
        <v>11958040</v>
      </c>
      <c r="CI567" s="48">
        <v>99.83</v>
      </c>
      <c r="CJ567" s="71">
        <f t="shared" si="132"/>
        <v>11.95804</v>
      </c>
      <c r="CL567" s="222">
        <v>45419</v>
      </c>
      <c r="CM567" s="312" t="s">
        <v>239</v>
      </c>
      <c r="CN567" s="101">
        <v>1620</v>
      </c>
      <c r="CO567" s="101">
        <v>504</v>
      </c>
    </row>
    <row r="568" spans="1:93" hidden="1" x14ac:dyDescent="0.25">
      <c r="A568" s="215">
        <v>45454</v>
      </c>
      <c r="B568" s="48">
        <v>6149238</v>
      </c>
      <c r="C568" s="48">
        <v>1984</v>
      </c>
      <c r="D568" s="48">
        <v>6151222</v>
      </c>
      <c r="E568" s="48">
        <v>99.97</v>
      </c>
      <c r="F568" s="71">
        <f t="shared" si="130"/>
        <v>6.1512219999999997</v>
      </c>
      <c r="H568" s="215">
        <v>45454</v>
      </c>
      <c r="I568" s="101">
        <v>1353680</v>
      </c>
      <c r="J568" s="101">
        <v>358</v>
      </c>
      <c r="K568" s="101">
        <v>1354038</v>
      </c>
      <c r="L568" s="101">
        <v>99.97</v>
      </c>
      <c r="M568" s="71">
        <f t="shared" si="129"/>
        <v>1.3540380000000001</v>
      </c>
      <c r="O568" s="215">
        <v>45454</v>
      </c>
      <c r="P568" s="101">
        <v>341540</v>
      </c>
      <c r="Q568" s="101">
        <v>18</v>
      </c>
      <c r="R568" s="101">
        <v>341558</v>
      </c>
      <c r="S568" s="101">
        <v>99.99</v>
      </c>
      <c r="T568" s="71">
        <f t="shared" si="131"/>
        <v>0.34155799999999997</v>
      </c>
      <c r="V568" s="215">
        <v>45454</v>
      </c>
      <c r="W568" s="101">
        <v>986362</v>
      </c>
      <c r="X568" s="101">
        <v>198</v>
      </c>
      <c r="Y568" s="101">
        <v>986560</v>
      </c>
      <c r="Z568" s="101">
        <v>99.98</v>
      </c>
      <c r="AA568" s="71">
        <f t="shared" si="126"/>
        <v>0.98655999999999999</v>
      </c>
      <c r="AC568" s="215">
        <v>45454</v>
      </c>
      <c r="AD568" s="101">
        <v>811638</v>
      </c>
      <c r="AE568" s="101">
        <v>82</v>
      </c>
      <c r="AF568" s="101">
        <v>811720</v>
      </c>
      <c r="AG568" s="101">
        <v>99.99</v>
      </c>
      <c r="AH568" s="71">
        <f t="shared" si="133"/>
        <v>0.81172</v>
      </c>
      <c r="AJ568" s="215">
        <v>45454</v>
      </c>
      <c r="AK568" s="48">
        <v>0</v>
      </c>
      <c r="AL568" s="48">
        <v>4</v>
      </c>
      <c r="AM568" s="48">
        <v>4</v>
      </c>
      <c r="AN568" s="48">
        <v>0</v>
      </c>
      <c r="AQ568" s="215">
        <v>45454</v>
      </c>
      <c r="AR568" s="48">
        <v>0</v>
      </c>
      <c r="AS568" s="48">
        <v>32</v>
      </c>
      <c r="AT568" s="48">
        <v>32</v>
      </c>
      <c r="AU568" s="48">
        <v>0</v>
      </c>
      <c r="AX568" s="215">
        <v>45454</v>
      </c>
      <c r="AY568" s="48">
        <v>4</v>
      </c>
      <c r="AZ568" s="48">
        <v>0</v>
      </c>
      <c r="BA568" s="48">
        <v>4</v>
      </c>
      <c r="BB568" s="48">
        <v>100</v>
      </c>
      <c r="BE568" s="215">
        <v>45454</v>
      </c>
      <c r="BF568" s="101">
        <v>41530</v>
      </c>
      <c r="BG568" s="101">
        <v>622</v>
      </c>
      <c r="BH568" s="101">
        <v>42152</v>
      </c>
      <c r="BI568" s="101">
        <v>98.52</v>
      </c>
      <c r="BL568" s="215">
        <v>45454</v>
      </c>
      <c r="BM568" s="101">
        <v>202036</v>
      </c>
      <c r="BN568" s="101">
        <v>0</v>
      </c>
      <c r="BO568" s="101">
        <v>202036</v>
      </c>
      <c r="BP568" s="101">
        <v>100</v>
      </c>
      <c r="BS568" s="215">
        <v>45454</v>
      </c>
      <c r="BT568" s="101">
        <v>10054</v>
      </c>
      <c r="BU568" s="101">
        <v>0</v>
      </c>
      <c r="BV568" s="101">
        <v>10054</v>
      </c>
      <c r="BW568" s="101">
        <v>100</v>
      </c>
      <c r="BZ568" s="215">
        <v>45454</v>
      </c>
      <c r="CA568" s="1">
        <v>33133819</v>
      </c>
      <c r="CB568" s="1">
        <v>2421684</v>
      </c>
      <c r="CC568" s="71">
        <f t="shared" si="128"/>
        <v>13.68213978372075</v>
      </c>
      <c r="CE568" s="258">
        <v>45454</v>
      </c>
      <c r="CF568" s="48">
        <v>11573444</v>
      </c>
      <c r="CG568" s="48">
        <v>6056</v>
      </c>
      <c r="CH568" s="48">
        <v>11579500</v>
      </c>
      <c r="CI568" s="48">
        <v>99.95</v>
      </c>
      <c r="CJ568" s="71">
        <f t="shared" si="132"/>
        <v>11.579499999999999</v>
      </c>
      <c r="CL568" s="222">
        <v>45419</v>
      </c>
      <c r="CM568" s="1" t="s">
        <v>238</v>
      </c>
      <c r="CN568" s="101">
        <v>567</v>
      </c>
      <c r="CO568" s="101">
        <v>503</v>
      </c>
    </row>
    <row r="569" spans="1:93" hidden="1" x14ac:dyDescent="0.25">
      <c r="A569" s="215">
        <v>45455</v>
      </c>
      <c r="B569" s="48">
        <v>5931780</v>
      </c>
      <c r="C569" s="48">
        <v>4150</v>
      </c>
      <c r="D569" s="48">
        <v>5935930</v>
      </c>
      <c r="E569" s="48">
        <v>99.93</v>
      </c>
      <c r="F569" s="71">
        <f t="shared" si="130"/>
        <v>5.9359299999999999</v>
      </c>
      <c r="H569" s="215">
        <v>45455</v>
      </c>
      <c r="I569" s="173">
        <v>1142974</v>
      </c>
      <c r="J569" s="173">
        <v>268</v>
      </c>
      <c r="K569" s="173">
        <v>1143242</v>
      </c>
      <c r="L569" s="173">
        <v>99.98</v>
      </c>
      <c r="M569" s="71">
        <f t="shared" si="129"/>
        <v>1.1432420000000001</v>
      </c>
      <c r="O569" s="215">
        <v>45455</v>
      </c>
      <c r="P569" s="173">
        <v>320930</v>
      </c>
      <c r="Q569" s="173">
        <v>10</v>
      </c>
      <c r="R569" s="173">
        <v>320940</v>
      </c>
      <c r="S569" s="173">
        <v>100</v>
      </c>
      <c r="T569" s="71">
        <f t="shared" si="131"/>
        <v>0.32094</v>
      </c>
      <c r="V569" s="215">
        <v>45455</v>
      </c>
      <c r="W569" s="173">
        <v>899740</v>
      </c>
      <c r="X569" s="173">
        <v>590</v>
      </c>
      <c r="Y569" s="173">
        <v>900330</v>
      </c>
      <c r="Z569" s="173">
        <v>99.93</v>
      </c>
      <c r="AA569" s="71">
        <f t="shared" si="126"/>
        <v>0.90032999999999996</v>
      </c>
      <c r="AC569" s="215">
        <v>45455</v>
      </c>
      <c r="AD569" s="173">
        <v>811350</v>
      </c>
      <c r="AE569" s="173">
        <v>76</v>
      </c>
      <c r="AF569" s="173">
        <v>811426</v>
      </c>
      <c r="AG569" s="173">
        <v>99.99</v>
      </c>
      <c r="AH569" s="71">
        <f t="shared" si="133"/>
        <v>0.81142599999999998</v>
      </c>
      <c r="AJ569" s="215">
        <v>45455</v>
      </c>
      <c r="AK569" s="48">
        <v>0</v>
      </c>
      <c r="AL569" s="48">
        <v>8</v>
      </c>
      <c r="AM569" s="48">
        <v>8</v>
      </c>
      <c r="AN569" s="48">
        <v>0</v>
      </c>
      <c r="AQ569" s="215">
        <v>45455</v>
      </c>
      <c r="AR569" s="48">
        <v>0</v>
      </c>
      <c r="AS569" s="48">
        <v>14</v>
      </c>
      <c r="AT569" s="48">
        <v>14</v>
      </c>
      <c r="AU569" s="48">
        <v>0</v>
      </c>
      <c r="AX569" s="215">
        <v>45455</v>
      </c>
      <c r="AY569" s="48">
        <v>6</v>
      </c>
      <c r="AZ569" s="48">
        <v>0</v>
      </c>
      <c r="BA569" s="48">
        <v>6</v>
      </c>
      <c r="BB569" s="48">
        <v>100</v>
      </c>
      <c r="BE569" s="215">
        <v>45455</v>
      </c>
      <c r="BF569" s="173">
        <v>19756</v>
      </c>
      <c r="BG569" s="173">
        <v>222</v>
      </c>
      <c r="BH569" s="173">
        <v>19978</v>
      </c>
      <c r="BI569" s="173">
        <v>98.89</v>
      </c>
      <c r="BL569" s="215">
        <v>45455</v>
      </c>
      <c r="BM569" s="173">
        <v>218794</v>
      </c>
      <c r="BN569" s="173">
        <v>0</v>
      </c>
      <c r="BO569" s="173">
        <v>218794</v>
      </c>
      <c r="BP569" s="173">
        <v>100</v>
      </c>
      <c r="BS569" s="215">
        <v>45455</v>
      </c>
      <c r="BT569" s="173">
        <v>41544</v>
      </c>
      <c r="BU569" s="101">
        <v>0</v>
      </c>
      <c r="BV569" s="173">
        <v>41544</v>
      </c>
      <c r="BW569" s="173">
        <v>100</v>
      </c>
      <c r="BZ569" s="215">
        <v>45455</v>
      </c>
      <c r="CA569" s="1">
        <v>30512030</v>
      </c>
      <c r="CB569" s="1">
        <v>2309714</v>
      </c>
      <c r="CC569" s="71">
        <f t="shared" si="128"/>
        <v>13.210306557435249</v>
      </c>
      <c r="CE569" s="258">
        <v>45455</v>
      </c>
      <c r="CF569" s="48">
        <v>11056292</v>
      </c>
      <c r="CG569" s="48">
        <v>8462</v>
      </c>
      <c r="CH569" s="48">
        <v>11064754</v>
      </c>
      <c r="CI569" s="48">
        <v>99.95</v>
      </c>
      <c r="CJ569" s="71">
        <f t="shared" si="132"/>
        <v>11.064754000000001</v>
      </c>
      <c r="CL569" s="222">
        <v>45419</v>
      </c>
      <c r="CM569" s="312" t="s">
        <v>244</v>
      </c>
      <c r="CN569" s="101">
        <v>557</v>
      </c>
      <c r="CO569" s="101">
        <v>513</v>
      </c>
    </row>
    <row r="570" spans="1:93" hidden="1" x14ac:dyDescent="0.25">
      <c r="A570" s="215">
        <v>45456</v>
      </c>
      <c r="B570" s="330">
        <v>5574266</v>
      </c>
      <c r="C570" s="330">
        <v>1954</v>
      </c>
      <c r="D570" s="330">
        <v>5576220</v>
      </c>
      <c r="E570" s="330">
        <v>99.96</v>
      </c>
      <c r="F570" s="71">
        <f t="shared" si="130"/>
        <v>5.5762200000000002</v>
      </c>
      <c r="H570" s="215">
        <v>45456</v>
      </c>
      <c r="I570" s="48">
        <v>1175998</v>
      </c>
      <c r="J570" s="48">
        <v>270</v>
      </c>
      <c r="K570" s="48">
        <v>1176268</v>
      </c>
      <c r="L570" s="48">
        <v>99.98</v>
      </c>
      <c r="M570" s="71">
        <f t="shared" si="129"/>
        <v>1.1762680000000001</v>
      </c>
      <c r="O570" s="215">
        <v>45456</v>
      </c>
      <c r="P570" s="48">
        <v>346338</v>
      </c>
      <c r="Q570" s="48">
        <v>8</v>
      </c>
      <c r="R570" s="48">
        <v>346346</v>
      </c>
      <c r="S570" s="48">
        <v>100</v>
      </c>
      <c r="T570" s="71">
        <f t="shared" si="131"/>
        <v>0.34634599999999999</v>
      </c>
      <c r="V570" s="215">
        <v>45456</v>
      </c>
      <c r="W570" s="48">
        <v>848386</v>
      </c>
      <c r="X570" s="48">
        <v>182</v>
      </c>
      <c r="Y570" s="48">
        <v>848568</v>
      </c>
      <c r="Z570" s="48">
        <v>99.98</v>
      </c>
      <c r="AA570" s="71">
        <f t="shared" si="126"/>
        <v>0.84856799999999999</v>
      </c>
      <c r="AC570" s="215">
        <v>45456</v>
      </c>
      <c r="AD570" s="48">
        <v>810244</v>
      </c>
      <c r="AE570" s="48">
        <v>84</v>
      </c>
      <c r="AF570" s="48">
        <v>810328</v>
      </c>
      <c r="AG570" s="48">
        <v>99.99</v>
      </c>
      <c r="AH570" s="71">
        <f t="shared" si="133"/>
        <v>0.81032800000000005</v>
      </c>
      <c r="AJ570" s="215">
        <v>45456</v>
      </c>
      <c r="AK570" s="48">
        <v>0</v>
      </c>
      <c r="AL570" s="48">
        <v>8</v>
      </c>
      <c r="AM570" s="48">
        <v>8</v>
      </c>
      <c r="AN570" s="48">
        <v>0</v>
      </c>
      <c r="AQ570" s="215">
        <v>45456</v>
      </c>
      <c r="AR570" s="48">
        <v>0</v>
      </c>
      <c r="AS570" s="48">
        <v>26</v>
      </c>
      <c r="AT570" s="48">
        <v>26</v>
      </c>
      <c r="AU570" s="48">
        <v>0</v>
      </c>
      <c r="AX570" s="215">
        <v>45456</v>
      </c>
      <c r="AY570" s="48">
        <v>12</v>
      </c>
      <c r="AZ570" s="48">
        <v>0</v>
      </c>
      <c r="BA570" s="48">
        <v>12</v>
      </c>
      <c r="BB570" s="48">
        <v>100</v>
      </c>
      <c r="BE570" s="215">
        <v>45456</v>
      </c>
      <c r="BF570" s="48">
        <v>19774</v>
      </c>
      <c r="BG570" s="48">
        <v>196</v>
      </c>
      <c r="BH570" s="48">
        <v>19970</v>
      </c>
      <c r="BI570" s="48">
        <v>99.02</v>
      </c>
      <c r="BL570" s="215">
        <v>45456</v>
      </c>
      <c r="BM570" s="48">
        <v>203046</v>
      </c>
      <c r="BN570" s="48">
        <v>0</v>
      </c>
      <c r="BO570" s="48">
        <v>203046</v>
      </c>
      <c r="BP570" s="48">
        <v>100</v>
      </c>
      <c r="BS570" s="215">
        <v>45456</v>
      </c>
      <c r="BT570" s="48">
        <v>12664</v>
      </c>
      <c r="BU570" s="101">
        <v>0</v>
      </c>
      <c r="BV570" s="48">
        <v>12664</v>
      </c>
      <c r="BW570" s="48">
        <v>100</v>
      </c>
      <c r="BZ570" s="215">
        <v>45456</v>
      </c>
      <c r="CA570" s="1">
        <v>31778689</v>
      </c>
      <c r="CB570" s="1">
        <v>2406767</v>
      </c>
      <c r="CC570" s="71">
        <f t="shared" si="128"/>
        <v>13.20389094582068</v>
      </c>
      <c r="CE570" s="258">
        <v>45456</v>
      </c>
      <c r="CF570" s="48">
        <v>10635656</v>
      </c>
      <c r="CG570" s="48">
        <v>5366</v>
      </c>
      <c r="CH570" s="48">
        <v>10641022</v>
      </c>
      <c r="CI570" s="48">
        <v>99.95</v>
      </c>
      <c r="CJ570" s="71">
        <f t="shared" si="132"/>
        <v>10.641022</v>
      </c>
    </row>
    <row r="571" spans="1:93" hidden="1" x14ac:dyDescent="0.25">
      <c r="A571" s="215">
        <v>45457</v>
      </c>
      <c r="B571" s="330">
        <v>5795698</v>
      </c>
      <c r="C571" s="330">
        <v>1966</v>
      </c>
      <c r="D571" s="330">
        <v>5797664</v>
      </c>
      <c r="E571" s="330">
        <v>99.97</v>
      </c>
      <c r="F571" s="71">
        <f t="shared" si="130"/>
        <v>5.7976640000000002</v>
      </c>
      <c r="H571" s="215">
        <v>45457</v>
      </c>
      <c r="I571" s="48">
        <v>1265868</v>
      </c>
      <c r="J571" s="48">
        <v>318</v>
      </c>
      <c r="K571" s="48">
        <v>1266186</v>
      </c>
      <c r="L571" s="48">
        <v>99.97</v>
      </c>
      <c r="M571" s="71">
        <f t="shared" si="129"/>
        <v>1.266186</v>
      </c>
      <c r="O571" s="215">
        <v>45457</v>
      </c>
      <c r="P571" s="48">
        <v>355102</v>
      </c>
      <c r="Q571" s="48">
        <v>12</v>
      </c>
      <c r="R571" s="48">
        <v>355114</v>
      </c>
      <c r="S571" s="48">
        <v>100</v>
      </c>
      <c r="T571" s="71">
        <f t="shared" si="131"/>
        <v>0.35511399999999999</v>
      </c>
      <c r="V571" s="215">
        <v>45457</v>
      </c>
      <c r="W571" s="48">
        <v>937072</v>
      </c>
      <c r="X571" s="48">
        <v>174</v>
      </c>
      <c r="Y571" s="48">
        <v>937246</v>
      </c>
      <c r="Z571" s="48">
        <v>99.98</v>
      </c>
      <c r="AA571" s="71">
        <f t="shared" si="126"/>
        <v>0.93724600000000002</v>
      </c>
      <c r="AC571" s="215">
        <v>45457</v>
      </c>
      <c r="AD571" s="48">
        <v>781128</v>
      </c>
      <c r="AE571" s="48">
        <v>88</v>
      </c>
      <c r="AF571" s="48">
        <v>781216</v>
      </c>
      <c r="AG571" s="48">
        <v>99.99</v>
      </c>
      <c r="AH571" s="71">
        <f t="shared" si="133"/>
        <v>0.78121600000000002</v>
      </c>
      <c r="AJ571" s="215">
        <v>45457</v>
      </c>
      <c r="AK571" s="48">
        <v>0</v>
      </c>
      <c r="AL571" s="48">
        <v>38</v>
      </c>
      <c r="AM571" s="48">
        <v>38</v>
      </c>
      <c r="AN571" s="48">
        <v>0</v>
      </c>
      <c r="AQ571" s="215">
        <v>45457</v>
      </c>
      <c r="AR571" s="48">
        <v>0</v>
      </c>
      <c r="AS571" s="48">
        <v>14</v>
      </c>
      <c r="AT571" s="48">
        <v>14</v>
      </c>
      <c r="AU571" s="48">
        <v>0</v>
      </c>
      <c r="AX571" s="215">
        <v>45457</v>
      </c>
      <c r="AY571" s="48">
        <v>8</v>
      </c>
      <c r="AZ571" s="48">
        <v>0</v>
      </c>
      <c r="BA571" s="48">
        <v>8</v>
      </c>
      <c r="BB571" s="48">
        <v>100</v>
      </c>
      <c r="BE571" s="215">
        <v>45457</v>
      </c>
      <c r="BF571" s="48">
        <v>17530</v>
      </c>
      <c r="BG571" s="48">
        <v>140</v>
      </c>
      <c r="BH571" s="48">
        <v>17670</v>
      </c>
      <c r="BI571" s="48">
        <v>99.21</v>
      </c>
      <c r="BL571" s="215">
        <v>45457</v>
      </c>
      <c r="BM571" s="48">
        <v>201990</v>
      </c>
      <c r="BN571" s="48">
        <v>0</v>
      </c>
      <c r="BO571" s="48">
        <v>201990</v>
      </c>
      <c r="BP571" s="48">
        <v>100</v>
      </c>
      <c r="BS571" s="215">
        <v>45457</v>
      </c>
      <c r="BT571" s="48">
        <v>27292</v>
      </c>
      <c r="BU571" s="48">
        <v>0</v>
      </c>
      <c r="BV571" s="48">
        <v>27292</v>
      </c>
      <c r="BW571" s="48">
        <v>100</v>
      </c>
      <c r="BZ571" s="215">
        <v>45457</v>
      </c>
      <c r="CA571" s="1">
        <v>2481832</v>
      </c>
      <c r="CB571" s="1">
        <v>33897059</v>
      </c>
      <c r="CC571" s="71">
        <f t="shared" si="128"/>
        <v>7.3216735410585321E-2</v>
      </c>
      <c r="CE571" s="258">
        <v>45457</v>
      </c>
      <c r="CF571" s="48">
        <v>11160168</v>
      </c>
      <c r="CG571" s="48">
        <v>7240</v>
      </c>
      <c r="CH571" s="48">
        <v>11167408</v>
      </c>
      <c r="CI571" s="48">
        <v>99.94</v>
      </c>
      <c r="CJ571" s="71">
        <f t="shared" si="132"/>
        <v>11.167408</v>
      </c>
      <c r="CL571" s="222">
        <v>45428</v>
      </c>
      <c r="CM571" s="1" t="s">
        <v>237</v>
      </c>
      <c r="CN571" s="101">
        <v>29568</v>
      </c>
      <c r="CO571" s="101">
        <v>527</v>
      </c>
    </row>
    <row r="572" spans="1:93" hidden="1" x14ac:dyDescent="0.25">
      <c r="A572" s="215">
        <v>45458</v>
      </c>
      <c r="B572" s="330">
        <v>6207768</v>
      </c>
      <c r="C572" s="330">
        <v>234962</v>
      </c>
      <c r="D572" s="330">
        <v>6442730</v>
      </c>
      <c r="E572" s="330">
        <v>96.35</v>
      </c>
      <c r="F572" s="71">
        <f t="shared" si="130"/>
        <v>6.4427300000000001</v>
      </c>
      <c r="H572" s="215">
        <v>45458</v>
      </c>
      <c r="I572" s="48">
        <v>1385490</v>
      </c>
      <c r="J572" s="48">
        <v>330</v>
      </c>
      <c r="K572" s="48">
        <v>1385820</v>
      </c>
      <c r="L572" s="48">
        <v>99.98</v>
      </c>
      <c r="M572" s="71">
        <f t="shared" si="129"/>
        <v>1.3858200000000001</v>
      </c>
      <c r="O572" s="215">
        <v>45458</v>
      </c>
      <c r="P572" s="48">
        <v>344486</v>
      </c>
      <c r="Q572" s="48">
        <v>18</v>
      </c>
      <c r="R572" s="48">
        <v>344504</v>
      </c>
      <c r="S572" s="48">
        <v>99.99</v>
      </c>
      <c r="T572" s="71">
        <f t="shared" si="131"/>
        <v>0.34450399999999998</v>
      </c>
      <c r="V572" s="215">
        <v>45458</v>
      </c>
      <c r="W572" s="48">
        <v>1032746</v>
      </c>
      <c r="X572" s="48">
        <v>21686</v>
      </c>
      <c r="Y572" s="48">
        <v>1054432</v>
      </c>
      <c r="Z572" s="48">
        <v>97.94</v>
      </c>
      <c r="AA572" s="71">
        <f t="shared" si="126"/>
        <v>1.054432</v>
      </c>
      <c r="AC572" s="215">
        <v>45458</v>
      </c>
      <c r="AD572" s="48">
        <v>812000</v>
      </c>
      <c r="AE572" s="48">
        <v>242</v>
      </c>
      <c r="AF572" s="48">
        <v>812242</v>
      </c>
      <c r="AG572" s="48">
        <v>99.97</v>
      </c>
      <c r="AH572" s="71">
        <f t="shared" si="133"/>
        <v>0.81224200000000002</v>
      </c>
      <c r="AJ572" s="215">
        <v>45458</v>
      </c>
      <c r="AK572" s="48">
        <v>0</v>
      </c>
      <c r="AL572" s="48">
        <v>8</v>
      </c>
      <c r="AM572" s="48">
        <v>8</v>
      </c>
      <c r="AN572" s="48">
        <v>0</v>
      </c>
      <c r="AQ572" s="215">
        <v>45458</v>
      </c>
      <c r="AR572" s="48">
        <v>0</v>
      </c>
      <c r="AS572" s="48">
        <v>102</v>
      </c>
      <c r="AT572" s="48">
        <v>102</v>
      </c>
      <c r="AU572" s="48">
        <v>0</v>
      </c>
      <c r="AX572" s="215">
        <v>45458</v>
      </c>
      <c r="AY572" s="48">
        <v>14</v>
      </c>
      <c r="AZ572" s="48">
        <v>0</v>
      </c>
      <c r="BA572" s="48">
        <v>14</v>
      </c>
      <c r="BB572" s="48">
        <v>100</v>
      </c>
      <c r="BE572" s="215">
        <v>45458</v>
      </c>
      <c r="BF572" s="48">
        <v>15792</v>
      </c>
      <c r="BG572" s="48">
        <v>128</v>
      </c>
      <c r="BH572" s="48">
        <v>15920</v>
      </c>
      <c r="BI572" s="48">
        <v>99.2</v>
      </c>
      <c r="BL572" s="215">
        <v>45458</v>
      </c>
      <c r="BM572" s="48">
        <v>201234</v>
      </c>
      <c r="BN572" s="48">
        <v>0</v>
      </c>
      <c r="BO572" s="48">
        <v>201234</v>
      </c>
      <c r="BP572" s="48">
        <v>100</v>
      </c>
      <c r="BS572" s="215">
        <v>45458</v>
      </c>
      <c r="BT572" s="48">
        <v>15144</v>
      </c>
      <c r="BU572" s="48">
        <v>0</v>
      </c>
      <c r="BV572" s="48">
        <v>15144</v>
      </c>
      <c r="BW572" s="48">
        <v>100</v>
      </c>
      <c r="BZ572" s="215">
        <v>45458</v>
      </c>
      <c r="CA572" s="1">
        <v>456552</v>
      </c>
      <c r="CB572" s="1">
        <v>4367994</v>
      </c>
      <c r="CC572" s="71">
        <f t="shared" si="128"/>
        <v>0.10452212159632088</v>
      </c>
      <c r="CE572" s="258">
        <v>45458</v>
      </c>
      <c r="CF572" s="48">
        <v>11736292</v>
      </c>
      <c r="CG572" s="48">
        <v>264622</v>
      </c>
      <c r="CH572" s="48">
        <v>12000914</v>
      </c>
      <c r="CI572" s="48">
        <v>97.79</v>
      </c>
      <c r="CJ572" s="71">
        <f t="shared" si="132"/>
        <v>12.000914</v>
      </c>
      <c r="CL572" s="222">
        <v>45428</v>
      </c>
      <c r="CM572" s="1" t="s">
        <v>240</v>
      </c>
      <c r="CN572" s="101">
        <v>3480</v>
      </c>
      <c r="CO572" s="101">
        <v>516</v>
      </c>
    </row>
    <row r="573" spans="1:93" hidden="1" x14ac:dyDescent="0.25">
      <c r="A573" s="215">
        <v>45459</v>
      </c>
      <c r="B573" s="330">
        <v>4406778</v>
      </c>
      <c r="C573" s="330">
        <v>1534</v>
      </c>
      <c r="D573" s="330">
        <v>4408312</v>
      </c>
      <c r="E573" s="330">
        <v>99.97</v>
      </c>
      <c r="F573" s="71">
        <f t="shared" si="130"/>
        <v>4.4083119999999996</v>
      </c>
      <c r="H573" s="215">
        <v>45459</v>
      </c>
      <c r="I573" s="48">
        <v>1242636</v>
      </c>
      <c r="J573" s="48">
        <v>328</v>
      </c>
      <c r="K573" s="48">
        <v>1242964</v>
      </c>
      <c r="L573" s="48">
        <v>99.97</v>
      </c>
      <c r="M573" s="71">
        <f t="shared" si="129"/>
        <v>1.242964</v>
      </c>
      <c r="O573" s="215">
        <v>45459</v>
      </c>
      <c r="P573" s="48">
        <v>338700</v>
      </c>
      <c r="Q573" s="48">
        <v>14</v>
      </c>
      <c r="R573" s="48">
        <v>338714</v>
      </c>
      <c r="S573" s="48">
        <v>100</v>
      </c>
      <c r="T573" s="71">
        <f t="shared" si="131"/>
        <v>0.33871400000000002</v>
      </c>
      <c r="V573" s="215">
        <v>45459</v>
      </c>
      <c r="W573" s="48">
        <v>991144</v>
      </c>
      <c r="X573" s="48">
        <v>198</v>
      </c>
      <c r="Y573" s="48">
        <v>991342</v>
      </c>
      <c r="Z573" s="48">
        <v>99.98</v>
      </c>
      <c r="AA573" s="71">
        <f t="shared" si="126"/>
        <v>0.99134199999999995</v>
      </c>
      <c r="AC573" s="215">
        <v>45459</v>
      </c>
      <c r="AD573" s="48">
        <v>736940</v>
      </c>
      <c r="AE573" s="48">
        <v>60</v>
      </c>
      <c r="AF573" s="48">
        <v>737000</v>
      </c>
      <c r="AG573" s="48">
        <v>99.99</v>
      </c>
      <c r="AH573" s="71">
        <f t="shared" si="133"/>
        <v>0.73699999999999999</v>
      </c>
      <c r="AJ573" s="215">
        <v>45459</v>
      </c>
      <c r="AK573" s="48">
        <v>0</v>
      </c>
      <c r="AL573" s="48">
        <v>14</v>
      </c>
      <c r="AM573" s="48">
        <v>14</v>
      </c>
      <c r="AN573" s="48">
        <v>0</v>
      </c>
      <c r="AQ573" s="215">
        <v>45459</v>
      </c>
      <c r="AR573" s="48">
        <v>0</v>
      </c>
      <c r="AS573" s="48">
        <v>10</v>
      </c>
      <c r="AT573" s="48">
        <v>10</v>
      </c>
      <c r="AU573" s="48">
        <v>0</v>
      </c>
      <c r="AX573" s="215">
        <v>45459</v>
      </c>
      <c r="AY573" s="48">
        <v>8</v>
      </c>
      <c r="AZ573" s="48">
        <v>0</v>
      </c>
      <c r="BA573" s="48">
        <v>8</v>
      </c>
      <c r="BB573" s="48">
        <v>100</v>
      </c>
      <c r="BE573" s="215">
        <v>45459</v>
      </c>
      <c r="BF573" s="48">
        <v>13792</v>
      </c>
      <c r="BG573" s="48">
        <v>112</v>
      </c>
      <c r="BH573" s="48">
        <v>13904</v>
      </c>
      <c r="BI573" s="48">
        <v>99.19</v>
      </c>
      <c r="BL573" s="215">
        <v>45459</v>
      </c>
      <c r="BM573" s="48">
        <v>3366</v>
      </c>
      <c r="BN573" s="48">
        <v>0</v>
      </c>
      <c r="BO573" s="48">
        <v>3366</v>
      </c>
      <c r="BP573" s="48">
        <v>100</v>
      </c>
      <c r="BS573" s="215">
        <v>45459</v>
      </c>
      <c r="BT573" s="48">
        <v>11776</v>
      </c>
      <c r="BU573" s="48">
        <v>0</v>
      </c>
      <c r="BV573" s="48">
        <v>11776</v>
      </c>
      <c r="BW573" s="48">
        <v>100</v>
      </c>
      <c r="BZ573" s="215">
        <v>45459</v>
      </c>
      <c r="CA573" s="1">
        <v>27746029</v>
      </c>
      <c r="CB573" s="1">
        <v>1649290</v>
      </c>
      <c r="CC573" s="71">
        <f t="shared" si="128"/>
        <v>16.823014145480784</v>
      </c>
      <c r="CE573" s="258">
        <v>45459</v>
      </c>
      <c r="CF573" s="48">
        <v>9331700</v>
      </c>
      <c r="CG573" s="48">
        <v>4368</v>
      </c>
      <c r="CH573" s="48">
        <v>9336068</v>
      </c>
      <c r="CI573" s="48">
        <v>99.95</v>
      </c>
      <c r="CJ573" s="71">
        <f t="shared" si="132"/>
        <v>9.3360679999999991</v>
      </c>
      <c r="CL573" s="222">
        <v>45428</v>
      </c>
      <c r="CM573" s="312" t="s">
        <v>239</v>
      </c>
      <c r="CN573" s="101">
        <v>1468</v>
      </c>
      <c r="CO573" s="101">
        <v>504</v>
      </c>
    </row>
    <row r="574" spans="1:93" hidden="1" x14ac:dyDescent="0.25">
      <c r="A574" s="215">
        <v>45460</v>
      </c>
      <c r="B574" s="330">
        <v>5021624</v>
      </c>
      <c r="C574" s="330">
        <v>2110</v>
      </c>
      <c r="D574" s="330">
        <v>5023734</v>
      </c>
      <c r="E574" s="330">
        <v>99.96</v>
      </c>
      <c r="F574" s="71">
        <f t="shared" si="130"/>
        <v>5.0237340000000001</v>
      </c>
      <c r="H574" s="215">
        <v>45460</v>
      </c>
      <c r="I574" s="48">
        <v>1241528</v>
      </c>
      <c r="J574" s="48">
        <v>346</v>
      </c>
      <c r="K574" s="48">
        <v>1241874</v>
      </c>
      <c r="L574" s="48">
        <v>99.97</v>
      </c>
      <c r="M574" s="71">
        <f t="shared" si="129"/>
        <v>1.2418739999999999</v>
      </c>
      <c r="O574" s="215">
        <v>45460</v>
      </c>
      <c r="P574" s="48">
        <v>346866</v>
      </c>
      <c r="Q574" s="48">
        <v>6</v>
      </c>
      <c r="R574" s="48">
        <v>346872</v>
      </c>
      <c r="S574" s="48">
        <v>100</v>
      </c>
      <c r="T574" s="71">
        <f t="shared" si="131"/>
        <v>0.34687200000000001</v>
      </c>
      <c r="V574" s="215">
        <v>45460</v>
      </c>
      <c r="W574" s="48">
        <v>1055234</v>
      </c>
      <c r="X574" s="48">
        <v>222</v>
      </c>
      <c r="Y574" s="48">
        <v>1055456</v>
      </c>
      <c r="Z574" s="48">
        <v>99.98</v>
      </c>
      <c r="AA574" s="71">
        <f t="shared" si="126"/>
        <v>1.0554559999999999</v>
      </c>
      <c r="AC574" s="215">
        <v>45460</v>
      </c>
      <c r="AD574" s="48">
        <v>692254</v>
      </c>
      <c r="AE574" s="48">
        <v>58</v>
      </c>
      <c r="AF574" s="48">
        <v>692312</v>
      </c>
      <c r="AG574" s="48">
        <v>99.99</v>
      </c>
      <c r="AH574" s="71">
        <f t="shared" si="133"/>
        <v>0.69231200000000004</v>
      </c>
      <c r="AJ574" s="215">
        <v>45460</v>
      </c>
      <c r="AK574" s="48">
        <v>0</v>
      </c>
      <c r="AL574" s="48">
        <v>10</v>
      </c>
      <c r="AM574" s="48">
        <v>10</v>
      </c>
      <c r="AN574" s="48">
        <v>0</v>
      </c>
      <c r="AQ574" s="215">
        <v>45460</v>
      </c>
      <c r="AR574" s="48">
        <v>0</v>
      </c>
      <c r="AS574" s="48">
        <v>6</v>
      </c>
      <c r="AT574" s="48">
        <v>6</v>
      </c>
      <c r="AU574" s="48">
        <v>0</v>
      </c>
      <c r="AX574" s="215">
        <v>45460</v>
      </c>
      <c r="AY574" s="48">
        <v>0</v>
      </c>
      <c r="AZ574" s="48">
        <v>0</v>
      </c>
      <c r="BA574" s="48">
        <v>0</v>
      </c>
      <c r="BB574" s="48">
        <v>0</v>
      </c>
      <c r="BE574" s="215">
        <v>45460</v>
      </c>
      <c r="BF574" s="48">
        <v>17166</v>
      </c>
      <c r="BG574" s="48">
        <v>120</v>
      </c>
      <c r="BH574" s="48">
        <v>17286</v>
      </c>
      <c r="BI574" s="48">
        <v>99.31</v>
      </c>
      <c r="BL574" s="215">
        <v>45460</v>
      </c>
      <c r="BM574" s="48">
        <v>204218</v>
      </c>
      <c r="BN574" s="48">
        <v>0</v>
      </c>
      <c r="BO574" s="48">
        <v>204218</v>
      </c>
      <c r="BP574" s="48">
        <v>100</v>
      </c>
      <c r="BS574" s="215">
        <v>45460</v>
      </c>
      <c r="BT574" s="48">
        <v>10490</v>
      </c>
      <c r="BU574" s="48">
        <v>0</v>
      </c>
      <c r="BV574" s="48">
        <v>10490</v>
      </c>
      <c r="BW574" s="48">
        <v>100</v>
      </c>
      <c r="BZ574" s="215">
        <v>45460</v>
      </c>
      <c r="CA574" s="1">
        <v>30289368</v>
      </c>
      <c r="CB574" s="1">
        <v>2306858</v>
      </c>
      <c r="CC574" s="71">
        <f t="shared" si="128"/>
        <v>13.130139783202955</v>
      </c>
      <c r="CE574" s="258">
        <v>45460</v>
      </c>
      <c r="CF574" s="48">
        <v>10214758</v>
      </c>
      <c r="CG574" s="48">
        <v>5288</v>
      </c>
      <c r="CH574" s="48">
        <v>10220046</v>
      </c>
      <c r="CI574" s="48">
        <v>99.95</v>
      </c>
      <c r="CJ574" s="71">
        <f t="shared" si="132"/>
        <v>10.220046</v>
      </c>
      <c r="CL574" s="222">
        <v>45428</v>
      </c>
      <c r="CM574" s="1" t="s">
        <v>238</v>
      </c>
      <c r="CN574" s="101">
        <v>568</v>
      </c>
      <c r="CO574" s="101">
        <v>503</v>
      </c>
    </row>
    <row r="575" spans="1:93" hidden="1" x14ac:dyDescent="0.25">
      <c r="A575" s="215">
        <v>45461</v>
      </c>
      <c r="B575" s="330">
        <v>5858632</v>
      </c>
      <c r="C575" s="330">
        <v>3068</v>
      </c>
      <c r="D575" s="330">
        <v>5861700</v>
      </c>
      <c r="E575" s="330">
        <v>99.95</v>
      </c>
      <c r="F575" s="71">
        <f t="shared" si="130"/>
        <v>5.8616999999999999</v>
      </c>
      <c r="H575" s="215">
        <v>45461</v>
      </c>
      <c r="I575" s="48">
        <v>1350398</v>
      </c>
      <c r="J575" s="48">
        <v>370</v>
      </c>
      <c r="K575" s="48">
        <v>1350768</v>
      </c>
      <c r="L575" s="48">
        <v>99.97</v>
      </c>
      <c r="M575" s="71">
        <f t="shared" si="129"/>
        <v>1.350768</v>
      </c>
      <c r="O575" s="215">
        <v>45461</v>
      </c>
      <c r="P575" s="48">
        <v>348510</v>
      </c>
      <c r="Q575" s="48">
        <v>16</v>
      </c>
      <c r="R575" s="48">
        <v>348526</v>
      </c>
      <c r="S575" s="48">
        <v>100</v>
      </c>
      <c r="T575" s="71">
        <f t="shared" si="131"/>
        <v>0.348526</v>
      </c>
      <c r="V575" s="215">
        <v>45461</v>
      </c>
      <c r="W575" s="48">
        <v>1133700</v>
      </c>
      <c r="X575" s="48">
        <v>196</v>
      </c>
      <c r="Y575" s="48">
        <v>1133896</v>
      </c>
      <c r="Z575" s="48">
        <v>99.98</v>
      </c>
      <c r="AA575" s="71">
        <f t="shared" si="126"/>
        <v>1.133896</v>
      </c>
      <c r="AC575" s="215">
        <v>45461</v>
      </c>
      <c r="AD575" s="48">
        <v>761526</v>
      </c>
      <c r="AE575" s="48">
        <v>100</v>
      </c>
      <c r="AF575" s="48">
        <v>761626</v>
      </c>
      <c r="AG575" s="48">
        <v>99.99</v>
      </c>
      <c r="AH575" s="71">
        <f t="shared" si="133"/>
        <v>0.76162600000000003</v>
      </c>
      <c r="AJ575" s="215">
        <v>45461</v>
      </c>
      <c r="AK575" s="48">
        <v>0</v>
      </c>
      <c r="AL575" s="48">
        <v>14</v>
      </c>
      <c r="AM575" s="48">
        <v>14</v>
      </c>
      <c r="AN575" s="48">
        <v>0</v>
      </c>
      <c r="AQ575" s="215">
        <v>45461</v>
      </c>
      <c r="AR575" s="48">
        <v>0</v>
      </c>
      <c r="AS575" s="48">
        <v>8</v>
      </c>
      <c r="AT575" s="48">
        <v>8</v>
      </c>
      <c r="AU575" s="48">
        <v>0</v>
      </c>
      <c r="AX575" s="215">
        <v>45461</v>
      </c>
      <c r="AY575" s="48">
        <v>6</v>
      </c>
      <c r="AZ575" s="48">
        <v>0</v>
      </c>
      <c r="BA575" s="48">
        <v>6</v>
      </c>
      <c r="BB575" s="48">
        <v>100</v>
      </c>
      <c r="BE575" s="215">
        <v>45461</v>
      </c>
      <c r="BF575" s="48">
        <v>40614</v>
      </c>
      <c r="BG575" s="48">
        <v>234</v>
      </c>
      <c r="BH575" s="48">
        <v>40848</v>
      </c>
      <c r="BI575" s="48">
        <v>99.43</v>
      </c>
      <c r="BL575" s="215">
        <v>45461</v>
      </c>
      <c r="BM575" s="48">
        <v>200776</v>
      </c>
      <c r="BN575" s="48">
        <v>0</v>
      </c>
      <c r="BO575" s="48">
        <v>200776</v>
      </c>
      <c r="BP575" s="48">
        <v>100</v>
      </c>
      <c r="BS575" s="215">
        <v>45461</v>
      </c>
      <c r="BT575" s="48">
        <v>23874</v>
      </c>
      <c r="BU575" s="48">
        <v>0</v>
      </c>
      <c r="BV575" s="48">
        <v>23874</v>
      </c>
      <c r="BW575" s="48">
        <v>100</v>
      </c>
      <c r="BZ575" s="215">
        <v>45461</v>
      </c>
      <c r="CA575" s="1">
        <v>33514739</v>
      </c>
      <c r="CB575" s="1">
        <v>2439505</v>
      </c>
      <c r="CC575" s="71">
        <f t="shared" si="128"/>
        <v>13.738335850920576</v>
      </c>
      <c r="CE575" s="258">
        <v>45461</v>
      </c>
      <c r="CF575" s="48">
        <v>11261360</v>
      </c>
      <c r="CG575" s="48">
        <v>6742</v>
      </c>
      <c r="CH575" s="48">
        <v>11268102</v>
      </c>
      <c r="CI575" s="48">
        <v>99.94</v>
      </c>
      <c r="CJ575" s="71">
        <f t="shared" si="132"/>
        <v>11.268102000000001</v>
      </c>
      <c r="CL575" s="222">
        <v>45428</v>
      </c>
      <c r="CM575" s="312" t="s">
        <v>244</v>
      </c>
      <c r="CN575" s="101">
        <v>400</v>
      </c>
      <c r="CO575" s="101">
        <v>513</v>
      </c>
    </row>
    <row r="576" spans="1:93" hidden="1" x14ac:dyDescent="0.25">
      <c r="A576" s="215">
        <v>45462</v>
      </c>
      <c r="B576" s="330">
        <v>5423272</v>
      </c>
      <c r="C576" s="330">
        <v>2010</v>
      </c>
      <c r="D576" s="330">
        <v>5425282</v>
      </c>
      <c r="E576" s="330">
        <v>99.96</v>
      </c>
      <c r="F576" s="71">
        <f t="shared" si="130"/>
        <v>5.4252820000000002</v>
      </c>
      <c r="H576" s="215">
        <v>45462</v>
      </c>
      <c r="I576" s="48">
        <v>1165978</v>
      </c>
      <c r="J576" s="48">
        <v>260</v>
      </c>
      <c r="K576" s="48">
        <v>1166238</v>
      </c>
      <c r="L576" s="48">
        <v>99.98</v>
      </c>
      <c r="M576" s="71">
        <f t="shared" si="129"/>
        <v>1.1662380000000001</v>
      </c>
      <c r="O576" s="215">
        <v>45462</v>
      </c>
      <c r="P576" s="48">
        <v>316260</v>
      </c>
      <c r="Q576" s="48">
        <v>2</v>
      </c>
      <c r="R576" s="48">
        <v>316262</v>
      </c>
      <c r="S576" s="48">
        <v>100</v>
      </c>
      <c r="T576" s="71">
        <f t="shared" si="131"/>
        <v>0.31626199999999999</v>
      </c>
      <c r="V576" s="215">
        <v>45462</v>
      </c>
      <c r="W576" s="48">
        <v>895510</v>
      </c>
      <c r="X576" s="48">
        <v>180</v>
      </c>
      <c r="Y576" s="48">
        <v>895690</v>
      </c>
      <c r="Z576" s="48">
        <v>99.98</v>
      </c>
      <c r="AA576" s="71">
        <f t="shared" si="126"/>
        <v>0.89568999999999999</v>
      </c>
      <c r="AC576" s="215">
        <v>45462</v>
      </c>
      <c r="AD576" s="48">
        <v>769000</v>
      </c>
      <c r="AE576" s="48">
        <v>1310</v>
      </c>
      <c r="AF576" s="48">
        <v>770310</v>
      </c>
      <c r="AG576" s="48">
        <v>99.83</v>
      </c>
      <c r="AH576" s="71">
        <f t="shared" si="133"/>
        <v>0.77031000000000005</v>
      </c>
      <c r="AJ576" s="215">
        <v>45462</v>
      </c>
      <c r="AK576" s="48">
        <v>0</v>
      </c>
      <c r="AL576" s="48">
        <v>12</v>
      </c>
      <c r="AM576" s="48">
        <v>12</v>
      </c>
      <c r="AN576" s="48">
        <v>0</v>
      </c>
      <c r="AQ576" s="215">
        <v>45462</v>
      </c>
      <c r="AR576" s="48">
        <v>0</v>
      </c>
      <c r="AS576" s="48">
        <v>10</v>
      </c>
      <c r="AT576" s="48">
        <v>10</v>
      </c>
      <c r="AU576" s="48">
        <v>0</v>
      </c>
      <c r="AX576" s="215">
        <v>45462</v>
      </c>
      <c r="AY576" s="48">
        <v>2</v>
      </c>
      <c r="AZ576" s="48">
        <v>0</v>
      </c>
      <c r="BA576" s="48">
        <v>2</v>
      </c>
      <c r="BB576" s="48">
        <v>100</v>
      </c>
      <c r="BE576" s="215">
        <v>45462</v>
      </c>
      <c r="BF576" s="48">
        <v>19136</v>
      </c>
      <c r="BG576" s="48">
        <v>186</v>
      </c>
      <c r="BH576" s="48">
        <v>19322</v>
      </c>
      <c r="BI576" s="48">
        <v>99.04</v>
      </c>
      <c r="BL576" s="215">
        <v>45462</v>
      </c>
      <c r="BM576" s="48">
        <v>201836</v>
      </c>
      <c r="BN576" s="48">
        <v>0</v>
      </c>
      <c r="BO576" s="48">
        <v>201836</v>
      </c>
      <c r="BP576" s="48">
        <v>100</v>
      </c>
      <c r="BS576" s="215">
        <v>45462</v>
      </c>
      <c r="BT576" s="48">
        <v>14594</v>
      </c>
      <c r="BU576" s="48">
        <v>0</v>
      </c>
      <c r="BV576" s="48">
        <v>14594</v>
      </c>
      <c r="BW576" s="48">
        <v>100</v>
      </c>
      <c r="BZ576" s="215">
        <v>45462</v>
      </c>
      <c r="CA576" s="1">
        <v>30716449</v>
      </c>
      <c r="CB576" s="1">
        <v>2364619</v>
      </c>
      <c r="CC576" s="71">
        <f t="shared" si="128"/>
        <v>12.990020379604495</v>
      </c>
      <c r="CE576" s="258">
        <v>45462</v>
      </c>
      <c r="CF576" s="48">
        <v>10328014</v>
      </c>
      <c r="CG576" s="48">
        <v>6332</v>
      </c>
      <c r="CH576" s="48">
        <v>10334346</v>
      </c>
      <c r="CI576" s="48">
        <v>99.94</v>
      </c>
      <c r="CJ576" s="71">
        <f t="shared" si="132"/>
        <v>10.334346</v>
      </c>
    </row>
    <row r="577" spans="1:93" hidden="1" x14ac:dyDescent="0.25">
      <c r="A577" s="215">
        <v>45463</v>
      </c>
      <c r="B577" s="330">
        <v>5353342</v>
      </c>
      <c r="C577" s="330">
        <v>3990</v>
      </c>
      <c r="D577" s="330">
        <v>5357332</v>
      </c>
      <c r="E577" s="330">
        <v>99.93</v>
      </c>
      <c r="F577" s="71">
        <f t="shared" si="130"/>
        <v>5.3573320000000004</v>
      </c>
      <c r="H577" s="215">
        <v>45463</v>
      </c>
      <c r="I577" s="48">
        <v>1236866</v>
      </c>
      <c r="J577" s="48">
        <v>352</v>
      </c>
      <c r="K577" s="48">
        <v>1237218</v>
      </c>
      <c r="L577" s="48">
        <v>99.97</v>
      </c>
      <c r="M577" s="71">
        <f t="shared" si="129"/>
        <v>1.2372179999999999</v>
      </c>
      <c r="O577" s="215">
        <v>45463</v>
      </c>
      <c r="P577" s="48">
        <v>347542</v>
      </c>
      <c r="Q577" s="48">
        <v>10</v>
      </c>
      <c r="R577" s="48">
        <v>347552</v>
      </c>
      <c r="S577" s="48">
        <v>100</v>
      </c>
      <c r="T577" s="71">
        <f t="shared" si="131"/>
        <v>0.34755200000000003</v>
      </c>
      <c r="V577" s="215">
        <v>45463</v>
      </c>
      <c r="W577" s="48">
        <v>912698</v>
      </c>
      <c r="X577" s="48">
        <v>144</v>
      </c>
      <c r="Y577" s="48">
        <v>912842</v>
      </c>
      <c r="Z577" s="48">
        <v>99.98</v>
      </c>
      <c r="AA577" s="71">
        <f t="shared" si="126"/>
        <v>0.91284200000000004</v>
      </c>
      <c r="AC577" s="215">
        <v>45463</v>
      </c>
      <c r="AD577" s="48">
        <v>751372</v>
      </c>
      <c r="AE577" s="48">
        <v>102</v>
      </c>
      <c r="AF577" s="48">
        <v>751474</v>
      </c>
      <c r="AG577" s="48">
        <v>99.99</v>
      </c>
      <c r="AH577" s="71">
        <f t="shared" si="133"/>
        <v>0.75147399999999998</v>
      </c>
      <c r="AJ577" s="215">
        <v>45463</v>
      </c>
      <c r="AK577" s="48">
        <v>0</v>
      </c>
      <c r="AL577" s="48">
        <v>6</v>
      </c>
      <c r="AM577" s="48">
        <v>6</v>
      </c>
      <c r="AN577" s="48">
        <v>0</v>
      </c>
      <c r="AQ577" s="215">
        <v>45463</v>
      </c>
      <c r="AR577" s="48">
        <v>0</v>
      </c>
      <c r="AS577" s="48">
        <v>16</v>
      </c>
      <c r="AT577" s="48">
        <v>16</v>
      </c>
      <c r="AU577" s="48">
        <v>0</v>
      </c>
      <c r="AX577" s="215">
        <v>45463</v>
      </c>
      <c r="AY577" s="48">
        <v>2</v>
      </c>
      <c r="AZ577" s="48">
        <v>0</v>
      </c>
      <c r="BA577" s="48">
        <v>2</v>
      </c>
      <c r="BB577" s="48">
        <v>100</v>
      </c>
      <c r="BE577" s="215">
        <v>45463</v>
      </c>
      <c r="BF577" s="48">
        <v>19320</v>
      </c>
      <c r="BG577" s="48">
        <v>184</v>
      </c>
      <c r="BH577" s="48">
        <v>19504</v>
      </c>
      <c r="BI577" s="48">
        <v>99.06</v>
      </c>
      <c r="BL577" s="215">
        <v>45463</v>
      </c>
      <c r="BM577" s="48">
        <v>200928</v>
      </c>
      <c r="BN577" s="48">
        <v>0</v>
      </c>
      <c r="BO577" s="48">
        <v>200928</v>
      </c>
      <c r="BP577" s="48">
        <v>100</v>
      </c>
      <c r="BS577" s="215">
        <v>45463</v>
      </c>
      <c r="BT577" s="48">
        <v>12902</v>
      </c>
      <c r="BU577" s="48">
        <v>0</v>
      </c>
      <c r="BV577" s="48">
        <v>12902</v>
      </c>
      <c r="BW577" s="48">
        <v>100</v>
      </c>
      <c r="BZ577" s="215">
        <v>45463</v>
      </c>
      <c r="CA577" s="1">
        <v>30634868</v>
      </c>
      <c r="CB577" s="1">
        <v>2351684</v>
      </c>
      <c r="CC577" s="71">
        <f t="shared" si="128"/>
        <v>13.026779108077445</v>
      </c>
      <c r="CE577" s="258">
        <v>45463</v>
      </c>
      <c r="CF577" s="48">
        <v>10443988</v>
      </c>
      <c r="CG577" s="48">
        <v>7630</v>
      </c>
      <c r="CH577" s="48">
        <v>10451618</v>
      </c>
      <c r="CI577" s="48">
        <v>99.93</v>
      </c>
      <c r="CJ577" s="71">
        <f t="shared" si="132"/>
        <v>10.451618</v>
      </c>
      <c r="CL577" s="327">
        <v>45465</v>
      </c>
      <c r="CM577" s="1" t="s">
        <v>237</v>
      </c>
      <c r="CN577" s="1">
        <v>2096</v>
      </c>
      <c r="CO577" s="1">
        <v>527</v>
      </c>
    </row>
    <row r="578" spans="1:93" hidden="1" x14ac:dyDescent="0.25">
      <c r="A578" s="215">
        <v>45464</v>
      </c>
      <c r="B578" s="330">
        <v>5459236</v>
      </c>
      <c r="C578" s="330">
        <v>2480</v>
      </c>
      <c r="D578" s="330">
        <v>5461716</v>
      </c>
      <c r="E578" s="330">
        <v>99.95</v>
      </c>
      <c r="F578" s="71">
        <f t="shared" si="130"/>
        <v>5.461716</v>
      </c>
      <c r="H578" s="215">
        <v>45464</v>
      </c>
      <c r="I578" s="48">
        <v>1246736</v>
      </c>
      <c r="J578" s="48">
        <v>364</v>
      </c>
      <c r="K578" s="48">
        <v>1247100</v>
      </c>
      <c r="L578" s="48">
        <v>99.97</v>
      </c>
      <c r="M578" s="71">
        <f t="shared" si="129"/>
        <v>1.2471000000000001</v>
      </c>
      <c r="O578" s="215">
        <v>45464</v>
      </c>
      <c r="P578" s="48">
        <v>330864</v>
      </c>
      <c r="Q578" s="48">
        <v>22</v>
      </c>
      <c r="R578" s="48">
        <v>330886</v>
      </c>
      <c r="S578" s="48">
        <v>99.99</v>
      </c>
      <c r="T578" s="71">
        <f t="shared" si="131"/>
        <v>0.33088600000000001</v>
      </c>
      <c r="V578" s="215">
        <v>45464</v>
      </c>
      <c r="W578" s="48">
        <v>951544</v>
      </c>
      <c r="X578" s="48">
        <v>168</v>
      </c>
      <c r="Y578" s="48">
        <v>951712</v>
      </c>
      <c r="Z578" s="48">
        <v>99.98</v>
      </c>
      <c r="AA578" s="71">
        <f t="shared" si="126"/>
        <v>0.951712</v>
      </c>
      <c r="AC578" s="215">
        <v>45464</v>
      </c>
      <c r="AD578" s="48">
        <v>752190</v>
      </c>
      <c r="AE578" s="48">
        <v>432</v>
      </c>
      <c r="AF578" s="48">
        <v>752622</v>
      </c>
      <c r="AG578" s="48">
        <v>99.94</v>
      </c>
      <c r="AH578" s="71">
        <f t="shared" si="133"/>
        <v>0.75262200000000001</v>
      </c>
      <c r="AJ578" s="215">
        <v>45464</v>
      </c>
      <c r="AK578" s="48">
        <v>0</v>
      </c>
      <c r="AL578" s="48">
        <v>38</v>
      </c>
      <c r="AM578" s="48">
        <v>38</v>
      </c>
      <c r="AN578" s="48">
        <v>0</v>
      </c>
      <c r="AQ578" s="215">
        <v>45464</v>
      </c>
      <c r="AR578" s="48">
        <v>0</v>
      </c>
      <c r="AS578" s="48">
        <v>4</v>
      </c>
      <c r="AT578" s="48">
        <v>4</v>
      </c>
      <c r="AU578" s="48">
        <v>0</v>
      </c>
      <c r="AX578" s="215">
        <v>45464</v>
      </c>
      <c r="AY578" s="48">
        <v>2</v>
      </c>
      <c r="AZ578" s="48">
        <v>0</v>
      </c>
      <c r="BA578" s="48">
        <v>2</v>
      </c>
      <c r="BB578" s="48">
        <v>100</v>
      </c>
      <c r="BE578" s="215">
        <v>45464</v>
      </c>
      <c r="BF578" s="48">
        <v>20688</v>
      </c>
      <c r="BG578" s="48">
        <v>194</v>
      </c>
      <c r="BH578" s="48">
        <v>20882</v>
      </c>
      <c r="BI578" s="48">
        <v>99.07</v>
      </c>
      <c r="BL578" s="215">
        <v>45464</v>
      </c>
      <c r="BM578" s="48">
        <v>181768</v>
      </c>
      <c r="BN578" s="48">
        <v>0</v>
      </c>
      <c r="BO578" s="48">
        <v>181768</v>
      </c>
      <c r="BP578" s="48">
        <v>100</v>
      </c>
      <c r="BS578" s="215">
        <v>45464</v>
      </c>
      <c r="BT578" s="48">
        <v>29128</v>
      </c>
      <c r="BU578" s="48">
        <v>0</v>
      </c>
      <c r="BV578" s="48">
        <v>29128</v>
      </c>
      <c r="BW578" s="48">
        <v>100</v>
      </c>
      <c r="BZ578" s="215">
        <v>45464</v>
      </c>
      <c r="CA578" s="1">
        <v>31878294</v>
      </c>
      <c r="CB578" s="1">
        <v>2321852</v>
      </c>
      <c r="CC578" s="71">
        <f t="shared" si="128"/>
        <v>13.729683890273799</v>
      </c>
      <c r="CE578" s="258">
        <v>45464</v>
      </c>
      <c r="CF578" s="48">
        <v>10672260</v>
      </c>
      <c r="CG578" s="48">
        <v>7402</v>
      </c>
      <c r="CH578" s="48">
        <v>10679662</v>
      </c>
      <c r="CI578" s="48">
        <v>99.93</v>
      </c>
      <c r="CJ578" s="71">
        <f t="shared" si="132"/>
        <v>10.679662</v>
      </c>
      <c r="CL578" s="327">
        <v>45465</v>
      </c>
      <c r="CM578" s="1" t="s">
        <v>240</v>
      </c>
      <c r="CN578" s="1">
        <v>1730</v>
      </c>
      <c r="CO578" s="1">
        <v>516</v>
      </c>
    </row>
    <row r="579" spans="1:93" hidden="1" x14ac:dyDescent="0.25">
      <c r="A579" s="215">
        <v>45465</v>
      </c>
      <c r="B579" s="330">
        <v>5445046</v>
      </c>
      <c r="C579" s="330">
        <v>2168</v>
      </c>
      <c r="D579" s="330">
        <v>5447214</v>
      </c>
      <c r="E579" s="330">
        <v>99.96</v>
      </c>
      <c r="F579" s="71">
        <f t="shared" si="130"/>
        <v>5.4472139999999998</v>
      </c>
      <c r="H579" s="215">
        <v>45465</v>
      </c>
      <c r="I579" s="48">
        <v>1200362</v>
      </c>
      <c r="J579" s="48">
        <v>324</v>
      </c>
      <c r="K579" s="48">
        <v>1200686</v>
      </c>
      <c r="L579" s="48">
        <v>99.97</v>
      </c>
      <c r="M579" s="71">
        <f t="shared" si="129"/>
        <v>1.2006859999999999</v>
      </c>
      <c r="O579" s="215">
        <v>45465</v>
      </c>
      <c r="P579" s="48">
        <v>326060</v>
      </c>
      <c r="Q579" s="48">
        <v>8</v>
      </c>
      <c r="R579" s="48">
        <v>326068</v>
      </c>
      <c r="S579" s="48">
        <v>100</v>
      </c>
      <c r="T579" s="71">
        <f t="shared" si="131"/>
        <v>0.32606800000000002</v>
      </c>
      <c r="V579" s="215">
        <v>45465</v>
      </c>
      <c r="W579" s="48">
        <v>945696</v>
      </c>
      <c r="X579" s="48">
        <v>182</v>
      </c>
      <c r="Y579" s="48">
        <v>945878</v>
      </c>
      <c r="Z579" s="48">
        <v>99.98</v>
      </c>
      <c r="AA579" s="71">
        <f t="shared" si="126"/>
        <v>0.945878</v>
      </c>
      <c r="AC579" s="215">
        <v>45465</v>
      </c>
      <c r="AD579" s="48">
        <v>788976</v>
      </c>
      <c r="AE579" s="48">
        <v>292</v>
      </c>
      <c r="AF579" s="48">
        <v>789268</v>
      </c>
      <c r="AG579" s="48">
        <v>99.96</v>
      </c>
      <c r="AH579" s="71">
        <f t="shared" si="133"/>
        <v>0.78926799999999997</v>
      </c>
      <c r="AJ579" s="215">
        <v>45465</v>
      </c>
      <c r="AK579" s="48">
        <v>0</v>
      </c>
      <c r="AL579" s="48">
        <v>14</v>
      </c>
      <c r="AM579" s="48">
        <v>14</v>
      </c>
      <c r="AN579" s="48">
        <v>0</v>
      </c>
      <c r="AQ579" s="215">
        <v>45465</v>
      </c>
      <c r="AR579" s="48">
        <v>0</v>
      </c>
      <c r="AS579" s="48">
        <v>24</v>
      </c>
      <c r="AT579" s="48">
        <v>24</v>
      </c>
      <c r="AU579" s="48">
        <v>0</v>
      </c>
      <c r="AX579" s="215">
        <v>45465</v>
      </c>
      <c r="AY579" s="48">
        <v>2</v>
      </c>
      <c r="AZ579" s="48">
        <v>0</v>
      </c>
      <c r="BA579" s="48">
        <v>2</v>
      </c>
      <c r="BB579" s="48">
        <v>100</v>
      </c>
      <c r="BE579" s="215">
        <v>45465</v>
      </c>
      <c r="BF579" s="48">
        <v>18098</v>
      </c>
      <c r="BG579" s="48">
        <v>190</v>
      </c>
      <c r="BH579" s="48">
        <v>18288</v>
      </c>
      <c r="BI579" s="48">
        <v>98.96</v>
      </c>
      <c r="BL579" s="215">
        <v>45465</v>
      </c>
      <c r="BM579" s="48">
        <v>203780</v>
      </c>
      <c r="BN579" s="48">
        <v>0</v>
      </c>
      <c r="BO579" s="48">
        <v>203780</v>
      </c>
      <c r="BP579" s="48">
        <v>100</v>
      </c>
      <c r="BS579" s="215">
        <v>45465</v>
      </c>
      <c r="BT579" s="48">
        <v>14134</v>
      </c>
      <c r="BU579" s="48">
        <v>0</v>
      </c>
      <c r="BV579" s="48">
        <v>14134</v>
      </c>
      <c r="BW579" s="48">
        <v>100</v>
      </c>
      <c r="BZ579" s="215">
        <v>45465</v>
      </c>
      <c r="CA579" s="1">
        <v>2243718</v>
      </c>
      <c r="CB579" s="1">
        <v>219396</v>
      </c>
      <c r="CC579" s="71">
        <f t="shared" si="128"/>
        <v>10.226795383689767</v>
      </c>
      <c r="CE579" s="258">
        <v>45465</v>
      </c>
      <c r="CF579" s="48">
        <v>10595348</v>
      </c>
      <c r="CG579" s="48">
        <v>5832</v>
      </c>
      <c r="CH579" s="48">
        <v>10601180</v>
      </c>
      <c r="CI579" s="48">
        <v>99.94</v>
      </c>
      <c r="CJ579" s="71">
        <f t="shared" si="132"/>
        <v>10.601179999999999</v>
      </c>
      <c r="CL579" s="327">
        <v>45465</v>
      </c>
      <c r="CM579" s="1" t="s">
        <v>238</v>
      </c>
      <c r="CN579" s="1">
        <v>690</v>
      </c>
      <c r="CO579" s="1">
        <v>503</v>
      </c>
    </row>
    <row r="580" spans="1:93" hidden="1" x14ac:dyDescent="0.25">
      <c r="A580" s="215">
        <v>45466</v>
      </c>
      <c r="B580" s="101">
        <v>4850788</v>
      </c>
      <c r="C580" s="101">
        <v>2140</v>
      </c>
      <c r="D580" s="101">
        <v>4852928</v>
      </c>
      <c r="E580" s="101">
        <v>99.96</v>
      </c>
      <c r="F580" s="71">
        <f t="shared" si="130"/>
        <v>4.8529280000000004</v>
      </c>
      <c r="H580" s="215">
        <v>45466</v>
      </c>
      <c r="I580" s="101">
        <v>1158358</v>
      </c>
      <c r="J580" s="101">
        <v>318</v>
      </c>
      <c r="K580" s="101">
        <v>1158676</v>
      </c>
      <c r="L580" s="101">
        <v>99.97</v>
      </c>
      <c r="M580" s="71">
        <f t="shared" si="129"/>
        <v>1.158676</v>
      </c>
      <c r="O580" s="215">
        <v>45466</v>
      </c>
      <c r="P580" s="101">
        <v>337208</v>
      </c>
      <c r="Q580" s="101">
        <v>20</v>
      </c>
      <c r="R580" s="101">
        <v>337228</v>
      </c>
      <c r="S580" s="101">
        <v>99.99</v>
      </c>
      <c r="T580" s="71">
        <f t="shared" si="131"/>
        <v>0.33722800000000003</v>
      </c>
      <c r="V580" s="215">
        <v>45466</v>
      </c>
      <c r="W580" s="101">
        <v>897504</v>
      </c>
      <c r="X580" s="101">
        <v>186</v>
      </c>
      <c r="Y580" s="101">
        <v>897690</v>
      </c>
      <c r="Z580" s="101">
        <v>99.98</v>
      </c>
      <c r="AA580" s="71">
        <f t="shared" si="126"/>
        <v>0.89768999999999999</v>
      </c>
      <c r="AC580" s="215">
        <v>45466</v>
      </c>
      <c r="AD580" s="101">
        <v>791612</v>
      </c>
      <c r="AE580" s="101">
        <v>82</v>
      </c>
      <c r="AF580" s="101">
        <v>791694</v>
      </c>
      <c r="AG580" s="101">
        <v>99.99</v>
      </c>
      <c r="AH580" s="71">
        <f t="shared" si="133"/>
        <v>0.79169400000000001</v>
      </c>
      <c r="AJ580" s="215">
        <v>45466</v>
      </c>
      <c r="AK580" s="48">
        <v>0</v>
      </c>
      <c r="AL580" s="48">
        <v>6</v>
      </c>
      <c r="AM580" s="48">
        <v>6</v>
      </c>
      <c r="AN580" s="48">
        <v>0</v>
      </c>
      <c r="AQ580" s="215">
        <v>45466</v>
      </c>
      <c r="AR580" s="48">
        <v>0</v>
      </c>
      <c r="AS580" s="48">
        <v>12</v>
      </c>
      <c r="AT580" s="48">
        <v>12</v>
      </c>
      <c r="AU580" s="48">
        <v>0</v>
      </c>
      <c r="AX580" s="215">
        <v>45466</v>
      </c>
      <c r="AY580" s="48">
        <v>0</v>
      </c>
      <c r="AZ580" s="48">
        <v>0</v>
      </c>
      <c r="BA580" s="48">
        <v>0</v>
      </c>
      <c r="BB580" s="48">
        <v>0</v>
      </c>
      <c r="BE580" s="215">
        <v>45466</v>
      </c>
      <c r="BF580" s="101">
        <v>15736</v>
      </c>
      <c r="BG580" s="101">
        <v>238</v>
      </c>
      <c r="BH580" s="101">
        <v>15974</v>
      </c>
      <c r="BI580" s="101">
        <v>98.51</v>
      </c>
      <c r="BL580" s="215">
        <v>45466</v>
      </c>
      <c r="BM580" s="101">
        <v>4004</v>
      </c>
      <c r="BN580" s="101">
        <v>0</v>
      </c>
      <c r="BO580" s="101">
        <v>4004</v>
      </c>
      <c r="BP580" s="101">
        <v>100</v>
      </c>
      <c r="BS580" s="215">
        <v>45466</v>
      </c>
      <c r="BT580" s="101">
        <v>13020</v>
      </c>
      <c r="BU580" s="101">
        <v>0</v>
      </c>
      <c r="BV580" s="101">
        <v>13020</v>
      </c>
      <c r="BW580" s="101">
        <v>100</v>
      </c>
      <c r="BZ580" s="215">
        <v>45466</v>
      </c>
      <c r="CA580" s="1">
        <v>28856152</v>
      </c>
      <c r="CB580" s="1">
        <v>2097223</v>
      </c>
      <c r="CC580" s="71">
        <f t="shared" si="128"/>
        <v>13.759219691945015</v>
      </c>
      <c r="CE580" s="258">
        <v>45466</v>
      </c>
      <c r="CF580" s="101">
        <v>9701260</v>
      </c>
      <c r="CG580" s="101">
        <v>5578</v>
      </c>
      <c r="CH580" s="101">
        <v>9706838</v>
      </c>
      <c r="CI580" s="101">
        <v>99.94</v>
      </c>
      <c r="CJ580" s="71">
        <f t="shared" si="132"/>
        <v>9.7068379999999994</v>
      </c>
      <c r="CL580" s="327">
        <v>45465</v>
      </c>
      <c r="CM580" s="1" t="s">
        <v>239</v>
      </c>
      <c r="CN580" s="1">
        <v>604</v>
      </c>
      <c r="CO580" s="1">
        <v>504</v>
      </c>
    </row>
    <row r="581" spans="1:93" hidden="1" x14ac:dyDescent="0.25">
      <c r="A581" s="215">
        <v>45467</v>
      </c>
      <c r="B581" s="101">
        <v>5647934</v>
      </c>
      <c r="C581" s="101">
        <v>2368</v>
      </c>
      <c r="D581" s="101">
        <v>5650302</v>
      </c>
      <c r="E581" s="101">
        <v>99.96</v>
      </c>
      <c r="F581" s="71">
        <f t="shared" si="130"/>
        <v>5.6503019999999999</v>
      </c>
      <c r="H581" s="215">
        <v>45467</v>
      </c>
      <c r="I581" s="101">
        <v>1218766</v>
      </c>
      <c r="J581" s="101">
        <v>342</v>
      </c>
      <c r="K581" s="101">
        <v>1219108</v>
      </c>
      <c r="L581" s="101">
        <v>99.97</v>
      </c>
      <c r="M581" s="71">
        <f t="shared" si="129"/>
        <v>1.2191080000000001</v>
      </c>
      <c r="O581" s="215">
        <v>45467</v>
      </c>
      <c r="P581" s="101">
        <v>353952</v>
      </c>
      <c r="Q581" s="101">
        <v>16</v>
      </c>
      <c r="R581" s="101">
        <v>353968</v>
      </c>
      <c r="S581" s="101">
        <v>100</v>
      </c>
      <c r="T581" s="71">
        <f t="shared" si="131"/>
        <v>0.353968</v>
      </c>
      <c r="V581" s="215">
        <v>45467</v>
      </c>
      <c r="W581" s="101">
        <v>947112</v>
      </c>
      <c r="X581" s="101">
        <v>148</v>
      </c>
      <c r="Y581" s="101">
        <v>947260</v>
      </c>
      <c r="Z581" s="101">
        <v>99.98</v>
      </c>
      <c r="AA581" s="71">
        <f t="shared" si="126"/>
        <v>0.94725999999999999</v>
      </c>
      <c r="AC581" s="215">
        <v>45467</v>
      </c>
      <c r="AD581" s="101">
        <v>744316</v>
      </c>
      <c r="AE581" s="101">
        <v>104</v>
      </c>
      <c r="AF581" s="101">
        <v>744420</v>
      </c>
      <c r="AG581" s="101">
        <v>99.99</v>
      </c>
      <c r="AH581" s="71">
        <f t="shared" si="133"/>
        <v>0.74441999999999997</v>
      </c>
      <c r="AJ581" s="215">
        <v>45467</v>
      </c>
      <c r="AK581" s="48">
        <v>0</v>
      </c>
      <c r="AL581" s="48">
        <v>14</v>
      </c>
      <c r="AM581" s="48">
        <v>14</v>
      </c>
      <c r="AN581" s="48">
        <v>0</v>
      </c>
      <c r="AQ581" s="215">
        <v>45467</v>
      </c>
      <c r="AR581" s="48">
        <v>0</v>
      </c>
      <c r="AS581" s="48">
        <v>22</v>
      </c>
      <c r="AT581" s="48">
        <v>22</v>
      </c>
      <c r="AU581" s="48">
        <v>0</v>
      </c>
      <c r="AX581" s="215">
        <v>45467</v>
      </c>
      <c r="AY581" s="48">
        <v>6</v>
      </c>
      <c r="AZ581" s="48">
        <v>0</v>
      </c>
      <c r="BA581" s="48">
        <v>6</v>
      </c>
      <c r="BB581" s="48">
        <v>100</v>
      </c>
      <c r="BE581" s="215">
        <v>45467</v>
      </c>
      <c r="BF581" s="101">
        <v>19136</v>
      </c>
      <c r="BG581" s="101">
        <v>318</v>
      </c>
      <c r="BH581" s="101">
        <v>19454</v>
      </c>
      <c r="BI581" s="101">
        <v>98.37</v>
      </c>
      <c r="BL581" s="215">
        <v>45467</v>
      </c>
      <c r="BM581" s="101">
        <v>225452</v>
      </c>
      <c r="BN581" s="101">
        <v>0</v>
      </c>
      <c r="BO581" s="101">
        <v>225452</v>
      </c>
      <c r="BP581" s="101">
        <v>100</v>
      </c>
      <c r="BS581" s="215">
        <v>45467</v>
      </c>
      <c r="BT581" s="101">
        <v>8422</v>
      </c>
      <c r="BU581" s="101">
        <v>0</v>
      </c>
      <c r="BV581" s="101">
        <v>8422</v>
      </c>
      <c r="BW581" s="101">
        <v>100</v>
      </c>
      <c r="BZ581" s="215">
        <v>45467</v>
      </c>
      <c r="CA581" s="1">
        <v>32821519</v>
      </c>
      <c r="CB581" s="1">
        <v>2523468</v>
      </c>
      <c r="CC581" s="71">
        <f t="shared" si="128"/>
        <v>13.006512862457539</v>
      </c>
      <c r="CE581" s="258">
        <v>45467</v>
      </c>
      <c r="CF581" s="101">
        <v>10882762</v>
      </c>
      <c r="CG581" s="101">
        <v>6102</v>
      </c>
      <c r="CH581" s="101">
        <v>10888864</v>
      </c>
      <c r="CI581" s="101">
        <v>99.94</v>
      </c>
      <c r="CJ581" s="71">
        <f t="shared" si="132"/>
        <v>10.888864</v>
      </c>
      <c r="CL581" s="327">
        <v>45465</v>
      </c>
      <c r="CM581" s="1" t="s">
        <v>291</v>
      </c>
      <c r="CN581" s="1">
        <v>588</v>
      </c>
      <c r="CO581" s="1">
        <v>540</v>
      </c>
    </row>
    <row r="582" spans="1:93" hidden="1" x14ac:dyDescent="0.25">
      <c r="A582" s="215">
        <v>45468</v>
      </c>
      <c r="B582" s="101">
        <v>5641974</v>
      </c>
      <c r="C582" s="101">
        <v>3382</v>
      </c>
      <c r="D582" s="101">
        <v>5645356</v>
      </c>
      <c r="E582" s="101">
        <v>99.94</v>
      </c>
      <c r="F582" s="71">
        <f t="shared" si="130"/>
        <v>5.6453559999999996</v>
      </c>
      <c r="H582" s="215">
        <v>45468</v>
      </c>
      <c r="I582" s="101">
        <v>1322110</v>
      </c>
      <c r="J582" s="101">
        <v>1194</v>
      </c>
      <c r="K582" s="101">
        <v>1323304</v>
      </c>
      <c r="L582" s="101">
        <v>99.91</v>
      </c>
      <c r="M582" s="71">
        <f t="shared" si="129"/>
        <v>1.323304</v>
      </c>
      <c r="O582" s="215">
        <v>45468</v>
      </c>
      <c r="P582" s="101">
        <v>345848</v>
      </c>
      <c r="Q582" s="101">
        <v>12</v>
      </c>
      <c r="R582" s="101">
        <v>345860</v>
      </c>
      <c r="S582" s="101">
        <v>100</v>
      </c>
      <c r="T582" s="71">
        <f t="shared" si="131"/>
        <v>0.34586</v>
      </c>
      <c r="V582" s="215">
        <v>45468</v>
      </c>
      <c r="W582" s="101">
        <v>960770</v>
      </c>
      <c r="X582" s="101">
        <v>178</v>
      </c>
      <c r="Y582" s="101">
        <v>960948</v>
      </c>
      <c r="Z582" s="101">
        <v>99.98</v>
      </c>
      <c r="AA582" s="71">
        <f t="shared" si="126"/>
        <v>0.96094800000000002</v>
      </c>
      <c r="AC582" s="215">
        <v>45468</v>
      </c>
      <c r="AD582" s="101">
        <v>733322</v>
      </c>
      <c r="AE582" s="101">
        <v>114</v>
      </c>
      <c r="AF582" s="101">
        <v>733436</v>
      </c>
      <c r="AG582" s="101">
        <v>99.98</v>
      </c>
      <c r="AH582" s="71">
        <f t="shared" si="133"/>
        <v>0.73343599999999998</v>
      </c>
      <c r="AJ582" s="215">
        <v>45468</v>
      </c>
      <c r="AK582" s="48">
        <v>0</v>
      </c>
      <c r="AL582" s="48">
        <v>8</v>
      </c>
      <c r="AM582" s="48">
        <v>8</v>
      </c>
      <c r="AN582" s="48">
        <v>0</v>
      </c>
      <c r="AQ582" s="215">
        <v>45468</v>
      </c>
      <c r="AR582" s="48">
        <v>0</v>
      </c>
      <c r="AS582" s="48">
        <v>14</v>
      </c>
      <c r="AT582" s="48">
        <v>14</v>
      </c>
      <c r="AU582" s="48">
        <v>0</v>
      </c>
      <c r="AX582" s="215">
        <v>45468</v>
      </c>
      <c r="AY582" s="48">
        <v>12</v>
      </c>
      <c r="AZ582" s="48">
        <v>0</v>
      </c>
      <c r="BA582" s="48">
        <v>12</v>
      </c>
      <c r="BB582" s="48">
        <v>100</v>
      </c>
      <c r="BE582" s="215">
        <v>45468</v>
      </c>
      <c r="BF582" s="101">
        <v>23130</v>
      </c>
      <c r="BG582" s="101">
        <v>348</v>
      </c>
      <c r="BH582" s="101">
        <v>23478</v>
      </c>
      <c r="BI582" s="101">
        <v>98.52</v>
      </c>
      <c r="BL582" s="215">
        <v>45468</v>
      </c>
      <c r="BM582" s="101">
        <v>204570</v>
      </c>
      <c r="BN582" s="101">
        <v>0</v>
      </c>
      <c r="BO582" s="101">
        <v>204570</v>
      </c>
      <c r="BP582" s="101">
        <v>100</v>
      </c>
      <c r="BS582" s="215">
        <v>45468</v>
      </c>
      <c r="BT582" s="101">
        <v>11008</v>
      </c>
      <c r="BU582" s="101">
        <v>18</v>
      </c>
      <c r="BV582" s="101">
        <v>11026</v>
      </c>
      <c r="BW582" s="101">
        <v>99.84</v>
      </c>
      <c r="BZ582" s="215">
        <v>45468</v>
      </c>
      <c r="CA582" s="1">
        <v>32555339</v>
      </c>
      <c r="CB582" s="1">
        <v>2478805</v>
      </c>
      <c r="CC582" s="71">
        <f t="shared" si="128"/>
        <v>13.133481254072022</v>
      </c>
      <c r="CE582" s="258">
        <v>45468</v>
      </c>
      <c r="CF582" s="101">
        <v>10938966</v>
      </c>
      <c r="CG582" s="101">
        <v>9468</v>
      </c>
      <c r="CH582" s="101">
        <v>10948434</v>
      </c>
      <c r="CI582" s="101">
        <v>99.91</v>
      </c>
      <c r="CJ582" s="71">
        <f t="shared" si="132"/>
        <v>10.948434000000001</v>
      </c>
    </row>
    <row r="583" spans="1:93" hidden="1" x14ac:dyDescent="0.25">
      <c r="A583" s="215">
        <v>45469</v>
      </c>
      <c r="B583" s="101">
        <v>5812164</v>
      </c>
      <c r="C583" s="101">
        <v>9074</v>
      </c>
      <c r="D583" s="101">
        <v>5821238</v>
      </c>
      <c r="E583" s="101">
        <v>99.84</v>
      </c>
      <c r="F583" s="71">
        <f t="shared" si="130"/>
        <v>5.8212380000000001</v>
      </c>
      <c r="H583" s="215">
        <v>45469</v>
      </c>
      <c r="I583" s="101">
        <v>1201226</v>
      </c>
      <c r="J583" s="101">
        <v>1160</v>
      </c>
      <c r="K583" s="101">
        <v>1202386</v>
      </c>
      <c r="L583" s="101">
        <v>99.9</v>
      </c>
      <c r="M583" s="71">
        <f t="shared" si="129"/>
        <v>1.202386</v>
      </c>
      <c r="O583" s="215">
        <v>45469</v>
      </c>
      <c r="P583" s="101">
        <v>313926</v>
      </c>
      <c r="Q583" s="101">
        <v>6</v>
      </c>
      <c r="R583" s="101">
        <v>313932</v>
      </c>
      <c r="S583" s="101">
        <v>100</v>
      </c>
      <c r="T583" s="71">
        <f t="shared" si="131"/>
        <v>0.31393199999999999</v>
      </c>
      <c r="V583" s="215">
        <v>45469</v>
      </c>
      <c r="W583" s="101">
        <v>895428</v>
      </c>
      <c r="X583" s="101">
        <v>174</v>
      </c>
      <c r="Y583" s="101">
        <v>895602</v>
      </c>
      <c r="Z583" s="101">
        <v>99.98</v>
      </c>
      <c r="AA583" s="71">
        <f t="shared" si="126"/>
        <v>0.89560200000000001</v>
      </c>
      <c r="AC583" s="215">
        <v>45469</v>
      </c>
      <c r="AD583" s="101">
        <v>753928</v>
      </c>
      <c r="AE583" s="101">
        <v>114</v>
      </c>
      <c r="AF583" s="101">
        <v>754042</v>
      </c>
      <c r="AG583" s="101">
        <v>99.98</v>
      </c>
      <c r="AH583" s="71">
        <f t="shared" si="133"/>
        <v>0.75404199999999999</v>
      </c>
      <c r="AJ583" s="215">
        <v>45469</v>
      </c>
      <c r="AK583" s="48">
        <v>0</v>
      </c>
      <c r="AL583" s="48">
        <v>12</v>
      </c>
      <c r="AM583" s="48">
        <v>12</v>
      </c>
      <c r="AN583" s="48">
        <v>0</v>
      </c>
      <c r="AQ583" s="215">
        <v>45469</v>
      </c>
      <c r="AR583" s="48">
        <v>0</v>
      </c>
      <c r="AS583" s="48">
        <v>6</v>
      </c>
      <c r="AT583" s="48">
        <v>6</v>
      </c>
      <c r="AU583" s="48">
        <v>0</v>
      </c>
      <c r="AX583" s="215">
        <v>45469</v>
      </c>
      <c r="AY583" s="48">
        <v>4</v>
      </c>
      <c r="AZ583" s="48">
        <v>0</v>
      </c>
      <c r="BA583" s="48">
        <v>4</v>
      </c>
      <c r="BB583" s="48">
        <v>100</v>
      </c>
      <c r="BE583" s="215">
        <v>45469</v>
      </c>
      <c r="BF583" s="101">
        <v>20630</v>
      </c>
      <c r="BG583" s="101">
        <v>390</v>
      </c>
      <c r="BH583" s="101">
        <v>21020</v>
      </c>
      <c r="BI583" s="101">
        <v>98.14</v>
      </c>
      <c r="BL583" s="215">
        <v>45469</v>
      </c>
      <c r="BM583" s="101">
        <v>202580</v>
      </c>
      <c r="BN583" s="101">
        <v>0</v>
      </c>
      <c r="BO583" s="101">
        <v>202580</v>
      </c>
      <c r="BP583" s="101">
        <v>100</v>
      </c>
      <c r="BS583" s="215">
        <v>45469</v>
      </c>
      <c r="BT583" s="101">
        <v>9250</v>
      </c>
      <c r="BU583" s="101">
        <v>0</v>
      </c>
      <c r="BV583" s="101">
        <v>9250</v>
      </c>
      <c r="BW583" s="101">
        <v>100</v>
      </c>
      <c r="BZ583" s="215">
        <v>45469</v>
      </c>
      <c r="CA583" s="1">
        <v>32334813</v>
      </c>
      <c r="CB583" s="1">
        <v>2496899</v>
      </c>
      <c r="CC583" s="71">
        <f t="shared" si="128"/>
        <v>12.949988365568652</v>
      </c>
      <c r="CE583" s="258">
        <v>45469</v>
      </c>
      <c r="CF583" s="101">
        <v>10864494</v>
      </c>
      <c r="CG583" s="101">
        <v>14580</v>
      </c>
      <c r="CH583" s="101">
        <v>10879074</v>
      </c>
      <c r="CI583" s="101">
        <v>99.87</v>
      </c>
      <c r="CJ583" s="71">
        <f t="shared" si="132"/>
        <v>10.879073999999999</v>
      </c>
      <c r="CL583" s="222">
        <v>45466</v>
      </c>
      <c r="CM583" s="1" t="s">
        <v>237</v>
      </c>
      <c r="CN583" s="101">
        <v>2008</v>
      </c>
      <c r="CO583" s="101">
        <v>527</v>
      </c>
    </row>
    <row r="584" spans="1:93" hidden="1" x14ac:dyDescent="0.25">
      <c r="A584" s="215">
        <v>45470</v>
      </c>
      <c r="B584" s="101">
        <v>5412576</v>
      </c>
      <c r="C584" s="101">
        <v>2352</v>
      </c>
      <c r="D584" s="101">
        <v>5414928</v>
      </c>
      <c r="E584" s="101">
        <v>99.96</v>
      </c>
      <c r="F584" s="71">
        <f t="shared" si="130"/>
        <v>5.4149279999999997</v>
      </c>
      <c r="H584" s="215">
        <v>45470</v>
      </c>
      <c r="I584" s="101">
        <v>1176216</v>
      </c>
      <c r="J584" s="101">
        <v>1138</v>
      </c>
      <c r="K584" s="101">
        <v>1177354</v>
      </c>
      <c r="L584" s="101">
        <v>99.9</v>
      </c>
      <c r="M584" s="71">
        <f t="shared" si="129"/>
        <v>1.177354</v>
      </c>
      <c r="O584" s="215">
        <v>45470</v>
      </c>
      <c r="P584" s="101">
        <v>318328</v>
      </c>
      <c r="Q584" s="101">
        <v>10</v>
      </c>
      <c r="R584" s="101">
        <v>318338</v>
      </c>
      <c r="S584" s="101">
        <v>100</v>
      </c>
      <c r="T584" s="71">
        <f t="shared" si="131"/>
        <v>0.31833800000000001</v>
      </c>
      <c r="V584" s="215">
        <v>45470</v>
      </c>
      <c r="W584" s="101">
        <v>797374</v>
      </c>
      <c r="X584" s="101">
        <v>126</v>
      </c>
      <c r="Y584" s="101">
        <v>797500</v>
      </c>
      <c r="Z584" s="101">
        <v>99.98</v>
      </c>
      <c r="AA584" s="71">
        <f t="shared" si="126"/>
        <v>0.79749999999999999</v>
      </c>
      <c r="AC584" s="215">
        <v>45470</v>
      </c>
      <c r="AD584" s="101">
        <v>766142</v>
      </c>
      <c r="AE584" s="101">
        <v>1070</v>
      </c>
      <c r="AF584" s="101">
        <v>767212</v>
      </c>
      <c r="AG584" s="101">
        <v>99.86</v>
      </c>
      <c r="AH584" s="71">
        <f t="shared" si="133"/>
        <v>0.76721200000000001</v>
      </c>
      <c r="AJ584" s="215">
        <v>45470</v>
      </c>
      <c r="AK584" s="48">
        <v>0</v>
      </c>
      <c r="AL584" s="48">
        <v>2</v>
      </c>
      <c r="AM584" s="48">
        <v>2</v>
      </c>
      <c r="AN584" s="48">
        <v>0</v>
      </c>
      <c r="AQ584" s="215">
        <v>45470</v>
      </c>
      <c r="AR584" s="48">
        <v>0</v>
      </c>
      <c r="AS584" s="48">
        <v>18</v>
      </c>
      <c r="AT584" s="48">
        <v>18</v>
      </c>
      <c r="AU584" s="48">
        <v>0</v>
      </c>
      <c r="AX584" s="215">
        <v>45470</v>
      </c>
      <c r="AY584" s="48">
        <v>14</v>
      </c>
      <c r="AZ584" s="48">
        <v>0</v>
      </c>
      <c r="BA584" s="48">
        <v>14</v>
      </c>
      <c r="BB584" s="48">
        <v>100</v>
      </c>
      <c r="BE584" s="215">
        <v>45470</v>
      </c>
      <c r="BF584" s="101">
        <v>19622</v>
      </c>
      <c r="BG584" s="101">
        <v>384</v>
      </c>
      <c r="BH584" s="101">
        <v>20006</v>
      </c>
      <c r="BI584" s="101">
        <v>98.08</v>
      </c>
      <c r="BL584" s="215">
        <v>45470</v>
      </c>
      <c r="BM584" s="101">
        <v>252244</v>
      </c>
      <c r="BN584" s="101">
        <v>2</v>
      </c>
      <c r="BO584" s="101">
        <v>252246</v>
      </c>
      <c r="BP584" s="101">
        <v>100</v>
      </c>
      <c r="BS584" s="215">
        <v>45470</v>
      </c>
      <c r="BT584" s="101">
        <v>6846</v>
      </c>
      <c r="BU584" s="101">
        <v>0</v>
      </c>
      <c r="BV584" s="101">
        <v>6846</v>
      </c>
      <c r="BW584" s="101">
        <v>100</v>
      </c>
      <c r="BZ584" s="215">
        <v>45470</v>
      </c>
      <c r="CA584" s="1">
        <v>32019062</v>
      </c>
      <c r="CB584" s="1">
        <v>2541021</v>
      </c>
      <c r="CC584" s="71">
        <f t="shared" si="128"/>
        <v>12.600864770499733</v>
      </c>
      <c r="CE584" s="258">
        <v>45470</v>
      </c>
      <c r="CF584" s="101">
        <v>10362806</v>
      </c>
      <c r="CG584" s="101">
        <v>8392</v>
      </c>
      <c r="CH584" s="101">
        <v>10371198</v>
      </c>
      <c r="CI584" s="101">
        <v>99.92</v>
      </c>
      <c r="CJ584" s="71">
        <f t="shared" si="132"/>
        <v>10.371198</v>
      </c>
      <c r="CL584" s="222">
        <v>45466</v>
      </c>
      <c r="CM584" s="1" t="s">
        <v>240</v>
      </c>
      <c r="CN584" s="101">
        <v>1702</v>
      </c>
      <c r="CO584" s="101">
        <v>516</v>
      </c>
    </row>
    <row r="585" spans="1:93" hidden="1" x14ac:dyDescent="0.25">
      <c r="A585" s="215">
        <v>45471</v>
      </c>
      <c r="B585" s="101">
        <v>5631546</v>
      </c>
      <c r="C585" s="101">
        <v>2012</v>
      </c>
      <c r="D585" s="101">
        <v>5633558</v>
      </c>
      <c r="E585" s="101">
        <v>99.96</v>
      </c>
      <c r="F585" s="71">
        <f t="shared" si="130"/>
        <v>5.6335579999999998</v>
      </c>
      <c r="H585" s="215">
        <v>45471</v>
      </c>
      <c r="I585" s="101">
        <v>1273282</v>
      </c>
      <c r="J585" s="101">
        <v>1252</v>
      </c>
      <c r="K585" s="101">
        <v>1274534</v>
      </c>
      <c r="L585" s="101">
        <v>99.9</v>
      </c>
      <c r="M585" s="71">
        <f t="shared" si="129"/>
        <v>1.2745340000000001</v>
      </c>
      <c r="O585" s="215">
        <v>45471</v>
      </c>
      <c r="P585" s="101">
        <v>325560</v>
      </c>
      <c r="Q585" s="101">
        <v>6</v>
      </c>
      <c r="R585" s="101">
        <v>325566</v>
      </c>
      <c r="S585" s="101">
        <v>100</v>
      </c>
      <c r="T585" s="71">
        <f t="shared" si="131"/>
        <v>0.32556600000000002</v>
      </c>
      <c r="V585" s="215">
        <v>45471</v>
      </c>
      <c r="W585" s="101">
        <v>960576</v>
      </c>
      <c r="X585" s="101">
        <v>234</v>
      </c>
      <c r="Y585" s="101">
        <v>960810</v>
      </c>
      <c r="Z585" s="101">
        <v>99.98</v>
      </c>
      <c r="AA585" s="71">
        <f t="shared" si="126"/>
        <v>0.96081000000000005</v>
      </c>
      <c r="AC585" s="215">
        <v>45471</v>
      </c>
      <c r="AD585" s="101">
        <v>778732</v>
      </c>
      <c r="AE585" s="101">
        <v>92</v>
      </c>
      <c r="AF585" s="101">
        <v>778824</v>
      </c>
      <c r="AG585" s="101">
        <v>99.99</v>
      </c>
      <c r="AH585" s="71">
        <f t="shared" si="133"/>
        <v>0.77882399999999996</v>
      </c>
      <c r="AJ585" s="215">
        <v>45471</v>
      </c>
      <c r="AK585" s="48">
        <v>0</v>
      </c>
      <c r="AL585" s="48">
        <v>68</v>
      </c>
      <c r="AM585" s="48">
        <v>68</v>
      </c>
      <c r="AN585" s="48">
        <v>0</v>
      </c>
      <c r="AQ585" s="215">
        <v>45471</v>
      </c>
      <c r="AR585" s="48">
        <v>0</v>
      </c>
      <c r="AS585" s="48">
        <v>18</v>
      </c>
      <c r="AT585" s="48">
        <v>18</v>
      </c>
      <c r="AU585" s="48">
        <v>0</v>
      </c>
      <c r="AX585" s="215">
        <v>45471</v>
      </c>
      <c r="AY585" s="48">
        <v>4</v>
      </c>
      <c r="AZ585" s="48">
        <v>0</v>
      </c>
      <c r="BA585" s="48">
        <v>4</v>
      </c>
      <c r="BB585" s="48">
        <v>100</v>
      </c>
      <c r="BE585" s="215">
        <v>45471</v>
      </c>
      <c r="BF585" s="101">
        <v>21132</v>
      </c>
      <c r="BG585" s="101">
        <v>378</v>
      </c>
      <c r="BH585" s="101">
        <v>21510</v>
      </c>
      <c r="BI585" s="101">
        <v>98.24</v>
      </c>
      <c r="BL585" s="215">
        <v>45471</v>
      </c>
      <c r="BM585" s="101">
        <v>415234</v>
      </c>
      <c r="BN585" s="101">
        <v>2</v>
      </c>
      <c r="BO585" s="101">
        <v>415236</v>
      </c>
      <c r="BP585" s="101">
        <v>100</v>
      </c>
      <c r="BS585" s="215">
        <v>45471</v>
      </c>
      <c r="BT585" s="101">
        <v>6570</v>
      </c>
      <c r="BU585" s="101">
        <v>0</v>
      </c>
      <c r="BV585" s="101">
        <v>6570</v>
      </c>
      <c r="BW585" s="101">
        <v>100</v>
      </c>
      <c r="BZ585" s="215">
        <v>45471</v>
      </c>
      <c r="CA585" s="1">
        <v>33312739</v>
      </c>
      <c r="CB585" s="1">
        <v>2831441</v>
      </c>
      <c r="CC585" s="71">
        <f t="shared" si="128"/>
        <v>11.765295127110189</v>
      </c>
      <c r="CE585" s="258">
        <v>45471</v>
      </c>
      <c r="CF585" s="101">
        <v>11150294</v>
      </c>
      <c r="CG585" s="101">
        <v>7952</v>
      </c>
      <c r="CH585" s="101">
        <v>11158246</v>
      </c>
      <c r="CI585" s="101">
        <v>99.93</v>
      </c>
      <c r="CJ585" s="71">
        <f t="shared" si="132"/>
        <v>11.158246</v>
      </c>
      <c r="CL585" s="222">
        <v>45466</v>
      </c>
      <c r="CM585" s="1" t="s">
        <v>238</v>
      </c>
      <c r="CN585" s="101">
        <v>642</v>
      </c>
      <c r="CO585" s="101">
        <v>503</v>
      </c>
    </row>
    <row r="586" spans="1:93" hidden="1" x14ac:dyDescent="0.25">
      <c r="A586" s="215">
        <v>45472</v>
      </c>
      <c r="B586" s="101">
        <v>5722202</v>
      </c>
      <c r="C586" s="101">
        <v>2172</v>
      </c>
      <c r="D586" s="101">
        <v>5724374</v>
      </c>
      <c r="E586" s="101">
        <v>99.96</v>
      </c>
      <c r="F586" s="71">
        <f t="shared" si="130"/>
        <v>5.7243740000000001</v>
      </c>
      <c r="H586" s="215">
        <v>45472</v>
      </c>
      <c r="I586" s="101">
        <v>1249464</v>
      </c>
      <c r="J586" s="101">
        <v>1194</v>
      </c>
      <c r="K586" s="101">
        <v>1250658</v>
      </c>
      <c r="L586" s="101">
        <v>99.9</v>
      </c>
      <c r="M586" s="71">
        <f t="shared" si="129"/>
        <v>1.250658</v>
      </c>
      <c r="O586" s="215">
        <v>45472</v>
      </c>
      <c r="P586" s="101">
        <v>306970</v>
      </c>
      <c r="Q586" s="101">
        <v>12</v>
      </c>
      <c r="R586" s="101">
        <v>306982</v>
      </c>
      <c r="S586" s="101">
        <v>100</v>
      </c>
      <c r="T586" s="71">
        <f t="shared" si="131"/>
        <v>0.30698199999999998</v>
      </c>
      <c r="V586" s="215">
        <v>45472</v>
      </c>
      <c r="W586" s="101">
        <v>916198</v>
      </c>
      <c r="X586" s="101">
        <v>176</v>
      </c>
      <c r="Y586" s="101">
        <v>916374</v>
      </c>
      <c r="Z586" s="101">
        <v>99.98</v>
      </c>
      <c r="AA586" s="71">
        <f t="shared" ref="AA586:AA629" si="134">Y586/1000000</f>
        <v>0.91637400000000002</v>
      </c>
      <c r="AC586" s="215">
        <v>45472</v>
      </c>
      <c r="AD586" s="101">
        <v>789950</v>
      </c>
      <c r="AE586" s="101">
        <v>416</v>
      </c>
      <c r="AF586" s="101">
        <v>790366</v>
      </c>
      <c r="AG586" s="101">
        <v>99.95</v>
      </c>
      <c r="AH586" s="71">
        <f t="shared" si="133"/>
        <v>0.79036600000000001</v>
      </c>
      <c r="AJ586" s="215">
        <v>45472</v>
      </c>
      <c r="AK586" s="48">
        <v>0</v>
      </c>
      <c r="AL586" s="48">
        <v>20</v>
      </c>
      <c r="AM586" s="48">
        <v>20</v>
      </c>
      <c r="AN586" s="48">
        <v>0</v>
      </c>
      <c r="AQ586" s="215">
        <v>45472</v>
      </c>
      <c r="AR586" s="48">
        <v>0</v>
      </c>
      <c r="AS586" s="48">
        <v>16</v>
      </c>
      <c r="AT586" s="48">
        <v>16</v>
      </c>
      <c r="AU586" s="48">
        <v>0</v>
      </c>
      <c r="AX586" s="215">
        <v>45472</v>
      </c>
      <c r="AY586" s="48">
        <v>8</v>
      </c>
      <c r="AZ586" s="48">
        <v>0</v>
      </c>
      <c r="BA586" s="48">
        <v>8</v>
      </c>
      <c r="BB586" s="48">
        <v>100</v>
      </c>
      <c r="BE586" s="215">
        <v>45472</v>
      </c>
      <c r="BF586" s="101">
        <v>18312</v>
      </c>
      <c r="BG586" s="101">
        <v>304</v>
      </c>
      <c r="BH586" s="101">
        <v>18616</v>
      </c>
      <c r="BI586" s="101">
        <v>98.37</v>
      </c>
      <c r="BL586" s="215">
        <v>45472</v>
      </c>
      <c r="BM586" s="101">
        <v>312556</v>
      </c>
      <c r="BN586" s="101">
        <v>0</v>
      </c>
      <c r="BO586" s="101">
        <v>312556</v>
      </c>
      <c r="BP586" s="101">
        <v>100</v>
      </c>
      <c r="BS586" s="215">
        <v>45472</v>
      </c>
      <c r="BT586" s="101">
        <v>9108</v>
      </c>
      <c r="BU586" s="101">
        <v>0</v>
      </c>
      <c r="BV586" s="101">
        <v>9108</v>
      </c>
      <c r="BW586" s="101">
        <v>100</v>
      </c>
      <c r="BZ586" s="215">
        <v>45472</v>
      </c>
      <c r="CA586" s="1">
        <v>32751003</v>
      </c>
      <c r="CB586" s="1">
        <v>2694469</v>
      </c>
      <c r="CC586" s="71">
        <f t="shared" ref="CC586:CC629" si="135">CA586/CB586</f>
        <v>12.154900650183766</v>
      </c>
      <c r="CE586" s="258">
        <v>45472</v>
      </c>
      <c r="CF586" s="101">
        <v>10983784</v>
      </c>
      <c r="CG586" s="101">
        <v>7762</v>
      </c>
      <c r="CH586" s="101">
        <v>10991546</v>
      </c>
      <c r="CI586" s="101">
        <v>99.93</v>
      </c>
      <c r="CJ586" s="71">
        <f t="shared" si="132"/>
        <v>10.991546</v>
      </c>
      <c r="CL586" s="222">
        <v>45466</v>
      </c>
      <c r="CM586" s="1" t="s">
        <v>239</v>
      </c>
      <c r="CN586" s="101">
        <v>592</v>
      </c>
      <c r="CO586" s="101">
        <v>504</v>
      </c>
    </row>
    <row r="587" spans="1:93" hidden="1" x14ac:dyDescent="0.25">
      <c r="A587" s="215">
        <v>45473</v>
      </c>
      <c r="B587" s="101">
        <v>4912412</v>
      </c>
      <c r="C587" s="101">
        <v>3922</v>
      </c>
      <c r="D587" s="101">
        <v>4916334</v>
      </c>
      <c r="E587" s="101">
        <v>99.92</v>
      </c>
      <c r="F587" s="71">
        <f t="shared" si="130"/>
        <v>4.916334</v>
      </c>
      <c r="H587" s="215">
        <v>45473</v>
      </c>
      <c r="I587" s="101">
        <v>1243110</v>
      </c>
      <c r="J587" s="101">
        <v>1348</v>
      </c>
      <c r="K587" s="101">
        <v>1244458</v>
      </c>
      <c r="L587" s="101">
        <v>99.89</v>
      </c>
      <c r="M587" s="71">
        <f t="shared" si="129"/>
        <v>1.2444580000000001</v>
      </c>
      <c r="O587" s="215">
        <v>45473</v>
      </c>
      <c r="P587" s="101">
        <v>317322</v>
      </c>
      <c r="Q587" s="101">
        <v>14</v>
      </c>
      <c r="R587" s="101">
        <v>317336</v>
      </c>
      <c r="S587" s="101">
        <v>100</v>
      </c>
      <c r="T587" s="71">
        <f t="shared" si="131"/>
        <v>0.31733600000000001</v>
      </c>
      <c r="V587" s="215">
        <v>45473</v>
      </c>
      <c r="W587" s="101">
        <v>814520</v>
      </c>
      <c r="X587" s="101">
        <v>170</v>
      </c>
      <c r="Y587" s="101">
        <v>814690</v>
      </c>
      <c r="Z587" s="101">
        <v>99.98</v>
      </c>
      <c r="AA587" s="71">
        <f t="shared" si="134"/>
        <v>0.81469000000000003</v>
      </c>
      <c r="AC587" s="215">
        <v>45473</v>
      </c>
      <c r="AD587" s="101">
        <v>812582</v>
      </c>
      <c r="AE587" s="101">
        <v>62</v>
      </c>
      <c r="AF587" s="101">
        <v>812644</v>
      </c>
      <c r="AG587" s="101">
        <v>99.99</v>
      </c>
      <c r="AH587" s="71">
        <f t="shared" si="133"/>
        <v>0.81264400000000003</v>
      </c>
      <c r="AJ587" s="215">
        <v>45473</v>
      </c>
      <c r="AK587" s="48">
        <v>0</v>
      </c>
      <c r="AL587" s="48">
        <v>20</v>
      </c>
      <c r="AM587" s="48">
        <v>20</v>
      </c>
      <c r="AN587" s="48">
        <v>0</v>
      </c>
      <c r="AQ587" s="215">
        <v>45473</v>
      </c>
      <c r="AR587" s="48">
        <v>0</v>
      </c>
      <c r="AS587" s="48">
        <v>20</v>
      </c>
      <c r="AT587" s="48">
        <v>20</v>
      </c>
      <c r="AU587" s="48">
        <v>0</v>
      </c>
      <c r="AX587" s="215">
        <v>45473</v>
      </c>
      <c r="AY587" s="48">
        <v>4</v>
      </c>
      <c r="AZ587" s="48">
        <v>0</v>
      </c>
      <c r="BA587" s="48">
        <v>4</v>
      </c>
      <c r="BB587" s="48">
        <v>100</v>
      </c>
      <c r="BE587" s="215">
        <v>45473</v>
      </c>
      <c r="BF587" s="101">
        <v>16764</v>
      </c>
      <c r="BG587" s="101">
        <v>276</v>
      </c>
      <c r="BH587" s="101">
        <v>17040</v>
      </c>
      <c r="BI587" s="101">
        <v>98.38</v>
      </c>
      <c r="BL587" s="215">
        <v>45473</v>
      </c>
      <c r="BM587" s="101">
        <v>3140</v>
      </c>
      <c r="BN587" s="101">
        <v>0</v>
      </c>
      <c r="BO587" s="101">
        <v>3140</v>
      </c>
      <c r="BP587" s="101">
        <v>100</v>
      </c>
      <c r="BS587" s="215">
        <v>45473</v>
      </c>
      <c r="BT587" s="101">
        <v>11192</v>
      </c>
      <c r="BU587" s="101">
        <v>0</v>
      </c>
      <c r="BV587" s="101">
        <v>11192</v>
      </c>
      <c r="BW587" s="101">
        <v>100</v>
      </c>
      <c r="BZ587" s="215">
        <v>45473</v>
      </c>
      <c r="CA587" s="1">
        <v>29009294</v>
      </c>
      <c r="CB587" s="1">
        <v>1754453</v>
      </c>
      <c r="CC587" s="71">
        <f t="shared" si="135"/>
        <v>16.534665790420149</v>
      </c>
      <c r="CE587" s="258">
        <v>45473</v>
      </c>
      <c r="CF587" s="101">
        <v>9756920</v>
      </c>
      <c r="CG587" s="101">
        <v>9152</v>
      </c>
      <c r="CH587" s="101">
        <v>9766072</v>
      </c>
      <c r="CI587" s="101">
        <v>99.91</v>
      </c>
      <c r="CJ587" s="71">
        <f t="shared" si="132"/>
        <v>9.7660719999999994</v>
      </c>
      <c r="CL587" s="222">
        <v>45466</v>
      </c>
      <c r="CM587" s="1" t="s">
        <v>291</v>
      </c>
      <c r="CN587" s="101">
        <v>518</v>
      </c>
      <c r="CO587" s="101">
        <v>540</v>
      </c>
    </row>
    <row r="588" spans="1:93" hidden="1" x14ac:dyDescent="0.25">
      <c r="A588" s="215">
        <v>45474</v>
      </c>
      <c r="B588" s="101">
        <v>5720160</v>
      </c>
      <c r="C588" s="101">
        <v>2488</v>
      </c>
      <c r="D588" s="101">
        <v>5722648</v>
      </c>
      <c r="E588" s="101">
        <v>99.96</v>
      </c>
      <c r="F588" s="71">
        <f t="shared" si="130"/>
        <v>5.7226480000000004</v>
      </c>
      <c r="H588" s="215">
        <v>45474</v>
      </c>
      <c r="I588" s="101">
        <v>1358218</v>
      </c>
      <c r="J588" s="101">
        <v>1308</v>
      </c>
      <c r="K588" s="101">
        <v>1359526</v>
      </c>
      <c r="L588" s="101">
        <v>99.9</v>
      </c>
      <c r="M588" s="71">
        <f t="shared" si="129"/>
        <v>1.359526</v>
      </c>
      <c r="O588" s="215">
        <v>45474</v>
      </c>
      <c r="P588" s="101">
        <v>330404</v>
      </c>
      <c r="Q588" s="101">
        <v>64</v>
      </c>
      <c r="R588" s="101">
        <v>330468</v>
      </c>
      <c r="S588" s="101">
        <v>99.98</v>
      </c>
      <c r="T588" s="71">
        <f t="shared" si="131"/>
        <v>0.33046799999999998</v>
      </c>
      <c r="V588" s="215">
        <v>45474</v>
      </c>
      <c r="W588" s="101">
        <v>940958</v>
      </c>
      <c r="X588" s="101">
        <v>188</v>
      </c>
      <c r="Y588" s="101">
        <v>941146</v>
      </c>
      <c r="Z588" s="101">
        <v>99.98</v>
      </c>
      <c r="AA588" s="71">
        <f t="shared" si="134"/>
        <v>0.94114600000000004</v>
      </c>
      <c r="AC588" s="215">
        <v>45474</v>
      </c>
      <c r="AD588" s="101">
        <v>738206</v>
      </c>
      <c r="AE588" s="101">
        <v>110</v>
      </c>
      <c r="AF588" s="101">
        <v>738316</v>
      </c>
      <c r="AG588" s="101">
        <v>99.99</v>
      </c>
      <c r="AH588" s="71">
        <f t="shared" si="133"/>
        <v>0.73831599999999997</v>
      </c>
      <c r="AJ588" s="215">
        <v>45474</v>
      </c>
      <c r="AK588" s="48">
        <v>0</v>
      </c>
      <c r="AL588" s="48">
        <v>6</v>
      </c>
      <c r="AM588" s="48">
        <v>6</v>
      </c>
      <c r="AN588" s="48">
        <v>0</v>
      </c>
      <c r="AQ588" s="215">
        <v>45474</v>
      </c>
      <c r="AR588" s="48">
        <v>0</v>
      </c>
      <c r="AS588" s="48">
        <v>4</v>
      </c>
      <c r="AT588" s="48">
        <v>4</v>
      </c>
      <c r="AU588" s="48">
        <v>0</v>
      </c>
      <c r="AX588" s="215">
        <v>45474</v>
      </c>
      <c r="AY588" s="48">
        <v>10</v>
      </c>
      <c r="AZ588" s="48">
        <v>0</v>
      </c>
      <c r="BA588" s="48">
        <v>10</v>
      </c>
      <c r="BB588" s="48">
        <v>100</v>
      </c>
      <c r="BE588" s="215">
        <v>45474</v>
      </c>
      <c r="BF588" s="101">
        <v>19052</v>
      </c>
      <c r="BG588" s="101">
        <v>266</v>
      </c>
      <c r="BH588" s="101">
        <v>19318</v>
      </c>
      <c r="BI588" s="101">
        <v>98.62</v>
      </c>
      <c r="BL588" s="215">
        <v>45474</v>
      </c>
      <c r="BM588" s="101">
        <v>255008</v>
      </c>
      <c r="BN588" s="101">
        <v>0</v>
      </c>
      <c r="BO588" s="101">
        <v>255008</v>
      </c>
      <c r="BP588" s="101">
        <v>100</v>
      </c>
      <c r="BS588" s="215">
        <v>45474</v>
      </c>
      <c r="BT588" s="101">
        <v>11544</v>
      </c>
      <c r="BU588" s="101">
        <v>0</v>
      </c>
      <c r="BV588" s="101">
        <v>11544</v>
      </c>
      <c r="BW588" s="101">
        <v>100</v>
      </c>
      <c r="BZ588" s="215">
        <v>45474</v>
      </c>
      <c r="CA588" s="1">
        <v>33145202</v>
      </c>
      <c r="CB588" s="1">
        <v>2549382</v>
      </c>
      <c r="CC588" s="71">
        <f t="shared" si="135"/>
        <v>13.001269327233031</v>
      </c>
      <c r="CE588" s="258">
        <v>45474</v>
      </c>
      <c r="CF588" s="101">
        <v>11134050</v>
      </c>
      <c r="CG588" s="101">
        <v>8110</v>
      </c>
      <c r="CH588" s="101">
        <v>11142160</v>
      </c>
      <c r="CI588" s="101">
        <v>99.93</v>
      </c>
      <c r="CJ588" s="71">
        <f t="shared" si="132"/>
        <v>11.142160000000001</v>
      </c>
    </row>
    <row r="589" spans="1:93" hidden="1" x14ac:dyDescent="0.25">
      <c r="A589" s="215">
        <v>45475</v>
      </c>
      <c r="B589" s="101">
        <v>5646904</v>
      </c>
      <c r="C589" s="101">
        <v>2060</v>
      </c>
      <c r="D589" s="101">
        <v>5648964</v>
      </c>
      <c r="E589" s="101">
        <v>99.96</v>
      </c>
      <c r="F589" s="71">
        <f t="shared" si="130"/>
        <v>5.6489640000000003</v>
      </c>
      <c r="H589" s="215">
        <v>45475</v>
      </c>
      <c r="I589" s="101">
        <v>1414182</v>
      </c>
      <c r="J589" s="101">
        <v>1390</v>
      </c>
      <c r="K589" s="101">
        <v>1415572</v>
      </c>
      <c r="L589" s="101">
        <v>99.9</v>
      </c>
      <c r="M589" s="71">
        <f t="shared" si="129"/>
        <v>1.4155720000000001</v>
      </c>
      <c r="O589" s="224">
        <v>45475</v>
      </c>
      <c r="P589" s="173">
        <v>319084</v>
      </c>
      <c r="Q589" s="173">
        <v>10</v>
      </c>
      <c r="R589" s="173">
        <v>319094</v>
      </c>
      <c r="S589" s="173">
        <v>100</v>
      </c>
      <c r="T589" s="208">
        <f t="shared" si="131"/>
        <v>0.31909399999999999</v>
      </c>
      <c r="V589" s="215">
        <v>45475</v>
      </c>
      <c r="W589" s="101">
        <v>949240</v>
      </c>
      <c r="X589" s="101">
        <v>190</v>
      </c>
      <c r="Y589" s="101">
        <v>949430</v>
      </c>
      <c r="Z589" s="101">
        <v>99.98</v>
      </c>
      <c r="AA589" s="71">
        <f t="shared" si="134"/>
        <v>0.94943</v>
      </c>
      <c r="AC589" s="215">
        <v>45475</v>
      </c>
      <c r="AD589" s="101">
        <v>751556</v>
      </c>
      <c r="AE589" s="101">
        <v>112</v>
      </c>
      <c r="AF589" s="101">
        <v>751668</v>
      </c>
      <c r="AG589" s="101">
        <v>99.99</v>
      </c>
      <c r="AH589" s="71">
        <f t="shared" si="133"/>
        <v>0.751668</v>
      </c>
      <c r="AJ589" s="215">
        <v>45475</v>
      </c>
      <c r="AK589" s="48">
        <v>0</v>
      </c>
      <c r="AL589" s="48">
        <v>10</v>
      </c>
      <c r="AM589" s="48">
        <v>10</v>
      </c>
      <c r="AN589" s="48">
        <v>0</v>
      </c>
      <c r="AQ589" s="215">
        <v>45475</v>
      </c>
      <c r="AR589" s="48">
        <v>0</v>
      </c>
      <c r="AS589" s="48">
        <v>10</v>
      </c>
      <c r="AT589" s="48">
        <v>10</v>
      </c>
      <c r="AU589" s="48">
        <v>0</v>
      </c>
      <c r="AX589" s="215">
        <v>45475</v>
      </c>
      <c r="AY589" s="48">
        <v>4</v>
      </c>
      <c r="AZ589" s="48">
        <v>0</v>
      </c>
      <c r="BA589" s="48">
        <v>4</v>
      </c>
      <c r="BB589" s="48">
        <v>100</v>
      </c>
      <c r="BE589" s="215">
        <v>45475</v>
      </c>
      <c r="BF589" s="101">
        <v>20128</v>
      </c>
      <c r="BG589" s="101">
        <v>202</v>
      </c>
      <c r="BH589" s="101">
        <v>20330</v>
      </c>
      <c r="BI589" s="101">
        <v>99.01</v>
      </c>
      <c r="BL589" s="215">
        <v>45475</v>
      </c>
      <c r="BM589" s="101">
        <v>237290</v>
      </c>
      <c r="BN589" s="101">
        <v>0</v>
      </c>
      <c r="BO589" s="101">
        <v>237290</v>
      </c>
      <c r="BP589" s="101">
        <v>100</v>
      </c>
      <c r="BS589" s="215">
        <v>45475</v>
      </c>
      <c r="BT589" s="101">
        <v>7718</v>
      </c>
      <c r="BU589" s="101">
        <v>0</v>
      </c>
      <c r="BV589" s="101">
        <v>7718</v>
      </c>
      <c r="BW589" s="101">
        <v>100</v>
      </c>
      <c r="BZ589" s="215">
        <v>45475</v>
      </c>
      <c r="CA589" s="1">
        <v>32854071</v>
      </c>
      <c r="CB589" s="1">
        <v>2541549</v>
      </c>
      <c r="CC589" s="71">
        <f t="shared" si="135"/>
        <v>12.926790315669695</v>
      </c>
      <c r="CE589" s="258">
        <v>45475</v>
      </c>
      <c r="CF589" s="101">
        <v>11017490</v>
      </c>
      <c r="CG589" s="101">
        <v>8108</v>
      </c>
      <c r="CH589" s="101">
        <v>11025598</v>
      </c>
      <c r="CI589" s="101">
        <v>99.93</v>
      </c>
      <c r="CJ589" s="71">
        <f t="shared" si="132"/>
        <v>11.025598</v>
      </c>
      <c r="CL589" s="222">
        <v>45467</v>
      </c>
      <c r="CM589" s="1" t="s">
        <v>237</v>
      </c>
      <c r="CN589" s="101">
        <v>2138</v>
      </c>
      <c r="CO589" s="101">
        <v>527</v>
      </c>
    </row>
    <row r="590" spans="1:93" hidden="1" x14ac:dyDescent="0.25">
      <c r="A590" s="224">
        <v>45476</v>
      </c>
      <c r="B590" s="173">
        <v>5289140</v>
      </c>
      <c r="C590" s="173">
        <v>2158</v>
      </c>
      <c r="D590" s="173">
        <v>5291298</v>
      </c>
      <c r="E590" s="173">
        <v>99.96</v>
      </c>
      <c r="F590" s="208">
        <f t="shared" si="130"/>
        <v>5.2912980000000003</v>
      </c>
      <c r="H590" s="224">
        <v>45476</v>
      </c>
      <c r="I590" s="173">
        <v>1143594</v>
      </c>
      <c r="J590" s="173">
        <v>1260</v>
      </c>
      <c r="K590" s="173">
        <v>1144854</v>
      </c>
      <c r="L590" s="173">
        <v>99.89</v>
      </c>
      <c r="M590" s="208">
        <f t="shared" si="129"/>
        <v>1.144854</v>
      </c>
      <c r="O590" s="215">
        <v>45476</v>
      </c>
      <c r="P590" s="104">
        <v>285966</v>
      </c>
      <c r="Q590" s="104">
        <v>4</v>
      </c>
      <c r="R590" s="104">
        <v>285970</v>
      </c>
      <c r="S590" s="104">
        <v>100</v>
      </c>
      <c r="T590" s="71">
        <f t="shared" si="131"/>
        <v>0.28597</v>
      </c>
      <c r="V590" s="215">
        <v>45476</v>
      </c>
      <c r="W590" s="101">
        <v>857930</v>
      </c>
      <c r="X590" s="101">
        <v>182</v>
      </c>
      <c r="Y590" s="101">
        <v>858112</v>
      </c>
      <c r="Z590" s="101">
        <v>99.98</v>
      </c>
      <c r="AA590" s="71">
        <f t="shared" si="134"/>
        <v>0.85811199999999999</v>
      </c>
      <c r="AC590" s="215">
        <v>45476</v>
      </c>
      <c r="AD590" s="101">
        <v>793454</v>
      </c>
      <c r="AE590" s="101">
        <v>64</v>
      </c>
      <c r="AF590" s="101">
        <v>793518</v>
      </c>
      <c r="AG590" s="101">
        <v>99.99</v>
      </c>
      <c r="AH590" s="71">
        <f t="shared" si="133"/>
        <v>0.79351799999999995</v>
      </c>
      <c r="AJ590" s="215">
        <v>45476</v>
      </c>
      <c r="AK590" s="48">
        <v>0</v>
      </c>
      <c r="AL590" s="48">
        <v>10</v>
      </c>
      <c r="AM590" s="48">
        <v>10</v>
      </c>
      <c r="AN590" s="48">
        <v>0</v>
      </c>
      <c r="AQ590" s="215">
        <v>45476</v>
      </c>
      <c r="AR590" s="48">
        <v>0</v>
      </c>
      <c r="AS590" s="48">
        <v>14</v>
      </c>
      <c r="AT590" s="48">
        <v>14</v>
      </c>
      <c r="AU590" s="48">
        <v>0</v>
      </c>
      <c r="AX590" s="215">
        <v>45476</v>
      </c>
      <c r="AY590" s="48">
        <v>14</v>
      </c>
      <c r="AZ590" s="48">
        <v>0</v>
      </c>
      <c r="BA590" s="48">
        <v>14</v>
      </c>
      <c r="BB590" s="48">
        <v>100</v>
      </c>
      <c r="BE590" s="215">
        <v>45476</v>
      </c>
      <c r="BF590" s="101">
        <v>17622</v>
      </c>
      <c r="BG590" s="101">
        <v>276</v>
      </c>
      <c r="BH590" s="101">
        <v>17898</v>
      </c>
      <c r="BI590" s="101">
        <v>98.46</v>
      </c>
      <c r="BL590" s="215">
        <v>45476</v>
      </c>
      <c r="BM590" s="101">
        <v>254320</v>
      </c>
      <c r="BN590" s="101">
        <v>0</v>
      </c>
      <c r="BO590" s="101">
        <v>254320</v>
      </c>
      <c r="BP590" s="101">
        <v>100</v>
      </c>
      <c r="BS590" s="215">
        <v>45476</v>
      </c>
      <c r="BT590" s="101">
        <v>6240</v>
      </c>
      <c r="BU590" s="101">
        <v>0</v>
      </c>
      <c r="BV590" s="101">
        <v>6240</v>
      </c>
      <c r="BW590" s="101">
        <v>100</v>
      </c>
      <c r="BZ590" s="215">
        <v>45476</v>
      </c>
      <c r="CA590" s="1">
        <v>30423114</v>
      </c>
      <c r="CB590" s="1">
        <v>2400478</v>
      </c>
      <c r="CC590" s="71">
        <f t="shared" si="135"/>
        <v>12.673773306816392</v>
      </c>
      <c r="CE590" s="258">
        <v>45476</v>
      </c>
      <c r="CF590" s="101">
        <v>10206136</v>
      </c>
      <c r="CG590" s="101">
        <v>7156</v>
      </c>
      <c r="CH590" s="101">
        <v>10213292</v>
      </c>
      <c r="CI590" s="101">
        <v>99.93</v>
      </c>
      <c r="CJ590" s="71">
        <f t="shared" si="132"/>
        <v>10.213291999999999</v>
      </c>
      <c r="CL590" s="222">
        <v>45467</v>
      </c>
      <c r="CM590" s="1" t="s">
        <v>240</v>
      </c>
      <c r="CN590" s="101">
        <v>1948</v>
      </c>
      <c r="CO590" s="101">
        <v>516</v>
      </c>
    </row>
    <row r="591" spans="1:93" hidden="1" x14ac:dyDescent="0.25">
      <c r="A591" s="215">
        <v>45477</v>
      </c>
      <c r="B591" s="104">
        <v>5494016</v>
      </c>
      <c r="C591" s="104">
        <v>2244</v>
      </c>
      <c r="D591" s="104">
        <v>5496260</v>
      </c>
      <c r="E591" s="104">
        <v>99.96</v>
      </c>
      <c r="F591" s="71">
        <f t="shared" si="130"/>
        <v>5.4962600000000004</v>
      </c>
      <c r="H591" s="215">
        <v>45477</v>
      </c>
      <c r="I591" s="104">
        <v>1217196</v>
      </c>
      <c r="J591" s="104">
        <v>1178</v>
      </c>
      <c r="K591" s="104">
        <v>1218374</v>
      </c>
      <c r="L591" s="104">
        <v>99.9</v>
      </c>
      <c r="M591" s="71">
        <f t="shared" si="129"/>
        <v>1.2183740000000001</v>
      </c>
      <c r="O591" s="215">
        <v>45477</v>
      </c>
      <c r="P591" s="104">
        <v>304914</v>
      </c>
      <c r="Q591" s="104">
        <v>8</v>
      </c>
      <c r="R591" s="104">
        <v>304922</v>
      </c>
      <c r="S591" s="104">
        <v>100</v>
      </c>
      <c r="T591" s="71">
        <f t="shared" si="131"/>
        <v>0.30492200000000003</v>
      </c>
      <c r="V591" s="215">
        <v>45477</v>
      </c>
      <c r="W591" s="173">
        <v>883932</v>
      </c>
      <c r="X591" s="173">
        <v>174</v>
      </c>
      <c r="Y591" s="173">
        <v>884106</v>
      </c>
      <c r="Z591" s="173">
        <v>99.98</v>
      </c>
      <c r="AA591" s="71">
        <f t="shared" si="134"/>
        <v>0.88410599999999995</v>
      </c>
      <c r="AC591" s="215">
        <v>45477</v>
      </c>
      <c r="AD591" s="173">
        <v>802168</v>
      </c>
      <c r="AE591" s="173">
        <v>306</v>
      </c>
      <c r="AF591" s="173">
        <v>802474</v>
      </c>
      <c r="AG591" s="173">
        <v>99.96</v>
      </c>
      <c r="AH591" s="71">
        <f t="shared" si="133"/>
        <v>0.80247400000000002</v>
      </c>
      <c r="AJ591" s="215">
        <v>45477</v>
      </c>
      <c r="AK591" s="48">
        <v>0</v>
      </c>
      <c r="AL591" s="48">
        <v>8</v>
      </c>
      <c r="AM591" s="48">
        <v>8</v>
      </c>
      <c r="AN591" s="48">
        <v>0</v>
      </c>
      <c r="AQ591" s="215">
        <v>45477</v>
      </c>
      <c r="AR591" s="48">
        <v>0</v>
      </c>
      <c r="AS591" s="48">
        <v>26</v>
      </c>
      <c r="AT591" s="48">
        <v>26</v>
      </c>
      <c r="AU591" s="48">
        <v>0</v>
      </c>
      <c r="AX591" s="215">
        <v>45477</v>
      </c>
      <c r="AY591" s="48">
        <v>6</v>
      </c>
      <c r="AZ591" s="48">
        <v>0</v>
      </c>
      <c r="BA591" s="48">
        <v>6</v>
      </c>
      <c r="BB591" s="48">
        <v>100</v>
      </c>
      <c r="BE591" s="215">
        <v>45477</v>
      </c>
      <c r="BF591" s="173">
        <v>17826</v>
      </c>
      <c r="BG591" s="173">
        <v>160</v>
      </c>
      <c r="BH591" s="173">
        <v>17986</v>
      </c>
      <c r="BI591" s="173">
        <v>99.11</v>
      </c>
      <c r="BL591" s="215">
        <v>45477</v>
      </c>
      <c r="BM591" s="173">
        <v>238064</v>
      </c>
      <c r="BN591" s="173">
        <v>0</v>
      </c>
      <c r="BO591" s="173">
        <v>238064</v>
      </c>
      <c r="BP591" s="101">
        <v>100</v>
      </c>
      <c r="BS591" s="215">
        <v>45477</v>
      </c>
      <c r="BT591" s="173">
        <v>6854</v>
      </c>
      <c r="BU591" s="173">
        <v>8</v>
      </c>
      <c r="BV591" s="173">
        <v>6862</v>
      </c>
      <c r="BW591" s="101">
        <v>99.88</v>
      </c>
      <c r="BZ591" s="215">
        <v>45477</v>
      </c>
      <c r="CA591" s="1">
        <v>31772567</v>
      </c>
      <c r="CB591" s="1">
        <v>2484642</v>
      </c>
      <c r="CC591" s="71">
        <f t="shared" si="135"/>
        <v>12.787583482851856</v>
      </c>
      <c r="CE591" s="258">
        <v>45477</v>
      </c>
      <c r="CF591" s="101">
        <v>10623934</v>
      </c>
      <c r="CG591" s="101">
        <v>7430</v>
      </c>
      <c r="CH591" s="101">
        <v>10631364</v>
      </c>
      <c r="CI591" s="101">
        <v>99.93</v>
      </c>
      <c r="CJ591" s="71">
        <f t="shared" si="132"/>
        <v>10.631364</v>
      </c>
      <c r="CL591" s="222">
        <v>45467</v>
      </c>
      <c r="CM591" s="1" t="s">
        <v>238</v>
      </c>
      <c r="CN591" s="101">
        <v>686</v>
      </c>
      <c r="CO591" s="101">
        <v>503</v>
      </c>
    </row>
    <row r="592" spans="1:93" hidden="1" x14ac:dyDescent="0.25">
      <c r="A592" s="215">
        <v>45478</v>
      </c>
      <c r="B592" s="48">
        <v>5757554</v>
      </c>
      <c r="C592" s="48">
        <v>1970</v>
      </c>
      <c r="D592" s="48">
        <v>5759524</v>
      </c>
      <c r="E592" s="48">
        <v>99.97</v>
      </c>
      <c r="F592" s="71">
        <f t="shared" si="130"/>
        <v>5.7595239999999999</v>
      </c>
      <c r="H592" s="215">
        <v>45478</v>
      </c>
      <c r="I592" s="48">
        <v>1288096</v>
      </c>
      <c r="J592" s="48">
        <v>1200</v>
      </c>
      <c r="K592" s="48">
        <v>1289296</v>
      </c>
      <c r="L592" s="48">
        <v>99.91</v>
      </c>
      <c r="M592" s="71">
        <f t="shared" si="129"/>
        <v>1.289296</v>
      </c>
      <c r="O592" s="215">
        <v>45478</v>
      </c>
      <c r="P592" s="48">
        <v>294704</v>
      </c>
      <c r="Q592" s="48">
        <v>4</v>
      </c>
      <c r="R592" s="48">
        <v>294708</v>
      </c>
      <c r="S592" s="104">
        <v>100</v>
      </c>
      <c r="T592" s="71">
        <f t="shared" si="131"/>
        <v>0.29470800000000003</v>
      </c>
      <c r="V592" s="215">
        <v>45478</v>
      </c>
      <c r="W592" s="48">
        <v>973864</v>
      </c>
      <c r="X592" s="48">
        <v>160</v>
      </c>
      <c r="Y592" s="48">
        <v>974024</v>
      </c>
      <c r="Z592" s="48">
        <v>99.98</v>
      </c>
      <c r="AA592" s="71">
        <f t="shared" si="134"/>
        <v>0.974024</v>
      </c>
      <c r="AC592" s="215">
        <v>45478</v>
      </c>
      <c r="AD592" s="48">
        <v>784146</v>
      </c>
      <c r="AE592" s="48">
        <v>60</v>
      </c>
      <c r="AF592" s="48">
        <v>784206</v>
      </c>
      <c r="AG592" s="48">
        <v>99.99</v>
      </c>
      <c r="AH592" s="71">
        <f t="shared" si="133"/>
        <v>0.78420599999999996</v>
      </c>
      <c r="AJ592" s="215">
        <v>45478</v>
      </c>
      <c r="AK592" s="48">
        <v>0</v>
      </c>
      <c r="AL592" s="48">
        <v>28</v>
      </c>
      <c r="AM592" s="48">
        <v>28</v>
      </c>
      <c r="AN592" s="48">
        <v>0</v>
      </c>
      <c r="AQ592" s="215">
        <v>45478</v>
      </c>
      <c r="AR592" s="48">
        <v>0</v>
      </c>
      <c r="AS592" s="48">
        <v>14</v>
      </c>
      <c r="AT592" s="48">
        <v>14</v>
      </c>
      <c r="AU592" s="48">
        <v>0</v>
      </c>
      <c r="AX592" s="215">
        <v>45478</v>
      </c>
      <c r="AY592" s="48">
        <v>6</v>
      </c>
      <c r="AZ592" s="48">
        <v>0</v>
      </c>
      <c r="BA592" s="48">
        <v>6</v>
      </c>
      <c r="BB592" s="48">
        <v>100</v>
      </c>
      <c r="BE592" s="215">
        <v>45478</v>
      </c>
      <c r="BF592" s="48">
        <v>19962</v>
      </c>
      <c r="BG592" s="48">
        <v>192</v>
      </c>
      <c r="BH592" s="48">
        <v>20154</v>
      </c>
      <c r="BI592" s="48">
        <v>99.05</v>
      </c>
      <c r="BL592" s="215">
        <v>45478</v>
      </c>
      <c r="BM592" s="48">
        <v>237264</v>
      </c>
      <c r="BN592" s="104">
        <v>0</v>
      </c>
      <c r="BO592" s="48">
        <v>237264</v>
      </c>
      <c r="BP592" s="103">
        <v>100</v>
      </c>
      <c r="BS592" s="215">
        <v>45478</v>
      </c>
      <c r="BT592" s="48">
        <v>55558</v>
      </c>
      <c r="BU592" s="104">
        <v>0</v>
      </c>
      <c r="BV592" s="48">
        <v>55558</v>
      </c>
      <c r="BW592" s="103">
        <v>100</v>
      </c>
      <c r="BZ592" s="215">
        <v>45478</v>
      </c>
      <c r="CA592" s="1">
        <v>32813175</v>
      </c>
      <c r="CB592" s="1">
        <v>2480934</v>
      </c>
      <c r="CC592" s="71">
        <f t="shared" si="135"/>
        <v>13.226137817451008</v>
      </c>
      <c r="CE592" s="258">
        <v>45478</v>
      </c>
      <c r="CF592" s="101">
        <v>11118494</v>
      </c>
      <c r="CG592" s="101">
        <v>7052</v>
      </c>
      <c r="CH592" s="101">
        <v>11125546</v>
      </c>
      <c r="CI592" s="101">
        <v>99.94</v>
      </c>
      <c r="CJ592" s="71">
        <f t="shared" si="132"/>
        <v>11.125546</v>
      </c>
      <c r="CL592" s="222">
        <v>45467</v>
      </c>
      <c r="CM592" s="1" t="s">
        <v>239</v>
      </c>
      <c r="CN592" s="101">
        <v>658</v>
      </c>
      <c r="CO592" s="101">
        <v>504</v>
      </c>
    </row>
    <row r="593" spans="1:93" hidden="1" x14ac:dyDescent="0.25">
      <c r="A593" s="215">
        <v>45479</v>
      </c>
      <c r="B593" s="48">
        <v>5424994</v>
      </c>
      <c r="C593" s="48">
        <v>3254</v>
      </c>
      <c r="D593" s="48">
        <v>5428248</v>
      </c>
      <c r="E593" s="48">
        <v>99.94</v>
      </c>
      <c r="F593" s="71">
        <f t="shared" si="130"/>
        <v>5.428248</v>
      </c>
      <c r="H593" s="215">
        <v>45479</v>
      </c>
      <c r="I593" s="48">
        <v>1204540</v>
      </c>
      <c r="J593" s="48">
        <v>1074</v>
      </c>
      <c r="K593" s="48">
        <v>1205614</v>
      </c>
      <c r="L593" s="48">
        <v>99.91</v>
      </c>
      <c r="M593" s="71">
        <f t="shared" si="129"/>
        <v>1.205614</v>
      </c>
      <c r="O593" s="215">
        <v>45479</v>
      </c>
      <c r="P593" s="48">
        <v>279684</v>
      </c>
      <c r="Q593" s="48">
        <v>10</v>
      </c>
      <c r="R593" s="48">
        <v>279694</v>
      </c>
      <c r="S593" s="104">
        <v>100</v>
      </c>
      <c r="T593" s="71">
        <f t="shared" si="131"/>
        <v>0.279694</v>
      </c>
      <c r="V593" s="215">
        <v>45479</v>
      </c>
      <c r="W593" s="48">
        <v>904574</v>
      </c>
      <c r="X593" s="48">
        <v>190</v>
      </c>
      <c r="Y593" s="48">
        <v>904764</v>
      </c>
      <c r="Z593" s="48">
        <v>99.98</v>
      </c>
      <c r="AA593" s="71">
        <f t="shared" si="134"/>
        <v>0.90476400000000001</v>
      </c>
      <c r="AC593" s="215">
        <v>45479</v>
      </c>
      <c r="AD593" s="48">
        <v>805628</v>
      </c>
      <c r="AE593" s="48">
        <v>3314</v>
      </c>
      <c r="AF593" s="48">
        <v>808942</v>
      </c>
      <c r="AG593" s="48">
        <v>99.59</v>
      </c>
      <c r="AH593" s="71">
        <f t="shared" si="133"/>
        <v>0.80894200000000005</v>
      </c>
      <c r="AJ593" s="215">
        <v>45479</v>
      </c>
      <c r="AK593" s="48">
        <v>0</v>
      </c>
      <c r="AL593" s="48">
        <v>8</v>
      </c>
      <c r="AM593" s="48">
        <v>8</v>
      </c>
      <c r="AN593" s="48">
        <v>0</v>
      </c>
      <c r="AQ593" s="215">
        <v>45479</v>
      </c>
      <c r="AR593" s="48">
        <v>0</v>
      </c>
      <c r="AS593" s="48">
        <v>22</v>
      </c>
      <c r="AT593" s="48">
        <v>22</v>
      </c>
      <c r="AU593" s="48">
        <v>0</v>
      </c>
      <c r="AX593" s="215">
        <v>45479</v>
      </c>
      <c r="AY593" s="48">
        <v>4</v>
      </c>
      <c r="AZ593" s="48">
        <v>0</v>
      </c>
      <c r="BA593" s="48">
        <v>4</v>
      </c>
      <c r="BB593" s="48">
        <v>100</v>
      </c>
      <c r="BE593" s="215">
        <v>45479</v>
      </c>
      <c r="BF593" s="48">
        <v>26330</v>
      </c>
      <c r="BG593" s="48">
        <v>334</v>
      </c>
      <c r="BH593" s="48">
        <v>26664</v>
      </c>
      <c r="BI593" s="48">
        <v>98.75</v>
      </c>
      <c r="BL593" s="215">
        <v>45479</v>
      </c>
      <c r="BM593" s="48">
        <v>236750</v>
      </c>
      <c r="BN593" s="104">
        <v>0</v>
      </c>
      <c r="BO593" s="48">
        <v>236750</v>
      </c>
      <c r="BP593" s="103">
        <v>100</v>
      </c>
      <c r="BS593" s="215">
        <v>45479</v>
      </c>
      <c r="BT593" s="48">
        <v>15008</v>
      </c>
      <c r="BU593" s="104">
        <v>0</v>
      </c>
      <c r="BV593" s="48">
        <v>15008</v>
      </c>
      <c r="BW593" s="103">
        <v>100</v>
      </c>
      <c r="BZ593" s="215">
        <v>45479</v>
      </c>
      <c r="CA593" s="1">
        <v>31292245</v>
      </c>
      <c r="CB593" s="1">
        <v>2443787</v>
      </c>
      <c r="CC593" s="71">
        <f t="shared" si="135"/>
        <v>12.804816868245883</v>
      </c>
      <c r="CE593" s="258">
        <v>45479</v>
      </c>
      <c r="CF593" s="101">
        <v>10553938</v>
      </c>
      <c r="CG593" s="101">
        <v>11902</v>
      </c>
      <c r="CH593" s="101">
        <v>10565840</v>
      </c>
      <c r="CI593" s="101">
        <v>99.89</v>
      </c>
      <c r="CJ593" s="71">
        <f t="shared" si="132"/>
        <v>10.56584</v>
      </c>
      <c r="CL593" s="222">
        <v>45467</v>
      </c>
      <c r="CM593" s="1" t="s">
        <v>291</v>
      </c>
      <c r="CN593" s="101">
        <v>562</v>
      </c>
      <c r="CO593" s="101">
        <v>540</v>
      </c>
    </row>
    <row r="594" spans="1:93" hidden="1" x14ac:dyDescent="0.25">
      <c r="A594" s="215">
        <v>45480</v>
      </c>
      <c r="B594" s="48">
        <v>4531104</v>
      </c>
      <c r="C594" s="48">
        <v>1706</v>
      </c>
      <c r="D594" s="48">
        <v>4532810</v>
      </c>
      <c r="E594" s="48">
        <v>99.96</v>
      </c>
      <c r="F594" s="71">
        <f t="shared" si="130"/>
        <v>4.5328099999999996</v>
      </c>
      <c r="H594" s="215">
        <v>45480</v>
      </c>
      <c r="I594" s="48">
        <v>1134730</v>
      </c>
      <c r="J594" s="48">
        <v>1108</v>
      </c>
      <c r="K594" s="48">
        <v>1135838</v>
      </c>
      <c r="L594" s="48">
        <v>99.9</v>
      </c>
      <c r="M594" s="71">
        <f t="shared" ref="M594:M629" si="136">K594/1000000</f>
        <v>1.1358379999999999</v>
      </c>
      <c r="O594" s="215">
        <v>45480</v>
      </c>
      <c r="P594" s="48">
        <v>282462</v>
      </c>
      <c r="Q594" s="48">
        <v>14</v>
      </c>
      <c r="R594" s="48">
        <v>282476</v>
      </c>
      <c r="S594" s="104">
        <v>100</v>
      </c>
      <c r="T594" s="71">
        <f t="shared" si="131"/>
        <v>0.282476</v>
      </c>
      <c r="V594" s="215">
        <v>45480</v>
      </c>
      <c r="W594" s="48">
        <v>855472</v>
      </c>
      <c r="X594" s="48">
        <v>164</v>
      </c>
      <c r="Y594" s="48">
        <v>855636</v>
      </c>
      <c r="Z594" s="48">
        <v>99.98</v>
      </c>
      <c r="AA594" s="71">
        <f t="shared" si="134"/>
        <v>0.85563599999999995</v>
      </c>
      <c r="AC594" s="215">
        <v>45480</v>
      </c>
      <c r="AD594" s="48">
        <v>790598</v>
      </c>
      <c r="AE594" s="48">
        <v>416</v>
      </c>
      <c r="AF594" s="48">
        <v>791014</v>
      </c>
      <c r="AG594" s="48">
        <v>99.95</v>
      </c>
      <c r="AH594" s="71">
        <f t="shared" si="133"/>
        <v>0.79101399999999999</v>
      </c>
      <c r="AJ594" s="215">
        <v>45480</v>
      </c>
      <c r="AK594" s="48">
        <v>0</v>
      </c>
      <c r="AL594" s="48">
        <v>12</v>
      </c>
      <c r="AM594" s="48">
        <v>12</v>
      </c>
      <c r="AN594" s="48">
        <v>0</v>
      </c>
      <c r="AQ594" s="215">
        <v>45480</v>
      </c>
      <c r="AR594" s="48">
        <v>0</v>
      </c>
      <c r="AS594" s="48">
        <v>12</v>
      </c>
      <c r="AT594" s="48">
        <v>12</v>
      </c>
      <c r="AU594" s="48">
        <v>0</v>
      </c>
      <c r="AX594" s="215">
        <v>45480</v>
      </c>
      <c r="AY594" s="48">
        <v>2</v>
      </c>
      <c r="AZ594" s="48">
        <v>0</v>
      </c>
      <c r="BA594" s="48">
        <v>2</v>
      </c>
      <c r="BB594" s="48">
        <v>100</v>
      </c>
      <c r="BE594" s="215">
        <v>45480</v>
      </c>
      <c r="BF594" s="48">
        <v>18146</v>
      </c>
      <c r="BG594" s="48">
        <v>202</v>
      </c>
      <c r="BH594" s="48">
        <v>18348</v>
      </c>
      <c r="BI594" s="48">
        <v>98.9</v>
      </c>
      <c r="BL594" s="215">
        <v>45480</v>
      </c>
      <c r="BM594" s="48">
        <v>3160</v>
      </c>
      <c r="BN594" s="104">
        <v>0</v>
      </c>
      <c r="BO594" s="48">
        <v>3160</v>
      </c>
      <c r="BP594" s="103">
        <v>100</v>
      </c>
      <c r="BS594" s="215">
        <v>45480</v>
      </c>
      <c r="BT594" s="48">
        <v>9462</v>
      </c>
      <c r="BU594" s="104">
        <v>0</v>
      </c>
      <c r="BV594" s="48">
        <v>9462</v>
      </c>
      <c r="BW594" s="103">
        <v>100</v>
      </c>
      <c r="BZ594" s="215">
        <v>45480</v>
      </c>
      <c r="CA594" s="1">
        <v>27323128</v>
      </c>
      <c r="CB594" s="1">
        <v>1664832</v>
      </c>
      <c r="CC594" s="71">
        <f t="shared" si="135"/>
        <v>16.411943066928075</v>
      </c>
      <c r="CE594" s="258">
        <v>45480</v>
      </c>
      <c r="CF594" s="101">
        <v>9172472</v>
      </c>
      <c r="CG594" s="101">
        <v>6934</v>
      </c>
      <c r="CH594" s="101">
        <v>9179406</v>
      </c>
      <c r="CI594" s="101">
        <v>99.92</v>
      </c>
      <c r="CJ594" s="71">
        <f t="shared" si="132"/>
        <v>9.1794060000000002</v>
      </c>
    </row>
    <row r="595" spans="1:93" hidden="1" x14ac:dyDescent="0.25">
      <c r="A595" s="215">
        <v>45481</v>
      </c>
      <c r="B595" s="104">
        <v>5517298</v>
      </c>
      <c r="C595" s="104">
        <v>1902</v>
      </c>
      <c r="D595" s="104">
        <v>5519200</v>
      </c>
      <c r="E595" s="104">
        <v>99.97</v>
      </c>
      <c r="F595" s="71">
        <f t="shared" si="130"/>
        <v>5.5191999999999997</v>
      </c>
      <c r="H595" s="215">
        <v>45481</v>
      </c>
      <c r="I595" s="104">
        <v>1308824</v>
      </c>
      <c r="J595" s="104">
        <v>1228</v>
      </c>
      <c r="K595" s="104">
        <v>1310052</v>
      </c>
      <c r="L595" s="104">
        <v>99.91</v>
      </c>
      <c r="M595" s="71">
        <f t="shared" si="136"/>
        <v>1.310052</v>
      </c>
      <c r="O595" s="215">
        <v>45481</v>
      </c>
      <c r="P595" s="104">
        <v>325602</v>
      </c>
      <c r="Q595" s="104">
        <v>14</v>
      </c>
      <c r="R595" s="104">
        <v>325616</v>
      </c>
      <c r="S595" s="104">
        <v>100</v>
      </c>
      <c r="T595" s="71">
        <f t="shared" si="131"/>
        <v>0.32561600000000002</v>
      </c>
      <c r="V595" s="215">
        <v>45481</v>
      </c>
      <c r="W595" s="150">
        <v>1027840</v>
      </c>
      <c r="X595" s="150">
        <v>192</v>
      </c>
      <c r="Y595" s="150">
        <v>1028032</v>
      </c>
      <c r="Z595" s="150">
        <v>99.98</v>
      </c>
      <c r="AA595" s="71">
        <f t="shared" si="134"/>
        <v>1.0280320000000001</v>
      </c>
      <c r="AC595" s="215">
        <v>45481</v>
      </c>
      <c r="AD595" s="150">
        <v>784284</v>
      </c>
      <c r="AE595" s="150">
        <v>172</v>
      </c>
      <c r="AF595" s="150">
        <v>784456</v>
      </c>
      <c r="AG595" s="150">
        <v>99.98</v>
      </c>
      <c r="AH595" s="71">
        <f t="shared" si="133"/>
        <v>0.78445600000000004</v>
      </c>
      <c r="AJ595" s="215">
        <v>45481</v>
      </c>
      <c r="AK595" s="48">
        <v>0</v>
      </c>
      <c r="AL595" s="48">
        <v>22</v>
      </c>
      <c r="AM595" s="48">
        <v>22</v>
      </c>
      <c r="AN595" s="48">
        <v>0</v>
      </c>
      <c r="AQ595" s="215">
        <v>45481</v>
      </c>
      <c r="AR595" s="48">
        <v>0</v>
      </c>
      <c r="AS595" s="48">
        <v>16</v>
      </c>
      <c r="AT595" s="48">
        <v>16</v>
      </c>
      <c r="AU595" s="48">
        <v>0</v>
      </c>
      <c r="AX595" s="215">
        <v>45481</v>
      </c>
      <c r="AY595" s="48">
        <v>6</v>
      </c>
      <c r="AZ595" s="48">
        <v>0</v>
      </c>
      <c r="BA595" s="48">
        <v>6</v>
      </c>
      <c r="BB595" s="48">
        <v>100</v>
      </c>
      <c r="BE595" s="215">
        <v>45481</v>
      </c>
      <c r="BF595" s="150">
        <v>17456</v>
      </c>
      <c r="BG595" s="150">
        <v>166</v>
      </c>
      <c r="BH595" s="150">
        <v>17622</v>
      </c>
      <c r="BI595" s="150">
        <v>99.06</v>
      </c>
      <c r="BL595" s="215">
        <v>45481</v>
      </c>
      <c r="BM595" s="150">
        <v>237492</v>
      </c>
      <c r="BN595" s="150">
        <v>0</v>
      </c>
      <c r="BO595" s="150">
        <v>237492</v>
      </c>
      <c r="BP595" s="101">
        <v>100</v>
      </c>
      <c r="BS595" s="215">
        <v>45481</v>
      </c>
      <c r="BT595" s="150">
        <v>48762</v>
      </c>
      <c r="BU595" s="150">
        <v>0</v>
      </c>
      <c r="BV595" s="150">
        <v>48762</v>
      </c>
      <c r="BW595" s="101">
        <v>100</v>
      </c>
      <c r="BZ595" s="215">
        <v>45481</v>
      </c>
      <c r="CA595" s="1">
        <v>32929793</v>
      </c>
      <c r="CB595" s="1">
        <v>2580639</v>
      </c>
      <c r="CC595" s="71">
        <f t="shared" si="135"/>
        <v>12.760325252776541</v>
      </c>
      <c r="CE595" s="258">
        <v>45481</v>
      </c>
      <c r="CF595" s="101">
        <v>11015734</v>
      </c>
      <c r="CG595" s="101">
        <v>7518</v>
      </c>
      <c r="CH595" s="101">
        <v>11023252</v>
      </c>
      <c r="CI595" s="101">
        <v>99.93</v>
      </c>
      <c r="CJ595" s="71">
        <f t="shared" si="132"/>
        <v>11.023251999999999</v>
      </c>
      <c r="CL595" s="222">
        <v>45468</v>
      </c>
      <c r="CM595" s="1" t="s">
        <v>239</v>
      </c>
      <c r="CN595" s="101">
        <v>3064</v>
      </c>
      <c r="CO595" s="101">
        <v>504</v>
      </c>
    </row>
    <row r="596" spans="1:93" hidden="1" x14ac:dyDescent="0.25">
      <c r="A596" s="215">
        <v>45482</v>
      </c>
      <c r="B596" s="101">
        <v>5598124</v>
      </c>
      <c r="C596" s="101">
        <v>1946</v>
      </c>
      <c r="D596" s="101">
        <v>5600070</v>
      </c>
      <c r="E596" s="101">
        <v>99.97</v>
      </c>
      <c r="F596" s="71">
        <f t="shared" si="130"/>
        <v>5.6000699999999997</v>
      </c>
      <c r="H596" s="215">
        <v>45482</v>
      </c>
      <c r="I596" s="101">
        <v>1358830</v>
      </c>
      <c r="J596" s="101">
        <v>1210</v>
      </c>
      <c r="K596" s="101">
        <v>1360040</v>
      </c>
      <c r="L596" s="101">
        <v>99.91</v>
      </c>
      <c r="M596" s="71">
        <f t="shared" si="136"/>
        <v>1.3600399999999999</v>
      </c>
      <c r="O596" s="215">
        <v>45482</v>
      </c>
      <c r="P596" s="101">
        <v>312486</v>
      </c>
      <c r="Q596" s="101">
        <v>12</v>
      </c>
      <c r="R596" s="101">
        <v>312498</v>
      </c>
      <c r="S596" s="101">
        <v>100</v>
      </c>
      <c r="T596" s="71">
        <f t="shared" si="131"/>
        <v>0.312498</v>
      </c>
      <c r="V596" s="215">
        <v>45482</v>
      </c>
      <c r="W596" s="101">
        <v>938980</v>
      </c>
      <c r="X596" s="101">
        <v>164</v>
      </c>
      <c r="Y596" s="101">
        <v>939144</v>
      </c>
      <c r="Z596" s="101">
        <v>99.98</v>
      </c>
      <c r="AA596" s="71">
        <f t="shared" si="134"/>
        <v>0.93914399999999998</v>
      </c>
      <c r="AC596" s="215">
        <v>45482</v>
      </c>
      <c r="AD596" s="101">
        <v>772700</v>
      </c>
      <c r="AE596" s="101">
        <v>46</v>
      </c>
      <c r="AF596" s="101">
        <v>772746</v>
      </c>
      <c r="AG596" s="101">
        <v>99.99</v>
      </c>
      <c r="AH596" s="71">
        <f t="shared" si="133"/>
        <v>0.77274600000000004</v>
      </c>
      <c r="AJ596" s="215">
        <v>45482</v>
      </c>
      <c r="AK596" s="48">
        <v>0</v>
      </c>
      <c r="AL596" s="48">
        <v>10</v>
      </c>
      <c r="AM596" s="48">
        <v>10</v>
      </c>
      <c r="AN596" s="48">
        <v>0</v>
      </c>
      <c r="AQ596" s="215">
        <v>45482</v>
      </c>
      <c r="AR596" s="48">
        <v>0</v>
      </c>
      <c r="AS596" s="48">
        <v>16</v>
      </c>
      <c r="AT596" s="48">
        <v>16</v>
      </c>
      <c r="AU596" s="48">
        <v>0</v>
      </c>
      <c r="AX596" s="215">
        <v>45482</v>
      </c>
      <c r="AY596" s="48">
        <v>8</v>
      </c>
      <c r="AZ596" s="48">
        <v>0</v>
      </c>
      <c r="BA596" s="48">
        <v>8</v>
      </c>
      <c r="BB596" s="48">
        <v>100</v>
      </c>
      <c r="BE596" s="215">
        <v>45482</v>
      </c>
      <c r="BF596" s="101">
        <v>21010</v>
      </c>
      <c r="BG596" s="101">
        <v>260</v>
      </c>
      <c r="BH596" s="101">
        <v>21270</v>
      </c>
      <c r="BI596" s="101">
        <v>98.78</v>
      </c>
      <c r="BL596" s="215">
        <v>45482</v>
      </c>
      <c r="BM596" s="101">
        <v>242506</v>
      </c>
      <c r="BN596" s="101">
        <v>0</v>
      </c>
      <c r="BO596" s="101">
        <v>242506</v>
      </c>
      <c r="BP596" s="101">
        <v>100</v>
      </c>
      <c r="BS596" s="215">
        <v>45482</v>
      </c>
      <c r="BT596" s="101">
        <v>17328</v>
      </c>
      <c r="BU596" s="101">
        <v>0</v>
      </c>
      <c r="BV596" s="101">
        <v>17328</v>
      </c>
      <c r="BW596" s="101">
        <v>100</v>
      </c>
      <c r="BZ596" s="215">
        <v>45482</v>
      </c>
      <c r="CA596" s="1">
        <v>32753435</v>
      </c>
      <c r="CB596" s="1">
        <v>2581461</v>
      </c>
      <c r="CC596" s="71">
        <f t="shared" si="135"/>
        <v>12.687944927310543</v>
      </c>
      <c r="CE596" s="258">
        <v>45482</v>
      </c>
      <c r="CF596" s="101">
        <v>10968632</v>
      </c>
      <c r="CG596" s="101">
        <v>7624</v>
      </c>
      <c r="CH596" s="101">
        <v>10976256</v>
      </c>
      <c r="CI596" s="101">
        <v>99.93</v>
      </c>
      <c r="CJ596" s="71">
        <f t="shared" si="132"/>
        <v>10.976255999999999</v>
      </c>
      <c r="CL596" s="222">
        <v>45468</v>
      </c>
      <c r="CM596" s="1" t="s">
        <v>237</v>
      </c>
      <c r="CN596" s="101">
        <v>2794</v>
      </c>
      <c r="CO596" s="101">
        <v>527</v>
      </c>
    </row>
    <row r="597" spans="1:93" hidden="1" x14ac:dyDescent="0.25">
      <c r="A597" s="215">
        <v>45483</v>
      </c>
      <c r="B597" s="173">
        <v>5412640</v>
      </c>
      <c r="C597" s="173">
        <v>2244</v>
      </c>
      <c r="D597" s="173">
        <v>5414884</v>
      </c>
      <c r="E597" s="173">
        <v>99.96</v>
      </c>
      <c r="F597" s="71">
        <f t="shared" si="130"/>
        <v>5.4148839999999998</v>
      </c>
      <c r="H597" s="215">
        <v>45483</v>
      </c>
      <c r="I597" s="173">
        <v>1183950</v>
      </c>
      <c r="J597" s="173">
        <v>1156</v>
      </c>
      <c r="K597" s="173">
        <v>1185106</v>
      </c>
      <c r="L597" s="173">
        <v>99.9</v>
      </c>
      <c r="M597" s="71">
        <f t="shared" si="136"/>
        <v>1.185106</v>
      </c>
      <c r="O597" s="215">
        <v>45483</v>
      </c>
      <c r="P597" s="173">
        <v>277136</v>
      </c>
      <c r="Q597" s="173">
        <v>8</v>
      </c>
      <c r="R597" s="173">
        <v>277144</v>
      </c>
      <c r="S597" s="173">
        <v>100</v>
      </c>
      <c r="T597" s="71">
        <f t="shared" si="131"/>
        <v>0.277144</v>
      </c>
      <c r="V597" s="215">
        <v>45483</v>
      </c>
      <c r="W597" s="173">
        <v>871872</v>
      </c>
      <c r="X597" s="173">
        <v>166</v>
      </c>
      <c r="Y597" s="173">
        <v>872038</v>
      </c>
      <c r="Z597" s="173">
        <v>99.98</v>
      </c>
      <c r="AA597" s="71">
        <f t="shared" si="134"/>
        <v>0.87203799999999998</v>
      </c>
      <c r="AC597" s="215">
        <v>45483</v>
      </c>
      <c r="AD597" s="173">
        <v>789262</v>
      </c>
      <c r="AE597" s="173">
        <v>54</v>
      </c>
      <c r="AF597" s="173">
        <v>789316</v>
      </c>
      <c r="AG597" s="173">
        <v>99.99</v>
      </c>
      <c r="AH597" s="71">
        <f t="shared" si="133"/>
        <v>0.78931600000000002</v>
      </c>
      <c r="AJ597" s="215">
        <v>45483</v>
      </c>
      <c r="AK597" s="48">
        <v>0</v>
      </c>
      <c r="AL597" s="48">
        <v>10</v>
      </c>
      <c r="AM597" s="48">
        <v>10</v>
      </c>
      <c r="AN597" s="48">
        <v>0</v>
      </c>
      <c r="AQ597" s="215">
        <v>45483</v>
      </c>
      <c r="AR597" s="48">
        <v>0</v>
      </c>
      <c r="AS597" s="48">
        <v>20</v>
      </c>
      <c r="AT597" s="48">
        <v>20</v>
      </c>
      <c r="AU597" s="48">
        <v>0</v>
      </c>
      <c r="AX597" s="215">
        <v>45483</v>
      </c>
      <c r="AY597" s="48">
        <v>6</v>
      </c>
      <c r="AZ597" s="48">
        <v>0</v>
      </c>
      <c r="BA597" s="48">
        <v>6</v>
      </c>
      <c r="BB597" s="48">
        <v>100</v>
      </c>
      <c r="BE597" s="215">
        <v>45483</v>
      </c>
      <c r="BF597" s="173">
        <v>21718</v>
      </c>
      <c r="BG597" s="173">
        <v>516</v>
      </c>
      <c r="BH597" s="173">
        <v>22234</v>
      </c>
      <c r="BI597" s="173">
        <v>97.68</v>
      </c>
      <c r="BL597" s="215">
        <v>45483</v>
      </c>
      <c r="BM597" s="173">
        <v>242046</v>
      </c>
      <c r="BN597" s="173">
        <v>0</v>
      </c>
      <c r="BO597" s="173">
        <v>242046</v>
      </c>
      <c r="BP597" s="173">
        <v>100</v>
      </c>
      <c r="BS597" s="215">
        <v>45483</v>
      </c>
      <c r="BT597" s="173">
        <v>11648</v>
      </c>
      <c r="BU597" s="173">
        <v>0</v>
      </c>
      <c r="BV597" s="173">
        <v>11648</v>
      </c>
      <c r="BW597" s="173">
        <v>100</v>
      </c>
      <c r="BZ597" s="215">
        <v>45483</v>
      </c>
      <c r="CA597" s="1">
        <v>31167948</v>
      </c>
      <c r="CB597" s="1">
        <v>2524792</v>
      </c>
      <c r="CC597" s="71">
        <f t="shared" si="135"/>
        <v>12.344758696954045</v>
      </c>
      <c r="CE597" s="311">
        <v>45483</v>
      </c>
      <c r="CF597" s="173">
        <v>10449738</v>
      </c>
      <c r="CG597" s="173">
        <v>7954</v>
      </c>
      <c r="CH597" s="173">
        <v>10457692</v>
      </c>
      <c r="CI597" s="173">
        <v>99.92</v>
      </c>
      <c r="CJ597" s="208">
        <f t="shared" si="132"/>
        <v>10.457692</v>
      </c>
      <c r="CL597" s="222">
        <v>45468</v>
      </c>
      <c r="CM597" s="1" t="s">
        <v>240</v>
      </c>
      <c r="CN597" s="101">
        <v>2256</v>
      </c>
      <c r="CO597" s="101">
        <v>516</v>
      </c>
    </row>
    <row r="598" spans="1:93" hidden="1" x14ac:dyDescent="0.25">
      <c r="A598" s="215">
        <v>45484</v>
      </c>
      <c r="B598" s="48">
        <v>7745794</v>
      </c>
      <c r="C598" s="48">
        <v>2955</v>
      </c>
      <c r="D598" s="48">
        <v>7748749</v>
      </c>
      <c r="E598" s="48">
        <v>99.96</v>
      </c>
      <c r="F598" s="71">
        <f t="shared" si="130"/>
        <v>7.7487490000000001</v>
      </c>
      <c r="H598" s="215">
        <v>45484</v>
      </c>
      <c r="I598" s="48">
        <v>1724122</v>
      </c>
      <c r="J598" s="48">
        <v>1721</v>
      </c>
      <c r="K598" s="48">
        <v>1725843</v>
      </c>
      <c r="L598" s="48">
        <v>99.9</v>
      </c>
      <c r="M598" s="71">
        <f t="shared" si="136"/>
        <v>1.725843</v>
      </c>
      <c r="O598" s="215">
        <v>45484</v>
      </c>
      <c r="P598" s="48">
        <v>435009</v>
      </c>
      <c r="Q598" s="48">
        <v>16</v>
      </c>
      <c r="R598" s="48">
        <v>435025</v>
      </c>
      <c r="S598" s="48">
        <v>100</v>
      </c>
      <c r="T598" s="71">
        <f t="shared" si="131"/>
        <v>0.435025</v>
      </c>
      <c r="V598" s="215">
        <v>45484</v>
      </c>
      <c r="W598" s="48">
        <v>1200927</v>
      </c>
      <c r="X598" s="48">
        <v>210</v>
      </c>
      <c r="Y598" s="48">
        <v>1201137</v>
      </c>
      <c r="Z598" s="48">
        <v>99.98</v>
      </c>
      <c r="AA598" s="71">
        <f t="shared" si="134"/>
        <v>1.2011369999999999</v>
      </c>
      <c r="AC598" s="215">
        <v>45484</v>
      </c>
      <c r="AD598" s="48">
        <v>999391</v>
      </c>
      <c r="AE598" s="48">
        <v>74</v>
      </c>
      <c r="AF598" s="48">
        <v>999465</v>
      </c>
      <c r="AG598" s="48">
        <v>99.99</v>
      </c>
      <c r="AH598" s="71">
        <f t="shared" si="133"/>
        <v>0.99946500000000005</v>
      </c>
      <c r="AJ598" s="215">
        <v>45484</v>
      </c>
      <c r="AK598" s="48">
        <v>0</v>
      </c>
      <c r="AL598" s="48">
        <v>28</v>
      </c>
      <c r="AM598" s="48">
        <v>28</v>
      </c>
      <c r="AN598" s="48">
        <v>0</v>
      </c>
      <c r="AQ598" s="215">
        <v>45484</v>
      </c>
      <c r="AR598" s="48">
        <v>0</v>
      </c>
      <c r="AS598" s="48">
        <v>7</v>
      </c>
      <c r="AT598" s="48">
        <v>7</v>
      </c>
      <c r="AU598" s="48">
        <v>0</v>
      </c>
      <c r="AX598" s="215">
        <v>45484</v>
      </c>
      <c r="AY598" s="48">
        <v>10</v>
      </c>
      <c r="AZ598" s="48">
        <v>0</v>
      </c>
      <c r="BA598" s="48">
        <v>10</v>
      </c>
      <c r="BB598" s="48">
        <v>100</v>
      </c>
      <c r="BE598" s="215">
        <v>45484</v>
      </c>
      <c r="BF598" s="48">
        <v>27833</v>
      </c>
      <c r="BG598" s="48">
        <v>1593</v>
      </c>
      <c r="BH598" s="48">
        <v>29426</v>
      </c>
      <c r="BI598" s="48">
        <v>94.59</v>
      </c>
      <c r="BL598" s="215">
        <v>45484</v>
      </c>
      <c r="BM598" s="48">
        <v>388250</v>
      </c>
      <c r="BN598" s="48">
        <v>0</v>
      </c>
      <c r="BO598" s="48">
        <v>388250</v>
      </c>
      <c r="BP598" s="48">
        <v>100</v>
      </c>
      <c r="BS598" s="215">
        <v>45484</v>
      </c>
      <c r="BT598" s="48">
        <v>12141</v>
      </c>
      <c r="BU598" s="48">
        <v>0</v>
      </c>
      <c r="BV598" s="48">
        <v>12141</v>
      </c>
      <c r="BW598" s="48">
        <v>100</v>
      </c>
      <c r="BZ598" s="215">
        <v>45484</v>
      </c>
      <c r="CA598" s="1">
        <v>31758170</v>
      </c>
      <c r="CB598" s="1">
        <v>2490509</v>
      </c>
      <c r="CC598" s="71">
        <f t="shared" si="135"/>
        <v>12.751678472151676</v>
      </c>
      <c r="CE598" s="258">
        <v>45484</v>
      </c>
      <c r="CF598" s="48">
        <v>14930848</v>
      </c>
      <c r="CG598" s="48">
        <v>11662</v>
      </c>
      <c r="CH598" s="48">
        <v>14942510</v>
      </c>
      <c r="CI598" s="48">
        <v>99.92</v>
      </c>
      <c r="CJ598" s="71">
        <f t="shared" si="132"/>
        <v>14.94251</v>
      </c>
      <c r="CL598" s="222">
        <v>45468</v>
      </c>
      <c r="CM598" s="1" t="s">
        <v>238</v>
      </c>
      <c r="CN598" s="101">
        <v>648</v>
      </c>
      <c r="CO598" s="101">
        <v>503</v>
      </c>
    </row>
    <row r="599" spans="1:93" hidden="1" x14ac:dyDescent="0.25">
      <c r="A599" s="215">
        <v>45485</v>
      </c>
      <c r="B599">
        <v>6858714</v>
      </c>
      <c r="C599">
        <v>2488</v>
      </c>
      <c r="D599">
        <v>6861202</v>
      </c>
      <c r="E599">
        <v>99.96</v>
      </c>
      <c r="F599" s="71">
        <f t="shared" si="130"/>
        <v>6.8612019999999996</v>
      </c>
      <c r="H599" s="215">
        <v>45485</v>
      </c>
      <c r="I599">
        <v>1650014</v>
      </c>
      <c r="J599">
        <v>1593</v>
      </c>
      <c r="K599">
        <v>1651607</v>
      </c>
      <c r="L599">
        <v>99.9</v>
      </c>
      <c r="M599" s="71">
        <f t="shared" si="136"/>
        <v>1.651607</v>
      </c>
      <c r="O599" s="215">
        <v>45485</v>
      </c>
      <c r="P599">
        <v>402490</v>
      </c>
      <c r="Q599">
        <v>20</v>
      </c>
      <c r="R599">
        <v>402510</v>
      </c>
      <c r="S599">
        <v>100</v>
      </c>
      <c r="T599" s="71">
        <f t="shared" si="131"/>
        <v>0.40250999999999998</v>
      </c>
      <c r="V599" s="215">
        <v>45485</v>
      </c>
      <c r="W599">
        <v>1087189</v>
      </c>
      <c r="X599">
        <v>166</v>
      </c>
      <c r="Y599">
        <v>1087355</v>
      </c>
      <c r="Z599">
        <v>99.98</v>
      </c>
      <c r="AA599" s="71">
        <f t="shared" si="134"/>
        <v>1.0873550000000001</v>
      </c>
      <c r="AC599" s="215">
        <v>45485</v>
      </c>
      <c r="AD599">
        <v>1023904</v>
      </c>
      <c r="AE599">
        <v>109</v>
      </c>
      <c r="AF599">
        <v>1024013</v>
      </c>
      <c r="AG599" s="48">
        <v>99.99</v>
      </c>
      <c r="AH599" s="71">
        <f t="shared" si="133"/>
        <v>1.0240130000000001</v>
      </c>
      <c r="AJ599" s="215">
        <v>45485</v>
      </c>
      <c r="AK599" s="48">
        <v>0</v>
      </c>
      <c r="AL599" s="48">
        <v>25</v>
      </c>
      <c r="AM599" s="48">
        <v>25</v>
      </c>
      <c r="AN599" s="48">
        <v>0</v>
      </c>
      <c r="AQ599" s="215">
        <v>45485</v>
      </c>
      <c r="AR599" s="48">
        <v>0</v>
      </c>
      <c r="AS599" s="48">
        <v>18</v>
      </c>
      <c r="AT599" s="48">
        <v>18</v>
      </c>
      <c r="AU599" s="48">
        <v>0</v>
      </c>
      <c r="AX599" s="215">
        <v>45485</v>
      </c>
      <c r="AY599" s="48">
        <v>10</v>
      </c>
      <c r="AZ599" s="48">
        <v>0</v>
      </c>
      <c r="BA599" s="48">
        <v>10</v>
      </c>
      <c r="BB599" s="48">
        <v>100</v>
      </c>
      <c r="BE599" s="215">
        <v>45485</v>
      </c>
      <c r="BF599">
        <v>26815</v>
      </c>
      <c r="BG599">
        <v>1582</v>
      </c>
      <c r="BH599">
        <v>28397</v>
      </c>
      <c r="BI599">
        <v>94.43</v>
      </c>
      <c r="BL599" s="215">
        <v>45485</v>
      </c>
      <c r="BM599">
        <v>293144</v>
      </c>
      <c r="BN599" s="48">
        <v>0</v>
      </c>
      <c r="BO599">
        <v>293144</v>
      </c>
      <c r="BP599" s="48">
        <v>100</v>
      </c>
      <c r="BS599" s="215">
        <v>45485</v>
      </c>
      <c r="BT599">
        <v>68532</v>
      </c>
      <c r="BU599">
        <v>174</v>
      </c>
      <c r="BV599">
        <v>68706</v>
      </c>
      <c r="BW599" s="48">
        <v>100</v>
      </c>
      <c r="BZ599" s="215">
        <v>45485</v>
      </c>
      <c r="CA599" s="1">
        <v>31761561</v>
      </c>
      <c r="CB599" s="1">
        <v>2456955</v>
      </c>
      <c r="CC599" s="71">
        <f t="shared" si="135"/>
        <v>12.927205015964883</v>
      </c>
      <c r="CE599" s="258">
        <v>45485</v>
      </c>
      <c r="CF599" s="101">
        <v>13584177</v>
      </c>
      <c r="CG599" s="101">
        <v>10847</v>
      </c>
      <c r="CH599" s="101">
        <v>13595024</v>
      </c>
      <c r="CI599" s="101">
        <v>99.92</v>
      </c>
      <c r="CJ599" s="71">
        <f t="shared" si="132"/>
        <v>13.595024</v>
      </c>
      <c r="CL599" s="222">
        <v>45468</v>
      </c>
      <c r="CM599" s="1" t="s">
        <v>291</v>
      </c>
      <c r="CN599" s="101">
        <v>568</v>
      </c>
      <c r="CO599" s="101">
        <v>540</v>
      </c>
    </row>
    <row r="600" spans="1:93" hidden="1" x14ac:dyDescent="0.25">
      <c r="A600" s="215">
        <v>45486</v>
      </c>
      <c r="B600">
        <v>7097564</v>
      </c>
      <c r="C600">
        <v>2511</v>
      </c>
      <c r="D600">
        <v>7100075</v>
      </c>
      <c r="E600">
        <v>99.96</v>
      </c>
      <c r="F600" s="71">
        <f t="shared" ref="F600:F629" si="137">D600/1000000</f>
        <v>7.1000750000000004</v>
      </c>
      <c r="H600" s="215">
        <v>45486</v>
      </c>
      <c r="I600">
        <v>1700430</v>
      </c>
      <c r="J600">
        <v>1618</v>
      </c>
      <c r="K600">
        <v>1702048</v>
      </c>
      <c r="L600">
        <v>99.9</v>
      </c>
      <c r="M600" s="71">
        <f t="shared" si="136"/>
        <v>1.702048</v>
      </c>
      <c r="O600" s="215">
        <v>45486</v>
      </c>
      <c r="P600">
        <v>407540</v>
      </c>
      <c r="Q600">
        <v>66</v>
      </c>
      <c r="R600">
        <v>407606</v>
      </c>
      <c r="S600">
        <v>99.98</v>
      </c>
      <c r="T600" s="71">
        <f t="shared" si="131"/>
        <v>0.40760600000000002</v>
      </c>
      <c r="V600" s="215">
        <v>45486</v>
      </c>
      <c r="W600">
        <v>1123594</v>
      </c>
      <c r="X600">
        <v>193</v>
      </c>
      <c r="Y600">
        <v>1123787</v>
      </c>
      <c r="Z600">
        <v>99.98</v>
      </c>
      <c r="AA600" s="71">
        <f t="shared" si="134"/>
        <v>1.1237870000000001</v>
      </c>
      <c r="AC600" s="215">
        <v>45486</v>
      </c>
      <c r="AD600">
        <v>1115426</v>
      </c>
      <c r="AE600">
        <v>150</v>
      </c>
      <c r="AF600">
        <v>1115576</v>
      </c>
      <c r="AG600" s="48">
        <v>99.99</v>
      </c>
      <c r="AH600" s="71">
        <f t="shared" si="133"/>
        <v>1.1155759999999999</v>
      </c>
      <c r="AJ600" s="215">
        <v>45486</v>
      </c>
      <c r="AK600" s="48">
        <v>0</v>
      </c>
      <c r="AL600" s="48">
        <v>19</v>
      </c>
      <c r="AM600" s="48">
        <v>19</v>
      </c>
      <c r="AN600" s="48">
        <v>0</v>
      </c>
      <c r="AQ600" s="215">
        <v>45486</v>
      </c>
      <c r="AR600" s="48">
        <v>0</v>
      </c>
      <c r="AS600" s="48">
        <v>18</v>
      </c>
      <c r="AT600" s="48">
        <v>18</v>
      </c>
      <c r="AU600" s="48">
        <v>0</v>
      </c>
      <c r="AX600" s="215">
        <v>45486</v>
      </c>
      <c r="AY600" s="48">
        <v>8</v>
      </c>
      <c r="AZ600" s="48">
        <v>0</v>
      </c>
      <c r="BA600" s="48">
        <v>8</v>
      </c>
      <c r="BB600" s="48">
        <v>100</v>
      </c>
      <c r="BE600" s="215">
        <v>45486</v>
      </c>
      <c r="BF600">
        <v>22783</v>
      </c>
      <c r="BG600">
        <v>1220</v>
      </c>
      <c r="BH600">
        <v>24003</v>
      </c>
      <c r="BI600">
        <v>94.92</v>
      </c>
      <c r="BL600" s="215">
        <v>45486</v>
      </c>
      <c r="BM600">
        <v>320555</v>
      </c>
      <c r="BN600" s="48">
        <v>0</v>
      </c>
      <c r="BO600">
        <v>320555</v>
      </c>
      <c r="BP600" s="48">
        <v>100</v>
      </c>
      <c r="BS600" s="215">
        <v>45486</v>
      </c>
      <c r="BT600">
        <v>36130</v>
      </c>
      <c r="BU600">
        <v>9</v>
      </c>
      <c r="BV600">
        <v>36139</v>
      </c>
      <c r="BW600" s="48">
        <v>100</v>
      </c>
      <c r="BZ600" s="215">
        <v>45486</v>
      </c>
      <c r="CA600" s="1">
        <v>31808353</v>
      </c>
      <c r="CB600" s="1">
        <v>2459478</v>
      </c>
      <c r="CC600" s="71">
        <f t="shared" si="135"/>
        <v>12.932969109705393</v>
      </c>
      <c r="CE600" s="258">
        <v>45486</v>
      </c>
      <c r="CF600" s="101">
        <v>13970190</v>
      </c>
      <c r="CG600" s="101">
        <v>10397</v>
      </c>
      <c r="CH600" s="101">
        <v>13980587</v>
      </c>
      <c r="CI600" s="101">
        <v>99.93</v>
      </c>
      <c r="CJ600" s="71">
        <f t="shared" si="132"/>
        <v>13.980587</v>
      </c>
    </row>
    <row r="601" spans="1:93" hidden="1" x14ac:dyDescent="0.25">
      <c r="A601" s="215">
        <v>45487</v>
      </c>
      <c r="B601">
        <v>6675223</v>
      </c>
      <c r="C601">
        <v>2404</v>
      </c>
      <c r="D601">
        <v>6677627</v>
      </c>
      <c r="E601">
        <v>99.96</v>
      </c>
      <c r="F601" s="71">
        <f t="shared" si="137"/>
        <v>6.6776270000000002</v>
      </c>
      <c r="H601" s="215">
        <v>45487</v>
      </c>
      <c r="I601">
        <v>1742253</v>
      </c>
      <c r="J601">
        <v>1763</v>
      </c>
      <c r="K601">
        <v>1744016</v>
      </c>
      <c r="L601">
        <v>99.9</v>
      </c>
      <c r="M601" s="71">
        <f t="shared" si="136"/>
        <v>1.744016</v>
      </c>
      <c r="O601" s="215">
        <v>45487</v>
      </c>
      <c r="P601">
        <v>457169</v>
      </c>
      <c r="Q601">
        <v>12</v>
      </c>
      <c r="R601">
        <v>457181</v>
      </c>
      <c r="S601">
        <v>100</v>
      </c>
      <c r="T601" s="71">
        <f t="shared" si="131"/>
        <v>0.457181</v>
      </c>
      <c r="V601" s="215">
        <v>45487</v>
      </c>
      <c r="W601">
        <v>1077123</v>
      </c>
      <c r="X601">
        <v>208</v>
      </c>
      <c r="Y601">
        <v>1077331</v>
      </c>
      <c r="Z601">
        <v>99.98</v>
      </c>
      <c r="AA601" s="71">
        <f t="shared" si="134"/>
        <v>1.077331</v>
      </c>
      <c r="AC601" s="215">
        <v>45487</v>
      </c>
      <c r="AD601">
        <v>1143560</v>
      </c>
      <c r="AE601">
        <v>163</v>
      </c>
      <c r="AF601">
        <v>1143723</v>
      </c>
      <c r="AG601" s="48">
        <v>99.99</v>
      </c>
      <c r="AH601" s="71">
        <f t="shared" si="133"/>
        <v>1.143723</v>
      </c>
      <c r="AJ601" s="215">
        <v>45487</v>
      </c>
      <c r="AK601" s="48">
        <v>0</v>
      </c>
      <c r="AL601" s="48">
        <v>23</v>
      </c>
      <c r="AM601" s="48">
        <v>23</v>
      </c>
      <c r="AN601" s="48">
        <v>0</v>
      </c>
      <c r="AQ601" s="215">
        <v>45487</v>
      </c>
      <c r="AR601" s="48">
        <v>0</v>
      </c>
      <c r="AS601" s="48">
        <v>11</v>
      </c>
      <c r="AT601" s="48">
        <v>11</v>
      </c>
      <c r="AU601" s="48">
        <v>0</v>
      </c>
      <c r="AX601" s="215">
        <v>45487</v>
      </c>
      <c r="AY601" s="48">
        <v>12</v>
      </c>
      <c r="AZ601" s="48">
        <v>0</v>
      </c>
      <c r="BA601" s="48">
        <v>12</v>
      </c>
      <c r="BB601" s="48">
        <v>100</v>
      </c>
      <c r="BE601" s="215">
        <v>45487</v>
      </c>
      <c r="BF601">
        <v>21559</v>
      </c>
      <c r="BG601">
        <v>1215</v>
      </c>
      <c r="BH601">
        <v>22774</v>
      </c>
      <c r="BI601">
        <v>94.66</v>
      </c>
      <c r="BL601" s="215">
        <v>45487</v>
      </c>
      <c r="BM601">
        <v>4988</v>
      </c>
      <c r="BN601" s="48">
        <v>0</v>
      </c>
      <c r="BO601">
        <v>4988</v>
      </c>
      <c r="BP601" s="48">
        <v>100</v>
      </c>
      <c r="BS601" s="215">
        <v>45487</v>
      </c>
      <c r="BT601">
        <v>23284</v>
      </c>
      <c r="BU601">
        <v>1</v>
      </c>
      <c r="BV601">
        <v>23285</v>
      </c>
      <c r="BW601" s="48">
        <v>100</v>
      </c>
      <c r="BZ601" s="215">
        <v>45487</v>
      </c>
      <c r="CA601" s="1">
        <v>26847837</v>
      </c>
      <c r="CB601" s="1">
        <v>1673572</v>
      </c>
      <c r="CC601" s="71">
        <f t="shared" si="135"/>
        <v>16.042236007772598</v>
      </c>
      <c r="CE601" s="258">
        <v>45487</v>
      </c>
      <c r="CF601" s="101">
        <v>13443833</v>
      </c>
      <c r="CG601" s="101">
        <v>10660</v>
      </c>
      <c r="CH601" s="101">
        <v>13454493</v>
      </c>
      <c r="CI601" s="101">
        <v>99.92</v>
      </c>
      <c r="CJ601" s="71">
        <f t="shared" si="132"/>
        <v>13.454492999999999</v>
      </c>
      <c r="CL601" s="222">
        <v>45469</v>
      </c>
      <c r="CM601" s="1" t="s">
        <v>237</v>
      </c>
      <c r="CN601" s="101">
        <v>8606</v>
      </c>
      <c r="CO601" s="101">
        <v>527</v>
      </c>
    </row>
    <row r="602" spans="1:93" hidden="1" x14ac:dyDescent="0.25">
      <c r="A602" s="215">
        <v>45488</v>
      </c>
      <c r="B602" s="101">
        <v>6353631</v>
      </c>
      <c r="C602" s="101">
        <v>2998</v>
      </c>
      <c r="D602" s="101">
        <v>6356629</v>
      </c>
      <c r="E602" s="101">
        <v>99.95</v>
      </c>
      <c r="F602" s="71">
        <f t="shared" si="137"/>
        <v>6.3566289999999999</v>
      </c>
      <c r="H602" s="215">
        <v>45488</v>
      </c>
      <c r="I602" s="101">
        <v>1581199</v>
      </c>
      <c r="J602" s="101">
        <v>1454</v>
      </c>
      <c r="K602" s="101">
        <v>1582653</v>
      </c>
      <c r="L602" s="101">
        <v>99.91</v>
      </c>
      <c r="M602" s="71">
        <f t="shared" si="136"/>
        <v>1.5826530000000001</v>
      </c>
      <c r="O602" s="215">
        <v>45488</v>
      </c>
      <c r="P602" s="101">
        <v>422296</v>
      </c>
      <c r="Q602" s="101">
        <v>77</v>
      </c>
      <c r="R602" s="101">
        <v>422373</v>
      </c>
      <c r="S602" s="101">
        <v>99.98</v>
      </c>
      <c r="T602" s="71">
        <f t="shared" si="131"/>
        <v>0.422373</v>
      </c>
      <c r="V602" s="215">
        <v>45488</v>
      </c>
      <c r="W602" s="101">
        <v>979863</v>
      </c>
      <c r="X602" s="101">
        <v>193</v>
      </c>
      <c r="Y602" s="101">
        <v>980056</v>
      </c>
      <c r="Z602" s="101">
        <v>99.98</v>
      </c>
      <c r="AA602" s="71">
        <f t="shared" si="134"/>
        <v>0.98005600000000004</v>
      </c>
      <c r="AC602" s="215">
        <v>45488</v>
      </c>
      <c r="AD602" s="101">
        <v>922176</v>
      </c>
      <c r="AE602" s="101">
        <v>274</v>
      </c>
      <c r="AF602" s="101">
        <v>922450</v>
      </c>
      <c r="AG602" s="101">
        <v>99.97</v>
      </c>
      <c r="AH602" s="71">
        <f t="shared" si="133"/>
        <v>0.92244999999999999</v>
      </c>
      <c r="AJ602" s="215">
        <v>45488</v>
      </c>
      <c r="AK602" s="48">
        <v>0</v>
      </c>
      <c r="AL602" s="48">
        <v>16</v>
      </c>
      <c r="AM602" s="48">
        <v>16</v>
      </c>
      <c r="AN602" s="48">
        <v>0</v>
      </c>
      <c r="AQ602" s="215">
        <v>45488</v>
      </c>
      <c r="AR602" s="48">
        <v>0</v>
      </c>
      <c r="AS602" s="48">
        <v>10</v>
      </c>
      <c r="AT602" s="48">
        <v>10</v>
      </c>
      <c r="AU602" s="48">
        <v>0</v>
      </c>
      <c r="AX602" s="215">
        <v>45488</v>
      </c>
      <c r="AY602" s="48">
        <v>12</v>
      </c>
      <c r="AZ602" s="48">
        <v>0</v>
      </c>
      <c r="BA602" s="48">
        <v>12</v>
      </c>
      <c r="BB602" s="48">
        <v>100</v>
      </c>
      <c r="BE602" s="215">
        <v>45488</v>
      </c>
      <c r="BF602" s="101">
        <v>23634</v>
      </c>
      <c r="BG602" s="101">
        <v>230</v>
      </c>
      <c r="BH602" s="101">
        <v>23864</v>
      </c>
      <c r="BI602" s="101">
        <v>99.04</v>
      </c>
      <c r="BL602" s="215">
        <v>45488</v>
      </c>
      <c r="BM602" s="101">
        <v>209797</v>
      </c>
      <c r="BN602" s="101">
        <v>0</v>
      </c>
      <c r="BO602" s="101">
        <v>209797</v>
      </c>
      <c r="BP602" s="101">
        <v>100</v>
      </c>
      <c r="BS602" s="215">
        <v>45488</v>
      </c>
      <c r="BT602" s="101">
        <v>15956</v>
      </c>
      <c r="BU602" s="101">
        <v>15</v>
      </c>
      <c r="BV602" s="101">
        <v>15971</v>
      </c>
      <c r="BW602" s="101">
        <v>99.91</v>
      </c>
      <c r="BZ602" s="215">
        <v>45488</v>
      </c>
      <c r="CA602" s="1">
        <v>32645555</v>
      </c>
      <c r="CB602" s="1">
        <v>2545257</v>
      </c>
      <c r="CC602" s="71">
        <f t="shared" si="135"/>
        <v>12.826034856205091</v>
      </c>
      <c r="CE602" s="258">
        <v>45488</v>
      </c>
      <c r="CF602" s="101">
        <v>12702008</v>
      </c>
      <c r="CG602" s="101">
        <v>9817</v>
      </c>
      <c r="CH602" s="101">
        <v>12711825</v>
      </c>
      <c r="CI602" s="101">
        <v>99.92</v>
      </c>
      <c r="CJ602" s="71">
        <f t="shared" si="132"/>
        <v>12.711824999999999</v>
      </c>
      <c r="CL602" s="222">
        <v>45469</v>
      </c>
      <c r="CM602" s="1" t="s">
        <v>239</v>
      </c>
      <c r="CN602" s="101">
        <v>2918</v>
      </c>
      <c r="CO602" s="101">
        <v>504</v>
      </c>
    </row>
    <row r="603" spans="1:93" hidden="1" x14ac:dyDescent="0.25">
      <c r="A603" s="215">
        <v>45489</v>
      </c>
      <c r="B603" s="101">
        <v>7133535</v>
      </c>
      <c r="C603" s="101">
        <v>2745</v>
      </c>
      <c r="D603" s="101">
        <v>7136280</v>
      </c>
      <c r="E603" s="101">
        <v>99.96</v>
      </c>
      <c r="F603" s="71">
        <f t="shared" si="137"/>
        <v>7.1362800000000002</v>
      </c>
      <c r="H603" s="215">
        <v>45489</v>
      </c>
      <c r="I603" s="101">
        <v>1948269</v>
      </c>
      <c r="J603" s="101">
        <v>1829</v>
      </c>
      <c r="K603" s="101">
        <v>1950098</v>
      </c>
      <c r="L603" s="101">
        <v>99.91</v>
      </c>
      <c r="M603" s="71">
        <f t="shared" si="136"/>
        <v>1.9500980000000001</v>
      </c>
      <c r="O603" s="215">
        <v>45489</v>
      </c>
      <c r="P603" s="101">
        <v>466726</v>
      </c>
      <c r="Q603" s="101">
        <v>10</v>
      </c>
      <c r="R603" s="101">
        <v>466736</v>
      </c>
      <c r="S603" s="101">
        <v>100</v>
      </c>
      <c r="T603" s="71">
        <f t="shared" si="131"/>
        <v>0.46673599999999998</v>
      </c>
      <c r="V603" s="215">
        <v>45489</v>
      </c>
      <c r="W603" s="101">
        <v>1137788</v>
      </c>
      <c r="X603" s="101">
        <v>197</v>
      </c>
      <c r="Y603" s="101">
        <v>1137985</v>
      </c>
      <c r="Z603" s="101">
        <v>99.98</v>
      </c>
      <c r="AA603" s="71">
        <f t="shared" si="134"/>
        <v>1.137985</v>
      </c>
      <c r="AC603" s="215">
        <v>45489</v>
      </c>
      <c r="AD603" s="101">
        <v>1085925</v>
      </c>
      <c r="AE603" s="101">
        <v>188</v>
      </c>
      <c r="AF603" s="101">
        <v>1086113</v>
      </c>
      <c r="AG603" s="101">
        <v>99.98</v>
      </c>
      <c r="AH603" s="71">
        <f t="shared" si="133"/>
        <v>1.0861130000000001</v>
      </c>
      <c r="AJ603" s="215">
        <v>45489</v>
      </c>
      <c r="AK603" s="48">
        <v>0</v>
      </c>
      <c r="AL603" s="48">
        <v>13</v>
      </c>
      <c r="AM603" s="48">
        <v>13</v>
      </c>
      <c r="AN603" s="48">
        <v>0</v>
      </c>
      <c r="AQ603" s="215">
        <v>45489</v>
      </c>
      <c r="AR603" s="48">
        <v>0</v>
      </c>
      <c r="AS603" s="48">
        <v>27</v>
      </c>
      <c r="AT603" s="48">
        <v>27</v>
      </c>
      <c r="AU603" s="48">
        <v>0</v>
      </c>
      <c r="AX603" s="215">
        <v>45489</v>
      </c>
      <c r="AY603" s="48">
        <v>27</v>
      </c>
      <c r="AZ603" s="48">
        <v>0</v>
      </c>
      <c r="BA603" s="48">
        <v>27</v>
      </c>
      <c r="BB603" s="48">
        <v>100</v>
      </c>
      <c r="BE603" s="215">
        <v>45489</v>
      </c>
      <c r="BF603" s="101">
        <v>29929</v>
      </c>
      <c r="BG603" s="101">
        <v>170</v>
      </c>
      <c r="BH603" s="101">
        <v>30099</v>
      </c>
      <c r="BI603" s="101">
        <v>99.44</v>
      </c>
      <c r="BL603" s="215">
        <v>45489</v>
      </c>
      <c r="BM603" s="101">
        <v>256075</v>
      </c>
      <c r="BN603" s="101">
        <v>0</v>
      </c>
      <c r="BO603" s="101">
        <v>256075</v>
      </c>
      <c r="BP603" s="101">
        <v>100</v>
      </c>
      <c r="BS603" s="215">
        <v>45489</v>
      </c>
      <c r="BT603" s="101">
        <v>9530</v>
      </c>
      <c r="BU603" s="101">
        <v>3</v>
      </c>
      <c r="BV603" s="101">
        <v>9533</v>
      </c>
      <c r="BW603" s="101">
        <v>99.97</v>
      </c>
      <c r="BZ603" s="215">
        <v>45489</v>
      </c>
      <c r="CA603" s="1">
        <v>32874282</v>
      </c>
      <c r="CB603" s="1">
        <v>2535672</v>
      </c>
      <c r="CC603" s="71">
        <f t="shared" si="135"/>
        <v>12.964721777895564</v>
      </c>
      <c r="CE603" s="258">
        <v>45489</v>
      </c>
      <c r="CF603" s="101">
        <v>14467986</v>
      </c>
      <c r="CG603" s="101">
        <v>12759</v>
      </c>
      <c r="CH603" s="101">
        <v>14480745</v>
      </c>
      <c r="CI603" s="101">
        <v>99.91</v>
      </c>
      <c r="CJ603" s="71">
        <f t="shared" si="132"/>
        <v>14.480745000000001</v>
      </c>
      <c r="CL603" s="222">
        <v>45469</v>
      </c>
      <c r="CM603" s="1" t="s">
        <v>240</v>
      </c>
      <c r="CN603" s="101">
        <v>1770</v>
      </c>
      <c r="CO603" s="101">
        <v>516</v>
      </c>
    </row>
    <row r="604" spans="1:93" hidden="1" x14ac:dyDescent="0.25">
      <c r="A604" s="215">
        <v>45490</v>
      </c>
      <c r="B604" s="101">
        <v>6300752</v>
      </c>
      <c r="C604" s="101">
        <v>3358</v>
      </c>
      <c r="D604" s="101">
        <v>6304110</v>
      </c>
      <c r="E604" s="101">
        <v>99.95</v>
      </c>
      <c r="F604" s="71">
        <f t="shared" si="137"/>
        <v>6.3041099999999997</v>
      </c>
      <c r="H604" s="215">
        <v>45490</v>
      </c>
      <c r="I604" s="101">
        <v>1470758</v>
      </c>
      <c r="J604" s="101">
        <v>1609</v>
      </c>
      <c r="K604" s="101">
        <v>1472367</v>
      </c>
      <c r="L604" s="101">
        <v>99.89</v>
      </c>
      <c r="M604" s="71">
        <f t="shared" si="136"/>
        <v>1.472367</v>
      </c>
      <c r="O604" s="215">
        <v>45490</v>
      </c>
      <c r="P604" s="101">
        <v>381227</v>
      </c>
      <c r="Q604" s="101">
        <v>13</v>
      </c>
      <c r="R604" s="101">
        <v>381240</v>
      </c>
      <c r="S604" s="101">
        <v>100</v>
      </c>
      <c r="T604" s="71">
        <f t="shared" si="131"/>
        <v>0.38124000000000002</v>
      </c>
      <c r="V604" s="215">
        <v>45490</v>
      </c>
      <c r="W604" s="101">
        <v>879180</v>
      </c>
      <c r="X604" s="101">
        <v>206</v>
      </c>
      <c r="Y604" s="101">
        <v>879386</v>
      </c>
      <c r="Z604" s="101">
        <v>99.98</v>
      </c>
      <c r="AA604" s="71">
        <f t="shared" si="134"/>
        <v>0.879386</v>
      </c>
      <c r="AC604" s="215">
        <v>45490</v>
      </c>
      <c r="AD604" s="101">
        <v>1002044</v>
      </c>
      <c r="AE604" s="101">
        <v>83</v>
      </c>
      <c r="AF604" s="101">
        <v>1002127</v>
      </c>
      <c r="AG604" s="101">
        <v>99.99</v>
      </c>
      <c r="AH604" s="71">
        <f t="shared" si="133"/>
        <v>1.002127</v>
      </c>
      <c r="AJ604" s="215">
        <v>45490</v>
      </c>
      <c r="AK604" s="48">
        <v>0</v>
      </c>
      <c r="AL604" s="48">
        <v>23</v>
      </c>
      <c r="AM604" s="48">
        <v>23</v>
      </c>
      <c r="AN604" s="48">
        <v>0</v>
      </c>
      <c r="AQ604" s="215">
        <v>45490</v>
      </c>
      <c r="AR604" s="48">
        <v>0</v>
      </c>
      <c r="AS604" s="48">
        <v>20</v>
      </c>
      <c r="AT604" s="48">
        <v>20</v>
      </c>
      <c r="AU604" s="48">
        <v>0</v>
      </c>
      <c r="AX604" s="215">
        <v>45490</v>
      </c>
      <c r="AY604" s="48">
        <v>11</v>
      </c>
      <c r="AZ604" s="48">
        <v>0</v>
      </c>
      <c r="BA604" s="48">
        <v>11</v>
      </c>
      <c r="BB604" s="48">
        <v>100</v>
      </c>
      <c r="BE604" s="215">
        <v>45490</v>
      </c>
      <c r="BF604" s="101">
        <v>22281</v>
      </c>
      <c r="BG604" s="101">
        <v>150</v>
      </c>
      <c r="BH604" s="101">
        <v>22431</v>
      </c>
      <c r="BI604" s="101">
        <v>99.33</v>
      </c>
      <c r="BL604" s="215">
        <v>45490</v>
      </c>
      <c r="BM604" s="101">
        <v>197662</v>
      </c>
      <c r="BN604" s="101">
        <v>0</v>
      </c>
      <c r="BO604" s="101">
        <v>197662</v>
      </c>
      <c r="BP604" s="101">
        <v>100</v>
      </c>
      <c r="BS604" s="215">
        <v>45490</v>
      </c>
      <c r="BT604" s="101">
        <v>7827</v>
      </c>
      <c r="BU604" s="101">
        <v>0</v>
      </c>
      <c r="BV604" s="101">
        <v>7827</v>
      </c>
      <c r="BW604" s="101">
        <v>100</v>
      </c>
      <c r="BZ604" s="215">
        <v>45490</v>
      </c>
      <c r="CA604" s="1">
        <v>31795923</v>
      </c>
      <c r="CB604" s="1">
        <v>2480630</v>
      </c>
      <c r="CC604" s="71">
        <f t="shared" si="135"/>
        <v>12.817680589205162</v>
      </c>
      <c r="CE604" s="258">
        <v>45490</v>
      </c>
      <c r="CF604" s="101">
        <v>12249198</v>
      </c>
      <c r="CG604" s="101">
        <v>12834</v>
      </c>
      <c r="CH604" s="101">
        <v>12262032</v>
      </c>
      <c r="CI604" s="101">
        <v>99.9</v>
      </c>
      <c r="CJ604" s="71">
        <f t="shared" si="132"/>
        <v>12.262032</v>
      </c>
      <c r="CL604" s="222">
        <v>45469</v>
      </c>
      <c r="CM604" s="1" t="s">
        <v>238</v>
      </c>
      <c r="CN604" s="101">
        <v>584</v>
      </c>
      <c r="CO604" s="101">
        <v>503</v>
      </c>
    </row>
    <row r="605" spans="1:93" hidden="1" x14ac:dyDescent="0.25">
      <c r="A605" s="215">
        <v>45491</v>
      </c>
      <c r="B605" s="101">
        <v>5543289</v>
      </c>
      <c r="C605" s="101">
        <v>7232</v>
      </c>
      <c r="D605" s="101">
        <v>5550521</v>
      </c>
      <c r="E605" s="101">
        <v>99.87</v>
      </c>
      <c r="F605" s="71">
        <f t="shared" si="137"/>
        <v>5.5505209999999998</v>
      </c>
      <c r="H605" s="215">
        <v>45491</v>
      </c>
      <c r="I605" s="101">
        <v>1317112</v>
      </c>
      <c r="J605" s="101">
        <v>1374</v>
      </c>
      <c r="K605" s="101">
        <v>1318486</v>
      </c>
      <c r="L605" s="101">
        <v>99.9</v>
      </c>
      <c r="M605" s="71">
        <f t="shared" si="136"/>
        <v>1.318486</v>
      </c>
      <c r="O605" s="215">
        <v>45491</v>
      </c>
      <c r="P605" s="101">
        <v>348272</v>
      </c>
      <c r="Q605" s="101">
        <v>11</v>
      </c>
      <c r="R605" s="101">
        <v>348283</v>
      </c>
      <c r="S605" s="101">
        <v>100</v>
      </c>
      <c r="T605" s="71">
        <f t="shared" si="131"/>
        <v>0.34828300000000001</v>
      </c>
      <c r="V605" s="215">
        <v>45491</v>
      </c>
      <c r="W605" s="101">
        <v>836025</v>
      </c>
      <c r="X605" s="101">
        <v>360</v>
      </c>
      <c r="Y605" s="101">
        <v>836385</v>
      </c>
      <c r="Z605" s="101">
        <v>99.96</v>
      </c>
      <c r="AA605" s="71">
        <f t="shared" si="134"/>
        <v>0.83638500000000005</v>
      </c>
      <c r="AC605" s="215">
        <v>45491</v>
      </c>
      <c r="AD605" s="101">
        <v>877737</v>
      </c>
      <c r="AE605" s="101">
        <v>90</v>
      </c>
      <c r="AF605" s="101">
        <v>877827</v>
      </c>
      <c r="AG605" s="101">
        <v>99.99</v>
      </c>
      <c r="AH605" s="71">
        <f t="shared" si="133"/>
        <v>0.87782700000000002</v>
      </c>
      <c r="AJ605" s="215">
        <v>45491</v>
      </c>
      <c r="AK605" s="48">
        <v>0</v>
      </c>
      <c r="AL605" s="48">
        <v>21</v>
      </c>
      <c r="AM605" s="48">
        <v>21</v>
      </c>
      <c r="AN605" s="48">
        <v>0</v>
      </c>
      <c r="AQ605" s="215">
        <v>45491</v>
      </c>
      <c r="AR605" s="48">
        <v>0</v>
      </c>
      <c r="AS605" s="48">
        <v>21</v>
      </c>
      <c r="AT605" s="48">
        <v>21</v>
      </c>
      <c r="AU605" s="48">
        <v>0</v>
      </c>
      <c r="AX605" s="215">
        <v>45491</v>
      </c>
      <c r="AY605" s="48">
        <v>10</v>
      </c>
      <c r="AZ605" s="48">
        <v>0</v>
      </c>
      <c r="BA605" s="48">
        <v>10</v>
      </c>
      <c r="BB605" s="48">
        <v>100</v>
      </c>
      <c r="BE605" s="215">
        <v>45491</v>
      </c>
      <c r="BF605" s="101">
        <v>22591</v>
      </c>
      <c r="BG605" s="101">
        <v>211</v>
      </c>
      <c r="BH605" s="101">
        <v>22802</v>
      </c>
      <c r="BI605" s="101">
        <v>99.07</v>
      </c>
      <c r="BL605" s="215">
        <v>45491</v>
      </c>
      <c r="BM605" s="101">
        <v>195241</v>
      </c>
      <c r="BN605" s="101">
        <v>0</v>
      </c>
      <c r="BO605" s="101">
        <v>195241</v>
      </c>
      <c r="BP605" s="101">
        <v>100</v>
      </c>
      <c r="BS605" s="215">
        <v>45491</v>
      </c>
      <c r="BT605" s="101">
        <v>8682</v>
      </c>
      <c r="BU605" s="101">
        <v>4</v>
      </c>
      <c r="BV605" s="101">
        <v>8686</v>
      </c>
      <c r="BW605" s="101">
        <v>99.95</v>
      </c>
      <c r="BZ605" s="215">
        <v>45491</v>
      </c>
      <c r="CA605" s="1">
        <v>31019620</v>
      </c>
      <c r="CB605" s="1">
        <v>2457204</v>
      </c>
      <c r="CC605" s="71">
        <f t="shared" si="135"/>
        <v>12.623949822643949</v>
      </c>
      <c r="CE605" s="258">
        <v>45491</v>
      </c>
      <c r="CF605" s="101">
        <v>10964841</v>
      </c>
      <c r="CG605" s="101">
        <v>19695</v>
      </c>
      <c r="CH605" s="101">
        <v>10984536</v>
      </c>
      <c r="CI605" s="101">
        <v>99.82</v>
      </c>
      <c r="CJ605" s="71">
        <f t="shared" si="132"/>
        <v>10.984536</v>
      </c>
      <c r="CL605" s="222">
        <v>45469</v>
      </c>
      <c r="CM605" s="1" t="s">
        <v>291</v>
      </c>
      <c r="CN605" s="101">
        <v>572</v>
      </c>
      <c r="CO605" s="101">
        <v>540</v>
      </c>
    </row>
    <row r="606" spans="1:93" hidden="1" x14ac:dyDescent="0.25">
      <c r="A606" s="215">
        <v>45492</v>
      </c>
      <c r="B606" s="101">
        <v>7422057</v>
      </c>
      <c r="C606" s="101">
        <v>2833</v>
      </c>
      <c r="D606" s="101">
        <v>7424890</v>
      </c>
      <c r="E606" s="101">
        <v>99.96</v>
      </c>
      <c r="F606" s="71">
        <f t="shared" si="137"/>
        <v>7.4248900000000004</v>
      </c>
      <c r="H606" s="215">
        <v>45492</v>
      </c>
      <c r="I606" s="101">
        <v>1895499</v>
      </c>
      <c r="J606" s="101">
        <v>1818</v>
      </c>
      <c r="K606" s="101">
        <v>1897317</v>
      </c>
      <c r="L606" s="101">
        <v>99.9</v>
      </c>
      <c r="M606" s="71">
        <f t="shared" si="136"/>
        <v>1.8973169999999999</v>
      </c>
      <c r="O606" s="215">
        <v>45492</v>
      </c>
      <c r="P606" s="101">
        <v>448050</v>
      </c>
      <c r="Q606" s="101">
        <v>21</v>
      </c>
      <c r="R606" s="101">
        <v>448071</v>
      </c>
      <c r="S606" s="101">
        <v>100</v>
      </c>
      <c r="T606" s="71">
        <f t="shared" si="131"/>
        <v>0.448071</v>
      </c>
      <c r="V606" s="215">
        <v>45492</v>
      </c>
      <c r="W606" s="101">
        <v>1174939</v>
      </c>
      <c r="X606" s="101">
        <v>229</v>
      </c>
      <c r="Y606" s="101">
        <v>1175168</v>
      </c>
      <c r="Z606" s="101">
        <v>99.98</v>
      </c>
      <c r="AA606" s="71">
        <f t="shared" si="134"/>
        <v>1.175168</v>
      </c>
      <c r="AC606" s="215">
        <v>45492</v>
      </c>
      <c r="AD606" s="101">
        <v>1084217</v>
      </c>
      <c r="AE606" s="101">
        <v>65</v>
      </c>
      <c r="AF606" s="101">
        <v>1084282</v>
      </c>
      <c r="AG606" s="101">
        <v>99.99</v>
      </c>
      <c r="AH606" s="71">
        <f t="shared" si="133"/>
        <v>1.084282</v>
      </c>
      <c r="AJ606" s="215">
        <v>45492</v>
      </c>
      <c r="AK606" s="48">
        <v>0</v>
      </c>
      <c r="AL606" s="48">
        <v>18</v>
      </c>
      <c r="AM606" s="48">
        <v>18</v>
      </c>
      <c r="AN606" s="48">
        <v>0</v>
      </c>
      <c r="AQ606" s="215">
        <v>45492</v>
      </c>
      <c r="AR606" s="48">
        <v>0</v>
      </c>
      <c r="AS606" s="48">
        <v>22</v>
      </c>
      <c r="AT606" s="48">
        <v>22</v>
      </c>
      <c r="AU606" s="48">
        <v>0</v>
      </c>
      <c r="AX606" s="215">
        <v>45492</v>
      </c>
      <c r="AY606" s="48">
        <v>9</v>
      </c>
      <c r="AZ606" s="48">
        <v>0</v>
      </c>
      <c r="BA606" s="48">
        <v>9</v>
      </c>
      <c r="BB606" s="48">
        <v>100</v>
      </c>
      <c r="BE606" s="215">
        <v>45492</v>
      </c>
      <c r="BF606" s="101">
        <v>28858</v>
      </c>
      <c r="BG606" s="101">
        <v>174</v>
      </c>
      <c r="BH606" s="101">
        <v>29032</v>
      </c>
      <c r="BI606" s="101">
        <v>99.4</v>
      </c>
      <c r="BL606" s="215">
        <v>45492</v>
      </c>
      <c r="BM606" s="101">
        <v>311420</v>
      </c>
      <c r="BN606" s="101">
        <v>0</v>
      </c>
      <c r="BO606" s="101">
        <v>311420</v>
      </c>
      <c r="BP606" s="101">
        <v>100</v>
      </c>
      <c r="BS606" s="215">
        <v>45492</v>
      </c>
      <c r="BT606" s="101">
        <v>11504</v>
      </c>
      <c r="BU606" s="101">
        <v>0</v>
      </c>
      <c r="BV606" s="101">
        <v>11504</v>
      </c>
      <c r="BW606" s="101">
        <v>100</v>
      </c>
      <c r="BZ606" s="215">
        <v>45492</v>
      </c>
      <c r="CA606" s="1">
        <v>31918380</v>
      </c>
      <c r="CB606" s="1">
        <v>2501475</v>
      </c>
      <c r="CC606" s="71">
        <f t="shared" si="135"/>
        <v>12.759823704014631</v>
      </c>
      <c r="CE606" s="258">
        <v>45492</v>
      </c>
      <c r="CF606" s="101">
        <v>14847863</v>
      </c>
      <c r="CG606" s="101">
        <v>17872</v>
      </c>
      <c r="CH606" s="101">
        <v>14865735</v>
      </c>
      <c r="CI606" s="101">
        <v>99.88</v>
      </c>
      <c r="CJ606" s="71">
        <f t="shared" si="132"/>
        <v>14.865735000000001</v>
      </c>
    </row>
    <row r="607" spans="1:93" hidden="1" x14ac:dyDescent="0.25">
      <c r="A607" s="215">
        <v>45493</v>
      </c>
      <c r="B607" s="101">
        <v>5852159</v>
      </c>
      <c r="C607" s="101">
        <v>2469</v>
      </c>
      <c r="D607" s="101">
        <v>5854628</v>
      </c>
      <c r="E607" s="101">
        <v>99.96</v>
      </c>
      <c r="F607" s="71">
        <f t="shared" si="137"/>
        <v>5.8546279999999999</v>
      </c>
      <c r="H607" s="215">
        <v>45493</v>
      </c>
      <c r="I607" s="101">
        <v>1342957</v>
      </c>
      <c r="J607" s="101">
        <v>1419</v>
      </c>
      <c r="K607" s="101">
        <v>1344376</v>
      </c>
      <c r="L607" s="101">
        <v>99.89</v>
      </c>
      <c r="M607" s="71">
        <f t="shared" si="136"/>
        <v>1.344376</v>
      </c>
      <c r="O607" s="215">
        <v>45493</v>
      </c>
      <c r="P607" s="101">
        <v>338612</v>
      </c>
      <c r="Q607" s="101">
        <v>13</v>
      </c>
      <c r="R607" s="101">
        <v>338625</v>
      </c>
      <c r="S607" s="101">
        <v>100</v>
      </c>
      <c r="T607" s="71">
        <f t="shared" si="131"/>
        <v>0.33862500000000001</v>
      </c>
      <c r="V607" s="215">
        <v>45493</v>
      </c>
      <c r="W607" s="101">
        <v>826660</v>
      </c>
      <c r="X607" s="101">
        <v>121</v>
      </c>
      <c r="Y607" s="101">
        <v>826781</v>
      </c>
      <c r="Z607" s="101">
        <v>99.99</v>
      </c>
      <c r="AA607" s="71">
        <f t="shared" si="134"/>
        <v>0.82678099999999999</v>
      </c>
      <c r="AC607" s="215">
        <v>45493</v>
      </c>
      <c r="AD607" s="101">
        <v>944057</v>
      </c>
      <c r="AE607" s="101">
        <v>167</v>
      </c>
      <c r="AF607" s="101">
        <v>944224</v>
      </c>
      <c r="AG607" s="101">
        <v>99.98</v>
      </c>
      <c r="AH607" s="71">
        <f t="shared" si="133"/>
        <v>0.94422399999999995</v>
      </c>
      <c r="AJ607" s="215">
        <v>45493</v>
      </c>
      <c r="AK607" s="48">
        <v>0</v>
      </c>
      <c r="AL607" s="48">
        <v>17</v>
      </c>
      <c r="AM607" s="48">
        <v>17</v>
      </c>
      <c r="AN607" s="48">
        <v>0</v>
      </c>
      <c r="AQ607" s="215">
        <v>45493</v>
      </c>
      <c r="AR607" s="48">
        <v>0</v>
      </c>
      <c r="AS607" s="48">
        <v>17</v>
      </c>
      <c r="AT607" s="48">
        <v>17</v>
      </c>
      <c r="AU607" s="48">
        <v>0</v>
      </c>
      <c r="AX607" s="215">
        <v>45493</v>
      </c>
      <c r="AY607" s="48">
        <v>18</v>
      </c>
      <c r="AZ607" s="48">
        <v>0</v>
      </c>
      <c r="BA607" s="48">
        <v>18</v>
      </c>
      <c r="BB607" s="48">
        <v>100</v>
      </c>
      <c r="BE607" s="215">
        <v>45493</v>
      </c>
      <c r="BF607" s="101">
        <v>37600</v>
      </c>
      <c r="BG607" s="101">
        <v>316</v>
      </c>
      <c r="BH607" s="101">
        <v>37916</v>
      </c>
      <c r="BI607" s="101">
        <v>99.17</v>
      </c>
      <c r="BL607" s="215">
        <v>45493</v>
      </c>
      <c r="BM607" s="101">
        <v>203232</v>
      </c>
      <c r="BN607" s="101">
        <v>0</v>
      </c>
      <c r="BO607" s="101">
        <v>203232</v>
      </c>
      <c r="BP607" s="101">
        <v>100</v>
      </c>
      <c r="BS607" s="215">
        <v>45493</v>
      </c>
      <c r="BT607" s="101">
        <v>8236</v>
      </c>
      <c r="BU607" s="101">
        <v>0</v>
      </c>
      <c r="BV607" s="101">
        <v>8236</v>
      </c>
      <c r="BW607" s="101">
        <v>100</v>
      </c>
      <c r="BZ607" s="215">
        <v>45493</v>
      </c>
      <c r="CA607" s="1">
        <v>32229914</v>
      </c>
      <c r="CB607" s="1">
        <v>2466658</v>
      </c>
      <c r="CC607" s="71">
        <f t="shared" si="135"/>
        <v>13.066227259717399</v>
      </c>
      <c r="CE607" s="258">
        <v>45493</v>
      </c>
      <c r="CF607" s="101">
        <v>11365891</v>
      </c>
      <c r="CG607" s="101">
        <v>12979</v>
      </c>
      <c r="CH607" s="101">
        <v>11378870</v>
      </c>
      <c r="CI607" s="101">
        <v>99.89</v>
      </c>
      <c r="CJ607" s="71">
        <f t="shared" si="132"/>
        <v>11.378869999999999</v>
      </c>
      <c r="CL607" s="222">
        <v>45470</v>
      </c>
      <c r="CM607" s="1" t="s">
        <v>240</v>
      </c>
      <c r="CN607" s="101">
        <v>2886</v>
      </c>
      <c r="CO607" s="101">
        <v>516</v>
      </c>
    </row>
    <row r="608" spans="1:93" hidden="1" x14ac:dyDescent="0.25">
      <c r="A608" s="215">
        <v>45494</v>
      </c>
      <c r="B608" s="101">
        <v>8448001</v>
      </c>
      <c r="C608" s="101">
        <v>3146</v>
      </c>
      <c r="D608" s="101">
        <v>8451147</v>
      </c>
      <c r="E608" s="101">
        <v>99.96</v>
      </c>
      <c r="F608" s="71">
        <f t="shared" si="137"/>
        <v>8.4511470000000006</v>
      </c>
      <c r="H608" s="215">
        <v>45494</v>
      </c>
      <c r="I608" s="101">
        <v>2098305</v>
      </c>
      <c r="J608" s="101">
        <v>2151</v>
      </c>
      <c r="K608" s="101">
        <v>2100456</v>
      </c>
      <c r="L608" s="101">
        <v>99.9</v>
      </c>
      <c r="M608" s="71">
        <f t="shared" si="136"/>
        <v>2.1004559999999999</v>
      </c>
      <c r="O608" s="215">
        <v>45494</v>
      </c>
      <c r="P608" s="101">
        <v>546238</v>
      </c>
      <c r="Q608" s="101">
        <v>26</v>
      </c>
      <c r="R608" s="101">
        <v>546264</v>
      </c>
      <c r="S608" s="101">
        <v>100</v>
      </c>
      <c r="T608" s="71">
        <f t="shared" si="131"/>
        <v>0.54626399999999997</v>
      </c>
      <c r="V608" s="215">
        <v>45494</v>
      </c>
      <c r="W608" s="101">
        <v>1397945</v>
      </c>
      <c r="X608" s="101">
        <v>259</v>
      </c>
      <c r="Y608" s="101">
        <v>1398204</v>
      </c>
      <c r="Z608" s="101">
        <v>99.98</v>
      </c>
      <c r="AA608" s="71">
        <f t="shared" si="134"/>
        <v>1.398204</v>
      </c>
      <c r="AC608" s="215">
        <v>45494</v>
      </c>
      <c r="AD608" s="101">
        <v>1254494</v>
      </c>
      <c r="AE608" s="101">
        <v>169</v>
      </c>
      <c r="AF608" s="101">
        <v>1254663</v>
      </c>
      <c r="AG608" s="101">
        <v>99.99</v>
      </c>
      <c r="AH608" s="71">
        <f t="shared" si="133"/>
        <v>1.2546630000000001</v>
      </c>
      <c r="AJ608" s="215">
        <v>45494</v>
      </c>
      <c r="AK608" s="48">
        <v>0</v>
      </c>
      <c r="AL608" s="48">
        <v>21</v>
      </c>
      <c r="AM608" s="48">
        <v>21</v>
      </c>
      <c r="AN608" s="48">
        <v>0</v>
      </c>
      <c r="AQ608" s="215">
        <v>45494</v>
      </c>
      <c r="AR608" s="48">
        <v>0</v>
      </c>
      <c r="AS608" s="48">
        <v>26</v>
      </c>
      <c r="AT608" s="48">
        <v>26</v>
      </c>
      <c r="AU608" s="48">
        <v>0</v>
      </c>
      <c r="AX608" s="215">
        <v>45494</v>
      </c>
      <c r="AY608" s="48">
        <v>34</v>
      </c>
      <c r="AZ608" s="48">
        <v>0</v>
      </c>
      <c r="BA608" s="48">
        <v>34</v>
      </c>
      <c r="BB608" s="48">
        <v>100</v>
      </c>
      <c r="BE608" s="215">
        <v>45494</v>
      </c>
      <c r="BF608" s="101">
        <v>39824</v>
      </c>
      <c r="BG608" s="101">
        <v>352</v>
      </c>
      <c r="BH608" s="101">
        <v>40176</v>
      </c>
      <c r="BI608" s="101">
        <v>99.12</v>
      </c>
      <c r="BL608" s="215">
        <v>45494</v>
      </c>
      <c r="BM608" s="101">
        <v>8242</v>
      </c>
      <c r="BN608" s="101">
        <v>0</v>
      </c>
      <c r="BO608" s="101">
        <v>8242</v>
      </c>
      <c r="BP608" s="101">
        <v>100</v>
      </c>
      <c r="BS608" s="215">
        <v>45494</v>
      </c>
      <c r="BT608" s="101">
        <v>18745</v>
      </c>
      <c r="BU608" s="101">
        <v>0</v>
      </c>
      <c r="BV608" s="101">
        <v>18745</v>
      </c>
      <c r="BW608" s="101">
        <v>100</v>
      </c>
      <c r="BZ608" s="215">
        <v>45494</v>
      </c>
      <c r="CA608" s="1">
        <v>27099165</v>
      </c>
      <c r="CB608" s="1">
        <v>1779584</v>
      </c>
      <c r="CC608" s="71">
        <f t="shared" si="135"/>
        <v>15.227808858699561</v>
      </c>
      <c r="CE608" s="258">
        <v>45494</v>
      </c>
      <c r="CF608" s="101">
        <v>16655037</v>
      </c>
      <c r="CG608" s="101">
        <v>19634</v>
      </c>
      <c r="CH608" s="101">
        <v>16674671</v>
      </c>
      <c r="CI608" s="101">
        <v>99.88</v>
      </c>
      <c r="CJ608" s="71">
        <f t="shared" si="132"/>
        <v>16.674671</v>
      </c>
      <c r="CL608" s="222">
        <v>45470</v>
      </c>
      <c r="CM608" s="1" t="s">
        <v>239</v>
      </c>
      <c r="CN608" s="101">
        <v>2392</v>
      </c>
      <c r="CO608" s="101">
        <v>504</v>
      </c>
    </row>
    <row r="609" spans="1:93" hidden="1" x14ac:dyDescent="0.25">
      <c r="A609" s="215">
        <v>45495</v>
      </c>
      <c r="B609" s="101">
        <v>6393767</v>
      </c>
      <c r="C609" s="101">
        <v>2537</v>
      </c>
      <c r="D609" s="101">
        <v>6396304</v>
      </c>
      <c r="E609" s="101">
        <v>99.96</v>
      </c>
      <c r="F609" s="71">
        <f t="shared" si="137"/>
        <v>6.3963039999999998</v>
      </c>
      <c r="H609" s="215">
        <v>45495</v>
      </c>
      <c r="I609" s="101">
        <v>1611457</v>
      </c>
      <c r="J609" s="101">
        <v>543</v>
      </c>
      <c r="K609" s="101">
        <v>1612000</v>
      </c>
      <c r="L609" s="101">
        <v>99.97</v>
      </c>
      <c r="M609" s="71">
        <f t="shared" si="136"/>
        <v>1.6120000000000001</v>
      </c>
      <c r="O609" s="215">
        <v>45495</v>
      </c>
      <c r="P609" s="101">
        <v>428305</v>
      </c>
      <c r="Q609" s="101">
        <v>10</v>
      </c>
      <c r="R609" s="101">
        <v>428315</v>
      </c>
      <c r="S609" s="101">
        <v>100</v>
      </c>
      <c r="T609" s="71">
        <f t="shared" si="131"/>
        <v>0.428315</v>
      </c>
      <c r="V609" s="215">
        <v>45495</v>
      </c>
      <c r="W609" s="101">
        <v>1010402</v>
      </c>
      <c r="X609" s="101">
        <v>196</v>
      </c>
      <c r="Y609" s="101">
        <v>1010598</v>
      </c>
      <c r="Z609" s="101">
        <v>99.98</v>
      </c>
      <c r="AA609" s="71">
        <f t="shared" si="134"/>
        <v>1.0105980000000001</v>
      </c>
      <c r="AC609" s="215">
        <v>45495</v>
      </c>
      <c r="AD609" s="101">
        <v>913981</v>
      </c>
      <c r="AE609" s="101">
        <v>410</v>
      </c>
      <c r="AF609" s="101">
        <v>914391</v>
      </c>
      <c r="AG609" s="101">
        <v>99.96</v>
      </c>
      <c r="AH609" s="71">
        <f t="shared" si="133"/>
        <v>0.91439099999999995</v>
      </c>
      <c r="AJ609" s="215">
        <v>45495</v>
      </c>
      <c r="AK609" s="48">
        <v>0</v>
      </c>
      <c r="AL609" s="48">
        <v>23</v>
      </c>
      <c r="AM609" s="48">
        <v>23</v>
      </c>
      <c r="AN609" s="48">
        <v>0</v>
      </c>
      <c r="AQ609" s="215">
        <v>45495</v>
      </c>
      <c r="AR609" s="48">
        <v>0</v>
      </c>
      <c r="AS609" s="48">
        <v>7</v>
      </c>
      <c r="AT609" s="48">
        <v>7</v>
      </c>
      <c r="AU609" s="48">
        <v>0</v>
      </c>
      <c r="AX609" s="215">
        <v>45495</v>
      </c>
      <c r="AY609" s="48">
        <v>12</v>
      </c>
      <c r="AZ609" s="48">
        <v>0</v>
      </c>
      <c r="BA609" s="48">
        <v>12</v>
      </c>
      <c r="BB609" s="48">
        <v>100</v>
      </c>
      <c r="BE609" s="215">
        <v>45495</v>
      </c>
      <c r="BF609" s="101">
        <v>28622</v>
      </c>
      <c r="BG609" s="101">
        <v>345</v>
      </c>
      <c r="BH609" s="101">
        <v>28967</v>
      </c>
      <c r="BI609" s="101">
        <v>98.81</v>
      </c>
      <c r="BL609" s="215">
        <v>45495</v>
      </c>
      <c r="BM609" s="101">
        <v>225111</v>
      </c>
      <c r="BN609" s="101">
        <v>0</v>
      </c>
      <c r="BO609" s="101">
        <v>225111</v>
      </c>
      <c r="BP609" s="101">
        <v>100</v>
      </c>
      <c r="BS609" s="215">
        <v>45495</v>
      </c>
      <c r="BT609" s="101">
        <v>6051</v>
      </c>
      <c r="BU609" s="101">
        <v>0</v>
      </c>
      <c r="BV609" s="101">
        <v>6051</v>
      </c>
      <c r="BW609" s="101">
        <v>100</v>
      </c>
      <c r="BZ609" s="215">
        <v>45495</v>
      </c>
      <c r="CA609" s="1">
        <v>31700300</v>
      </c>
      <c r="CB609" s="1">
        <v>2562407</v>
      </c>
      <c r="CC609" s="71">
        <f t="shared" si="135"/>
        <v>12.371297768075095</v>
      </c>
      <c r="CE609" s="258">
        <v>45495</v>
      </c>
      <c r="CF609" s="101">
        <v>12821533</v>
      </c>
      <c r="CG609" s="101">
        <v>13083</v>
      </c>
      <c r="CH609" s="101">
        <v>12834616</v>
      </c>
      <c r="CI609" s="101">
        <v>99.9</v>
      </c>
      <c r="CJ609" s="71">
        <f t="shared" si="132"/>
        <v>12.834616</v>
      </c>
      <c r="CL609" s="222">
        <v>45470</v>
      </c>
      <c r="CM609" s="1" t="s">
        <v>237</v>
      </c>
      <c r="CN609" s="101">
        <v>1922</v>
      </c>
      <c r="CO609" s="101">
        <v>527</v>
      </c>
    </row>
    <row r="610" spans="1:93" hidden="1" x14ac:dyDescent="0.25">
      <c r="A610" s="215">
        <v>45496</v>
      </c>
      <c r="B610" s="101">
        <v>6060055</v>
      </c>
      <c r="C610" s="101">
        <v>2304</v>
      </c>
      <c r="D610" s="101">
        <v>6062359</v>
      </c>
      <c r="E610" s="101">
        <v>99.96</v>
      </c>
      <c r="F610" s="71">
        <f t="shared" si="137"/>
        <v>6.0623589999999998</v>
      </c>
      <c r="H610" s="215">
        <v>45496</v>
      </c>
      <c r="I610" s="101">
        <v>1683971</v>
      </c>
      <c r="J610" s="101">
        <v>509</v>
      </c>
      <c r="K610" s="101">
        <v>1684480</v>
      </c>
      <c r="L610" s="101">
        <v>99.97</v>
      </c>
      <c r="M610" s="71">
        <f t="shared" si="136"/>
        <v>1.68448</v>
      </c>
      <c r="O610" s="215">
        <v>45496</v>
      </c>
      <c r="P610" s="101">
        <v>409870</v>
      </c>
      <c r="Q610" s="101">
        <v>7</v>
      </c>
      <c r="R610" s="101">
        <v>409877</v>
      </c>
      <c r="S610" s="101">
        <v>100</v>
      </c>
      <c r="T610" s="71">
        <f t="shared" si="131"/>
        <v>0.40987699999999999</v>
      </c>
      <c r="V610" s="215">
        <v>45496</v>
      </c>
      <c r="W610" s="101">
        <v>983854</v>
      </c>
      <c r="X610" s="101">
        <v>172</v>
      </c>
      <c r="Y610" s="101">
        <v>984026</v>
      </c>
      <c r="Z610" s="101">
        <v>99.98</v>
      </c>
      <c r="AA610" s="71">
        <f t="shared" si="134"/>
        <v>0.98402599999999996</v>
      </c>
      <c r="AC610" s="215">
        <v>45496</v>
      </c>
      <c r="AD610" s="101">
        <v>934833</v>
      </c>
      <c r="AE610" s="101">
        <v>64</v>
      </c>
      <c r="AF610" s="101">
        <v>934897</v>
      </c>
      <c r="AG610" s="101">
        <v>99.99</v>
      </c>
      <c r="AH610" s="71">
        <f t="shared" si="133"/>
        <v>0.93489699999999998</v>
      </c>
      <c r="AJ610" s="215">
        <v>45496</v>
      </c>
      <c r="AK610" s="48">
        <v>0</v>
      </c>
      <c r="AL610" s="48">
        <v>80</v>
      </c>
      <c r="AM610" s="48">
        <v>80</v>
      </c>
      <c r="AN610" s="48">
        <v>0</v>
      </c>
      <c r="AQ610" s="215">
        <v>45496</v>
      </c>
      <c r="AR610" s="48">
        <v>0</v>
      </c>
      <c r="AS610" s="48">
        <v>14</v>
      </c>
      <c r="AT610" s="48">
        <v>14</v>
      </c>
      <c r="AU610" s="48">
        <v>0</v>
      </c>
      <c r="AX610" s="215">
        <v>45496</v>
      </c>
      <c r="AY610" s="48">
        <v>7</v>
      </c>
      <c r="AZ610" s="48">
        <v>0</v>
      </c>
      <c r="BA610" s="48">
        <v>7</v>
      </c>
      <c r="BB610" s="48">
        <v>100</v>
      </c>
      <c r="BE610" s="215">
        <v>45496</v>
      </c>
      <c r="BF610" s="101">
        <v>27699</v>
      </c>
      <c r="BG610" s="101">
        <v>269</v>
      </c>
      <c r="BH610" s="101">
        <v>27968</v>
      </c>
      <c r="BI610" s="101">
        <v>99.04</v>
      </c>
      <c r="BL610" s="215">
        <v>45496</v>
      </c>
      <c r="BM610" s="101">
        <v>213661</v>
      </c>
      <c r="BN610" s="101">
        <v>0</v>
      </c>
      <c r="BO610" s="101">
        <v>213661</v>
      </c>
      <c r="BP610" s="101">
        <v>100</v>
      </c>
      <c r="BS610" s="215">
        <v>45496</v>
      </c>
      <c r="BT610" s="101">
        <v>8316</v>
      </c>
      <c r="BU610" s="101">
        <v>0</v>
      </c>
      <c r="BV610" s="101">
        <v>8316</v>
      </c>
      <c r="BW610" s="101">
        <v>100</v>
      </c>
      <c r="BZ610" s="215">
        <v>45496</v>
      </c>
      <c r="CA610" s="1">
        <v>31478652</v>
      </c>
      <c r="CB610" s="1">
        <v>2543353</v>
      </c>
      <c r="CC610" s="71">
        <f t="shared" si="135"/>
        <v>12.376831686360486</v>
      </c>
      <c r="CE610" s="258">
        <v>45496</v>
      </c>
      <c r="CF610" s="101">
        <v>12477242</v>
      </c>
      <c r="CG610" s="101">
        <v>12151</v>
      </c>
      <c r="CH610" s="101">
        <v>12489393</v>
      </c>
      <c r="CI610" s="101">
        <v>99.9</v>
      </c>
      <c r="CJ610" s="71">
        <f t="shared" si="132"/>
        <v>12.489393</v>
      </c>
      <c r="CL610" s="222">
        <v>45470</v>
      </c>
      <c r="CM610" s="1" t="s">
        <v>238</v>
      </c>
      <c r="CN610" s="101">
        <v>580</v>
      </c>
      <c r="CO610" s="101">
        <v>503</v>
      </c>
    </row>
    <row r="611" spans="1:93" hidden="1" x14ac:dyDescent="0.25">
      <c r="A611" s="215">
        <v>45497</v>
      </c>
      <c r="B611" s="101">
        <v>5900683</v>
      </c>
      <c r="C611" s="101">
        <v>4890</v>
      </c>
      <c r="D611" s="101">
        <v>5905573</v>
      </c>
      <c r="E611" s="101">
        <v>99.92</v>
      </c>
      <c r="F611" s="71">
        <f t="shared" si="137"/>
        <v>5.9055730000000004</v>
      </c>
      <c r="H611" s="224">
        <v>45497</v>
      </c>
      <c r="I611" s="173">
        <v>1454000</v>
      </c>
      <c r="J611" s="173">
        <v>398</v>
      </c>
      <c r="K611" s="173">
        <v>1454398</v>
      </c>
      <c r="L611" s="173">
        <v>99.97</v>
      </c>
      <c r="M611" s="208">
        <f t="shared" si="136"/>
        <v>1.4543980000000001</v>
      </c>
      <c r="O611" s="215">
        <v>45497</v>
      </c>
      <c r="P611" s="101">
        <v>376985</v>
      </c>
      <c r="Q611" s="101">
        <v>18</v>
      </c>
      <c r="R611" s="101">
        <v>377003</v>
      </c>
      <c r="S611" s="101">
        <v>100</v>
      </c>
      <c r="T611" s="71">
        <f t="shared" si="131"/>
        <v>0.37700299999999998</v>
      </c>
      <c r="V611" s="215">
        <v>45497</v>
      </c>
      <c r="W611" s="101">
        <v>901697</v>
      </c>
      <c r="X611" s="101">
        <v>596</v>
      </c>
      <c r="Y611" s="101">
        <v>902293</v>
      </c>
      <c r="Z611" s="101">
        <v>99.93</v>
      </c>
      <c r="AA611" s="71">
        <f t="shared" si="134"/>
        <v>0.90229300000000001</v>
      </c>
      <c r="AC611" s="215">
        <v>45497</v>
      </c>
      <c r="AD611" s="101">
        <v>996767</v>
      </c>
      <c r="AE611" s="101">
        <v>104</v>
      </c>
      <c r="AF611" s="101">
        <v>996871</v>
      </c>
      <c r="AG611" s="101">
        <v>99.99</v>
      </c>
      <c r="AH611" s="71">
        <f t="shared" si="133"/>
        <v>0.99687099999999995</v>
      </c>
      <c r="AJ611" s="215">
        <v>45497</v>
      </c>
      <c r="AK611" s="48">
        <v>0</v>
      </c>
      <c r="AL611" s="48">
        <v>36</v>
      </c>
      <c r="AM611" s="48">
        <v>36</v>
      </c>
      <c r="AN611" s="48">
        <v>0</v>
      </c>
      <c r="AQ611" s="215">
        <v>45497</v>
      </c>
      <c r="AR611" s="48">
        <v>0</v>
      </c>
      <c r="AS611" s="48">
        <v>15</v>
      </c>
      <c r="AT611" s="48">
        <v>15</v>
      </c>
      <c r="AU611" s="48">
        <v>0</v>
      </c>
      <c r="AX611" s="215">
        <v>45497</v>
      </c>
      <c r="AY611" s="48">
        <v>16</v>
      </c>
      <c r="AZ611" s="48">
        <v>0</v>
      </c>
      <c r="BA611" s="48">
        <v>16</v>
      </c>
      <c r="BB611" s="48">
        <v>100</v>
      </c>
      <c r="BE611" s="224">
        <v>45497</v>
      </c>
      <c r="BF611" s="173">
        <v>22499</v>
      </c>
      <c r="BG611" s="173">
        <v>219</v>
      </c>
      <c r="BH611" s="173">
        <v>22718</v>
      </c>
      <c r="BI611" s="173">
        <v>99.04</v>
      </c>
      <c r="BL611" s="215">
        <v>45497</v>
      </c>
      <c r="BM611" s="101">
        <v>198777</v>
      </c>
      <c r="BN611" s="101">
        <v>0</v>
      </c>
      <c r="BO611" s="101">
        <v>198777</v>
      </c>
      <c r="BP611" s="101">
        <v>100</v>
      </c>
      <c r="BS611" s="224">
        <v>45497</v>
      </c>
      <c r="BT611" s="173">
        <v>10177</v>
      </c>
      <c r="BU611" s="173">
        <v>2</v>
      </c>
      <c r="BV611" s="173">
        <v>10179</v>
      </c>
      <c r="BW611" s="173">
        <v>99.98</v>
      </c>
      <c r="BZ611" s="215">
        <v>45497</v>
      </c>
      <c r="CA611" s="1">
        <v>30799149</v>
      </c>
      <c r="CB611" s="1">
        <v>2487193</v>
      </c>
      <c r="CC611" s="71">
        <f t="shared" si="135"/>
        <v>12.3830957227686</v>
      </c>
      <c r="CE611" s="258">
        <v>45497</v>
      </c>
      <c r="CF611" s="101">
        <v>11860129</v>
      </c>
      <c r="CG611" s="101">
        <v>14513</v>
      </c>
      <c r="CH611" s="101">
        <v>11874642</v>
      </c>
      <c r="CI611" s="101">
        <v>99.88</v>
      </c>
      <c r="CJ611" s="71">
        <f t="shared" si="132"/>
        <v>11.874642</v>
      </c>
      <c r="CL611" s="222">
        <v>45470</v>
      </c>
      <c r="CM611" s="1" t="s">
        <v>291</v>
      </c>
      <c r="CN611" s="101">
        <v>470</v>
      </c>
      <c r="CO611" s="101">
        <v>540</v>
      </c>
    </row>
    <row r="612" spans="1:93" hidden="1" x14ac:dyDescent="0.25">
      <c r="A612" s="215">
        <v>45498</v>
      </c>
      <c r="B612" s="101">
        <v>6932312</v>
      </c>
      <c r="C612" s="101">
        <v>5778</v>
      </c>
      <c r="D612" s="101">
        <v>6938090</v>
      </c>
      <c r="E612" s="101">
        <v>99.92</v>
      </c>
      <c r="F612" s="71">
        <f t="shared" si="137"/>
        <v>6.9380899999999999</v>
      </c>
      <c r="H612" s="215">
        <v>45498</v>
      </c>
      <c r="I612" s="104">
        <v>1729813</v>
      </c>
      <c r="J612" s="104">
        <v>487</v>
      </c>
      <c r="K612" s="104">
        <v>1730300</v>
      </c>
      <c r="L612" s="104">
        <v>99.97</v>
      </c>
      <c r="M612" s="71">
        <f t="shared" si="136"/>
        <v>1.7302999999999999</v>
      </c>
      <c r="O612" s="215">
        <v>45498</v>
      </c>
      <c r="P612" s="101">
        <v>445814</v>
      </c>
      <c r="Q612" s="101">
        <v>20</v>
      </c>
      <c r="R612" s="101">
        <v>445834</v>
      </c>
      <c r="S612" s="101">
        <v>100</v>
      </c>
      <c r="T612" s="71">
        <f t="shared" si="131"/>
        <v>0.44583400000000001</v>
      </c>
      <c r="V612" s="215">
        <v>45498</v>
      </c>
      <c r="W612" s="101">
        <v>1093066</v>
      </c>
      <c r="X612" s="101">
        <v>700</v>
      </c>
      <c r="Y612" s="101">
        <v>1093766</v>
      </c>
      <c r="Z612" s="101">
        <v>99.94</v>
      </c>
      <c r="AA612" s="71">
        <f t="shared" si="134"/>
        <v>1.093766</v>
      </c>
      <c r="AC612" s="224">
        <v>45498</v>
      </c>
      <c r="AD612" s="173">
        <v>1057255</v>
      </c>
      <c r="AE612" s="173">
        <v>807</v>
      </c>
      <c r="AF612" s="173">
        <v>1058062</v>
      </c>
      <c r="AG612" s="173">
        <v>99.92</v>
      </c>
      <c r="AH612" s="208">
        <f t="shared" si="133"/>
        <v>1.0580620000000001</v>
      </c>
      <c r="AJ612" s="215">
        <v>45498</v>
      </c>
      <c r="AK612" s="48">
        <v>0</v>
      </c>
      <c r="AL612" s="48">
        <v>21</v>
      </c>
      <c r="AM612" s="48">
        <v>21</v>
      </c>
      <c r="AN612" s="48">
        <v>0</v>
      </c>
      <c r="AQ612" s="215">
        <v>45498</v>
      </c>
      <c r="AR612" s="48">
        <v>0</v>
      </c>
      <c r="AS612" s="48">
        <v>15</v>
      </c>
      <c r="AT612" s="48">
        <v>15</v>
      </c>
      <c r="AU612" s="48">
        <v>0</v>
      </c>
      <c r="AX612" s="215">
        <v>45498</v>
      </c>
      <c r="AY612" s="48">
        <v>10</v>
      </c>
      <c r="AZ612" s="48">
        <v>0</v>
      </c>
      <c r="BA612" s="48">
        <v>10</v>
      </c>
      <c r="BB612" s="48">
        <v>100</v>
      </c>
      <c r="BE612" s="215">
        <v>45498</v>
      </c>
      <c r="BF612" s="104">
        <v>28981</v>
      </c>
      <c r="BG612" s="104">
        <v>251</v>
      </c>
      <c r="BH612" s="104">
        <v>29232</v>
      </c>
      <c r="BI612" s="104">
        <v>99.14</v>
      </c>
      <c r="BL612" s="215">
        <v>45498</v>
      </c>
      <c r="BM612" s="101">
        <v>308483</v>
      </c>
      <c r="BN612" s="101">
        <v>0</v>
      </c>
      <c r="BO612" s="101">
        <v>308483</v>
      </c>
      <c r="BP612" s="101">
        <v>100</v>
      </c>
      <c r="BS612" s="215">
        <v>45498</v>
      </c>
      <c r="BT612" s="104">
        <v>12558</v>
      </c>
      <c r="BU612" s="104">
        <v>0</v>
      </c>
      <c r="BV612" s="104">
        <v>12558</v>
      </c>
      <c r="BW612" s="104">
        <v>100</v>
      </c>
      <c r="BZ612" s="215">
        <v>45498</v>
      </c>
      <c r="CA612" s="1">
        <v>30195010</v>
      </c>
      <c r="CB612" s="1">
        <v>2498149</v>
      </c>
      <c r="CC612" s="71">
        <f t="shared" si="135"/>
        <v>12.086953180134572</v>
      </c>
      <c r="CE612" s="258">
        <v>45498</v>
      </c>
      <c r="CF612" s="101">
        <v>13984301</v>
      </c>
      <c r="CG612" s="101">
        <v>17779</v>
      </c>
      <c r="CH612" s="101">
        <v>14002080</v>
      </c>
      <c r="CI612" s="101">
        <v>99.87</v>
      </c>
      <c r="CJ612" s="71">
        <f t="shared" si="132"/>
        <v>14.002079999999999</v>
      </c>
    </row>
    <row r="613" spans="1:93" hidden="1" x14ac:dyDescent="0.25">
      <c r="A613" s="215">
        <v>45499</v>
      </c>
      <c r="B613">
        <v>6120073</v>
      </c>
      <c r="C613">
        <v>2229</v>
      </c>
      <c r="D613">
        <v>6122302</v>
      </c>
      <c r="E613">
        <v>99.96</v>
      </c>
      <c r="F613" s="71">
        <f t="shared" si="137"/>
        <v>6.1223020000000004</v>
      </c>
      <c r="H613" s="215">
        <v>45499</v>
      </c>
      <c r="I613" s="48">
        <v>1539533</v>
      </c>
      <c r="J613" s="48">
        <v>407</v>
      </c>
      <c r="K613" s="48">
        <v>1539940</v>
      </c>
      <c r="L613" s="48">
        <v>99.97</v>
      </c>
      <c r="M613" s="71">
        <f t="shared" si="136"/>
        <v>1.5399400000000001</v>
      </c>
      <c r="O613" s="215">
        <v>45499</v>
      </c>
      <c r="P613" s="101">
        <v>378830</v>
      </c>
      <c r="Q613" s="101">
        <v>6</v>
      </c>
      <c r="R613" s="101">
        <v>378836</v>
      </c>
      <c r="S613" s="101">
        <v>100</v>
      </c>
      <c r="T613" s="71">
        <f t="shared" si="131"/>
        <v>0.37883600000000001</v>
      </c>
      <c r="V613" s="224">
        <v>45499</v>
      </c>
      <c r="W613">
        <v>973783</v>
      </c>
      <c r="X613">
        <v>168</v>
      </c>
      <c r="Y613">
        <v>973951</v>
      </c>
      <c r="Z613">
        <v>99.98</v>
      </c>
      <c r="AA613" s="208">
        <f t="shared" si="134"/>
        <v>0.97395100000000001</v>
      </c>
      <c r="AC613" s="215">
        <v>45499</v>
      </c>
      <c r="AD613" s="48">
        <v>971037</v>
      </c>
      <c r="AE613" s="48">
        <v>49</v>
      </c>
      <c r="AF613" s="48">
        <v>971086</v>
      </c>
      <c r="AG613" s="48">
        <v>99.99</v>
      </c>
      <c r="AH613" s="71">
        <f t="shared" si="133"/>
        <v>0.971086</v>
      </c>
      <c r="AJ613" s="215">
        <v>45499</v>
      </c>
      <c r="AK613" s="48">
        <v>0</v>
      </c>
      <c r="AL613" s="48">
        <v>62</v>
      </c>
      <c r="AM613" s="48">
        <v>62</v>
      </c>
      <c r="AN613" s="48">
        <v>0</v>
      </c>
      <c r="AQ613" s="215">
        <v>45499</v>
      </c>
      <c r="AR613" s="48">
        <v>0</v>
      </c>
      <c r="AS613" s="48">
        <v>20</v>
      </c>
      <c r="AT613" s="48">
        <v>20</v>
      </c>
      <c r="AU613" s="48">
        <v>0</v>
      </c>
      <c r="AX613" s="215">
        <v>45499</v>
      </c>
      <c r="AY613" s="48">
        <v>12</v>
      </c>
      <c r="AZ613" s="48">
        <v>0</v>
      </c>
      <c r="BA613" s="48">
        <v>12</v>
      </c>
      <c r="BB613" s="48">
        <v>100</v>
      </c>
      <c r="BE613" s="215">
        <v>45499</v>
      </c>
      <c r="BF613" s="48">
        <v>22668</v>
      </c>
      <c r="BG613" s="48">
        <v>176</v>
      </c>
      <c r="BH613" s="48">
        <v>22844</v>
      </c>
      <c r="BI613" s="48">
        <v>99.23</v>
      </c>
      <c r="BL613" s="224">
        <v>45499</v>
      </c>
      <c r="BM613">
        <v>248150</v>
      </c>
      <c r="BN613" s="173">
        <v>0</v>
      </c>
      <c r="BO613">
        <v>248150</v>
      </c>
      <c r="BP613" s="173">
        <v>100</v>
      </c>
      <c r="BS613" s="215">
        <v>45499</v>
      </c>
      <c r="BT613" s="48">
        <v>7075</v>
      </c>
      <c r="BU613" s="48">
        <v>0</v>
      </c>
      <c r="BV613" s="48">
        <v>7075</v>
      </c>
      <c r="BW613" s="48">
        <v>100</v>
      </c>
      <c r="BZ613" s="215">
        <v>45499</v>
      </c>
      <c r="CA613">
        <v>31190897</v>
      </c>
      <c r="CB613">
        <v>2443509</v>
      </c>
      <c r="CC613" s="71">
        <f t="shared" si="135"/>
        <v>12.76479726491697</v>
      </c>
      <c r="CE613" s="258">
        <v>45499</v>
      </c>
      <c r="CF613" s="101">
        <v>12327644</v>
      </c>
      <c r="CG613" s="101">
        <v>11446</v>
      </c>
      <c r="CH613" s="101">
        <v>12339090</v>
      </c>
      <c r="CI613" s="101">
        <v>99.91</v>
      </c>
      <c r="CJ613" s="71">
        <f t="shared" si="132"/>
        <v>12.339090000000001</v>
      </c>
      <c r="CL613" s="222">
        <v>45472</v>
      </c>
      <c r="CM613" s="1" t="s">
        <v>239</v>
      </c>
      <c r="CN613" s="1">
        <v>2486</v>
      </c>
      <c r="CO613" s="1">
        <v>504</v>
      </c>
    </row>
    <row r="614" spans="1:93" hidden="1" x14ac:dyDescent="0.25">
      <c r="A614" s="215">
        <v>45500</v>
      </c>
      <c r="B614">
        <v>7278530</v>
      </c>
      <c r="C614">
        <v>2666</v>
      </c>
      <c r="D614">
        <v>7281196</v>
      </c>
      <c r="E614">
        <v>99.96</v>
      </c>
      <c r="F614" s="71">
        <f t="shared" si="137"/>
        <v>7.2811959999999996</v>
      </c>
      <c r="H614" s="215">
        <v>45500</v>
      </c>
      <c r="I614" s="48">
        <v>1688378</v>
      </c>
      <c r="J614" s="48">
        <v>484</v>
      </c>
      <c r="K614" s="48">
        <v>1688862</v>
      </c>
      <c r="L614" s="48">
        <v>99.97</v>
      </c>
      <c r="M614" s="71">
        <f t="shared" si="136"/>
        <v>1.6888620000000001</v>
      </c>
      <c r="O614" s="215">
        <v>45500</v>
      </c>
      <c r="P614" s="101">
        <v>406169</v>
      </c>
      <c r="Q614" s="101">
        <v>11</v>
      </c>
      <c r="R614" s="101">
        <v>406180</v>
      </c>
      <c r="S614" s="101">
        <v>100</v>
      </c>
      <c r="T614" s="71">
        <f t="shared" si="131"/>
        <v>0.40617999999999999</v>
      </c>
      <c r="V614" s="215">
        <v>45500</v>
      </c>
      <c r="W614" s="48">
        <v>1180410</v>
      </c>
      <c r="X614" s="48">
        <v>198</v>
      </c>
      <c r="Y614" s="48">
        <v>1180608</v>
      </c>
      <c r="Z614" s="48">
        <v>99.98</v>
      </c>
      <c r="AA614" s="71">
        <f t="shared" si="134"/>
        <v>1.1806080000000001</v>
      </c>
      <c r="AC614" s="215">
        <v>45500</v>
      </c>
      <c r="AD614" s="48">
        <v>1092072</v>
      </c>
      <c r="AE614" s="48">
        <v>127</v>
      </c>
      <c r="AF614" s="48">
        <v>1092199</v>
      </c>
      <c r="AG614" s="48">
        <v>99.99</v>
      </c>
      <c r="AH614" s="71">
        <f t="shared" si="133"/>
        <v>1.0921989999999999</v>
      </c>
      <c r="AJ614" s="215">
        <v>45500</v>
      </c>
      <c r="AK614" s="48">
        <v>0</v>
      </c>
      <c r="AL614" s="48">
        <v>20</v>
      </c>
      <c r="AM614" s="48">
        <v>20</v>
      </c>
      <c r="AN614" s="48">
        <v>0</v>
      </c>
      <c r="AQ614" s="215">
        <v>45500</v>
      </c>
      <c r="AR614" s="48">
        <v>0</v>
      </c>
      <c r="AS614" s="48">
        <v>17</v>
      </c>
      <c r="AT614" s="48">
        <v>17</v>
      </c>
      <c r="AU614" s="48">
        <v>0</v>
      </c>
      <c r="AX614" s="215">
        <v>45500</v>
      </c>
      <c r="AY614" s="48">
        <v>12</v>
      </c>
      <c r="AZ614" s="48">
        <v>0</v>
      </c>
      <c r="BA614" s="48">
        <v>12</v>
      </c>
      <c r="BB614" s="48">
        <v>100</v>
      </c>
      <c r="BE614" s="215">
        <v>45500</v>
      </c>
      <c r="BF614" s="48">
        <v>21282</v>
      </c>
      <c r="BG614" s="48">
        <v>137</v>
      </c>
      <c r="BH614" s="48">
        <v>21419</v>
      </c>
      <c r="BI614" s="48">
        <v>99.36</v>
      </c>
      <c r="BL614" s="215">
        <v>45500</v>
      </c>
      <c r="BM614" s="48">
        <v>321803</v>
      </c>
      <c r="BN614" s="104">
        <v>0</v>
      </c>
      <c r="BO614" s="48">
        <v>321803</v>
      </c>
      <c r="BP614" s="104">
        <v>100</v>
      </c>
      <c r="BS614" s="215">
        <v>45500</v>
      </c>
      <c r="BT614" s="48">
        <v>14057</v>
      </c>
      <c r="BU614" s="48">
        <v>2</v>
      </c>
      <c r="BV614" s="48">
        <v>14059</v>
      </c>
      <c r="BW614" s="48">
        <v>99.99</v>
      </c>
      <c r="BZ614" s="215">
        <v>45500</v>
      </c>
      <c r="CA614">
        <v>30764038</v>
      </c>
      <c r="CB614">
        <v>2428992</v>
      </c>
      <c r="CC614" s="71">
        <f t="shared" si="135"/>
        <v>12.665351717914263</v>
      </c>
      <c r="CE614" s="258">
        <v>45500</v>
      </c>
      <c r="CF614" s="101">
        <v>14285839</v>
      </c>
      <c r="CG614" s="101">
        <v>12442</v>
      </c>
      <c r="CH614" s="101">
        <v>14298281</v>
      </c>
      <c r="CI614" s="101">
        <v>99.91</v>
      </c>
      <c r="CJ614" s="71">
        <f t="shared" si="132"/>
        <v>14.298280999999999</v>
      </c>
      <c r="CL614" s="222">
        <v>45472</v>
      </c>
      <c r="CM614" s="1" t="s">
        <v>237</v>
      </c>
      <c r="CN614" s="1">
        <v>2068</v>
      </c>
      <c r="CO614" s="1">
        <v>527</v>
      </c>
    </row>
    <row r="615" spans="1:93" hidden="1" x14ac:dyDescent="0.25">
      <c r="A615" s="224">
        <v>45501</v>
      </c>
      <c r="B615">
        <v>6431602</v>
      </c>
      <c r="C615">
        <v>2701</v>
      </c>
      <c r="D615">
        <v>6434303</v>
      </c>
      <c r="E615">
        <v>99.96</v>
      </c>
      <c r="F615" s="208">
        <f t="shared" si="137"/>
        <v>6.4343029999999999</v>
      </c>
      <c r="H615" s="215">
        <v>45501</v>
      </c>
      <c r="I615" s="48">
        <v>1536314</v>
      </c>
      <c r="J615" s="48">
        <v>389</v>
      </c>
      <c r="K615" s="48">
        <v>1536703</v>
      </c>
      <c r="L615" s="48">
        <v>99.97</v>
      </c>
      <c r="M615" s="71">
        <f t="shared" si="136"/>
        <v>1.5367029999999999</v>
      </c>
      <c r="O615" s="224">
        <v>45501</v>
      </c>
      <c r="P615" s="173">
        <v>410135</v>
      </c>
      <c r="Q615" s="173">
        <v>11</v>
      </c>
      <c r="R615" s="173">
        <v>410146</v>
      </c>
      <c r="S615" s="173">
        <v>100</v>
      </c>
      <c r="T615" s="208">
        <f t="shared" ref="T615:T629" si="138">R615/1000000</f>
        <v>0.41014600000000001</v>
      </c>
      <c r="V615" s="215">
        <v>45501</v>
      </c>
      <c r="W615" s="48">
        <v>1060594</v>
      </c>
      <c r="X615" s="48">
        <v>183</v>
      </c>
      <c r="Y615" s="48">
        <v>1060777</v>
      </c>
      <c r="Z615" s="48">
        <v>99.98</v>
      </c>
      <c r="AA615" s="71">
        <f t="shared" si="134"/>
        <v>1.0607770000000001</v>
      </c>
      <c r="AC615" s="215">
        <v>45501</v>
      </c>
      <c r="AD615" s="48">
        <v>1023220</v>
      </c>
      <c r="AE615" s="48">
        <v>81</v>
      </c>
      <c r="AF615" s="48">
        <v>1023301</v>
      </c>
      <c r="AG615" s="48">
        <v>99.99</v>
      </c>
      <c r="AH615" s="71">
        <f t="shared" si="133"/>
        <v>1.023301</v>
      </c>
      <c r="AJ615" s="215">
        <v>45501</v>
      </c>
      <c r="AK615" s="48">
        <v>0</v>
      </c>
      <c r="AL615" s="48">
        <v>16</v>
      </c>
      <c r="AM615" s="48">
        <v>16</v>
      </c>
      <c r="AN615" s="48">
        <v>0</v>
      </c>
      <c r="AQ615" s="215">
        <v>45501</v>
      </c>
      <c r="AR615" s="48">
        <v>0</v>
      </c>
      <c r="AS615" s="48">
        <v>12</v>
      </c>
      <c r="AT615" s="48">
        <v>12</v>
      </c>
      <c r="AU615" s="48">
        <v>0</v>
      </c>
      <c r="AX615" s="215">
        <v>45501</v>
      </c>
      <c r="AY615" s="48">
        <v>9</v>
      </c>
      <c r="AZ615" s="48">
        <v>0</v>
      </c>
      <c r="BA615" s="48">
        <v>9</v>
      </c>
      <c r="BB615" s="48">
        <v>100</v>
      </c>
      <c r="BE615" s="215">
        <v>45501</v>
      </c>
      <c r="BF615" s="48">
        <v>20075</v>
      </c>
      <c r="BG615" s="48">
        <v>157</v>
      </c>
      <c r="BH615" s="48">
        <v>20232</v>
      </c>
      <c r="BI615" s="48">
        <v>99.22</v>
      </c>
      <c r="BL615" s="215">
        <v>45501</v>
      </c>
      <c r="BM615" s="48">
        <v>5956</v>
      </c>
      <c r="BN615" s="104">
        <v>0</v>
      </c>
      <c r="BO615" s="48">
        <v>5956</v>
      </c>
      <c r="BP615" s="104">
        <v>100</v>
      </c>
      <c r="BS615" s="215">
        <v>45501</v>
      </c>
      <c r="BT615" s="48">
        <v>11267</v>
      </c>
      <c r="BU615" s="48">
        <v>0</v>
      </c>
      <c r="BV615" s="48">
        <v>11267</v>
      </c>
      <c r="BW615" s="48">
        <v>100</v>
      </c>
      <c r="BZ615" s="224">
        <v>45501</v>
      </c>
      <c r="CA615">
        <v>27312276</v>
      </c>
      <c r="CB615">
        <v>1679688</v>
      </c>
      <c r="CC615" s="208">
        <f t="shared" si="135"/>
        <v>16.260326917856172</v>
      </c>
      <c r="CE615" s="258">
        <v>45501</v>
      </c>
      <c r="CF615" s="101">
        <v>12622181</v>
      </c>
      <c r="CG615" s="101">
        <v>11888</v>
      </c>
      <c r="CH615" s="101">
        <v>12634069</v>
      </c>
      <c r="CI615" s="101">
        <v>99.91</v>
      </c>
      <c r="CJ615" s="71">
        <f t="shared" ref="CJ615:CJ629" si="139">CH615/1000000</f>
        <v>12.634069</v>
      </c>
      <c r="CL615" s="222">
        <v>45472</v>
      </c>
      <c r="CM615" s="1" t="s">
        <v>240</v>
      </c>
      <c r="CN615" s="1">
        <v>2052</v>
      </c>
      <c r="CO615" s="1">
        <v>516</v>
      </c>
    </row>
    <row r="616" spans="1:93" hidden="1" x14ac:dyDescent="0.25">
      <c r="A616" s="215">
        <v>45502</v>
      </c>
      <c r="B616" s="104">
        <v>6405794</v>
      </c>
      <c r="C616" s="104">
        <v>12659</v>
      </c>
      <c r="D616" s="104">
        <v>6418453</v>
      </c>
      <c r="E616" s="104">
        <v>99.8</v>
      </c>
      <c r="F616" s="71">
        <f t="shared" si="137"/>
        <v>6.4184530000000004</v>
      </c>
      <c r="H616" s="215">
        <v>45502</v>
      </c>
      <c r="I616" s="104">
        <v>1464581</v>
      </c>
      <c r="J616" s="104">
        <v>397</v>
      </c>
      <c r="K616" s="104">
        <v>1464978</v>
      </c>
      <c r="L616" s="104">
        <v>99.97</v>
      </c>
      <c r="M616" s="71">
        <f t="shared" si="136"/>
        <v>1.4649779999999999</v>
      </c>
      <c r="O616" s="215">
        <v>45502</v>
      </c>
      <c r="P616" s="104">
        <v>380294</v>
      </c>
      <c r="Q616" s="104">
        <v>10</v>
      </c>
      <c r="R616" s="104">
        <v>380304</v>
      </c>
      <c r="S616" s="104">
        <v>100</v>
      </c>
      <c r="T616" s="71">
        <f t="shared" si="138"/>
        <v>0.38030399999999998</v>
      </c>
      <c r="V616" s="215">
        <v>45502</v>
      </c>
      <c r="W616" s="104">
        <v>956987</v>
      </c>
      <c r="X616" s="104">
        <v>235</v>
      </c>
      <c r="Y616" s="104">
        <v>957222</v>
      </c>
      <c r="Z616" s="104">
        <v>99.98</v>
      </c>
      <c r="AA616" s="71">
        <f t="shared" si="134"/>
        <v>0.95722200000000002</v>
      </c>
      <c r="AC616" s="215">
        <v>45502</v>
      </c>
      <c r="AD616" s="104">
        <v>873035</v>
      </c>
      <c r="AE616" s="104">
        <v>60</v>
      </c>
      <c r="AF616" s="104">
        <v>873095</v>
      </c>
      <c r="AG616" s="104">
        <v>99.99</v>
      </c>
      <c r="AH616" s="71">
        <f t="shared" si="133"/>
        <v>0.87309499999999995</v>
      </c>
      <c r="AJ616" s="215">
        <v>45502</v>
      </c>
      <c r="AK616" s="48">
        <v>0</v>
      </c>
      <c r="AL616" s="48">
        <v>25</v>
      </c>
      <c r="AM616" s="48">
        <v>25</v>
      </c>
      <c r="AN616" s="48">
        <v>0</v>
      </c>
      <c r="AQ616" s="215">
        <v>45502</v>
      </c>
      <c r="AR616" s="48">
        <v>0</v>
      </c>
      <c r="AS616" s="48">
        <v>15</v>
      </c>
      <c r="AT616" s="48">
        <v>15</v>
      </c>
      <c r="AU616" s="48">
        <v>0</v>
      </c>
      <c r="AX616" s="215">
        <v>45502</v>
      </c>
      <c r="AY616" s="48">
        <v>19</v>
      </c>
      <c r="AZ616" s="48">
        <v>0</v>
      </c>
      <c r="BA616" s="48">
        <v>19</v>
      </c>
      <c r="BB616" s="48">
        <v>100</v>
      </c>
      <c r="BE616" s="215">
        <v>45502</v>
      </c>
      <c r="BF616" s="104">
        <v>20243</v>
      </c>
      <c r="BG616" s="104">
        <v>128</v>
      </c>
      <c r="BH616" s="104">
        <v>20371</v>
      </c>
      <c r="BI616" s="104">
        <v>99.37</v>
      </c>
      <c r="BL616" s="215">
        <v>45502</v>
      </c>
      <c r="BM616" s="104">
        <v>229452</v>
      </c>
      <c r="BN616" s="104">
        <v>0</v>
      </c>
      <c r="BO616" s="104">
        <v>229452</v>
      </c>
      <c r="BP616" s="104">
        <v>100</v>
      </c>
      <c r="BS616" s="215">
        <v>45502</v>
      </c>
      <c r="BT616" s="104">
        <v>7362</v>
      </c>
      <c r="BU616" s="104">
        <v>1</v>
      </c>
      <c r="BV616" s="104">
        <v>7363</v>
      </c>
      <c r="BW616" s="104">
        <v>99.99</v>
      </c>
      <c r="BZ616" s="215">
        <v>45502</v>
      </c>
      <c r="CA616" s="1">
        <v>32709208</v>
      </c>
      <c r="CB616" s="1">
        <v>2541685</v>
      </c>
      <c r="CC616" s="71">
        <f t="shared" si="135"/>
        <v>12.869103763841704</v>
      </c>
      <c r="CE616" s="258">
        <v>45502</v>
      </c>
      <c r="CF616" s="101">
        <v>12361092</v>
      </c>
      <c r="CG616" s="101">
        <v>22033</v>
      </c>
      <c r="CH616" s="101">
        <v>12383125</v>
      </c>
      <c r="CI616" s="101">
        <v>99.82</v>
      </c>
      <c r="CJ616" s="71">
        <f t="shared" si="139"/>
        <v>12.383125</v>
      </c>
      <c r="CL616" s="222"/>
    </row>
    <row r="617" spans="1:93" hidden="1" x14ac:dyDescent="0.25">
      <c r="A617" s="215">
        <v>45503</v>
      </c>
      <c r="B617" s="104">
        <v>6536091</v>
      </c>
      <c r="C617" s="104">
        <v>2450</v>
      </c>
      <c r="D617" s="104">
        <v>6538541</v>
      </c>
      <c r="E617" s="104">
        <v>99.96</v>
      </c>
      <c r="F617" s="71">
        <f t="shared" si="137"/>
        <v>6.5385410000000004</v>
      </c>
      <c r="H617" s="215">
        <v>45503</v>
      </c>
      <c r="I617" s="104">
        <v>1594012</v>
      </c>
      <c r="J617" s="104">
        <v>526</v>
      </c>
      <c r="K617" s="104">
        <v>1594538</v>
      </c>
      <c r="L617" s="104">
        <v>99.97</v>
      </c>
      <c r="M617" s="71">
        <f t="shared" si="136"/>
        <v>1.594538</v>
      </c>
      <c r="O617" s="215">
        <v>45503</v>
      </c>
      <c r="P617" s="104">
        <v>361235</v>
      </c>
      <c r="Q617" s="104">
        <v>21</v>
      </c>
      <c r="R617" s="104">
        <v>361256</v>
      </c>
      <c r="S617" s="104">
        <v>99.99</v>
      </c>
      <c r="T617" s="71">
        <f t="shared" si="138"/>
        <v>0.36125600000000002</v>
      </c>
      <c r="V617" s="215">
        <v>45503</v>
      </c>
      <c r="W617" s="104">
        <v>992811</v>
      </c>
      <c r="X617" s="104">
        <v>214</v>
      </c>
      <c r="Y617" s="104">
        <v>993025</v>
      </c>
      <c r="Z617" s="104">
        <v>99.98</v>
      </c>
      <c r="AA617" s="71">
        <f t="shared" si="134"/>
        <v>0.99302500000000005</v>
      </c>
      <c r="AC617" s="215">
        <v>45503</v>
      </c>
      <c r="AD617" s="104">
        <v>947617</v>
      </c>
      <c r="AE617" s="104">
        <v>162</v>
      </c>
      <c r="AF617" s="104">
        <v>947779</v>
      </c>
      <c r="AG617" s="104">
        <v>99.98</v>
      </c>
      <c r="AH617" s="71">
        <f t="shared" si="133"/>
        <v>0.94777900000000004</v>
      </c>
      <c r="AJ617" s="215">
        <v>45503</v>
      </c>
      <c r="AK617" s="48">
        <v>0</v>
      </c>
      <c r="AL617" s="48">
        <v>16</v>
      </c>
      <c r="AM617" s="48">
        <v>25</v>
      </c>
      <c r="AN617" s="48">
        <v>0</v>
      </c>
      <c r="AQ617" s="215">
        <v>45503</v>
      </c>
      <c r="AR617" s="48">
        <v>0</v>
      </c>
      <c r="AS617" s="48">
        <v>17</v>
      </c>
      <c r="AT617" s="48">
        <v>17</v>
      </c>
      <c r="AU617" s="48">
        <v>0</v>
      </c>
      <c r="AX617" s="215">
        <v>45503</v>
      </c>
      <c r="AY617" s="48">
        <v>10</v>
      </c>
      <c r="AZ617" s="48">
        <v>0</v>
      </c>
      <c r="BA617" s="48">
        <v>10</v>
      </c>
      <c r="BB617" s="48">
        <v>100</v>
      </c>
      <c r="BE617" s="215">
        <v>45503</v>
      </c>
      <c r="BF617" s="104">
        <v>21751</v>
      </c>
      <c r="BG617" s="104">
        <v>255</v>
      </c>
      <c r="BH617" s="104">
        <v>22006</v>
      </c>
      <c r="BI617" s="104">
        <v>98.84</v>
      </c>
      <c r="BL617" s="215">
        <v>45503</v>
      </c>
      <c r="BM617" s="104">
        <v>240362</v>
      </c>
      <c r="BN617" s="104">
        <v>0</v>
      </c>
      <c r="BO617" s="104">
        <v>240362</v>
      </c>
      <c r="BP617" s="104">
        <v>100</v>
      </c>
      <c r="BS617" s="215">
        <v>45503</v>
      </c>
      <c r="BT617" s="104">
        <v>9341</v>
      </c>
      <c r="BU617" s="104">
        <v>0</v>
      </c>
      <c r="BV617" s="104">
        <v>9341</v>
      </c>
      <c r="BW617" s="104">
        <v>100</v>
      </c>
      <c r="BZ617" s="215">
        <v>45503</v>
      </c>
      <c r="CA617" s="1">
        <v>33331922</v>
      </c>
      <c r="CB617" s="1">
        <v>2562705</v>
      </c>
      <c r="CC617" s="71">
        <f t="shared" si="135"/>
        <v>13.006538793969654</v>
      </c>
      <c r="CE617" s="258">
        <v>45503</v>
      </c>
      <c r="CF617" s="101">
        <v>12722434</v>
      </c>
      <c r="CG617" s="101">
        <v>12662</v>
      </c>
      <c r="CH617" s="101">
        <v>12735096</v>
      </c>
      <c r="CI617" s="101">
        <v>99.9</v>
      </c>
      <c r="CJ617" s="71">
        <f t="shared" si="139"/>
        <v>12.735096</v>
      </c>
      <c r="CL617" s="222">
        <v>45505</v>
      </c>
      <c r="CM617" s="1" t="s">
        <v>240</v>
      </c>
      <c r="CN617" s="101">
        <v>7607</v>
      </c>
      <c r="CO617" s="101">
        <v>516</v>
      </c>
    </row>
    <row r="618" spans="1:93" hidden="1" x14ac:dyDescent="0.25">
      <c r="A618" s="215">
        <v>45504</v>
      </c>
      <c r="B618" s="104">
        <v>6440606</v>
      </c>
      <c r="C618" s="104">
        <v>2562</v>
      </c>
      <c r="D618" s="104">
        <v>6443168</v>
      </c>
      <c r="E618" s="104">
        <v>99.96</v>
      </c>
      <c r="F618" s="71">
        <f t="shared" si="137"/>
        <v>6.443168</v>
      </c>
      <c r="H618" s="215">
        <v>45504</v>
      </c>
      <c r="I618" s="104">
        <v>1401410</v>
      </c>
      <c r="J618" s="104">
        <v>381</v>
      </c>
      <c r="K618" s="104">
        <v>1401791</v>
      </c>
      <c r="L618" s="104">
        <v>99.97</v>
      </c>
      <c r="M618" s="71">
        <f t="shared" si="136"/>
        <v>1.401791</v>
      </c>
      <c r="O618" s="215">
        <v>45504</v>
      </c>
      <c r="P618" s="104">
        <v>356401</v>
      </c>
      <c r="Q618" s="104">
        <v>16</v>
      </c>
      <c r="R618" s="104">
        <v>356417</v>
      </c>
      <c r="S618" s="104">
        <v>100</v>
      </c>
      <c r="T618" s="71">
        <f t="shared" si="138"/>
        <v>0.35641699999999998</v>
      </c>
      <c r="V618" s="215">
        <v>45504</v>
      </c>
      <c r="W618" s="104">
        <v>904260</v>
      </c>
      <c r="X618" s="104">
        <v>158</v>
      </c>
      <c r="Y618" s="104">
        <v>904418</v>
      </c>
      <c r="Z618" s="104">
        <v>99.98</v>
      </c>
      <c r="AA618" s="71">
        <f t="shared" si="134"/>
        <v>0.90441800000000006</v>
      </c>
      <c r="AC618" s="215">
        <v>45504</v>
      </c>
      <c r="AD618" s="104">
        <v>969390</v>
      </c>
      <c r="AE618" s="104">
        <v>5837</v>
      </c>
      <c r="AF618" s="104">
        <v>975227</v>
      </c>
      <c r="AG618" s="104">
        <v>99.4</v>
      </c>
      <c r="AH618" s="71">
        <f t="shared" si="133"/>
        <v>0.97522699999999996</v>
      </c>
      <c r="AJ618" s="215">
        <v>45504</v>
      </c>
      <c r="AK618" s="48">
        <v>0</v>
      </c>
      <c r="AL618" s="48">
        <v>17</v>
      </c>
      <c r="AM618" s="48">
        <v>17</v>
      </c>
      <c r="AN618" s="48">
        <v>0</v>
      </c>
      <c r="AQ618" s="215">
        <v>45504</v>
      </c>
      <c r="AR618" s="48">
        <v>0</v>
      </c>
      <c r="AS618" s="48">
        <v>8</v>
      </c>
      <c r="AT618" s="48">
        <v>17</v>
      </c>
      <c r="AU618" s="48">
        <v>0</v>
      </c>
      <c r="AX618" s="215">
        <v>45504</v>
      </c>
      <c r="AY618" s="48">
        <v>13</v>
      </c>
      <c r="AZ618" s="48">
        <v>0</v>
      </c>
      <c r="BA618" s="48">
        <v>13</v>
      </c>
      <c r="BB618" s="48">
        <v>100</v>
      </c>
      <c r="BE618" s="215">
        <v>45504</v>
      </c>
      <c r="BF618" s="104">
        <v>21144</v>
      </c>
      <c r="BG618" s="104">
        <v>767</v>
      </c>
      <c r="BH618" s="104">
        <v>21911</v>
      </c>
      <c r="BI618" s="104">
        <v>96.5</v>
      </c>
      <c r="BL618" s="215">
        <v>45504</v>
      </c>
      <c r="BM618" s="104">
        <v>243946</v>
      </c>
      <c r="BN618" s="104">
        <v>0</v>
      </c>
      <c r="BO618" s="104">
        <v>243946</v>
      </c>
      <c r="BP618" s="104">
        <v>100</v>
      </c>
      <c r="BS618" s="215">
        <v>45504</v>
      </c>
      <c r="BT618" s="104">
        <v>10606</v>
      </c>
      <c r="BU618" s="104">
        <v>54</v>
      </c>
      <c r="BV618" s="104">
        <v>10660</v>
      </c>
      <c r="BW618" s="104">
        <v>99.49</v>
      </c>
      <c r="BZ618" s="215">
        <v>45504</v>
      </c>
      <c r="CA618" s="1">
        <v>31819287</v>
      </c>
      <c r="CB618" s="1">
        <v>2494366</v>
      </c>
      <c r="CC618" s="71">
        <f t="shared" si="135"/>
        <v>12.756462764486045</v>
      </c>
      <c r="CE618" s="258">
        <v>45504</v>
      </c>
      <c r="CF618" s="101">
        <v>12271482</v>
      </c>
      <c r="CG618" s="101">
        <v>17343</v>
      </c>
      <c r="CH618" s="101">
        <v>12288825</v>
      </c>
      <c r="CI618" s="101">
        <v>99.86</v>
      </c>
      <c r="CJ618" s="71">
        <f t="shared" si="139"/>
        <v>12.288824999999999</v>
      </c>
      <c r="CL618" s="222">
        <v>45505</v>
      </c>
      <c r="CM618" s="1" t="s">
        <v>237</v>
      </c>
      <c r="CN618" s="101">
        <v>4882</v>
      </c>
      <c r="CO618" s="101">
        <v>527</v>
      </c>
    </row>
    <row r="619" spans="1:93" hidden="1" x14ac:dyDescent="0.25">
      <c r="A619" s="215">
        <v>45505</v>
      </c>
      <c r="B619" s="104">
        <v>6531528</v>
      </c>
      <c r="C619" s="104">
        <v>4570</v>
      </c>
      <c r="D619" s="104">
        <v>6536098</v>
      </c>
      <c r="E619" s="104">
        <v>99.93</v>
      </c>
      <c r="F619" s="71">
        <f t="shared" si="137"/>
        <v>6.536098</v>
      </c>
      <c r="H619" s="215">
        <v>45505</v>
      </c>
      <c r="I619" s="104">
        <v>1661070</v>
      </c>
      <c r="J619" s="104">
        <v>566</v>
      </c>
      <c r="K619" s="104">
        <v>1661636</v>
      </c>
      <c r="L619" s="104">
        <v>99.97</v>
      </c>
      <c r="M619" s="71">
        <f t="shared" si="136"/>
        <v>1.6616359999999999</v>
      </c>
      <c r="O619" s="215">
        <v>45505</v>
      </c>
      <c r="P619" s="104">
        <v>408334</v>
      </c>
      <c r="Q619" s="104">
        <v>122</v>
      </c>
      <c r="R619" s="104">
        <v>408456</v>
      </c>
      <c r="S619" s="104">
        <v>99.97</v>
      </c>
      <c r="T619" s="71">
        <f t="shared" si="138"/>
        <v>0.40845599999999999</v>
      </c>
      <c r="V619" s="215">
        <v>45505</v>
      </c>
      <c r="W619" s="104">
        <v>932009</v>
      </c>
      <c r="X619" s="104">
        <v>181</v>
      </c>
      <c r="Y619" s="104">
        <v>932190</v>
      </c>
      <c r="Z619" s="104">
        <v>99.98</v>
      </c>
      <c r="AA619" s="71">
        <f t="shared" si="134"/>
        <v>0.93218999999999996</v>
      </c>
      <c r="AC619" s="215">
        <v>45505</v>
      </c>
      <c r="AD619" s="104">
        <v>1073428</v>
      </c>
      <c r="AE619" s="104">
        <v>117</v>
      </c>
      <c r="AF619" s="104">
        <v>1073545</v>
      </c>
      <c r="AG619" s="104">
        <v>99.99</v>
      </c>
      <c r="AH619" s="71">
        <f t="shared" si="133"/>
        <v>1.073545</v>
      </c>
      <c r="AJ619" s="215">
        <v>45505</v>
      </c>
      <c r="AK619" s="48">
        <v>0</v>
      </c>
      <c r="AL619" s="48">
        <v>20</v>
      </c>
      <c r="AM619" s="48">
        <v>20</v>
      </c>
      <c r="AN619" s="48">
        <v>0</v>
      </c>
      <c r="AQ619" s="215">
        <v>45505</v>
      </c>
      <c r="AR619" s="48">
        <v>0</v>
      </c>
      <c r="AS619" s="48">
        <v>24</v>
      </c>
      <c r="AT619" s="48">
        <v>24</v>
      </c>
      <c r="AU619" s="48">
        <v>0</v>
      </c>
      <c r="AX619" s="215">
        <v>45505</v>
      </c>
      <c r="AY619" s="48">
        <v>12</v>
      </c>
      <c r="AZ619" s="48">
        <v>0</v>
      </c>
      <c r="BA619" s="48">
        <v>12</v>
      </c>
      <c r="BB619" s="48">
        <v>100</v>
      </c>
      <c r="BE619" s="215">
        <v>45505</v>
      </c>
      <c r="BF619" s="104">
        <v>20334</v>
      </c>
      <c r="BG619" s="104">
        <v>443</v>
      </c>
      <c r="BH619" s="104">
        <v>20777</v>
      </c>
      <c r="BI619" s="104">
        <v>97.87</v>
      </c>
      <c r="BL619" s="215">
        <v>45505</v>
      </c>
      <c r="BM619" s="104">
        <v>224169</v>
      </c>
      <c r="BN619" s="104">
        <v>0</v>
      </c>
      <c r="BO619" s="104">
        <v>224169</v>
      </c>
      <c r="BP619" s="104">
        <v>100</v>
      </c>
      <c r="BS619" s="215">
        <v>45505</v>
      </c>
      <c r="BT619" s="104">
        <v>12499</v>
      </c>
      <c r="BU619" s="104">
        <v>2</v>
      </c>
      <c r="BV619" s="104">
        <v>12501</v>
      </c>
      <c r="BW619" s="104">
        <v>99.98</v>
      </c>
      <c r="BZ619" s="215">
        <v>45505</v>
      </c>
      <c r="CA619" s="1">
        <v>31624383</v>
      </c>
      <c r="CB619" s="1">
        <v>2455178</v>
      </c>
      <c r="CC619" s="71">
        <f t="shared" si="135"/>
        <v>12.88068848775934</v>
      </c>
      <c r="CE619" s="258">
        <v>45505</v>
      </c>
      <c r="CF619" s="101">
        <v>13033708</v>
      </c>
      <c r="CG619" s="101">
        <v>15451</v>
      </c>
      <c r="CH619" s="101">
        <v>13049159</v>
      </c>
      <c r="CI619" s="101">
        <v>99.88</v>
      </c>
      <c r="CJ619" s="71">
        <f t="shared" si="139"/>
        <v>13.049159</v>
      </c>
      <c r="CL619" s="222">
        <v>45505</v>
      </c>
      <c r="CM619" s="1" t="s">
        <v>239</v>
      </c>
      <c r="CN619" s="101">
        <v>1434</v>
      </c>
      <c r="CO619" s="101">
        <v>504</v>
      </c>
    </row>
    <row r="620" spans="1:93" hidden="1" x14ac:dyDescent="0.25">
      <c r="A620" s="215">
        <v>45506</v>
      </c>
      <c r="B620" s="48">
        <v>6690534</v>
      </c>
      <c r="C620" s="48">
        <v>5399</v>
      </c>
      <c r="D620" s="48">
        <v>6695933</v>
      </c>
      <c r="E620" s="48">
        <v>99.92</v>
      </c>
      <c r="F620" s="71">
        <f t="shared" si="137"/>
        <v>6.6959330000000001</v>
      </c>
      <c r="H620" s="215">
        <v>45506</v>
      </c>
      <c r="I620" s="48">
        <v>1727166</v>
      </c>
      <c r="J620" s="48">
        <v>538</v>
      </c>
      <c r="K620" s="48">
        <v>1727704</v>
      </c>
      <c r="L620" s="48">
        <v>99.97</v>
      </c>
      <c r="M620" s="71">
        <f t="shared" si="136"/>
        <v>1.7277039999999999</v>
      </c>
      <c r="O620" s="215">
        <v>45506</v>
      </c>
      <c r="P620" s="48">
        <v>392141</v>
      </c>
      <c r="Q620" s="48">
        <v>26</v>
      </c>
      <c r="R620" s="48">
        <v>392167</v>
      </c>
      <c r="S620" s="48">
        <v>99.99</v>
      </c>
      <c r="T620" s="71">
        <f t="shared" si="138"/>
        <v>0.39216699999999999</v>
      </c>
      <c r="V620" s="215">
        <v>45506</v>
      </c>
      <c r="W620" s="48">
        <v>1039707</v>
      </c>
      <c r="X620" s="48">
        <v>388</v>
      </c>
      <c r="Y620" s="48">
        <v>1040095</v>
      </c>
      <c r="Z620" s="48">
        <v>99.96</v>
      </c>
      <c r="AA620" s="71">
        <f t="shared" si="134"/>
        <v>1.040095</v>
      </c>
      <c r="AC620" s="215">
        <v>45506</v>
      </c>
      <c r="AD620" s="48">
        <v>1132963</v>
      </c>
      <c r="AE620" s="48">
        <v>273</v>
      </c>
      <c r="AF620" s="48">
        <v>1133236</v>
      </c>
      <c r="AG620" s="48">
        <v>99.98</v>
      </c>
      <c r="AH620" s="71">
        <f t="shared" si="133"/>
        <v>1.1332359999999999</v>
      </c>
      <c r="AJ620" s="215">
        <v>45506</v>
      </c>
      <c r="AK620" s="48">
        <v>0</v>
      </c>
      <c r="AL620" s="48">
        <v>10</v>
      </c>
      <c r="AM620" s="48">
        <v>10</v>
      </c>
      <c r="AN620" s="48">
        <v>0</v>
      </c>
      <c r="AQ620" s="215">
        <v>45506</v>
      </c>
      <c r="AR620" s="48">
        <v>0</v>
      </c>
      <c r="AS620" s="48">
        <v>9</v>
      </c>
      <c r="AT620" s="48">
        <v>9</v>
      </c>
      <c r="AU620" s="48">
        <v>0</v>
      </c>
      <c r="AX620" s="215">
        <v>45506</v>
      </c>
      <c r="AY620" s="48">
        <v>18</v>
      </c>
      <c r="AZ620" s="48">
        <v>0</v>
      </c>
      <c r="BA620" s="48">
        <v>18</v>
      </c>
      <c r="BB620" s="48">
        <v>100</v>
      </c>
      <c r="BE620" s="215">
        <v>45506</v>
      </c>
      <c r="BF620" s="48">
        <v>20960</v>
      </c>
      <c r="BG620" s="48">
        <v>181</v>
      </c>
      <c r="BH620" s="48">
        <v>21141</v>
      </c>
      <c r="BI620" s="48">
        <v>99.14</v>
      </c>
      <c r="BL620" s="215">
        <v>45506</v>
      </c>
      <c r="BM620" s="48">
        <v>230944</v>
      </c>
      <c r="BN620" s="48">
        <v>0</v>
      </c>
      <c r="BO620" s="48">
        <v>230944</v>
      </c>
      <c r="BP620" s="48">
        <v>100</v>
      </c>
      <c r="BS620" s="215">
        <v>45506</v>
      </c>
      <c r="BT620" s="48">
        <v>10003</v>
      </c>
      <c r="BU620" s="48">
        <v>0</v>
      </c>
      <c r="BV620" s="48">
        <v>10003</v>
      </c>
      <c r="BW620" s="48">
        <v>100</v>
      </c>
      <c r="BZ620" s="215">
        <v>45506</v>
      </c>
      <c r="CA620" s="1">
        <v>32276361</v>
      </c>
      <c r="CB620" s="1">
        <v>2458103</v>
      </c>
      <c r="CC620" s="71">
        <f t="shared" si="135"/>
        <v>13.130597456656616</v>
      </c>
      <c r="CE620" s="258">
        <v>45506</v>
      </c>
      <c r="CF620" s="101">
        <v>13407965</v>
      </c>
      <c r="CG620" s="101">
        <v>15513</v>
      </c>
      <c r="CH620" s="101">
        <v>13423478</v>
      </c>
      <c r="CI620" s="101">
        <v>99.88</v>
      </c>
      <c r="CJ620" s="71">
        <f t="shared" si="139"/>
        <v>13.423477999999999</v>
      </c>
      <c r="CL620" s="222">
        <v>45505</v>
      </c>
      <c r="CM620" s="1" t="s">
        <v>238</v>
      </c>
      <c r="CN620" s="101">
        <v>682</v>
      </c>
      <c r="CO620" s="101">
        <v>503</v>
      </c>
    </row>
    <row r="621" spans="1:93" hidden="1" x14ac:dyDescent="0.25">
      <c r="A621" s="215">
        <v>45507</v>
      </c>
      <c r="B621" s="48">
        <v>6819211</v>
      </c>
      <c r="C621" s="48">
        <v>2269</v>
      </c>
      <c r="D621" s="48">
        <v>6821480</v>
      </c>
      <c r="E621" s="48">
        <v>99.97</v>
      </c>
      <c r="F621" s="71">
        <f t="shared" si="137"/>
        <v>6.8214800000000002</v>
      </c>
      <c r="H621" s="215">
        <v>45507</v>
      </c>
      <c r="I621" s="48">
        <v>1594070</v>
      </c>
      <c r="J621" s="48">
        <v>3742</v>
      </c>
      <c r="K621" s="48">
        <v>1597812</v>
      </c>
      <c r="L621" s="48">
        <v>99.77</v>
      </c>
      <c r="M621" s="71">
        <f t="shared" si="136"/>
        <v>1.597812</v>
      </c>
      <c r="O621" s="215">
        <v>45507</v>
      </c>
      <c r="P621" s="48">
        <v>398082</v>
      </c>
      <c r="Q621" s="48">
        <v>12</v>
      </c>
      <c r="R621" s="48">
        <v>398094</v>
      </c>
      <c r="S621" s="48">
        <v>100</v>
      </c>
      <c r="T621" s="71">
        <f t="shared" si="138"/>
        <v>0.398094</v>
      </c>
      <c r="V621" s="215">
        <v>45507</v>
      </c>
      <c r="W621" s="48">
        <v>1023374</v>
      </c>
      <c r="X621" s="48">
        <v>185</v>
      </c>
      <c r="Y621" s="48">
        <v>1023559</v>
      </c>
      <c r="Z621" s="48">
        <v>99.98</v>
      </c>
      <c r="AA621" s="71">
        <f t="shared" si="134"/>
        <v>1.0235590000000001</v>
      </c>
      <c r="AC621" s="215">
        <v>45507</v>
      </c>
      <c r="AD621" s="48">
        <v>1201321</v>
      </c>
      <c r="AE621" s="48">
        <v>76</v>
      </c>
      <c r="AF621" s="48">
        <v>1201397</v>
      </c>
      <c r="AG621" s="48">
        <v>99.99</v>
      </c>
      <c r="AH621" s="71">
        <f t="shared" ref="AH621:AH629" si="140">AF621/1000000</f>
        <v>1.201397</v>
      </c>
      <c r="AJ621" s="215">
        <v>45507</v>
      </c>
      <c r="AK621" s="48">
        <v>0</v>
      </c>
      <c r="AL621" s="48">
        <v>15</v>
      </c>
      <c r="AM621" s="48">
        <v>15</v>
      </c>
      <c r="AN621" s="48">
        <v>0</v>
      </c>
      <c r="AQ621" s="215">
        <v>45507</v>
      </c>
      <c r="AR621" s="48">
        <v>0</v>
      </c>
      <c r="AS621" s="48">
        <v>9</v>
      </c>
      <c r="AT621" s="48">
        <v>9</v>
      </c>
      <c r="AU621" s="48">
        <v>0</v>
      </c>
      <c r="AX621" s="215">
        <v>45507</v>
      </c>
      <c r="AY621" s="48">
        <v>6</v>
      </c>
      <c r="AZ621" s="48">
        <v>0</v>
      </c>
      <c r="BA621" s="48">
        <v>6</v>
      </c>
      <c r="BB621" s="48">
        <v>100</v>
      </c>
      <c r="BE621" s="215">
        <v>45507</v>
      </c>
      <c r="BF621" s="48">
        <v>21815</v>
      </c>
      <c r="BG621" s="48">
        <v>178</v>
      </c>
      <c r="BH621" s="48">
        <v>21993</v>
      </c>
      <c r="BI621" s="48">
        <v>99.19</v>
      </c>
      <c r="BL621" s="215">
        <v>45507</v>
      </c>
      <c r="BM621" s="48">
        <v>244930</v>
      </c>
      <c r="BN621" s="48">
        <v>0</v>
      </c>
      <c r="BO621" s="48">
        <v>244930</v>
      </c>
      <c r="BP621" s="48">
        <v>100</v>
      </c>
      <c r="BS621" s="215">
        <v>45507</v>
      </c>
      <c r="BT621" s="48">
        <v>16953</v>
      </c>
      <c r="BU621" s="48">
        <v>4</v>
      </c>
      <c r="BV621" s="48">
        <v>16957</v>
      </c>
      <c r="BW621" s="48">
        <v>99.98</v>
      </c>
      <c r="BZ621" s="215">
        <v>45507</v>
      </c>
      <c r="CA621" s="1">
        <v>31083447</v>
      </c>
      <c r="CB621" s="1">
        <v>2378258</v>
      </c>
      <c r="CC621" s="71">
        <f t="shared" si="135"/>
        <v>13.069838091577953</v>
      </c>
      <c r="CE621" s="258">
        <v>45507</v>
      </c>
      <c r="CF621" s="101">
        <v>13537942</v>
      </c>
      <c r="CG621" s="101">
        <v>23892</v>
      </c>
      <c r="CH621" s="101">
        <v>13561834</v>
      </c>
      <c r="CI621" s="101">
        <v>99.82</v>
      </c>
      <c r="CJ621" s="71">
        <f t="shared" si="139"/>
        <v>13.561833999999999</v>
      </c>
      <c r="CL621" s="222">
        <v>45505</v>
      </c>
      <c r="CM621" s="1" t="s">
        <v>291</v>
      </c>
      <c r="CN621" s="101">
        <v>636</v>
      </c>
      <c r="CO621" s="101">
        <v>540</v>
      </c>
    </row>
    <row r="622" spans="1:93" hidden="1" x14ac:dyDescent="0.25">
      <c r="A622" s="215">
        <v>45508</v>
      </c>
      <c r="B622" s="48">
        <v>6593800</v>
      </c>
      <c r="C622" s="48">
        <v>2178</v>
      </c>
      <c r="D622" s="48">
        <v>6595978</v>
      </c>
      <c r="E622" s="48">
        <v>99.97</v>
      </c>
      <c r="F622" s="71">
        <f t="shared" si="137"/>
        <v>6.5959779999999997</v>
      </c>
      <c r="H622" s="215">
        <v>45508</v>
      </c>
      <c r="I622" s="48">
        <v>1660028</v>
      </c>
      <c r="J622" s="48">
        <v>448</v>
      </c>
      <c r="K622" s="48">
        <v>1660476</v>
      </c>
      <c r="L622" s="48">
        <v>99.97</v>
      </c>
      <c r="M622" s="71">
        <f t="shared" si="136"/>
        <v>1.6604760000000001</v>
      </c>
      <c r="O622" s="215">
        <v>45508</v>
      </c>
      <c r="P622" s="48">
        <v>439902</v>
      </c>
      <c r="Q622" s="48">
        <v>13</v>
      </c>
      <c r="R622" s="48">
        <v>439915</v>
      </c>
      <c r="S622" s="48">
        <v>100</v>
      </c>
      <c r="T622" s="71">
        <f t="shared" si="138"/>
        <v>0.439915</v>
      </c>
      <c r="V622" s="215">
        <v>45508</v>
      </c>
      <c r="W622" s="48">
        <v>1106846</v>
      </c>
      <c r="X622" s="48">
        <v>199</v>
      </c>
      <c r="Y622" s="48">
        <v>1107045</v>
      </c>
      <c r="Z622" s="48">
        <v>99.98</v>
      </c>
      <c r="AA622" s="71">
        <f t="shared" si="134"/>
        <v>1.1070450000000001</v>
      </c>
      <c r="AC622" s="215">
        <v>45508</v>
      </c>
      <c r="AD622" s="48">
        <v>1242852</v>
      </c>
      <c r="AE622" s="48">
        <v>148</v>
      </c>
      <c r="AF622" s="48">
        <v>1243000</v>
      </c>
      <c r="AG622" s="48">
        <v>99.99</v>
      </c>
      <c r="AH622" s="71">
        <f t="shared" si="140"/>
        <v>1.2430000000000001</v>
      </c>
      <c r="AJ622" s="215">
        <v>45508</v>
      </c>
      <c r="AK622" s="48">
        <v>0</v>
      </c>
      <c r="AL622" s="48">
        <v>31</v>
      </c>
      <c r="AM622" s="48">
        <v>31</v>
      </c>
      <c r="AN622" s="48">
        <v>0</v>
      </c>
      <c r="AQ622" s="215">
        <v>45508</v>
      </c>
      <c r="AR622" s="48">
        <v>0</v>
      </c>
      <c r="AS622" s="48">
        <v>6</v>
      </c>
      <c r="AT622" s="48">
        <v>6</v>
      </c>
      <c r="AU622" s="48">
        <v>0</v>
      </c>
      <c r="AX622" s="215">
        <v>45508</v>
      </c>
      <c r="AY622" s="48">
        <v>8</v>
      </c>
      <c r="AZ622" s="48">
        <v>0</v>
      </c>
      <c r="BA622" s="48">
        <v>8</v>
      </c>
      <c r="BB622" s="48">
        <v>100</v>
      </c>
      <c r="BE622" s="215">
        <v>45508</v>
      </c>
      <c r="BF622" s="48">
        <v>22857</v>
      </c>
      <c r="BG622" s="48">
        <v>206</v>
      </c>
      <c r="BH622" s="48">
        <v>23063</v>
      </c>
      <c r="BI622" s="48">
        <v>99.11</v>
      </c>
      <c r="BL622" s="215">
        <v>45508</v>
      </c>
      <c r="BM622" s="48">
        <v>5949</v>
      </c>
      <c r="BN622" s="48">
        <v>0</v>
      </c>
      <c r="BO622" s="48">
        <v>5949</v>
      </c>
      <c r="BP622" s="48">
        <v>100</v>
      </c>
      <c r="BS622" s="215">
        <v>45508</v>
      </c>
      <c r="BT622" s="48">
        <v>13800</v>
      </c>
      <c r="BU622" s="48">
        <v>3</v>
      </c>
      <c r="BV622" s="48">
        <v>13803</v>
      </c>
      <c r="BW622" s="48">
        <v>99.98</v>
      </c>
      <c r="BZ622" s="215">
        <v>45508</v>
      </c>
      <c r="CA622" s="1">
        <f>(24855168+2038418)</f>
        <v>26893586</v>
      </c>
      <c r="CB622" s="1">
        <f>(207360+1514825)</f>
        <v>1722185</v>
      </c>
      <c r="CC622" s="71">
        <f t="shared" si="135"/>
        <v>15.615968087052204</v>
      </c>
      <c r="CE622" s="258">
        <v>45508</v>
      </c>
      <c r="CF622" s="101">
        <v>13414913</v>
      </c>
      <c r="CG622" s="101">
        <v>12027</v>
      </c>
      <c r="CH622" s="101">
        <v>13426940</v>
      </c>
      <c r="CI622" s="101">
        <v>99.91</v>
      </c>
      <c r="CJ622" s="71">
        <f t="shared" si="139"/>
        <v>13.42694</v>
      </c>
    </row>
    <row r="623" spans="1:93" x14ac:dyDescent="0.25">
      <c r="A623" s="215">
        <v>45509</v>
      </c>
      <c r="B623" s="101">
        <v>6659139</v>
      </c>
      <c r="C623" s="101">
        <v>2204</v>
      </c>
      <c r="D623" s="101">
        <v>6661343</v>
      </c>
      <c r="E623" s="101">
        <v>99.97</v>
      </c>
      <c r="F623" s="71">
        <f t="shared" si="137"/>
        <v>6.6613429999999996</v>
      </c>
      <c r="H623" s="215">
        <v>45509</v>
      </c>
      <c r="I623" s="101">
        <v>1503146</v>
      </c>
      <c r="J623" s="101">
        <v>442</v>
      </c>
      <c r="K623" s="101">
        <v>1503588</v>
      </c>
      <c r="L623" s="101">
        <v>99.97</v>
      </c>
      <c r="M623" s="71">
        <f t="shared" si="136"/>
        <v>1.5035879999999999</v>
      </c>
      <c r="O623" s="215">
        <v>45509</v>
      </c>
      <c r="P623" s="101">
        <v>388740</v>
      </c>
      <c r="Q623" s="101">
        <v>15</v>
      </c>
      <c r="R623" s="101">
        <v>388755</v>
      </c>
      <c r="S623" s="101">
        <v>100</v>
      </c>
      <c r="T623" s="71">
        <f t="shared" si="138"/>
        <v>0.38875500000000002</v>
      </c>
      <c r="V623" s="215">
        <v>45509</v>
      </c>
      <c r="W623" s="101">
        <v>998188</v>
      </c>
      <c r="X623" s="101">
        <v>206</v>
      </c>
      <c r="Y623" s="101">
        <v>998394</v>
      </c>
      <c r="Z623" s="101">
        <v>99.98</v>
      </c>
      <c r="AA623" s="71">
        <f t="shared" si="134"/>
        <v>0.998394</v>
      </c>
      <c r="AC623" s="215">
        <v>45509</v>
      </c>
      <c r="AD623" s="101">
        <v>1007792</v>
      </c>
      <c r="AE623" s="101">
        <v>78</v>
      </c>
      <c r="AF623" s="101">
        <v>1007870</v>
      </c>
      <c r="AG623" s="101">
        <v>99.99</v>
      </c>
      <c r="AH623" s="71">
        <f t="shared" si="140"/>
        <v>1.00787</v>
      </c>
      <c r="AJ623" s="215">
        <v>45509</v>
      </c>
      <c r="AK623" s="48">
        <v>0</v>
      </c>
      <c r="AL623" s="48">
        <v>14</v>
      </c>
      <c r="AM623" s="48">
        <v>14</v>
      </c>
      <c r="AN623" s="48">
        <v>0</v>
      </c>
      <c r="AQ623" s="215">
        <v>45509</v>
      </c>
      <c r="AR623" s="48">
        <v>0</v>
      </c>
      <c r="AS623" s="48">
        <v>3</v>
      </c>
      <c r="AT623" s="48">
        <v>3</v>
      </c>
      <c r="AU623" s="48">
        <v>0</v>
      </c>
      <c r="AX623" s="215">
        <v>45509</v>
      </c>
      <c r="AY623" s="48">
        <v>17</v>
      </c>
      <c r="AZ623" s="48">
        <v>0</v>
      </c>
      <c r="BA623" s="48">
        <v>17</v>
      </c>
      <c r="BB623" s="48">
        <v>100</v>
      </c>
      <c r="BE623" s="215">
        <v>45509</v>
      </c>
      <c r="BF623" s="101">
        <v>22095</v>
      </c>
      <c r="BG623" s="101">
        <v>194</v>
      </c>
      <c r="BH623" s="101">
        <v>22289</v>
      </c>
      <c r="BI623" s="101">
        <v>99.13</v>
      </c>
      <c r="BL623" s="215">
        <v>45509</v>
      </c>
      <c r="BM623" s="101">
        <v>240027</v>
      </c>
      <c r="BN623" s="101">
        <v>0</v>
      </c>
      <c r="BO623" s="101">
        <v>240027</v>
      </c>
      <c r="BP623" s="101">
        <v>100</v>
      </c>
      <c r="BS623" s="215">
        <v>45509</v>
      </c>
      <c r="BT623" s="101">
        <v>8049</v>
      </c>
      <c r="BU623" s="101">
        <v>0</v>
      </c>
      <c r="BV623" s="101">
        <v>8049</v>
      </c>
      <c r="BW623" s="101">
        <v>100</v>
      </c>
      <c r="BZ623" s="215">
        <v>45509</v>
      </c>
      <c r="CA623" s="1">
        <f>(32593637+718529)</f>
        <v>33312166</v>
      </c>
      <c r="CB623" s="1">
        <f>(2521893+77755)</f>
        <v>2599648</v>
      </c>
      <c r="CC623" s="71">
        <f t="shared" si="135"/>
        <v>12.814106371324117</v>
      </c>
      <c r="CE623" s="222">
        <v>45509</v>
      </c>
      <c r="CF623" s="101">
        <v>12917053</v>
      </c>
      <c r="CG623" s="101">
        <v>11303</v>
      </c>
      <c r="CH623" s="101">
        <v>12928356</v>
      </c>
      <c r="CI623" s="101">
        <v>99.91</v>
      </c>
      <c r="CJ623" s="71">
        <f t="shared" si="139"/>
        <v>12.928356000000001</v>
      </c>
      <c r="CL623" s="222">
        <v>45508</v>
      </c>
      <c r="CM623" s="1" t="s">
        <v>240</v>
      </c>
      <c r="CN623" s="101">
        <v>7671</v>
      </c>
      <c r="CO623" s="101">
        <v>516</v>
      </c>
    </row>
    <row r="624" spans="1:93" x14ac:dyDescent="0.25">
      <c r="A624" s="215">
        <v>45510</v>
      </c>
      <c r="B624" s="101">
        <v>7244603</v>
      </c>
      <c r="C624" s="101">
        <v>2568</v>
      </c>
      <c r="D624" s="101">
        <v>7247171</v>
      </c>
      <c r="E624" s="101">
        <v>99.96</v>
      </c>
      <c r="F624" s="71">
        <f t="shared" si="137"/>
        <v>7.2471709999999998</v>
      </c>
      <c r="H624" s="215">
        <v>45510</v>
      </c>
      <c r="I624" s="101">
        <v>1951147</v>
      </c>
      <c r="J624" s="101">
        <v>680</v>
      </c>
      <c r="K624" s="101">
        <v>1951827</v>
      </c>
      <c r="L624" s="101">
        <v>99.97</v>
      </c>
      <c r="M624" s="71">
        <f t="shared" si="136"/>
        <v>1.951827</v>
      </c>
      <c r="O624" s="215">
        <v>45510</v>
      </c>
      <c r="P624" s="101">
        <v>438143</v>
      </c>
      <c r="Q624" s="101">
        <v>20</v>
      </c>
      <c r="R624" s="101">
        <v>438163</v>
      </c>
      <c r="S624" s="101">
        <v>100</v>
      </c>
      <c r="T624" s="71">
        <f t="shared" si="138"/>
        <v>0.43816300000000002</v>
      </c>
      <c r="V624" s="215">
        <v>45510</v>
      </c>
      <c r="W624" s="101">
        <v>1125877</v>
      </c>
      <c r="X624" s="101">
        <v>167</v>
      </c>
      <c r="Y624" s="101">
        <v>1126044</v>
      </c>
      <c r="Z624" s="101">
        <v>99.99</v>
      </c>
      <c r="AA624" s="71">
        <f t="shared" si="134"/>
        <v>1.126044</v>
      </c>
      <c r="AC624" s="215">
        <v>45510</v>
      </c>
      <c r="AD624" s="101">
        <v>1194216</v>
      </c>
      <c r="AE624" s="101">
        <v>94</v>
      </c>
      <c r="AF624" s="101">
        <v>1194310</v>
      </c>
      <c r="AG624" s="101">
        <v>99.99</v>
      </c>
      <c r="AH624" s="71">
        <f t="shared" si="140"/>
        <v>1.19431</v>
      </c>
      <c r="AJ624" s="215">
        <v>45510</v>
      </c>
      <c r="AK624" s="48">
        <v>0</v>
      </c>
      <c r="AL624" s="48">
        <v>15</v>
      </c>
      <c r="AM624" s="48">
        <v>15</v>
      </c>
      <c r="AN624" s="48">
        <v>0</v>
      </c>
      <c r="AQ624" s="215">
        <v>45510</v>
      </c>
      <c r="AR624" s="48">
        <v>0</v>
      </c>
      <c r="AS624" s="48">
        <v>9</v>
      </c>
      <c r="AT624" s="48">
        <v>9</v>
      </c>
      <c r="AU624" s="48">
        <v>0</v>
      </c>
      <c r="AX624" s="215">
        <v>45510</v>
      </c>
      <c r="AY624" s="48">
        <v>31</v>
      </c>
      <c r="AZ624" s="48">
        <v>0</v>
      </c>
      <c r="BA624" s="48">
        <v>31</v>
      </c>
      <c r="BB624" s="48">
        <v>100</v>
      </c>
      <c r="BE624" s="215">
        <v>45510</v>
      </c>
      <c r="BF624" s="101">
        <v>27094</v>
      </c>
      <c r="BG624" s="101">
        <v>198</v>
      </c>
      <c r="BH624" s="101">
        <v>27292</v>
      </c>
      <c r="BI624" s="101">
        <v>99.27</v>
      </c>
      <c r="BL624" s="215">
        <v>45510</v>
      </c>
      <c r="BM624" s="101">
        <v>248741</v>
      </c>
      <c r="BN624" s="101">
        <v>0</v>
      </c>
      <c r="BO624" s="101">
        <v>248741</v>
      </c>
      <c r="BP624" s="101">
        <v>100</v>
      </c>
      <c r="BS624" s="215">
        <v>45510</v>
      </c>
      <c r="BT624" s="101">
        <v>10592</v>
      </c>
      <c r="BU624" s="101">
        <v>0</v>
      </c>
      <c r="BV624" s="101">
        <v>10592</v>
      </c>
      <c r="BW624" s="101">
        <v>100</v>
      </c>
      <c r="BZ624" s="215">
        <v>45510</v>
      </c>
      <c r="CA624" s="1">
        <f>(1251462+32700201)</f>
        <v>33951663</v>
      </c>
      <c r="CB624" s="1">
        <f>(129029+2504971)</f>
        <v>2634000</v>
      </c>
      <c r="CC624" s="71">
        <f t="shared" si="135"/>
        <v>12.889773348519363</v>
      </c>
      <c r="CE624" s="222">
        <v>45510</v>
      </c>
      <c r="CF624" s="101">
        <v>14568479</v>
      </c>
      <c r="CG624" s="101">
        <v>12558</v>
      </c>
      <c r="CH624" s="101">
        <v>14581037</v>
      </c>
      <c r="CI624" s="101">
        <v>99.91</v>
      </c>
      <c r="CJ624" s="71">
        <f t="shared" si="139"/>
        <v>14.581037</v>
      </c>
      <c r="CL624" s="222">
        <v>45508</v>
      </c>
      <c r="CM624" s="1" t="s">
        <v>237</v>
      </c>
      <c r="CN624" s="101">
        <v>2078</v>
      </c>
      <c r="CO624" s="101">
        <v>527</v>
      </c>
    </row>
    <row r="625" spans="1:93" x14ac:dyDescent="0.25">
      <c r="A625" s="215">
        <v>45511</v>
      </c>
      <c r="B625" s="101">
        <v>5595721</v>
      </c>
      <c r="C625" s="101">
        <v>1996</v>
      </c>
      <c r="D625" s="101">
        <v>5597717</v>
      </c>
      <c r="E625" s="101">
        <v>99.96</v>
      </c>
      <c r="F625" s="71">
        <f t="shared" si="137"/>
        <v>5.5977170000000003</v>
      </c>
      <c r="H625" s="215">
        <v>45511</v>
      </c>
      <c r="I625" s="101">
        <v>1375118</v>
      </c>
      <c r="J625" s="101">
        <v>401</v>
      </c>
      <c r="K625" s="101">
        <v>1375519</v>
      </c>
      <c r="L625" s="101">
        <v>99.97</v>
      </c>
      <c r="M625" s="71">
        <f t="shared" si="136"/>
        <v>1.3755189999999999</v>
      </c>
      <c r="O625" s="215">
        <v>45511</v>
      </c>
      <c r="P625" s="101">
        <v>348287</v>
      </c>
      <c r="Q625" s="101">
        <v>190</v>
      </c>
      <c r="R625" s="101">
        <v>348477</v>
      </c>
      <c r="S625" s="101">
        <v>99.95</v>
      </c>
      <c r="T625" s="71">
        <f t="shared" si="138"/>
        <v>0.34847699999999998</v>
      </c>
      <c r="V625" s="215">
        <v>45511</v>
      </c>
      <c r="W625" s="101">
        <v>882730</v>
      </c>
      <c r="X625" s="101">
        <v>161</v>
      </c>
      <c r="Y625" s="101">
        <v>882891</v>
      </c>
      <c r="Z625" s="101">
        <v>99.98</v>
      </c>
      <c r="AA625" s="71">
        <f t="shared" si="134"/>
        <v>0.88289099999999998</v>
      </c>
      <c r="AC625" s="215">
        <v>45511</v>
      </c>
      <c r="AD625" s="101">
        <v>1011967</v>
      </c>
      <c r="AE625" s="101">
        <v>129</v>
      </c>
      <c r="AF625" s="101">
        <v>1012096</v>
      </c>
      <c r="AG625" s="101">
        <v>99.99</v>
      </c>
      <c r="AH625" s="71">
        <f t="shared" si="140"/>
        <v>1.0120960000000001</v>
      </c>
      <c r="AJ625" s="215">
        <v>45511</v>
      </c>
      <c r="AK625" s="48">
        <v>0</v>
      </c>
      <c r="AL625" s="48">
        <v>5</v>
      </c>
      <c r="AM625" s="48">
        <v>5</v>
      </c>
      <c r="AN625" s="48">
        <v>0</v>
      </c>
      <c r="AQ625" s="215">
        <v>45511</v>
      </c>
      <c r="AR625" s="48">
        <v>0</v>
      </c>
      <c r="AS625" s="48">
        <v>6</v>
      </c>
      <c r="AT625" s="48">
        <v>6</v>
      </c>
      <c r="AU625" s="48">
        <v>0</v>
      </c>
      <c r="AX625" s="215">
        <v>45511</v>
      </c>
      <c r="AY625" s="48">
        <v>12</v>
      </c>
      <c r="AZ625" s="48">
        <v>0</v>
      </c>
      <c r="BA625" s="48">
        <v>12</v>
      </c>
      <c r="BB625" s="48">
        <v>100</v>
      </c>
      <c r="BE625" s="215">
        <v>45511</v>
      </c>
      <c r="BF625" s="101">
        <v>19859</v>
      </c>
      <c r="BG625" s="101">
        <v>156</v>
      </c>
      <c r="BH625" s="101">
        <v>20015</v>
      </c>
      <c r="BI625" s="101">
        <v>99.22</v>
      </c>
      <c r="BL625" s="215">
        <v>45511</v>
      </c>
      <c r="BM625" s="101">
        <v>222916</v>
      </c>
      <c r="BN625" s="101">
        <v>0</v>
      </c>
      <c r="BO625" s="101">
        <v>222916</v>
      </c>
      <c r="BP625" s="101">
        <v>100</v>
      </c>
      <c r="BS625" s="215">
        <v>45511</v>
      </c>
      <c r="BT625" s="101">
        <v>11321</v>
      </c>
      <c r="BU625" s="101">
        <v>1</v>
      </c>
      <c r="BV625" s="101">
        <v>11322</v>
      </c>
      <c r="BW625" s="101">
        <v>99.99</v>
      </c>
      <c r="BZ625" s="215">
        <v>45511</v>
      </c>
      <c r="CA625" s="1">
        <f>(28726336 + 770244)</f>
        <v>29496580</v>
      </c>
      <c r="CB625" s="1">
        <f>(2331949 +80194)</f>
        <v>2412143</v>
      </c>
      <c r="CC625" s="71">
        <f t="shared" si="135"/>
        <v>12.228371203531466</v>
      </c>
      <c r="CE625" s="222">
        <v>45511</v>
      </c>
      <c r="CF625" s="101">
        <v>11320772</v>
      </c>
      <c r="CG625" s="101">
        <v>10147</v>
      </c>
      <c r="CH625" s="101">
        <v>11330919</v>
      </c>
      <c r="CI625" s="101">
        <v>99.91</v>
      </c>
      <c r="CJ625" s="71">
        <f t="shared" si="139"/>
        <v>11.330919</v>
      </c>
      <c r="CL625" s="222">
        <v>45508</v>
      </c>
      <c r="CM625" s="1" t="s">
        <v>239</v>
      </c>
      <c r="CN625" s="101">
        <v>747</v>
      </c>
      <c r="CO625" s="101">
        <v>504</v>
      </c>
    </row>
    <row r="626" spans="1:93" x14ac:dyDescent="0.25">
      <c r="A626" s="215">
        <v>45512</v>
      </c>
      <c r="B626" s="101">
        <v>6454983</v>
      </c>
      <c r="C626" s="101">
        <v>2589</v>
      </c>
      <c r="D626" s="101">
        <v>6457572</v>
      </c>
      <c r="E626" s="101">
        <v>99.96</v>
      </c>
      <c r="F626" s="71">
        <f t="shared" si="137"/>
        <v>6.4575719999999999</v>
      </c>
      <c r="H626" s="215">
        <v>45512</v>
      </c>
      <c r="I626" s="101">
        <v>1506834</v>
      </c>
      <c r="J626" s="101">
        <v>418</v>
      </c>
      <c r="K626" s="101">
        <v>1507252</v>
      </c>
      <c r="L626" s="101">
        <v>99.97</v>
      </c>
      <c r="M626" s="71">
        <f t="shared" si="136"/>
        <v>1.507252</v>
      </c>
      <c r="O626" s="215">
        <v>45512</v>
      </c>
      <c r="P626" s="101">
        <v>374388</v>
      </c>
      <c r="Q626" s="101">
        <v>10</v>
      </c>
      <c r="R626" s="101">
        <v>374398</v>
      </c>
      <c r="S626" s="101">
        <v>100</v>
      </c>
      <c r="T626" s="71">
        <f t="shared" si="138"/>
        <v>0.37439800000000001</v>
      </c>
      <c r="V626" s="215">
        <v>45512</v>
      </c>
      <c r="W626" s="101">
        <v>1016227</v>
      </c>
      <c r="X626" s="101">
        <v>174</v>
      </c>
      <c r="Y626" s="101">
        <v>1016401</v>
      </c>
      <c r="Z626" s="101">
        <v>99.98</v>
      </c>
      <c r="AA626" s="71">
        <f t="shared" si="134"/>
        <v>1.0164010000000001</v>
      </c>
      <c r="AC626" s="215">
        <v>45512</v>
      </c>
      <c r="AD626" s="101">
        <v>978042</v>
      </c>
      <c r="AE626" s="101">
        <v>120</v>
      </c>
      <c r="AF626" s="101">
        <v>978162</v>
      </c>
      <c r="AG626" s="101">
        <v>99.99</v>
      </c>
      <c r="AH626" s="71">
        <f t="shared" si="140"/>
        <v>0.97816199999999998</v>
      </c>
      <c r="AJ626" s="215">
        <v>45512</v>
      </c>
      <c r="AK626" s="48">
        <v>0</v>
      </c>
      <c r="AL626" s="48">
        <v>25</v>
      </c>
      <c r="AM626" s="48">
        <v>25</v>
      </c>
      <c r="AN626" s="48">
        <v>0</v>
      </c>
      <c r="AQ626" s="215">
        <v>45512</v>
      </c>
      <c r="AR626" s="48">
        <v>0</v>
      </c>
      <c r="AS626" s="48">
        <v>10</v>
      </c>
      <c r="AT626" s="48">
        <v>10</v>
      </c>
      <c r="AU626" s="48">
        <v>0</v>
      </c>
      <c r="AX626" s="215">
        <v>45512</v>
      </c>
      <c r="AY626" s="48">
        <v>9</v>
      </c>
      <c r="AZ626" s="48">
        <v>0</v>
      </c>
      <c r="BA626" s="48">
        <v>9</v>
      </c>
      <c r="BB626" s="48">
        <v>100</v>
      </c>
      <c r="BE626" s="215">
        <v>45512</v>
      </c>
      <c r="BF626" s="101">
        <v>24292</v>
      </c>
      <c r="BG626" s="101">
        <v>183</v>
      </c>
      <c r="BH626" s="101">
        <v>24475</v>
      </c>
      <c r="BI626" s="101">
        <v>99.25</v>
      </c>
      <c r="BL626" s="215">
        <v>45512</v>
      </c>
      <c r="BM626" s="101">
        <v>279586</v>
      </c>
      <c r="BN626" s="101">
        <v>0</v>
      </c>
      <c r="BO626" s="101">
        <v>279586</v>
      </c>
      <c r="BP626" s="101">
        <v>100</v>
      </c>
      <c r="BS626" s="215">
        <v>45512</v>
      </c>
      <c r="BT626" s="101">
        <v>10244</v>
      </c>
      <c r="BU626" s="101">
        <v>0</v>
      </c>
      <c r="BV626" s="101">
        <v>10244</v>
      </c>
      <c r="BW626" s="101">
        <v>100</v>
      </c>
      <c r="BZ626" s="215">
        <v>45512</v>
      </c>
      <c r="CA626" s="1">
        <f>(30004747 + 1056319)</f>
        <v>31061066</v>
      </c>
      <c r="CB626" s="1">
        <f>(2425894 +112842)</f>
        <v>2538736</v>
      </c>
      <c r="CC626" s="71">
        <f t="shared" si="135"/>
        <v>12.234854667834702</v>
      </c>
      <c r="CE626" s="222">
        <v>45512</v>
      </c>
      <c r="CF626" s="101">
        <v>12756622</v>
      </c>
      <c r="CG626" s="101">
        <v>12085</v>
      </c>
      <c r="CH626" s="101">
        <v>12768707</v>
      </c>
      <c r="CI626" s="101">
        <v>99.91</v>
      </c>
      <c r="CJ626" s="71">
        <f t="shared" si="139"/>
        <v>12.768706999999999</v>
      </c>
      <c r="CL626" s="222">
        <v>45508</v>
      </c>
      <c r="CM626" s="1" t="s">
        <v>291</v>
      </c>
      <c r="CN626" s="101">
        <v>737</v>
      </c>
      <c r="CO626" s="101">
        <v>540</v>
      </c>
    </row>
    <row r="627" spans="1:93" x14ac:dyDescent="0.25">
      <c r="A627" s="215">
        <v>45513</v>
      </c>
      <c r="B627" s="101">
        <v>6441246</v>
      </c>
      <c r="C627" s="101">
        <v>15571</v>
      </c>
      <c r="D627" s="101">
        <v>6456817</v>
      </c>
      <c r="E627" s="101">
        <v>99.76</v>
      </c>
      <c r="F627" s="71">
        <f t="shared" si="137"/>
        <v>6.456817</v>
      </c>
      <c r="H627" s="215">
        <v>45513</v>
      </c>
      <c r="I627" s="101">
        <v>1547120</v>
      </c>
      <c r="J627" s="101">
        <v>427</v>
      </c>
      <c r="K627" s="101">
        <v>1547547</v>
      </c>
      <c r="L627" s="101">
        <v>99.97</v>
      </c>
      <c r="M627" s="71">
        <f t="shared" si="136"/>
        <v>1.547547</v>
      </c>
      <c r="O627" s="215">
        <v>45513</v>
      </c>
      <c r="P627" s="101">
        <v>360601</v>
      </c>
      <c r="Q627" s="101">
        <v>11</v>
      </c>
      <c r="R627" s="101">
        <v>360612</v>
      </c>
      <c r="S627" s="101">
        <v>100</v>
      </c>
      <c r="T627" s="71">
        <f t="shared" si="138"/>
        <v>0.36061199999999999</v>
      </c>
      <c r="V627" s="215">
        <v>45513</v>
      </c>
      <c r="W627" s="101">
        <v>1004414</v>
      </c>
      <c r="X627" s="101">
        <v>170</v>
      </c>
      <c r="Y627" s="101">
        <v>1004584</v>
      </c>
      <c r="Z627" s="101">
        <v>99.98</v>
      </c>
      <c r="AA627" s="71">
        <f t="shared" si="134"/>
        <v>1.0045839999999999</v>
      </c>
      <c r="AC627" s="215">
        <v>45513</v>
      </c>
      <c r="AD627" s="101">
        <v>1017894</v>
      </c>
      <c r="AE627" s="101">
        <v>113</v>
      </c>
      <c r="AF627" s="101">
        <v>1018007</v>
      </c>
      <c r="AG627" s="101">
        <v>99.99</v>
      </c>
      <c r="AH627" s="71">
        <f t="shared" si="140"/>
        <v>1.0180070000000001</v>
      </c>
      <c r="AJ627" s="215">
        <v>45513</v>
      </c>
      <c r="AK627" s="48">
        <v>0</v>
      </c>
      <c r="AL627" s="48">
        <v>22</v>
      </c>
      <c r="AM627" s="48">
        <v>22</v>
      </c>
      <c r="AN627" s="48">
        <v>0</v>
      </c>
      <c r="AQ627" s="215">
        <v>45513</v>
      </c>
      <c r="AR627" s="48">
        <v>0</v>
      </c>
      <c r="AS627" s="48">
        <v>12</v>
      </c>
      <c r="AT627" s="48">
        <v>12</v>
      </c>
      <c r="AU627" s="48">
        <v>0</v>
      </c>
      <c r="AX627" s="215">
        <v>45513</v>
      </c>
      <c r="AY627" s="48">
        <v>15</v>
      </c>
      <c r="AZ627" s="48">
        <v>0</v>
      </c>
      <c r="BA627" s="48">
        <v>15</v>
      </c>
      <c r="BB627" s="48">
        <v>100</v>
      </c>
      <c r="BE627" s="215">
        <v>45513</v>
      </c>
      <c r="BF627" s="101">
        <v>22562</v>
      </c>
      <c r="BG627" s="101">
        <v>193</v>
      </c>
      <c r="BH627" s="101">
        <v>22755</v>
      </c>
      <c r="BI627" s="101">
        <v>99.15</v>
      </c>
      <c r="BL627" s="215">
        <v>45513</v>
      </c>
      <c r="BM627" s="101">
        <v>234519</v>
      </c>
      <c r="BN627" s="101">
        <v>0</v>
      </c>
      <c r="BO627" s="101">
        <v>234519</v>
      </c>
      <c r="BP627" s="101">
        <v>100</v>
      </c>
      <c r="BS627" s="215">
        <v>45513</v>
      </c>
      <c r="BT627" s="101">
        <v>10466</v>
      </c>
      <c r="BU627" s="101">
        <v>0</v>
      </c>
      <c r="BV627" s="101">
        <v>10466</v>
      </c>
      <c r="BW627" s="101">
        <v>100</v>
      </c>
      <c r="BZ627" s="215">
        <v>45513</v>
      </c>
      <c r="CA627" s="1">
        <v>32937897</v>
      </c>
      <c r="CB627" s="1">
        <v>2488277</v>
      </c>
      <c r="CC627" s="71">
        <f t="shared" si="135"/>
        <v>13.237230822774153</v>
      </c>
      <c r="CE627" s="222">
        <v>45513</v>
      </c>
      <c r="CF627" s="101">
        <v>12795175</v>
      </c>
      <c r="CG627" s="101">
        <v>26049</v>
      </c>
      <c r="CH627" s="101">
        <v>12821224</v>
      </c>
      <c r="CI627" s="101">
        <v>99.8</v>
      </c>
      <c r="CJ627" s="71">
        <f t="shared" si="139"/>
        <v>12.821224000000001</v>
      </c>
      <c r="CL627" s="222">
        <v>45508</v>
      </c>
      <c r="CM627" s="1" t="s">
        <v>238</v>
      </c>
      <c r="CN627" s="101">
        <v>649</v>
      </c>
      <c r="CO627" s="101">
        <v>503</v>
      </c>
    </row>
    <row r="628" spans="1:93" x14ac:dyDescent="0.25">
      <c r="A628" s="215">
        <v>45514</v>
      </c>
      <c r="B628" s="101">
        <v>6211161</v>
      </c>
      <c r="C628" s="101">
        <v>52460</v>
      </c>
      <c r="D628" s="101">
        <v>6263621</v>
      </c>
      <c r="E628" s="101">
        <v>99.16</v>
      </c>
      <c r="F628" s="71">
        <f t="shared" si="137"/>
        <v>6.2636209999999997</v>
      </c>
      <c r="H628" s="215">
        <v>45514</v>
      </c>
      <c r="I628" s="101">
        <v>1474584</v>
      </c>
      <c r="J628" s="101">
        <v>395</v>
      </c>
      <c r="K628" s="101">
        <v>1474979</v>
      </c>
      <c r="L628" s="101">
        <v>99.97</v>
      </c>
      <c r="M628" s="71">
        <f t="shared" si="136"/>
        <v>1.474979</v>
      </c>
      <c r="O628" s="215">
        <v>45514</v>
      </c>
      <c r="P628" s="101">
        <v>359645</v>
      </c>
      <c r="Q628" s="101">
        <v>11</v>
      </c>
      <c r="R628" s="101">
        <v>359656</v>
      </c>
      <c r="S628" s="101">
        <v>100</v>
      </c>
      <c r="T628" s="71">
        <f t="shared" si="138"/>
        <v>0.35965599999999998</v>
      </c>
      <c r="V628" s="215">
        <v>45514</v>
      </c>
      <c r="W628" s="101">
        <v>971223</v>
      </c>
      <c r="X628" s="101">
        <v>198</v>
      </c>
      <c r="Y628" s="101">
        <v>971421</v>
      </c>
      <c r="Z628" s="101">
        <v>99.98</v>
      </c>
      <c r="AA628" s="71">
        <f t="shared" si="134"/>
        <v>0.97142099999999998</v>
      </c>
      <c r="AC628" s="215">
        <v>45514</v>
      </c>
      <c r="AD628" s="101">
        <v>1061103</v>
      </c>
      <c r="AE628" s="101">
        <v>60</v>
      </c>
      <c r="AF628" s="101">
        <v>1061163</v>
      </c>
      <c r="AG628" s="101">
        <v>99.99</v>
      </c>
      <c r="AH628" s="71">
        <f t="shared" si="140"/>
        <v>1.0611630000000001</v>
      </c>
      <c r="AJ628" s="215">
        <v>45514</v>
      </c>
      <c r="AK628" s="48">
        <v>0</v>
      </c>
      <c r="AL628" s="48">
        <v>17</v>
      </c>
      <c r="AM628" s="48">
        <v>17</v>
      </c>
      <c r="AN628" s="48">
        <v>0</v>
      </c>
      <c r="AQ628" s="215">
        <v>45514</v>
      </c>
      <c r="AR628" s="48">
        <v>0</v>
      </c>
      <c r="AS628" s="48">
        <v>13</v>
      </c>
      <c r="AT628" s="48">
        <v>13</v>
      </c>
      <c r="AU628" s="48">
        <v>0</v>
      </c>
      <c r="AX628" s="215">
        <v>45514</v>
      </c>
      <c r="AY628" s="48">
        <v>9</v>
      </c>
      <c r="AZ628" s="48">
        <v>0</v>
      </c>
      <c r="BA628" s="48">
        <v>9</v>
      </c>
      <c r="BB628" s="48">
        <v>100</v>
      </c>
      <c r="BE628" s="215">
        <v>45514</v>
      </c>
      <c r="BF628" s="101">
        <v>21442</v>
      </c>
      <c r="BG628" s="101">
        <v>152</v>
      </c>
      <c r="BH628" s="101">
        <v>21594</v>
      </c>
      <c r="BI628" s="101">
        <v>99.3</v>
      </c>
      <c r="BL628" s="215">
        <v>45514</v>
      </c>
      <c r="BM628" s="101">
        <v>243677</v>
      </c>
      <c r="BN628" s="101">
        <v>0</v>
      </c>
      <c r="BO628" s="101">
        <v>243677</v>
      </c>
      <c r="BP628" s="101">
        <v>100</v>
      </c>
      <c r="BS628" s="215">
        <v>45514</v>
      </c>
      <c r="BT628" s="101">
        <v>14176</v>
      </c>
      <c r="BU628" s="101">
        <v>6</v>
      </c>
      <c r="BV628" s="101">
        <v>14182</v>
      </c>
      <c r="BW628" s="101">
        <v>99.96</v>
      </c>
      <c r="BZ628" s="215">
        <v>45514</v>
      </c>
      <c r="CA628" s="1">
        <v>31275310</v>
      </c>
      <c r="CB628" s="1">
        <v>2408240</v>
      </c>
      <c r="CC628" s="71">
        <f t="shared" si="135"/>
        <v>12.986791183602962</v>
      </c>
      <c r="CE628" s="222">
        <v>45514</v>
      </c>
      <c r="CF628" s="101">
        <v>12390929</v>
      </c>
      <c r="CG628" s="101">
        <v>62420</v>
      </c>
      <c r="CH628" s="101">
        <v>12453349</v>
      </c>
      <c r="CI628" s="101">
        <v>99.5</v>
      </c>
      <c r="CJ628" s="71">
        <f t="shared" si="139"/>
        <v>12.453348999999999</v>
      </c>
    </row>
    <row r="629" spans="1:93" x14ac:dyDescent="0.25">
      <c r="A629" s="215">
        <v>45515</v>
      </c>
      <c r="B629" s="101">
        <v>5280100</v>
      </c>
      <c r="C629" s="101">
        <v>38608</v>
      </c>
      <c r="D629" s="101">
        <v>5318708</v>
      </c>
      <c r="E629" s="101">
        <v>99.27</v>
      </c>
      <c r="F629" s="71">
        <f t="shared" si="137"/>
        <v>5.318708</v>
      </c>
      <c r="H629" s="215">
        <v>45515</v>
      </c>
      <c r="I629" s="101">
        <v>1348306</v>
      </c>
      <c r="J629" s="101">
        <v>413</v>
      </c>
      <c r="K629" s="101">
        <v>1348719</v>
      </c>
      <c r="L629" s="101">
        <v>99.97</v>
      </c>
      <c r="M629" s="71">
        <f t="shared" si="136"/>
        <v>1.348719</v>
      </c>
      <c r="O629" s="215">
        <v>45515</v>
      </c>
      <c r="P629" s="101">
        <v>349806</v>
      </c>
      <c r="Q629" s="101">
        <v>12</v>
      </c>
      <c r="R629" s="101">
        <v>349818</v>
      </c>
      <c r="S629" s="101">
        <v>100</v>
      </c>
      <c r="T629" s="71">
        <f t="shared" si="138"/>
        <v>0.34981800000000002</v>
      </c>
      <c r="V629" s="215">
        <v>45515</v>
      </c>
      <c r="W629" s="101">
        <v>888091</v>
      </c>
      <c r="X629" s="101">
        <v>139</v>
      </c>
      <c r="Y629" s="101">
        <v>888230</v>
      </c>
      <c r="Z629" s="101">
        <v>99.98</v>
      </c>
      <c r="AA629" s="71">
        <f t="shared" si="134"/>
        <v>0.88822999999999996</v>
      </c>
      <c r="AC629" s="215">
        <v>45515</v>
      </c>
      <c r="AD629" s="101">
        <v>1009986</v>
      </c>
      <c r="AE629" s="101">
        <v>55</v>
      </c>
      <c r="AF629" s="101">
        <v>1010041</v>
      </c>
      <c r="AG629" s="101">
        <v>99.99</v>
      </c>
      <c r="AH629" s="71">
        <f t="shared" si="140"/>
        <v>1.010041</v>
      </c>
      <c r="AJ629" s="215">
        <v>45515</v>
      </c>
      <c r="AK629" s="48">
        <v>0</v>
      </c>
      <c r="AL629" s="48">
        <v>26</v>
      </c>
      <c r="AM629" s="48">
        <v>26</v>
      </c>
      <c r="AN629" s="48">
        <v>0</v>
      </c>
      <c r="AQ629" s="215">
        <v>45515</v>
      </c>
      <c r="AR629" s="48">
        <v>0</v>
      </c>
      <c r="AS629" s="48">
        <v>6</v>
      </c>
      <c r="AT629" s="48">
        <v>6</v>
      </c>
      <c r="AU629" s="48">
        <v>0</v>
      </c>
      <c r="AX629" s="215">
        <v>45515</v>
      </c>
      <c r="AY629" s="48">
        <v>12</v>
      </c>
      <c r="AZ629" s="48">
        <v>0</v>
      </c>
      <c r="BA629" s="48">
        <v>12</v>
      </c>
      <c r="BB629" s="48">
        <v>100</v>
      </c>
      <c r="BE629" s="215">
        <v>45515</v>
      </c>
      <c r="BF629" s="101">
        <v>19432</v>
      </c>
      <c r="BG629" s="101">
        <v>164</v>
      </c>
      <c r="BH629" s="101">
        <v>19596</v>
      </c>
      <c r="BI629" s="101">
        <v>99.16</v>
      </c>
      <c r="BL629" s="215">
        <v>45515</v>
      </c>
      <c r="BM629" s="101">
        <v>5719</v>
      </c>
      <c r="BN629" s="101">
        <v>0</v>
      </c>
      <c r="BO629" s="101">
        <v>5719</v>
      </c>
      <c r="BP629" s="101">
        <v>100</v>
      </c>
      <c r="BS629" s="215">
        <v>45515</v>
      </c>
      <c r="BT629" s="101">
        <v>11089</v>
      </c>
      <c r="BU629" s="101">
        <v>0</v>
      </c>
      <c r="BV629" s="101">
        <v>11089</v>
      </c>
      <c r="BW629" s="101">
        <v>100</v>
      </c>
      <c r="BZ629" s="215">
        <v>45515</v>
      </c>
      <c r="CA629" s="1">
        <f>(1921654+25787510)</f>
        <v>27709164</v>
      </c>
      <c r="CB629" s="1">
        <f>(1602250+116203)</f>
        <v>1718453</v>
      </c>
      <c r="CC629" s="71">
        <f t="shared" si="135"/>
        <v>16.124481728624524</v>
      </c>
      <c r="CE629" s="222">
        <v>45515</v>
      </c>
      <c r="CF629" s="101">
        <v>10807845</v>
      </c>
      <c r="CG629" s="101">
        <v>48064</v>
      </c>
      <c r="CH629" s="101">
        <v>10855909</v>
      </c>
      <c r="CI629" s="101">
        <v>99.56</v>
      </c>
      <c r="CJ629" s="71">
        <f t="shared" si="139"/>
        <v>10.855909</v>
      </c>
      <c r="CL629" s="222">
        <v>45509</v>
      </c>
      <c r="CM629" s="1" t="s">
        <v>240</v>
      </c>
      <c r="CN629" s="101">
        <v>7007</v>
      </c>
      <c r="CO629" s="101">
        <v>516</v>
      </c>
    </row>
    <row r="630" spans="1:93" x14ac:dyDescent="0.25">
      <c r="CL630" s="222">
        <v>45509</v>
      </c>
      <c r="CM630" s="1" t="s">
        <v>237</v>
      </c>
      <c r="CN630" s="101">
        <v>2016</v>
      </c>
      <c r="CO630" s="101">
        <v>527</v>
      </c>
    </row>
    <row r="631" spans="1:93" x14ac:dyDescent="0.25">
      <c r="CL631" s="222">
        <v>45509</v>
      </c>
      <c r="CM631" s="1" t="s">
        <v>239</v>
      </c>
      <c r="CN631" s="101">
        <v>776</v>
      </c>
      <c r="CO631" s="101">
        <v>504</v>
      </c>
    </row>
    <row r="632" spans="1:93" x14ac:dyDescent="0.25">
      <c r="CL632" s="222">
        <v>45509</v>
      </c>
      <c r="CM632" s="1" t="s">
        <v>291</v>
      </c>
      <c r="CN632" s="101">
        <v>695</v>
      </c>
      <c r="CO632" s="101">
        <v>540</v>
      </c>
    </row>
    <row r="633" spans="1:93" x14ac:dyDescent="0.25">
      <c r="CL633" s="222">
        <v>45509</v>
      </c>
      <c r="CM633" s="1" t="s">
        <v>238</v>
      </c>
      <c r="CN633" s="101">
        <v>618</v>
      </c>
      <c r="CO633" s="101">
        <v>503</v>
      </c>
    </row>
    <row r="635" spans="1:93" x14ac:dyDescent="0.25">
      <c r="CL635" s="222">
        <v>45510</v>
      </c>
      <c r="CM635" s="1" t="s">
        <v>240</v>
      </c>
      <c r="CN635" s="101">
        <v>7812</v>
      </c>
      <c r="CO635" s="101">
        <v>516</v>
      </c>
    </row>
    <row r="636" spans="1:93" x14ac:dyDescent="0.25">
      <c r="CL636" s="222">
        <v>45510</v>
      </c>
      <c r="CM636" s="1" t="s">
        <v>237</v>
      </c>
      <c r="CN636" s="101">
        <v>2025</v>
      </c>
      <c r="CO636" s="101">
        <v>527</v>
      </c>
    </row>
    <row r="637" spans="1:93" x14ac:dyDescent="0.25">
      <c r="CL637" s="222">
        <v>45510</v>
      </c>
      <c r="CM637" s="1" t="s">
        <v>238</v>
      </c>
      <c r="CN637" s="101">
        <v>903</v>
      </c>
      <c r="CO637" s="101">
        <v>503</v>
      </c>
    </row>
    <row r="638" spans="1:93" x14ac:dyDescent="0.25">
      <c r="CL638" s="222">
        <v>45510</v>
      </c>
      <c r="CM638" s="1" t="s">
        <v>239</v>
      </c>
      <c r="CN638" s="101">
        <v>874</v>
      </c>
      <c r="CO638" s="101">
        <v>504</v>
      </c>
    </row>
    <row r="639" spans="1:93" x14ac:dyDescent="0.25">
      <c r="CL639" s="222">
        <v>45510</v>
      </c>
      <c r="CM639" s="1" t="s">
        <v>291</v>
      </c>
      <c r="CN639" s="101">
        <v>768</v>
      </c>
      <c r="CO639" s="101">
        <v>540</v>
      </c>
    </row>
    <row r="641" spans="90:93" x14ac:dyDescent="0.25">
      <c r="CL641" s="222">
        <v>45511</v>
      </c>
      <c r="CM641" s="1" t="s">
        <v>240</v>
      </c>
      <c r="CN641" s="101">
        <v>6399</v>
      </c>
      <c r="CO641" s="101">
        <v>516</v>
      </c>
    </row>
    <row r="642" spans="90:93" x14ac:dyDescent="0.25">
      <c r="CL642" s="222">
        <v>45511</v>
      </c>
      <c r="CM642" s="1" t="s">
        <v>237</v>
      </c>
      <c r="CN642" s="101">
        <v>1696</v>
      </c>
      <c r="CO642" s="101">
        <v>527</v>
      </c>
    </row>
    <row r="643" spans="90:93" x14ac:dyDescent="0.25">
      <c r="CL643" s="222">
        <v>45511</v>
      </c>
      <c r="CM643" s="1" t="s">
        <v>239</v>
      </c>
      <c r="CN643" s="101">
        <v>673</v>
      </c>
      <c r="CO643" s="101">
        <v>504</v>
      </c>
    </row>
    <row r="644" spans="90:93" x14ac:dyDescent="0.25">
      <c r="CL644" s="222">
        <v>45511</v>
      </c>
      <c r="CM644" s="1" t="s">
        <v>291</v>
      </c>
      <c r="CN644" s="101">
        <v>669</v>
      </c>
      <c r="CO644" s="101">
        <v>540</v>
      </c>
    </row>
    <row r="645" spans="90:93" x14ac:dyDescent="0.25">
      <c r="CL645" s="222">
        <v>45511</v>
      </c>
      <c r="CM645" s="1" t="s">
        <v>238</v>
      </c>
      <c r="CN645" s="101">
        <v>553</v>
      </c>
      <c r="CO645" s="101">
        <v>503</v>
      </c>
    </row>
    <row r="647" spans="90:93" x14ac:dyDescent="0.25">
      <c r="CL647" s="222">
        <v>45512</v>
      </c>
      <c r="CM647" s="1" t="s">
        <v>240</v>
      </c>
      <c r="CN647" s="101">
        <v>7607</v>
      </c>
      <c r="CO647" s="101">
        <v>516</v>
      </c>
    </row>
    <row r="648" spans="90:93" x14ac:dyDescent="0.25">
      <c r="CL648" s="222">
        <v>45512</v>
      </c>
      <c r="CM648" s="1" t="s">
        <v>237</v>
      </c>
      <c r="CN648" s="101">
        <v>2316</v>
      </c>
      <c r="CO648" s="101">
        <v>527</v>
      </c>
    </row>
    <row r="649" spans="90:93" x14ac:dyDescent="0.25">
      <c r="CL649" s="222">
        <v>45512</v>
      </c>
      <c r="CM649" s="1" t="s">
        <v>239</v>
      </c>
      <c r="CN649" s="101">
        <v>666</v>
      </c>
      <c r="CO649" s="101">
        <v>504</v>
      </c>
    </row>
    <row r="650" spans="90:93" x14ac:dyDescent="0.25">
      <c r="CL650" s="222">
        <v>45512</v>
      </c>
      <c r="CM650" s="1" t="s">
        <v>238</v>
      </c>
      <c r="CN650" s="101">
        <v>652</v>
      </c>
      <c r="CO650" s="101">
        <v>503</v>
      </c>
    </row>
    <row r="651" spans="90:93" x14ac:dyDescent="0.25">
      <c r="CL651" s="222">
        <v>45512</v>
      </c>
      <c r="CM651" s="1" t="s">
        <v>291</v>
      </c>
      <c r="CN651" s="101">
        <v>618</v>
      </c>
      <c r="CO651" s="101">
        <v>540</v>
      </c>
    </row>
    <row r="653" spans="90:93" x14ac:dyDescent="0.25">
      <c r="CL653" s="222">
        <v>45515</v>
      </c>
      <c r="CM653" s="1" t="s">
        <v>237</v>
      </c>
      <c r="CN653" s="101">
        <v>36158</v>
      </c>
      <c r="CO653" s="101">
        <v>527</v>
      </c>
    </row>
    <row r="654" spans="90:93" x14ac:dyDescent="0.25">
      <c r="CL654" s="222">
        <v>45515</v>
      </c>
      <c r="CM654" s="1" t="s">
        <v>240</v>
      </c>
      <c r="CN654" s="101">
        <v>8469</v>
      </c>
      <c r="CO654" s="101">
        <v>516</v>
      </c>
    </row>
    <row r="655" spans="90:93" x14ac:dyDescent="0.25">
      <c r="CL655" s="222">
        <v>45515</v>
      </c>
      <c r="CM655" s="1" t="s">
        <v>239</v>
      </c>
      <c r="CN655" s="101">
        <v>1831</v>
      </c>
      <c r="CO655" s="101">
        <v>504</v>
      </c>
    </row>
    <row r="656" spans="90:93" x14ac:dyDescent="0.25">
      <c r="CL656" s="222">
        <v>45515</v>
      </c>
      <c r="CM656" s="1" t="s">
        <v>291</v>
      </c>
      <c r="CN656" s="101">
        <v>821</v>
      </c>
      <c r="CO656" s="101">
        <v>540</v>
      </c>
    </row>
    <row r="657" spans="90:93" x14ac:dyDescent="0.25">
      <c r="CL657" s="222">
        <v>45515</v>
      </c>
      <c r="CM657" s="1" t="s">
        <v>238</v>
      </c>
      <c r="CN657" s="101">
        <v>619</v>
      </c>
      <c r="CO657" s="101">
        <v>503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Application Status</vt:lpstr>
      <vt:lpstr>IM TPS</vt:lpstr>
      <vt:lpstr>TOP 5 USSD Short Codes</vt:lpstr>
      <vt:lpstr>Feuil3</vt:lpstr>
      <vt:lpstr>KPI Calculation New</vt:lpstr>
      <vt:lpstr>P2P Detail</vt:lpstr>
      <vt:lpstr>P2P</vt:lpstr>
      <vt:lpstr>Dashboard</vt:lpstr>
      <vt:lpstr>SMS and TPS</vt:lpstr>
      <vt:lpstr>TOP SMPP</vt:lpstr>
      <vt:lpstr>USSD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Khanna</dc:creator>
  <cp:lastModifiedBy>Anju Yadav</cp:lastModifiedBy>
  <dcterms:created xsi:type="dcterms:W3CDTF">2019-12-20T15:08:09Z</dcterms:created>
  <dcterms:modified xsi:type="dcterms:W3CDTF">2024-08-12T09:25:46Z</dcterms:modified>
</cp:coreProperties>
</file>